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Inputs" sheetId="2" state="visible" r:id="rId4"/>
    <sheet name="Flows" sheetId="3" state="visible" r:id="rId5"/>
    <sheet name="CallGrid" sheetId="4" state="visible" r:id="rId6"/>
    <sheet name="Calls" sheetId="5" state="visible" r:id="rId7"/>
    <sheet name="Equalization" sheetId="6" state="visible" r:id="rId8"/>
    <sheet name="Waterfall" sheetId="7" state="visible" r:id="rId9"/>
    <sheet name="AccruedCarry" sheetId="8" state="visible" r:id="rId10"/>
    <sheet name="CapitalAccounts" sheetId="9" state="visible" r:id="rId11"/>
    <sheet name="Evergreen" sheetId="10" state="visible" r:id="rId12"/>
    <sheet name="NAVError" sheetId="11" state="visible" r:id="rId13"/>
    <sheet name="Economics" sheetId="12" state="visible" r:id="rId14"/>
    <sheet name="Interview" sheetId="13" state="visible" r:id="rId15"/>
    <sheet name="Checks" sheetId="14" state="visible" r:id="rId1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<sst xmlns="http://schemas.openxmlformats.org/spreadsheetml/2006/main" count="466" uniqueCount="389">
  <si>
    <t xml:space="preserve">The Fund Administration Professional: companion workbook</t>
  </si>
  <si>
    <t xml:space="preserve">Kestrin Fund Services, Saltmarsh Capital, Fund IV and the Lending Fund. Every firm, fund and investor is fictional; every input is an assumption of the case, not a market statistic.</t>
  </si>
  <si>
    <t xml:space="preserve">Colour code: blue cells on a pale blue background are inputs; black cells are formulas. Change inputs only on the Inputs tab.</t>
  </si>
  <si>
    <t xml:space="preserve">No macros, no circular references, no values pasted where a formula belongs. Fund-level amounts in $ millions; investor lines in dollars and cents.</t>
  </si>
  <si>
    <t xml:space="preserve">Tabs</t>
  </si>
  <si>
    <t xml:space="preserve">Inputs: Fund IV's partners and terms, the eight deals, the selected call, the waterfall method switch, the Lending Fund's terms, the error, the administrator's economics.</t>
  </si>
  <si>
    <t xml:space="preserve">Flows: Fund IV quarter by quarter (40 quarters): fees, offset, investments, expenses, calls, distributions, and the LP pool's contributions and distributions.</t>
  </si>
  <si>
    <t xml:space="preserve">CallGrid: every partner's rounded share of calls 1 to 8 (capital and fee), with the documented residual rule.</t>
  </si>
  <si>
    <t xml:space="preserve">Calls: the call notice for the quarter selected on Inputs, partner by partner, and the allocation of the late payment interest.</t>
  </si>
  <si>
    <t xml:space="preserve">Equalization: the second close: target, equalization capital and interest per partner, catch-up fee.</t>
  </si>
  <si>
    <t xml:space="preserve">Waterfall: the European waterfall on the LP pool, compound and simple preferred return side by side, and the reconciliation.</t>
  </si>
  <si>
    <t xml:space="preserve">AccruedCarry: hypothetical liquidation at the end of year 5 (accrued carried interest).</t>
  </si>
  <si>
    <t xml:space="preserve">CapitalAccounts: the ten partners' capital accounts at the end of year 1, footed to the NAV.</t>
  </si>
  <si>
    <t xml:space="preserve">Evergreen: the Lending Fund month by month, as published (months 1 to 7) and after the correction (months 1 to 12), gates and performance fee.</t>
  </si>
  <si>
    <t xml:space="preserve">NAVError: the NAV error: leavers, joiners, fees, the manager's cost.</t>
  </si>
  <si>
    <t xml:space="preserve">Economics: the administrator's fees, hours and contribution on the Saltmarsh mandate.</t>
  </si>
  <si>
    <t xml:space="preserve">Interview: the interview case of Chapter 17.</t>
  </si>
  <si>
    <t xml:space="preserve">Checks: identities and comparisons with the figures printed in the book. Reads ALL CHECKS OK when everything passes with the book's inputs.</t>
  </si>
  <si>
    <t xml:space="preserve">Manipulations suggested in the book</t>
  </si>
  <si>
    <t xml:space="preserve">1. Change a commitment on Inputs and read the call on Calls: the rounded lines and the residual move.</t>
  </si>
  <si>
    <t xml:space="preserve">2. Select another call number (1 to 8) on Inputs and compare its notice with the fund-level line on Flows.</t>
  </si>
  <si>
    <t xml:space="preserve">3. Switch the waterfall method (1 = compound, 2 = simple) and watch the year 9, Q2 distribution on Waterfall.</t>
  </si>
  <si>
    <t xml:space="preserve">4. Change a deal's proceeds or exit quarter (for example set Deal F and Deal G to nil) and read the clawback exposure on Waterfall.</t>
  </si>
  <si>
    <t xml:space="preserve">5. Change the Lending Fund's gate, a redemption request, or the error amount (set it to nil to see the two paths coincide).</t>
  </si>
  <si>
    <t xml:space="preserve">6. Change the interview distribution on Inputs and see when the compound and simple formulas give the same carry.</t>
  </si>
  <si>
    <t xml:space="preserve">Checks compare the workbook with the book's printed values only when the inputs are the book's. After you change an input, the comparison rows on Checks will differ by design; the identity rows must still pass.</t>
  </si>
  <si>
    <t xml:space="preserve">Inputs</t>
  </si>
  <si>
    <t xml:space="preserve">Fund IV: partners</t>
  </si>
  <si>
    <t xml:space="preserve">Code</t>
  </si>
  <si>
    <t xml:space="preserve">Investor type</t>
  </si>
  <si>
    <t xml:space="preserve">First close $</t>
  </si>
  <si>
    <t xml:space="preserve">Second close $</t>
  </si>
  <si>
    <t xml:space="preserve">Fee-paying (1/0)</t>
  </si>
  <si>
    <t xml:space="preserve">Total $</t>
  </si>
  <si>
    <t xml:space="preserve">LP01</t>
  </si>
  <si>
    <t xml:space="preserve">Public pension plan</t>
  </si>
  <si>
    <t xml:space="preserve">LP02</t>
  </si>
  <si>
    <t xml:space="preserve">Insurance company</t>
  </si>
  <si>
    <t xml:space="preserve">LP03</t>
  </si>
  <si>
    <t xml:space="preserve">University endowment</t>
  </si>
  <si>
    <t xml:space="preserve">LP04</t>
  </si>
  <si>
    <t xml:space="preserve">Fund of funds</t>
  </si>
  <si>
    <t xml:space="preserve">LP05</t>
  </si>
  <si>
    <t xml:space="preserve">Family office</t>
  </si>
  <si>
    <t xml:space="preserve">LP06</t>
  </si>
  <si>
    <t xml:space="preserve">Corporate pension plan</t>
  </si>
  <si>
    <t xml:space="preserve">LP07</t>
  </si>
  <si>
    <t xml:space="preserve">Charitable foundation</t>
  </si>
  <si>
    <t xml:space="preserve">LP08</t>
  </si>
  <si>
    <t xml:space="preserve">Insurance company (non-US)</t>
  </si>
  <si>
    <t xml:space="preserve">LP09</t>
  </si>
  <si>
    <t xml:space="preserve">Wealth-management feeder fund</t>
  </si>
  <si>
    <t xml:space="preserve">GP</t>
  </si>
  <si>
    <t xml:space="preserve">General partner</t>
  </si>
  <si>
    <t xml:space="preserve">Total</t>
  </si>
  <si>
    <t xml:space="preserve">Fund IV: terms</t>
  </si>
  <si>
    <t xml:space="preserve">Management fee, investment period (years 1 to 5)</t>
  </si>
  <si>
    <t xml:space="preserve">Management fee from year 6 (on LP share of cost of unrealized investments)</t>
  </si>
  <si>
    <t xml:space="preserve">Investment period, years</t>
  </si>
  <si>
    <t xml:space="preserve">Fee offset, $ (transaction fee on Deal A)</t>
  </si>
  <si>
    <t xml:space="preserve">Quarter in which the offset is applied</t>
  </si>
  <si>
    <t xml:space="preserve">Organizational costs, $ (called with call 1)</t>
  </si>
  <si>
    <t xml:space="preserve">Operating expenses called each quarter, $</t>
  </si>
  <si>
    <t xml:space="preserve">Second close: quarter number (starts that quarter)</t>
  </si>
  <si>
    <t xml:space="preserve">Equalization interest, simple, per year</t>
  </si>
  <si>
    <t xml:space="preserve">Late payment interest, per year (actual/365)</t>
  </si>
  <si>
    <t xml:space="preserve">Days late (LP05, call 6)</t>
  </si>
  <si>
    <t xml:space="preserve">Call paid late by LP05</t>
  </si>
  <si>
    <t xml:space="preserve">Preferred return, per year</t>
  </si>
  <si>
    <t xml:space="preserve">Carried interest</t>
  </si>
  <si>
    <t xml:space="preserve">Waterfall method for the headline (1 = compound, as the LPA; 2 = simple, as the manager's model)</t>
  </si>
  <si>
    <t xml:space="preserve">Call to display on the Calls tab (1 to 8)</t>
  </si>
  <si>
    <t xml:space="preserve">Fund IV: deals ($m; quarter numbers 1 to 40: invested at the START of the quarter, exited at the END)</t>
  </si>
  <si>
    <t xml:space="preserve">Deal</t>
  </si>
  <si>
    <t xml:space="preserve">Invested in quarter</t>
  </si>
  <si>
    <t xml:space="preserve">Cost $m</t>
  </si>
  <si>
    <t xml:space="preserve">Exit quarter</t>
  </si>
  <si>
    <t xml:space="preserve">Proceeds $m</t>
  </si>
  <si>
    <t xml:space="preserve">Multiple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</si>
  <si>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</si>
  <si>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</si>
  <si>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</si>
  <si>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</si>
  <si>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</si>
  <si>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</si>
  <si>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</si>
  <si>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</si>
  <si>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The Lending Fund (evergreen)</t>
  </si>
  <si>
    <t xml:space="preserve">Opening NAV $m</t>
  </si>
  <si>
    <t xml:space="preserve">Opening NAV per unit (and high-water mark)</t>
  </si>
  <si>
    <t xml:space="preserve">Management fee per year (on NAV after dealing)</t>
  </si>
  <si>
    <t xml:space="preserve">Fund expenses $m per month</t>
  </si>
  <si>
    <t xml:space="preserve">Performance fee rate</t>
  </si>
  <si>
    <t xml:space="preserve">Hurdle per year (simple, over the high-water mark)</t>
  </si>
  <si>
    <t xml:space="preserve">Gate (share of NAV per dealing date)</t>
  </si>
  <si>
    <t xml:space="preserve">Error: impairment $m booked late</t>
  </si>
  <si>
    <t xml:space="preserve">Month in which the impairment should have been booked</t>
  </si>
  <si>
    <t xml:space="preserve">NAV error policy materiality threshold</t>
  </si>
  <si>
    <t xml:space="preserve">Month</t>
  </si>
  <si>
    <t xml:space="preserve">Gross return</t>
  </si>
  <si>
    <t xml:space="preserve">Subscriptions $m</t>
  </si>
  <si>
    <t xml:space="preserve">New redemption requests $m</t>
  </si>
  <si>
    <t xml:space="preserve">Redemptions are dealt in months 3, 6, 9 and 12 only (the Lending Fund's documents).</t>
  </si>
  <si>
    <t xml:space="preserve">The administrator's economics (assumptions, not market rates)</t>
  </si>
  <si>
    <t xml:space="preserve">Fund IV fee, basis points of commitments</t>
  </si>
  <si>
    <t xml:space="preserve">Fund IV minimum fee $</t>
  </si>
  <si>
    <t xml:space="preserve">Lending Fund fee, basis points of average NAV</t>
  </si>
  <si>
    <t xml:space="preserve">Lending Fund minimum fee $</t>
  </si>
  <si>
    <t xml:space="preserve">Fee per investor account per year $</t>
  </si>
  <si>
    <t xml:space="preserve">Investor accounts in the Lending Fund</t>
  </si>
  <si>
    <t xml:space="preserve">Budgeted hours, Fund IV</t>
  </si>
  <si>
    <t xml:space="preserve">Budgeted hours, Lending Fund</t>
  </si>
  <si>
    <t xml:space="preserve">Fully loaded cost per hour $</t>
  </si>
  <si>
    <t xml:space="preserve">Unbudgeted rework hours</t>
  </si>
  <si>
    <t xml:space="preserve">Interview case</t>
  </si>
  <si>
    <t xml:space="preserve">LP contribution $m (at the start)</t>
  </si>
  <si>
    <t xml:space="preserve">Single distribution $m</t>
  </si>
  <si>
    <t xml:space="preserve">Years to the distribution</t>
  </si>
  <si>
    <t xml:space="preserve">Call question: fund size $m</t>
  </si>
  <si>
    <t xml:space="preserve">Call question: LP commitment $m</t>
  </si>
  <si>
    <t xml:space="preserve">Call question: call $m</t>
  </si>
  <si>
    <t xml:space="preserve">Fund IV: flows by quarter ($m)</t>
  </si>
  <si>
    <t xml:space="preserve">Calls at the start of each quarter; distributions at the end. LP pool = fee-paying LPs: 98% of capital items plus 100% of fees (deemed admission at the first close for the waterfall).</t>
  </si>
  <si>
    <t xml:space="preserve">LP share of the fund</t>
  </si>
  <si>
    <t xml:space="preserve">Quarter</t>
  </si>
  <si>
    <t xml:space="preserve">t0 (years)</t>
  </si>
  <si>
    <t xml:space="preserve">t1 (years)</t>
  </si>
  <si>
    <t xml:space="preserve">Year</t>
  </si>
  <si>
    <t xml:space="preserve">LP commitments at t0 $m</t>
  </si>
  <si>
    <t xml:space="preserve">Fee called</t>
  </si>
  <si>
    <t xml:space="preserve">Fee (deemed)</t>
  </si>
  <si>
    <t xml:space="preserve">Offset</t>
  </si>
  <si>
    <t xml:space="preserve">Investment</t>
  </si>
  <si>
    <t xml:space="preserve">Organizational</t>
  </si>
  <si>
    <t xml:space="preserve">Expenses</t>
  </si>
  <si>
    <t xml:space="preserve">Capital items</t>
  </si>
  <si>
    <t xml:space="preserve">Total call</t>
  </si>
  <si>
    <t xml:space="preserve">Distribution</t>
  </si>
  <si>
    <t xml:space="preserve">LP pool contribution</t>
  </si>
  <si>
    <t xml:space="preserve">LP pool distribution</t>
  </si>
  <si>
    <t xml:space="preserve">Cost of unrealized</t>
  </si>
  <si>
    <t xml:space="preserve">Catch-up fee paid at the second close $m</t>
  </si>
  <si>
    <t xml:space="preserve">Total contributions over the life, all partners $m</t>
  </si>
  <si>
    <t xml:space="preserve">Unfunded at the end $m</t>
  </si>
  <si>
    <t xml:space="preserve">Rounded call lines by partner, calls 1 to 8 (dollars)</t>
  </si>
  <si>
    <t xml:space="preserve">Rule: each line = ROUND(amount x weight / total weight, 2); the residual (amount minus the sum of rounded lines) is added to the largest line, LP01.</t>
  </si>
  <si>
    <t xml:space="preserve">Partner</t>
  </si>
  <si>
    <t xml:space="preserve">Call 1 weight</t>
  </si>
  <si>
    <t xml:space="preserve">Call 1 capital</t>
  </si>
  <si>
    <t xml:space="preserve">Call 1 fee</t>
  </si>
  <si>
    <t xml:space="preserve">Call 2 weight</t>
  </si>
  <si>
    <t xml:space="preserve">Call 2 capital</t>
  </si>
  <si>
    <t xml:space="preserve">Call 2 fee</t>
  </si>
  <si>
    <t xml:space="preserve">Call 3 weight</t>
  </si>
  <si>
    <t xml:space="preserve">Call 3 capital</t>
  </si>
  <si>
    <t xml:space="preserve">Call 3 fee</t>
  </si>
  <si>
    <t xml:space="preserve">Call 4 weight</t>
  </si>
  <si>
    <t xml:space="preserve">Call 4 capital</t>
  </si>
  <si>
    <t xml:space="preserve">Call 4 fee</t>
  </si>
  <si>
    <t xml:space="preserve">Call 5 weight</t>
  </si>
  <si>
    <t xml:space="preserve">Call 5 capital</t>
  </si>
  <si>
    <t xml:space="preserve">Call 5 fee</t>
  </si>
  <si>
    <t xml:space="preserve">Call 6 weight</t>
  </si>
  <si>
    <t xml:space="preserve">Call 6 capital</t>
  </si>
  <si>
    <t xml:space="preserve">Call 6 fee</t>
  </si>
  <si>
    <t xml:space="preserve">Call 7 weight</t>
  </si>
  <si>
    <t xml:space="preserve">Call 7 capital</t>
  </si>
  <si>
    <t xml:space="preserve">Call 7 fee</t>
  </si>
  <si>
    <t xml:space="preserve">Call 8 weight</t>
  </si>
  <si>
    <t xml:space="preserve">Call 8 capital</t>
  </si>
  <si>
    <t xml:space="preserve">Call 8 fee</t>
  </si>
  <si>
    <t xml:space="preserve">Amount to allocate</t>
  </si>
  <si>
    <t xml:space="preserve">Residual</t>
  </si>
  <si>
    <t xml:space="preserve">Call notice for the selected call (dollars)</t>
  </si>
  <si>
    <t xml:space="preserve">Selected call</t>
  </si>
  <si>
    <t xml:space="preserve">Capital to allocate</t>
  </si>
  <si>
    <t xml:space="preserve">Net management fee to allocate</t>
  </si>
  <si>
    <t xml:space="preserve">Commitment counted $</t>
  </si>
  <si>
    <t xml:space="preserve">Capital $</t>
  </si>
  <si>
    <t xml:space="preserve">Management fee $</t>
  </si>
  <si>
    <t xml:space="preserve">Total due $</t>
  </si>
  <si>
    <t xml:space="preserve">Late payment: LP05 on the call selected on Inputs</t>
  </si>
  <si>
    <t xml:space="preserve">Amount due by LP05 $</t>
  </si>
  <si>
    <t xml:space="preserve">Late payment interest $ (amount x rate x days / 365)</t>
  </si>
  <si>
    <t xml:space="preserve">Weight $</t>
  </si>
  <si>
    <t xml:space="preserve">Interest share $</t>
  </si>
  <si>
    <t xml:space="preserve">Residual applied to LP01</t>
  </si>
  <si>
    <t xml:space="preserve">The second close and equalization (dollars)</t>
  </si>
  <si>
    <t xml:space="preserve">Prior calls are the calls made before the second close quarter. Partners below target pay; partners above it receive. Interest: 8% simple from each call date to the second close.</t>
  </si>
  <si>
    <t xml:space="preserve">Years outstanding, call 1 / 2 / 3:</t>
  </si>
  <si>
    <t xml:space="preserve">Capital paid before $</t>
  </si>
  <si>
    <t xml:space="preserve">Target $</t>
  </si>
  <si>
    <t xml:space="preserve">Equalization capital $ (+ pays)</t>
  </si>
  <si>
    <t xml:space="preserve">Interest $ (+ pays)</t>
  </si>
  <si>
    <t xml:space="preserve">Catch-up fee $</t>
  </si>
  <si>
    <t xml:space="preserve">Share difference</t>
  </si>
  <si>
    <t xml:space="preserve">Residual applied to LP01 (paid minus received, before the adjustment)</t>
  </si>
  <si>
    <t xml:space="preserve">Equalization capital paid by partners below target $</t>
  </si>
  <si>
    <t xml:space="preserve">Equalization interest paid $</t>
  </si>
  <si>
    <t xml:space="preserve">Target as a share of commitments</t>
  </si>
  <si>
    <t xml:space="preserve">European waterfall on the LP pool ($m): compound (Fund IV's LPA) and simple (the manager's model)</t>
  </si>
  <si>
    <t xml:space="preserve">At the end of each quarter the distribution is processed before the next quarter's call. Tiers 1-2: 100% to the LPs until every contribution is returned and the hurdle balance is nil; tier 3: GP catch-up to 20% of (preferred return + catch-up); tier 4: 80/20.</t>
  </si>
  <si>
    <t xml:space="preserve">COMPOUND (the LPA)</t>
  </si>
  <si>
    <t xml:space="preserve">SIMPLE (the manager's model)</t>
  </si>
  <si>
    <t xml:space="preserve">Contribution (start)</t>
  </si>
  <si>
    <t xml:space="preserve">Hurdle balance before distribution</t>
  </si>
  <si>
    <t xml:space="preserve">Unreturned capital</t>
  </si>
  <si>
    <t xml:space="preserve">Distribution (end)</t>
  </si>
  <si>
    <t xml:space="preserve">Tiers 1-2 paid</t>
  </si>
  <si>
    <t xml:space="preserve">Return of capital</t>
  </si>
  <si>
    <t xml:space="preserve">Preferred return</t>
  </si>
  <si>
    <t xml:space="preserve">GP catch-up</t>
  </si>
  <si>
    <t xml:space="preserve">80/20 to LPs</t>
  </si>
  <si>
    <t xml:space="preserve">80/20 to GP</t>
  </si>
  <si>
    <t xml:space="preserve">Cum. contributions</t>
  </si>
  <si>
    <t xml:space="preserve">Cum. return of capital</t>
  </si>
  <si>
    <t xml:space="preserve">Cum. preferred</t>
  </si>
  <si>
    <t xml:space="preserve">Cum. catch-up</t>
  </si>
  <si>
    <t xml:space="preserve">Hurdle after (compound) / net principal (simple)</t>
  </si>
  <si>
    <t xml:space="preserve">Accrued simple interest</t>
  </si>
  <si>
    <t xml:space="preserve">Cum. carry</t>
  </si>
  <si>
    <t xml:space="preserve">Summary</t>
  </si>
  <si>
    <t xml:space="preserve">Carry over the life, compound $m</t>
  </si>
  <si>
    <t xml:space="preserve">Carry over the life, simple $m</t>
  </si>
  <si>
    <t xml:space="preserve">LP pool profit $m</t>
  </si>
  <si>
    <t xml:space="preserve">GP at year 9, Q2 (quarter 34), compound $m</t>
  </si>
  <si>
    <t xml:space="preserve">GP at year 9, Q2 (quarter 34), simple $m</t>
  </si>
  <si>
    <t xml:space="preserve">Reconciliation difference at quarter 34 $m</t>
  </si>
  <si>
    <t xml:space="preserve">Hurdle before the quarter-34 distribution, compound $m</t>
  </si>
  <si>
    <t xml:space="preserve">Hurdle before the quarter-34 distribution, simple $m</t>
  </si>
  <si>
    <t xml:space="preserve">Headline carry over the life (method selected on Inputs) $m</t>
  </si>
  <si>
    <t xml:space="preserve">Cumulative carry after quarter 36, compound / simple $m</t>
  </si>
  <si>
    <t xml:space="preserve">Clawback exposure if the simple formula were paid (carry paid to date above the compound carry, max over life) $m</t>
  </si>
  <si>
    <t xml:space="preserve">Accrued carried interest at the end of year 5 by hypothetical liquidation ($m)</t>
  </si>
  <si>
    <t xml:space="preserve">Fair value at the end of year 5 of each unrealized deal: cost x (proceeds / cost) ^ ((t - t invested) / (t exit - t invested)), the model's smooth path (assumption).</t>
  </si>
  <si>
    <t xml:space="preserve">Valuation date, years</t>
  </si>
  <si>
    <t xml:space="preserve">t invested</t>
  </si>
  <si>
    <t xml:space="preserve">t exit</t>
  </si>
  <si>
    <t xml:space="preserve">Fair value $m</t>
  </si>
  <si>
    <t xml:space="preserve">NAV</t>
  </si>
  <si>
    <t xml:space="preserve">Accrued carried interest $m</t>
  </si>
  <si>
    <t xml:space="preserve">LP pool share of NAV</t>
  </si>
  <si>
    <t xml:space="preserve">LP pool NAV net of accrued carry $m</t>
  </si>
  <si>
    <t xml:space="preserve">LP01 share of accrued carry $m (100/490)</t>
  </si>
  <si>
    <t xml:space="preserve">Waterfall with the year-5 NAV treated as distributed at the end of quarter 20 (compound)</t>
  </si>
  <si>
    <t xml:space="preserve">Capital accounts at the end of year 1 (dollars)</t>
  </si>
  <si>
    <t xml:space="preserve">Calls 1 to 4 from CallGrid; equalization from Equalization; expenses and organizational costs by share of total commitments; unrealized gain on the year-1 fair values.</t>
  </si>
  <si>
    <t xml:space="preserve">Fair value of the investments at the end of year 1 $</t>
  </si>
  <si>
    <t xml:space="preserve">Cost of the investments at the end of year 1 $</t>
  </si>
  <si>
    <t xml:space="preserve">Called in year 1</t>
  </si>
  <si>
    <t xml:space="preserve">Equalization capital (+ paid / - returned)</t>
  </si>
  <si>
    <t xml:space="preserve">Catch-up fee</t>
  </si>
  <si>
    <t xml:space="preserve">Net contributions</t>
  </si>
  <si>
    <t xml:space="preserve">Management fees</t>
  </si>
  <si>
    <t xml:space="preserve">Organizational and expenses</t>
  </si>
  <si>
    <t xml:space="preserve">Unrealized gain</t>
  </si>
  <si>
    <t xml:space="preserve">Ending capital</t>
  </si>
  <si>
    <t xml:space="preserve">Share of NAV</t>
  </si>
  <si>
    <t xml:space="preserve">Equalization interest (+ paid / - received)</t>
  </si>
  <si>
    <t xml:space="preserve">Fund NAV at the end of year 1 (fair value; cash and accrued expense offset) $</t>
  </si>
  <si>
    <t xml:space="preserve">The Lending Fund month by month ($m)</t>
  </si>
  <si>
    <t xml:space="preserve">Block P: as published (the impairment not booked). Block C: the fund after the correction (impairment in its true month, subscriptions at correct prices, the month-6 redemption as dealt, priced correctly).</t>
  </si>
  <si>
    <t xml:space="preserve">Block P: as published</t>
  </si>
  <si>
    <t xml:space="preserve">Subscription price</t>
  </si>
  <si>
    <t xml:space="preserve">Subscriptions</t>
  </si>
  <si>
    <t xml:space="preserve">Units issued (m)</t>
  </si>
  <si>
    <t xml:space="preserve">NAV after dealing</t>
  </si>
  <si>
    <t xml:space="preserve">Gross assets</t>
  </si>
  <si>
    <t xml:space="preserve">Write-down</t>
  </si>
  <si>
    <t xml:space="preserve">Management fee</t>
  </si>
  <si>
    <t xml:space="preserve">NAV before perf. fee</t>
  </si>
  <si>
    <t xml:space="preserve">Hurdle level</t>
  </si>
  <si>
    <t xml:space="preserve">Perf. fee accrual</t>
  </si>
  <si>
    <t xml:space="preserve">NAV per unit</t>
  </si>
  <si>
    <t xml:space="preserve">Requests (new + carried)</t>
  </si>
  <si>
    <t xml:space="preserve">Gate</t>
  </si>
  <si>
    <t xml:space="preserve">Paid</t>
  </si>
  <si>
    <t xml:space="preserve">Units redeemed (m)</t>
  </si>
  <si>
    <t xml:space="preserve">Perf. fee crystallized on redemption</t>
  </si>
  <si>
    <t xml:space="preserve">Carried forward</t>
  </si>
  <si>
    <t xml:space="preserve">NAV end</t>
  </si>
  <si>
    <t xml:space="preserve">Units end (m)</t>
  </si>
  <si>
    <t xml:space="preserve">Accrual after redemption</t>
  </si>
  <si>
    <t xml:space="preserve">Block C: after the correction</t>
  </si>
  <si>
    <t xml:space="preserve">The year after the correction</t>
  </si>
  <si>
    <t xml:space="preserve">NAV per unit at the end of month 12</t>
  </si>
  <si>
    <t xml:space="preserve">Performance fee crystallized at year end $m</t>
  </si>
  <si>
    <t xml:space="preserve">Performance fee crystallized on redemptions $m</t>
  </si>
  <si>
    <t xml:space="preserve">Management fees $m</t>
  </si>
  <si>
    <t xml:space="preserve">Average month-end NAV $m</t>
  </si>
  <si>
    <t xml:space="preserve">Month 6 paid share of requests (as dealt)</t>
  </si>
  <si>
    <t xml:space="preserve">Month 12 paid share of requests</t>
  </si>
  <si>
    <t xml:space="preserve">The NAV error ($ unless stated)</t>
  </si>
  <si>
    <t xml:space="preserve">Month 6 NAV per unit, published</t>
  </si>
  <si>
    <t xml:space="preserve">Month 6 NAV per unit, correct</t>
  </si>
  <si>
    <t xml:space="preserve">Month 6 overstatement</t>
  </si>
  <si>
    <t xml:space="preserve">Month 7 NAV per unit, published</t>
  </si>
  <si>
    <t xml:space="preserve">Month 7 NAV per unit, correct</t>
  </si>
  <si>
    <t xml:space="preserve">Month 7 overstatement</t>
  </si>
  <si>
    <t xml:space="preserve">Above the policy threshold?</t>
  </si>
  <si>
    <t xml:space="preserve">Leavers: units redeemed in month 6 (m)</t>
  </si>
  <si>
    <t xml:space="preserve">Leavers: overpayment $</t>
  </si>
  <si>
    <t xml:space="preserve">Corrected month-8 NAV per unit</t>
  </si>
  <si>
    <t xml:space="preserve">Month-7 joiners: units issued (m)</t>
  </si>
  <si>
    <t xml:space="preserve">Month-7 joiners: units due (m)</t>
  </si>
  <si>
    <t xml:space="preserve">Month-7 joiners: value of missing units $</t>
  </si>
  <si>
    <t xml:space="preserve">Month-8 joiners: units issued (m) at the month-7 published price</t>
  </si>
  <si>
    <t xml:space="preserve">Month-8 joiners: units due (m)</t>
  </si>
  <si>
    <t xml:space="preserve">Month-8 joiners: value of missing units $</t>
  </si>
  <si>
    <t xml:space="preserve">Excess performance fee crystallized on month-6 redemptions $</t>
  </si>
  <si>
    <t xml:space="preserve">Excess management fee, month 7 $</t>
  </si>
  <si>
    <t xml:space="preserve">Cash cost to the manager $ (leavers' overpayment + excess fees)</t>
  </si>
  <si>
    <t xml:space="preserve">The administrator's economics on the Saltmarsh mandate ($)</t>
  </si>
  <si>
    <t xml:space="preserve">Fund IV fee</t>
  </si>
  <si>
    <t xml:space="preserve">Lending Fund fee (on average month-end NAV)</t>
  </si>
  <si>
    <t xml:space="preserve">Investor account fees</t>
  </si>
  <si>
    <t xml:space="preserve">Total fees</t>
  </si>
  <si>
    <t xml:space="preserve">Budgeted hours</t>
  </si>
  <si>
    <t xml:space="preserve">Cost of budgeted hours</t>
  </si>
  <si>
    <t xml:space="preserve">Contribution</t>
  </si>
  <si>
    <t xml:space="preserve">Contribution, % of fees</t>
  </si>
  <si>
    <t xml:space="preserve">Revenue per hour</t>
  </si>
  <si>
    <t xml:space="preserve">Cost of rework</t>
  </si>
  <si>
    <t xml:space="preserve">Contribution after rework</t>
  </si>
  <si>
    <t xml:space="preserve">Contribution after rework, % of fees</t>
  </si>
  <si>
    <t xml:space="preserve">The interview case ($m)</t>
  </si>
  <si>
    <t xml:space="preserve">Compound</t>
  </si>
  <si>
    <t xml:space="preserve">Simple</t>
  </si>
  <si>
    <t xml:space="preserve">Preferred return due</t>
  </si>
  <si>
    <t xml:space="preserve">Profit (distribution less contribution)</t>
  </si>
  <si>
    <t xml:space="preserve">Preferred return paid</t>
  </si>
  <si>
    <t xml:space="preserve">Left for the 80/20 split</t>
  </si>
  <si>
    <t xml:space="preserve">To the GP</t>
  </si>
  <si>
    <t xml:space="preserve">To the LPs</t>
  </si>
  <si>
    <t xml:space="preserve">Difference (simple less compound) to the GP</t>
  </si>
  <si>
    <t xml:space="preserve">Call question: the LP's share of the call $m</t>
  </si>
  <si>
    <t xml:space="preserve">Checks</t>
  </si>
  <si>
    <t xml:space="preserve">Status</t>
  </si>
  <si>
    <t xml:space="preserve">Check</t>
  </si>
  <si>
    <t xml:space="preserve">Workbook</t>
  </si>
  <si>
    <t xml:space="preserve">Book</t>
  </si>
  <si>
    <t xml:space="preserve">Result</t>
  </si>
  <si>
    <t xml:space="preserve">Call 1: capital lines add up to the capital called</t>
  </si>
  <si>
    <t xml:space="preserve">Call 1: fee lines add up to the net fee called</t>
  </si>
  <si>
    <t xml:space="preserve">Call 2: capital lines add up to the capital called</t>
  </si>
  <si>
    <t xml:space="preserve">Call 2: fee lines add up to the net fee called</t>
  </si>
  <si>
    <t xml:space="preserve">Call 3: capital lines add up to the capital called</t>
  </si>
  <si>
    <t xml:space="preserve">Call 3: fee lines add up to the net fee called</t>
  </si>
  <si>
    <t xml:space="preserve">Call 4: capital lines add up to the capital called</t>
  </si>
  <si>
    <t xml:space="preserve">Call 4: fee lines add up to the net fee called</t>
  </si>
  <si>
    <t xml:space="preserve">Call 5: capital lines add up to the capital called</t>
  </si>
  <si>
    <t xml:space="preserve">Call 5: fee lines add up to the net fee called</t>
  </si>
  <si>
    <t xml:space="preserve">Call 6: capital lines add up to the capital called</t>
  </si>
  <si>
    <t xml:space="preserve">Call 6: fee lines add up to the net fee called</t>
  </si>
  <si>
    <t xml:space="preserve">Call 7: capital lines add up to the capital called</t>
  </si>
  <si>
    <t xml:space="preserve">Call 7: fee lines add up to the net fee called</t>
  </si>
  <si>
    <t xml:space="preserve">Call 8: capital lines add up to the capital called</t>
  </si>
  <si>
    <t xml:space="preserve">Call 8: fee lines add up to the net fee called</t>
  </si>
  <si>
    <t xml:space="preserve">Late payment interest: lines add up to the interest</t>
  </si>
  <si>
    <t xml:space="preserve">Equalization capital: paid equals received (sum nil)</t>
  </si>
  <si>
    <t xml:space="preserve">Equalization interest: paid equals received (sum nil)</t>
  </si>
  <si>
    <t xml:space="preserve">Capital accounts add up to the year-1 NAV</t>
  </si>
  <si>
    <t xml:space="preserve">Waterfall (compound): carry over the life does not exceed 20% of LP pool profit (equal once the catch-up is complete)</t>
  </si>
  <si>
    <t xml:space="preserve">Waterfall (simple): carry over the life does not exceed 20% of LP pool profit (equal once the catch-up is complete)</t>
  </si>
  <si>
    <t xml:space="preserve">Waterfall: every distribution fully allocated (compound)</t>
  </si>
  <si>
    <t xml:space="preserve">Evergreen: units after the correction (month 8) = published units (month 7) + missing month-7 units + month-8 units at the correct price</t>
  </si>
  <si>
    <t xml:space="preserve">Comparisons with the book (valid with the book's inputs)</t>
  </si>
  <si>
    <t xml:space="preserve">Book: call 1 total $</t>
  </si>
  <si>
    <t xml:space="preserve">Book: LP01 call 1 capital $</t>
  </si>
  <si>
    <t xml:space="preserve">Book: late payment interest $</t>
  </si>
  <si>
    <t xml:space="preserve">Book: late interest residual on LP01 $</t>
  </si>
  <si>
    <t xml:space="preserve">Book: equalization capital paid $</t>
  </si>
  <si>
    <t xml:space="preserve">Book: equalization interest paid $</t>
  </si>
  <si>
    <t xml:space="preserve">Book: LP01 ending capital, year 1 $</t>
  </si>
  <si>
    <t xml:space="preserve">Book: total contributions over the life $m</t>
  </si>
  <si>
    <t xml:space="preserve">Book: carry over the life $m</t>
  </si>
  <si>
    <t xml:space="preserve">Book: carry over the life = 20% of LP pool profit $m</t>
  </si>
  <si>
    <t xml:space="preserve">Book: reconciliation difference at year 9, Q2 $m</t>
  </si>
  <si>
    <t xml:space="preserve">Book: hurdle before year 9, Q2, compound $m</t>
  </si>
  <si>
    <t xml:space="preserve">Book: hurdle before year 9, Q2, simple $m</t>
  </si>
  <si>
    <t xml:space="preserve">Book: accrued carry at the end of year 5 $m</t>
  </si>
  <si>
    <t xml:space="preserve">Book: Lending Fund NAV per unit, month 12</t>
  </si>
  <si>
    <t xml:space="preserve">Book: month-6 NAV per unit published</t>
  </si>
  <si>
    <t xml:space="preserve">Book: month-6 NAV per unit correct</t>
  </si>
  <si>
    <t xml:space="preserve">Book: leavers' overpayment $</t>
  </si>
  <si>
    <t xml:space="preserve">Book: value of the missing units $</t>
  </si>
  <si>
    <t xml:space="preserve">Book: cash cost to the manager $</t>
  </si>
  <si>
    <t xml:space="preserve">Book: administrator's total fees $</t>
  </si>
  <si>
    <t xml:space="preserve">Book: interview, GP difference at $150m $m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</si>
</sst>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"/>
    <numFmt numFmtId="166" formatCode="0.00%"/>
    <numFmt numFmtId="167" formatCode="0"/>
    <numFmt numFmtId="168" formatCode="#,##0.00"/>
    <numFmt numFmtId="169" formatCode="0.00\x"/>
    <numFmt numFmtId="170" formatCode="#,##0.0000"/>
    <numFmt numFmtId="171" formatCode="0.000"/>
    <numFmt numFmtId="172" formatCode="0.0"/>
    <numFmt numFmtId="173" formatCode="0.0000%"/>
    <numFmt numFmtId="174" formatCode="0.00"/>
    <numFmt numFmtId="175" formatCode="#,##0.000000"/>
    <numFmt numFmtId="176" formatCode="#,##0.00;[RED]\-#,##0.00"/>
    <numFmt numFmtId="177" formatCode="0.000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B3A2F"/>
      <name val="Calibri"/>
      <family val="0"/>
      <charset val="1"/>
    </font>
    <font>
      <sz val="10"/>
      <name val="Calibri"/>
      <family val="0"/>
      <charset val="1"/>
    </font>
    <font>
      <b val="true"/>
      <sz val="11"/>
      <color rgb="FF1B3A2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1F4E9E"/>
      <name val="Calibri"/>
      <family val="0"/>
      <charset val="1"/>
    </font>
    <font>
      <b val="true"/>
      <sz val="1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B3A2F"/>
        <bgColor rgb="FF333300"/>
      </patternFill>
    </fill>
    <fill>
      <patternFill patternType="solid">
        <fgColor rgb="FFEAF1FB"/>
        <bgColor rgb="FFF3EFE3"/>
      </patternFill>
    </fill>
    <fill>
      <patternFill patternType="solid">
        <fgColor rgb="FFF3EFE3"/>
        <bgColor rgb="FFEAF1FB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EFE3"/>
      <rgbColor rgb="FFEAF1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39060"/>
      <rgbColor rgb="FF003366"/>
      <rgbColor rgb="FF339966"/>
      <rgbColor rgb="FF003300"/>
      <rgbColor rgb="FF333300"/>
      <rgbColor rgb="FF993300"/>
      <rgbColor rgb="FF993366"/>
      <rgbColor rgb="FF1F4E9E"/>
      <rgbColor rgb="FF1B3A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3A2F"/>
    <pageSetUpPr fitToPage="false"/>
  </sheetPr>
  <dimension ref="B2:B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0"/>
  </cols>
  <sheetData>
    <row r="2" customFormat="false" ht="18.65" hidden="false" customHeight="false" outlineLevel="0" collapsed="false">
      <c r="B2" s="1" t="s">
        <v>0</v>
      </c>
    </row>
    <row r="3" customFormat="false" ht="23.85" hidden="false" customHeight="false" outlineLevel="0" collapsed="false">
      <c r="B3" s="2" t="s">
        <v>1</v>
      </c>
    </row>
    <row r="4" customFormat="false" ht="15" hidden="false" customHeight="false" outlineLevel="0" collapsed="false">
      <c r="B4" s="2"/>
    </row>
    <row r="5" customFormat="false" ht="15" hidden="false" customHeight="false" outlineLevel="0" collapsed="false">
      <c r="B5" s="2" t="s">
        <v>2</v>
      </c>
    </row>
    <row r="6" customFormat="false" ht="15" hidden="false" customHeight="false" outlineLevel="0" collapsed="false">
      <c r="B6" s="2" t="s">
        <v>3</v>
      </c>
    </row>
    <row r="7" customFormat="false" ht="15" hidden="false" customHeight="false" outlineLevel="0" collapsed="false">
      <c r="B7" s="2"/>
    </row>
    <row r="8" customFormat="false" ht="15" hidden="false" customHeight="false" outlineLevel="0" collapsed="false">
      <c r="B8" s="3" t="s">
        <v>4</v>
      </c>
    </row>
    <row r="9" customFormat="false" ht="23.85" hidden="false" customHeight="false" outlineLevel="0" collapsed="false">
      <c r="B9" s="2" t="s">
        <v>5</v>
      </c>
    </row>
    <row r="10" customFormat="false" ht="23.85" hidden="false" customHeight="false" outlineLevel="0" collapsed="false">
      <c r="B10" s="2" t="s">
        <v>6</v>
      </c>
    </row>
    <row r="11" customFormat="false" ht="15" hidden="false" customHeight="false" outlineLevel="0" collapsed="false">
      <c r="B11" s="2" t="s">
        <v>7</v>
      </c>
    </row>
    <row r="12" customFormat="false" ht="15" hidden="false" customHeight="false" outlineLevel="0" collapsed="false">
      <c r="B12" s="2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false" outlineLevel="0" collapsed="false">
      <c r="B15" s="2" t="s">
        <v>11</v>
      </c>
    </row>
    <row r="16" customFormat="false" ht="15" hidden="false" customHeight="false" outlineLevel="0" collapsed="false">
      <c r="B16" s="2" t="s">
        <v>12</v>
      </c>
    </row>
    <row r="17" customFormat="false" ht="15" hidden="false" customHeight="false" outlineLevel="0" collapsed="false">
      <c r="B17" s="2" t="s">
        <v>13</v>
      </c>
    </row>
    <row r="18" customFormat="false" ht="15" hidden="false" customHeight="false" outlineLevel="0" collapsed="false">
      <c r="B18" s="2" t="s">
        <v>14</v>
      </c>
    </row>
    <row r="19" customFormat="false" ht="15" hidden="false" customHeight="false" outlineLevel="0" collapsed="false">
      <c r="B19" s="2" t="s">
        <v>15</v>
      </c>
    </row>
    <row r="20" customFormat="false" ht="15" hidden="false" customHeight="false" outlineLevel="0" collapsed="false">
      <c r="B20" s="2" t="s">
        <v>16</v>
      </c>
    </row>
    <row r="21" customFormat="false" ht="15" hidden="false" customHeight="false" outlineLevel="0" collapsed="false">
      <c r="B21" s="2" t="s">
        <v>17</v>
      </c>
    </row>
    <row r="22" customFormat="false" ht="15" hidden="false" customHeight="false" outlineLevel="0" collapsed="false">
      <c r="B22" s="2"/>
    </row>
    <row r="23" customFormat="false" ht="15" hidden="false" customHeight="false" outlineLevel="0" collapsed="false">
      <c r="B23" s="3" t="s">
        <v>18</v>
      </c>
    </row>
    <row r="24" customFormat="false" ht="15" hidden="false" customHeight="false" outlineLevel="0" collapsed="false">
      <c r="B24" s="2" t="s">
        <v>19</v>
      </c>
    </row>
    <row r="25" customFormat="false" ht="15" hidden="false" customHeight="false" outlineLevel="0" collapsed="false">
      <c r="B25" s="2" t="s">
        <v>20</v>
      </c>
    </row>
    <row r="26" customFormat="false" ht="15" hidden="false" customHeight="false" outlineLevel="0" collapsed="false">
      <c r="B26" s="2" t="s">
        <v>21</v>
      </c>
    </row>
    <row r="27" customFormat="false" ht="15" hidden="false" customHeight="false" outlineLevel="0" collapsed="false">
      <c r="B27" s="2" t="s">
        <v>22</v>
      </c>
    </row>
    <row r="28" customFormat="false" ht="15" hidden="false" customHeight="false" outlineLevel="0" collapsed="false">
      <c r="B28" s="2" t="s">
        <v>23</v>
      </c>
    </row>
    <row r="29" customFormat="false" ht="15" hidden="false" customHeight="false" outlineLevel="0" collapsed="false">
      <c r="B29" s="2" t="s">
        <v>24</v>
      </c>
    </row>
    <row r="30" customFormat="false" ht="15" hidden="false" customHeight="false" outlineLevel="0" collapsed="false">
      <c r="B30" s="2"/>
    </row>
    <row r="31" customFormat="false" ht="23.85" hidden="false" customHeight="false" outlineLevel="0" collapsed="false">
      <c r="B31" s="2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3A2F"/>
    <pageSetUpPr fitToPage="false"/>
  </sheetPr>
  <dimension ref="B2:G9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30"/>
    <col collapsed="false" customWidth="true" hidden="false" outlineLevel="0" max="5" min="4" style="0" width="16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40"/>
  </cols>
  <sheetData>
    <row r="2" customFormat="false" ht="17.35" hidden="false" customHeight="false" outlineLevel="0" collapsed="false">
      <c r="B2" s="4" t="s">
        <v>26</v>
      </c>
    </row>
    <row r="4" customFormat="false" ht="15" hidden="false" customHeight="false" outlineLevel="0" collapsed="false">
      <c r="B4" s="5" t="s">
        <v>27</v>
      </c>
    </row>
    <row r="5" customFormat="false" ht="23.85" hidden="false" customHeight="false" outlineLevel="0" collapsed="false">
      <c r="B5" s="6" t="s">
        <v>28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</row>
    <row r="6" customFormat="false" ht="15" hidden="false" customHeight="false" outlineLevel="0" collapsed="false">
      <c r="B6" s="7" t="s">
        <v>34</v>
      </c>
      <c r="C6" s="7" t="s">
        <v>35</v>
      </c>
      <c r="D6" s="8" t="n">
        <v>100000000</v>
      </c>
      <c r="E6" s="8" t="n">
        <v>0</v>
      </c>
      <c r="F6" s="9" t="n">
        <v>1</v>
      </c>
      <c r="G6" s="10" t="n">
        <f aca="false">D6+E6</f>
        <v>100000000</v>
      </c>
    </row>
    <row r="7" customFormat="false" ht="15" hidden="false" customHeight="false" outlineLevel="0" collapsed="false">
      <c r="B7" s="7" t="s">
        <v>36</v>
      </c>
      <c r="C7" s="7" t="s">
        <v>37</v>
      </c>
      <c r="D7" s="8" t="n">
        <v>70000000</v>
      </c>
      <c r="E7" s="8" t="n">
        <v>0</v>
      </c>
      <c r="F7" s="9" t="n">
        <v>1</v>
      </c>
      <c r="G7" s="10" t="n">
        <f aca="false">D7+E7</f>
        <v>70000000</v>
      </c>
    </row>
    <row r="8" customFormat="false" ht="15" hidden="false" customHeight="false" outlineLevel="0" collapsed="false">
      <c r="B8" s="7" t="s">
        <v>38</v>
      </c>
      <c r="C8" s="7" t="s">
        <v>39</v>
      </c>
      <c r="D8" s="8" t="n">
        <v>40000000</v>
      </c>
      <c r="E8" s="8" t="n">
        <v>0</v>
      </c>
      <c r="F8" s="9" t="n">
        <v>1</v>
      </c>
      <c r="G8" s="10" t="n">
        <f aca="false">D8+E8</f>
        <v>40000000</v>
      </c>
    </row>
    <row r="9" customFormat="false" ht="15" hidden="false" customHeight="false" outlineLevel="0" collapsed="false">
      <c r="B9" s="7" t="s">
        <v>40</v>
      </c>
      <c r="C9" s="7" t="s">
        <v>41</v>
      </c>
      <c r="D9" s="8" t="n">
        <v>60000000</v>
      </c>
      <c r="E9" s="8" t="n">
        <v>0</v>
      </c>
      <c r="F9" s="9" t="n">
        <v>1</v>
      </c>
      <c r="G9" s="10" t="n">
        <f aca="false">D9+E9</f>
        <v>60000000</v>
      </c>
    </row>
    <row r="10" customFormat="false" ht="15" hidden="false" customHeight="false" outlineLevel="0" collapsed="false">
      <c r="B10" s="7" t="s">
        <v>42</v>
      </c>
      <c r="C10" s="7" t="s">
        <v>43</v>
      </c>
      <c r="D10" s="8" t="n">
        <v>28000000</v>
      </c>
      <c r="E10" s="8" t="n">
        <v>0</v>
      </c>
      <c r="F10" s="9" t="n">
        <v>1</v>
      </c>
      <c r="G10" s="10" t="n">
        <f aca="false">D10+E10</f>
        <v>28000000</v>
      </c>
    </row>
    <row r="11" customFormat="false" ht="15" hidden="false" customHeight="false" outlineLevel="0" collapsed="false">
      <c r="B11" s="7" t="s">
        <v>44</v>
      </c>
      <c r="C11" s="7" t="s">
        <v>45</v>
      </c>
      <c r="D11" s="8" t="n">
        <v>55000000</v>
      </c>
      <c r="E11" s="8" t="n">
        <v>0</v>
      </c>
      <c r="F11" s="9" t="n">
        <v>1</v>
      </c>
      <c r="G11" s="10" t="n">
        <f aca="false">D11+E11</f>
        <v>55000000</v>
      </c>
    </row>
    <row r="12" customFormat="false" ht="15" hidden="false" customHeight="false" outlineLevel="0" collapsed="false">
      <c r="B12" s="7" t="s">
        <v>46</v>
      </c>
      <c r="C12" s="7" t="s">
        <v>47</v>
      </c>
      <c r="D12" s="8" t="n">
        <v>0</v>
      </c>
      <c r="E12" s="8" t="n">
        <v>50000000</v>
      </c>
      <c r="F12" s="9" t="n">
        <v>1</v>
      </c>
      <c r="G12" s="10" t="n">
        <f aca="false">D12+E12</f>
        <v>50000000</v>
      </c>
    </row>
    <row r="13" customFormat="false" ht="15" hidden="false" customHeight="false" outlineLevel="0" collapsed="false">
      <c r="B13" s="7" t="s">
        <v>48</v>
      </c>
      <c r="C13" s="7" t="s">
        <v>49</v>
      </c>
      <c r="D13" s="8" t="n">
        <v>0</v>
      </c>
      <c r="E13" s="8" t="n">
        <v>60000000</v>
      </c>
      <c r="F13" s="9" t="n">
        <v>1</v>
      </c>
      <c r="G13" s="10" t="n">
        <f aca="false">D13+E13</f>
        <v>60000000</v>
      </c>
    </row>
    <row r="14" customFormat="false" ht="15" hidden="false" customHeight="false" outlineLevel="0" collapsed="false">
      <c r="B14" s="7" t="s">
        <v>50</v>
      </c>
      <c r="C14" s="7" t="s">
        <v>51</v>
      </c>
      <c r="D14" s="8" t="n">
        <v>0</v>
      </c>
      <c r="E14" s="8" t="n">
        <v>27000000</v>
      </c>
      <c r="F14" s="9" t="n">
        <v>1</v>
      </c>
      <c r="G14" s="10" t="n">
        <f aca="false">D14+E14</f>
        <v>27000000</v>
      </c>
    </row>
    <row r="15" customFormat="false" ht="15" hidden="false" customHeight="false" outlineLevel="0" collapsed="false">
      <c r="B15" s="7" t="s">
        <v>52</v>
      </c>
      <c r="C15" s="7" t="s">
        <v>53</v>
      </c>
      <c r="D15" s="8" t="n">
        <v>7000000</v>
      </c>
      <c r="E15" s="8" t="n">
        <v>3000000</v>
      </c>
      <c r="F15" s="9" t="n">
        <v>0</v>
      </c>
      <c r="G15" s="10" t="n">
        <f aca="false">D15+E15</f>
        <v>10000000</v>
      </c>
    </row>
    <row r="16" customFormat="false" ht="15" hidden="false" customHeight="false" outlineLevel="0" collapsed="false">
      <c r="B16" s="11" t="s">
        <v>54</v>
      </c>
      <c r="D16" s="12" t="n">
        <f aca="false">SUM(D6:D15)</f>
        <v>360000000</v>
      </c>
      <c r="E16" s="12" t="n">
        <f aca="false">SUM(E6:E15)</f>
        <v>140000000</v>
      </c>
      <c r="G16" s="12" t="n">
        <f aca="false">SUM(G6:G15)</f>
        <v>500000000</v>
      </c>
    </row>
    <row r="18" customFormat="false" ht="15" hidden="false" customHeight="false" outlineLevel="0" collapsed="false">
      <c r="B18" s="5" t="s">
        <v>55</v>
      </c>
    </row>
    <row r="19" customFormat="false" ht="15" hidden="false" customHeight="false" outlineLevel="0" collapsed="false">
      <c r="B19" s="7" t="s">
        <v>56</v>
      </c>
      <c r="D19" s="13" t="n">
        <v>0.0175</v>
      </c>
    </row>
    <row r="20" customFormat="false" ht="15" hidden="false" customHeight="false" outlineLevel="0" collapsed="false">
      <c r="B20" s="7" t="s">
        <v>57</v>
      </c>
      <c r="D20" s="13" t="n">
        <v>0.0125</v>
      </c>
    </row>
    <row r="21" customFormat="false" ht="15" hidden="false" customHeight="false" outlineLevel="0" collapsed="false">
      <c r="B21" s="7" t="s">
        <v>58</v>
      </c>
      <c r="D21" s="14" t="n">
        <v>5</v>
      </c>
    </row>
    <row r="22" customFormat="false" ht="15" hidden="false" customHeight="false" outlineLevel="0" collapsed="false">
      <c r="B22" s="7" t="s">
        <v>59</v>
      </c>
      <c r="D22" s="8" t="n">
        <v>900000</v>
      </c>
    </row>
    <row r="23" customFormat="false" ht="15" hidden="false" customHeight="false" outlineLevel="0" collapsed="false">
      <c r="B23" s="7" t="s">
        <v>60</v>
      </c>
      <c r="D23" s="14" t="n">
        <v>5</v>
      </c>
    </row>
    <row r="24" customFormat="false" ht="15" hidden="false" customHeight="false" outlineLevel="0" collapsed="false">
      <c r="B24" s="7" t="s">
        <v>61</v>
      </c>
      <c r="D24" s="8" t="n">
        <v>1800000</v>
      </c>
    </row>
    <row r="25" customFormat="false" ht="15" hidden="false" customHeight="false" outlineLevel="0" collapsed="false">
      <c r="B25" s="7" t="s">
        <v>62</v>
      </c>
      <c r="D25" s="8" t="n">
        <v>125000</v>
      </c>
    </row>
    <row r="26" customFormat="false" ht="15" hidden="false" customHeight="false" outlineLevel="0" collapsed="false">
      <c r="B26" s="7" t="s">
        <v>63</v>
      </c>
      <c r="D26" s="14" t="n">
        <v>4</v>
      </c>
    </row>
    <row r="27" customFormat="false" ht="15" hidden="false" customHeight="false" outlineLevel="0" collapsed="false">
      <c r="B27" s="7" t="s">
        <v>64</v>
      </c>
      <c r="D27" s="13" t="n">
        <v>0.08</v>
      </c>
    </row>
    <row r="28" customFormat="false" ht="15" hidden="false" customHeight="false" outlineLevel="0" collapsed="false">
      <c r="B28" s="7" t="s">
        <v>65</v>
      </c>
      <c r="D28" s="13" t="n">
        <v>0.1</v>
      </c>
    </row>
    <row r="29" customFormat="false" ht="15" hidden="false" customHeight="false" outlineLevel="0" collapsed="false">
      <c r="B29" s="7" t="s">
        <v>66</v>
      </c>
      <c r="D29" s="14" t="n">
        <v>12</v>
      </c>
    </row>
    <row r="30" customFormat="false" ht="15" hidden="false" customHeight="false" outlineLevel="0" collapsed="false">
      <c r="B30" s="7" t="s">
        <v>67</v>
      </c>
      <c r="D30" s="14" t="n">
        <v>6</v>
      </c>
    </row>
    <row r="31" customFormat="false" ht="15" hidden="false" customHeight="false" outlineLevel="0" collapsed="false">
      <c r="B31" s="7" t="s">
        <v>68</v>
      </c>
      <c r="D31" s="13" t="n">
        <v>0.08</v>
      </c>
    </row>
    <row r="32" customFormat="false" ht="15" hidden="false" customHeight="false" outlineLevel="0" collapsed="false">
      <c r="B32" s="7" t="s">
        <v>69</v>
      </c>
      <c r="D32" s="13" t="n">
        <v>0.2</v>
      </c>
    </row>
    <row r="33" customFormat="false" ht="15" hidden="false" customHeight="false" outlineLevel="0" collapsed="false">
      <c r="B33" s="7" t="s">
        <v>70</v>
      </c>
      <c r="D33" s="14" t="n">
        <v>1</v>
      </c>
    </row>
    <row r="34" customFormat="false" ht="15" hidden="false" customHeight="false" outlineLevel="0" collapsed="false">
      <c r="B34" s="7" t="s">
        <v>71</v>
      </c>
      <c r="D34" s="14" t="n">
        <v>1</v>
      </c>
    </row>
    <row r="36" customFormat="false" ht="15" hidden="false" customHeight="false" outlineLevel="0" collapsed="false">
      <c r="B36" s="5" t="s">
        <v>72</v>
      </c>
    </row>
    <row r="37" customFormat="false" ht="15" hidden="false" customHeight="false" outlineLevel="0" collapsed="false">
      <c r="B37" s="6" t="s">
        <v>73</v>
      </c>
      <c r="C37" s="6" t="s">
        <v>74</v>
      </c>
      <c r="D37" s="6" t="s">
        <v>75</v>
      </c>
      <c r="E37" s="6" t="s">
        <v>76</v>
      </c>
      <c r="F37" s="6" t="s">
        <v>77</v>
      </c>
      <c r="G37" s="6" t="s">
        <v>78</v>
      </c>
    </row>
    <row r="38" customFormat="false" ht="15" hidden="false" customHeight="false" outlineLevel="0" collapsed="false">
      <c r="B38" s="7" t="s">
        <v>79</v>
      </c>
      <c r="C38" s="14" t="n">
        <v>1</v>
      </c>
      <c r="D38" s="15" t="n">
        <v>54</v>
      </c>
      <c r="E38" s="14" t="n">
        <v>16</v>
      </c>
      <c r="F38" s="15" t="n">
        <v>108</v>
      </c>
      <c r="G38" s="16" t="n">
        <f aca="false">IF(D38=0,0,F38/D38)</f>
        <v>2</v>
      </c>
    </row>
    <row r="39" customFormat="false" ht="15" hidden="false" customHeight="false" outlineLevel="0" collapsed="false">
      <c r="B39" s="7" t="s">
        <v>80</v>
      </c>
      <c r="C39" s="14" t="n">
        <v>2</v>
      </c>
      <c r="D39" s="15" t="n">
        <v>36</v>
      </c>
      <c r="E39" s="14" t="n">
        <v>24</v>
      </c>
      <c r="F39" s="15" t="n">
        <v>27</v>
      </c>
      <c r="G39" s="16" t="n">
        <f aca="false">IF(D39=0,0,F39/D39)</f>
        <v>0.75</v>
      </c>
    </row>
    <row r="40" customFormat="false" ht="15" hidden="false" customHeight="false" outlineLevel="0" collapsed="false">
      <c r="B40" s="7" t="s">
        <v>81</v>
      </c>
      <c r="C40" s="14" t="n">
        <v>4</v>
      </c>
      <c r="D40" s="15" t="n">
        <v>45</v>
      </c>
      <c r="E40" s="14" t="n">
        <v>18</v>
      </c>
      <c r="F40" s="15" t="n">
        <v>99</v>
      </c>
      <c r="G40" s="16" t="n">
        <f aca="false">IF(D40=0,0,F40/D40)</f>
        <v>2.2</v>
      </c>
    </row>
    <row r="41" customFormat="false" ht="15" hidden="false" customHeight="false" outlineLevel="0" collapsed="false">
      <c r="B41" s="7" t="s">
        <v>82</v>
      </c>
      <c r="C41" s="14" t="n">
        <v>6</v>
      </c>
      <c r="D41" s="15" t="n">
        <v>60</v>
      </c>
      <c r="E41" s="14" t="n">
        <v>28</v>
      </c>
      <c r="F41" s="15" t="n">
        <v>150</v>
      </c>
      <c r="G41" s="16" t="n">
        <f aca="false">IF(D41=0,0,F41/D41)</f>
        <v>2.5</v>
      </c>
    </row>
    <row r="42" customFormat="false" ht="15" hidden="false" customHeight="false" outlineLevel="0" collapsed="false">
      <c r="B42" s="7" t="s">
        <v>83</v>
      </c>
      <c r="C42" s="14" t="n">
        <v>8</v>
      </c>
      <c r="D42" s="15" t="n">
        <v>55</v>
      </c>
      <c r="E42" s="14" t="n">
        <v>30</v>
      </c>
      <c r="F42" s="15" t="n">
        <v>121</v>
      </c>
      <c r="G42" s="16" t="n">
        <f aca="false">IF(D42=0,0,F42/D42)</f>
        <v>2.2</v>
      </c>
    </row>
    <row r="43" customFormat="false" ht="15" hidden="false" customHeight="false" outlineLevel="0" collapsed="false">
      <c r="B43" s="7" t="s">
        <v>84</v>
      </c>
      <c r="C43" s="14" t="n">
        <v>10</v>
      </c>
      <c r="D43" s="15" t="n">
        <v>70</v>
      </c>
      <c r="E43" s="14" t="n">
        <v>36</v>
      </c>
      <c r="F43" s="15" t="n">
        <v>168</v>
      </c>
      <c r="G43" s="16" t="n">
        <f aca="false">IF(D43=0,0,F43/D43)</f>
        <v>2.4</v>
      </c>
    </row>
    <row r="44" customFormat="false" ht="15" hidden="false" customHeight="false" outlineLevel="0" collapsed="false">
      <c r="B44" s="7" t="s">
        <v>85</v>
      </c>
      <c r="C44" s="14" t="n">
        <v>12</v>
      </c>
      <c r="D44" s="15" t="n">
        <v>52</v>
      </c>
      <c r="E44" s="14" t="n">
        <v>40</v>
      </c>
      <c r="F44" s="15" t="n">
        <v>78</v>
      </c>
      <c r="G44" s="16" t="n">
        <f aca="false">IF(D44=0,0,F44/D44)</f>
        <v>1.5</v>
      </c>
    </row>
    <row r="45" customFormat="false" ht="15" hidden="false" customHeight="false" outlineLevel="0" collapsed="false">
      <c r="B45" s="7" t="s">
        <v>86</v>
      </c>
      <c r="C45" s="14" t="n">
        <v>14</v>
      </c>
      <c r="D45" s="15" t="n">
        <v>50</v>
      </c>
      <c r="E45" s="14" t="n">
        <v>34</v>
      </c>
      <c r="F45" s="15" t="n">
        <v>150</v>
      </c>
      <c r="G45" s="16" t="n">
        <f aca="false">IF(D45=0,0,F45/D45)</f>
        <v>3</v>
      </c>
    </row>
    <row r="47" customFormat="false" ht="15" hidden="false" customHeight="false" outlineLevel="0" collapsed="false">
      <c r="B47" s="5" t="s">
        <v>87</v>
      </c>
    </row>
    <row r="48" customFormat="false" ht="15" hidden="false" customHeight="false" outlineLevel="0" collapsed="false">
      <c r="B48" s="7" t="s">
        <v>88</v>
      </c>
      <c r="D48" s="15" t="n">
        <v>400</v>
      </c>
    </row>
    <row r="49" customFormat="false" ht="15" hidden="false" customHeight="false" outlineLevel="0" collapsed="false">
      <c r="B49" s="7" t="s">
        <v>89</v>
      </c>
      <c r="D49" s="17" t="n">
        <v>108.412</v>
      </c>
    </row>
    <row r="50" customFormat="false" ht="15" hidden="false" customHeight="false" outlineLevel="0" collapsed="false">
      <c r="B50" s="7" t="s">
        <v>90</v>
      </c>
      <c r="D50" s="13" t="n">
        <v>0.0125</v>
      </c>
    </row>
    <row r="51" customFormat="false" ht="15" hidden="false" customHeight="false" outlineLevel="0" collapsed="false">
      <c r="B51" s="7" t="s">
        <v>91</v>
      </c>
      <c r="D51" s="18" t="n">
        <v>0.085</v>
      </c>
    </row>
    <row r="52" customFormat="false" ht="15" hidden="false" customHeight="false" outlineLevel="0" collapsed="false">
      <c r="B52" s="7" t="s">
        <v>92</v>
      </c>
      <c r="D52" s="13" t="n">
        <v>0.125</v>
      </c>
    </row>
    <row r="53" customFormat="false" ht="15" hidden="false" customHeight="false" outlineLevel="0" collapsed="false">
      <c r="B53" s="7" t="s">
        <v>93</v>
      </c>
      <c r="D53" s="13" t="n">
        <v>0.05</v>
      </c>
    </row>
    <row r="54" customFormat="false" ht="15" hidden="false" customHeight="false" outlineLevel="0" collapsed="false">
      <c r="B54" s="7" t="s">
        <v>94</v>
      </c>
      <c r="D54" s="13" t="n">
        <v>0.05</v>
      </c>
    </row>
    <row r="55" customFormat="false" ht="15" hidden="false" customHeight="false" outlineLevel="0" collapsed="false">
      <c r="B55" s="7" t="s">
        <v>95</v>
      </c>
      <c r="D55" s="15" t="n">
        <v>4.2</v>
      </c>
    </row>
    <row r="56" customFormat="false" ht="15" hidden="false" customHeight="false" outlineLevel="0" collapsed="false">
      <c r="B56" s="7" t="s">
        <v>96</v>
      </c>
      <c r="D56" s="14" t="n">
        <v>6</v>
      </c>
    </row>
    <row r="57" customFormat="false" ht="15" hidden="false" customHeight="false" outlineLevel="0" collapsed="false">
      <c r="B57" s="7" t="s">
        <v>97</v>
      </c>
      <c r="D57" s="13" t="n">
        <v>0.005</v>
      </c>
    </row>
    <row r="59" customFormat="false" ht="23.85" hidden="false" customHeight="false" outlineLevel="0" collapsed="false">
      <c r="B59" s="6" t="s">
        <v>98</v>
      </c>
      <c r="C59" s="6" t="s">
        <v>99</v>
      </c>
      <c r="D59" s="6" t="s">
        <v>100</v>
      </c>
      <c r="E59" s="6" t="s">
        <v>101</v>
      </c>
    </row>
    <row r="60" customFormat="false" ht="15" hidden="false" customHeight="false" outlineLevel="0" collapsed="false">
      <c r="B60" s="7" t="n">
        <v>1</v>
      </c>
      <c r="C60" s="13" t="n">
        <v>0.0085</v>
      </c>
      <c r="D60" s="15" t="n">
        <v>12</v>
      </c>
      <c r="E60" s="15" t="n">
        <v>0</v>
      </c>
      <c r="G60" s="7" t="s">
        <v>102</v>
      </c>
    </row>
    <row r="61" customFormat="false" ht="15" hidden="false" customHeight="false" outlineLevel="0" collapsed="false">
      <c r="B61" s="7" t="n">
        <v>2</v>
      </c>
      <c r="C61" s="13" t="n">
        <v>0.008</v>
      </c>
      <c r="D61" s="15" t="n">
        <v>8</v>
      </c>
      <c r="E61" s="15" t="n">
        <v>0</v>
      </c>
    </row>
    <row r="62" customFormat="false" ht="15" hidden="false" customHeight="false" outlineLevel="0" collapsed="false">
      <c r="B62" s="7" t="n">
        <v>3</v>
      </c>
      <c r="C62" s="13" t="n">
        <v>0.009</v>
      </c>
      <c r="D62" s="15" t="n">
        <v>15</v>
      </c>
      <c r="E62" s="15" t="n">
        <v>12</v>
      </c>
    </row>
    <row r="63" customFormat="false" ht="15" hidden="false" customHeight="false" outlineLevel="0" collapsed="false">
      <c r="B63" s="7" t="n">
        <v>4</v>
      </c>
      <c r="C63" s="13" t="n">
        <v>0.007</v>
      </c>
      <c r="D63" s="15" t="n">
        <v>6</v>
      </c>
      <c r="E63" s="15" t="n">
        <v>0</v>
      </c>
    </row>
    <row r="64" customFormat="false" ht="15" hidden="false" customHeight="false" outlineLevel="0" collapsed="false">
      <c r="B64" s="7" t="n">
        <v>5</v>
      </c>
      <c r="C64" s="13" t="n">
        <v>0.0085</v>
      </c>
      <c r="D64" s="15" t="n">
        <v>10</v>
      </c>
      <c r="E64" s="15" t="n">
        <v>0</v>
      </c>
    </row>
    <row r="65" customFormat="false" ht="15" hidden="false" customHeight="false" outlineLevel="0" collapsed="false">
      <c r="B65" s="7" t="n">
        <v>6</v>
      </c>
      <c r="C65" s="13" t="n">
        <v>0.0075</v>
      </c>
      <c r="D65" s="15" t="n">
        <v>9</v>
      </c>
      <c r="E65" s="15" t="n">
        <v>26</v>
      </c>
    </row>
    <row r="66" customFormat="false" ht="15" hidden="false" customHeight="false" outlineLevel="0" collapsed="false">
      <c r="B66" s="7" t="n">
        <v>7</v>
      </c>
      <c r="C66" s="13" t="n">
        <v>0.008</v>
      </c>
      <c r="D66" s="15" t="n">
        <v>20</v>
      </c>
      <c r="E66" s="15" t="n">
        <v>0</v>
      </c>
    </row>
    <row r="67" customFormat="false" ht="15" hidden="false" customHeight="false" outlineLevel="0" collapsed="false">
      <c r="B67" s="7" t="n">
        <v>8</v>
      </c>
      <c r="C67" s="13" t="n">
        <v>0.0085</v>
      </c>
      <c r="D67" s="15" t="n">
        <v>5</v>
      </c>
      <c r="E67" s="15" t="n">
        <v>0</v>
      </c>
    </row>
    <row r="68" customFormat="false" ht="15" hidden="false" customHeight="false" outlineLevel="0" collapsed="false">
      <c r="B68" s="7" t="n">
        <v>9</v>
      </c>
      <c r="C68" s="13" t="n">
        <v>0.009</v>
      </c>
      <c r="D68" s="15" t="n">
        <v>7</v>
      </c>
      <c r="E68" s="15" t="n">
        <v>18</v>
      </c>
    </row>
    <row r="69" customFormat="false" ht="15" hidden="false" customHeight="false" outlineLevel="0" collapsed="false">
      <c r="B69" s="7" t="n">
        <v>10</v>
      </c>
      <c r="C69" s="13" t="n">
        <v>0.0075</v>
      </c>
      <c r="D69" s="15" t="n">
        <v>11</v>
      </c>
      <c r="E69" s="15" t="n">
        <v>0</v>
      </c>
    </row>
    <row r="70" customFormat="false" ht="15" hidden="false" customHeight="false" outlineLevel="0" collapsed="false">
      <c r="B70" s="7" t="n">
        <v>11</v>
      </c>
      <c r="C70" s="13" t="n">
        <v>0.008</v>
      </c>
      <c r="D70" s="15" t="n">
        <v>6</v>
      </c>
      <c r="E70" s="15" t="n">
        <v>0</v>
      </c>
    </row>
    <row r="71" customFormat="false" ht="15" hidden="false" customHeight="false" outlineLevel="0" collapsed="false">
      <c r="B71" s="7" t="n">
        <v>12</v>
      </c>
      <c r="C71" s="13" t="n">
        <v>0.0085</v>
      </c>
      <c r="D71" s="15" t="n">
        <v>9</v>
      </c>
      <c r="E71" s="15" t="n">
        <v>30</v>
      </c>
    </row>
    <row r="73" customFormat="false" ht="15" hidden="false" customHeight="false" outlineLevel="0" collapsed="false">
      <c r="B73" s="5" t="s">
        <v>103</v>
      </c>
    </row>
    <row r="74" customFormat="false" ht="15" hidden="false" customHeight="false" outlineLevel="0" collapsed="false">
      <c r="B74" s="7" t="s">
        <v>104</v>
      </c>
      <c r="D74" s="19" t="n">
        <v>4.5</v>
      </c>
    </row>
    <row r="75" customFormat="false" ht="15" hidden="false" customHeight="false" outlineLevel="0" collapsed="false">
      <c r="B75" s="7" t="s">
        <v>105</v>
      </c>
      <c r="D75" s="8" t="n">
        <v>150000</v>
      </c>
    </row>
    <row r="76" customFormat="false" ht="15" hidden="false" customHeight="false" outlineLevel="0" collapsed="false">
      <c r="B76" s="7" t="s">
        <v>106</v>
      </c>
      <c r="D76" s="19" t="n">
        <v>5</v>
      </c>
    </row>
    <row r="77" customFormat="false" ht="15" hidden="false" customHeight="false" outlineLevel="0" collapsed="false">
      <c r="B77" s="7" t="s">
        <v>107</v>
      </c>
      <c r="D77" s="8" t="n">
        <v>120000</v>
      </c>
    </row>
    <row r="78" customFormat="false" ht="15" hidden="false" customHeight="false" outlineLevel="0" collapsed="false">
      <c r="B78" s="7" t="s">
        <v>108</v>
      </c>
      <c r="D78" s="8" t="n">
        <v>300</v>
      </c>
    </row>
    <row r="79" customFormat="false" ht="15" hidden="false" customHeight="false" outlineLevel="0" collapsed="false">
      <c r="B79" s="7" t="s">
        <v>109</v>
      </c>
      <c r="D79" s="8" t="n">
        <v>1150</v>
      </c>
    </row>
    <row r="80" customFormat="false" ht="15" hidden="false" customHeight="false" outlineLevel="0" collapsed="false">
      <c r="B80" s="7" t="s">
        <v>110</v>
      </c>
      <c r="D80" s="8" t="n">
        <v>2400</v>
      </c>
    </row>
    <row r="81" customFormat="false" ht="15" hidden="false" customHeight="false" outlineLevel="0" collapsed="false">
      <c r="B81" s="7" t="s">
        <v>111</v>
      </c>
      <c r="D81" s="8" t="n">
        <v>4200</v>
      </c>
    </row>
    <row r="82" customFormat="false" ht="15" hidden="false" customHeight="false" outlineLevel="0" collapsed="false">
      <c r="B82" s="7" t="s">
        <v>112</v>
      </c>
      <c r="D82" s="8" t="n">
        <v>95</v>
      </c>
    </row>
    <row r="83" customFormat="false" ht="15" hidden="false" customHeight="false" outlineLevel="0" collapsed="false">
      <c r="B83" s="7" t="s">
        <v>113</v>
      </c>
      <c r="D83" s="8" t="n">
        <v>180</v>
      </c>
    </row>
    <row r="85" customFormat="false" ht="15" hidden="false" customHeight="false" outlineLevel="0" collapsed="false">
      <c r="B85" s="5" t="s">
        <v>114</v>
      </c>
    </row>
    <row r="86" customFormat="false" ht="15" hidden="false" customHeight="false" outlineLevel="0" collapsed="false">
      <c r="B86" s="7" t="s">
        <v>115</v>
      </c>
      <c r="D86" s="15" t="n">
        <v>100</v>
      </c>
    </row>
    <row r="87" customFormat="false" ht="15" hidden="false" customHeight="false" outlineLevel="0" collapsed="false">
      <c r="B87" s="7" t="s">
        <v>116</v>
      </c>
      <c r="D87" s="15" t="n">
        <v>150</v>
      </c>
    </row>
    <row r="88" customFormat="false" ht="15" hidden="false" customHeight="false" outlineLevel="0" collapsed="false">
      <c r="B88" s="7" t="s">
        <v>117</v>
      </c>
      <c r="D88" s="14" t="n">
        <v>5</v>
      </c>
    </row>
    <row r="89" customFormat="false" ht="15" hidden="false" customHeight="false" outlineLevel="0" collapsed="false">
      <c r="B89" s="7" t="s">
        <v>118</v>
      </c>
      <c r="D89" s="15" t="n">
        <v>200</v>
      </c>
    </row>
    <row r="90" customFormat="false" ht="15" hidden="false" customHeight="false" outlineLevel="0" collapsed="false">
      <c r="B90" s="7" t="s">
        <v>119</v>
      </c>
      <c r="D90" s="15" t="n">
        <v>12</v>
      </c>
    </row>
    <row r="91" customFormat="false" ht="15" hidden="false" customHeight="false" outlineLevel="0" collapsed="false">
      <c r="B91" s="7" t="s">
        <v>120</v>
      </c>
      <c r="D91" s="15" t="n">
        <v>18.5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39060"/>
    <pageSetUpPr fitToPage="false"/>
  </sheetPr>
  <dimension ref="B2:R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4" min="2" style="0" width="8"/>
    <col collapsed="false" customWidth="true" hidden="false" outlineLevel="0" max="5" min="5" style="0" width="6"/>
    <col collapsed="false" customWidth="true" hidden="false" outlineLevel="0" max="18" min="6" style="0" width="12"/>
  </cols>
  <sheetData>
    <row r="2" customFormat="false" ht="17.35" hidden="false" customHeight="false" outlineLevel="0" collapsed="false">
      <c r="B2" s="4" t="s">
        <v>121</v>
      </c>
    </row>
    <row r="3" customFormat="false" ht="15" hidden="false" customHeight="false" outlineLevel="0" collapsed="false">
      <c r="B3" s="7" t="s">
        <v>122</v>
      </c>
    </row>
    <row r="4" customFormat="false" ht="15" hidden="false" customHeight="false" outlineLevel="0" collapsed="false">
      <c r="B4" s="7" t="s">
        <v>123</v>
      </c>
      <c r="E4" s="20" t="n">
        <f aca="false">SUMPRODUCT(Inputs!$G$6:$G$15,Inputs!$F$6:$F$15)/Inputs!$G$16</f>
        <v>0.98</v>
      </c>
    </row>
    <row r="6" customFormat="false" ht="35.05" hidden="false" customHeight="false" outlineLevel="0" collapsed="false">
      <c r="B6" s="6" t="s">
        <v>124</v>
      </c>
      <c r="C6" s="6" t="s">
        <v>125</v>
      </c>
      <c r="D6" s="6" t="s">
        <v>126</v>
      </c>
      <c r="E6" s="6" t="s">
        <v>127</v>
      </c>
      <c r="F6" s="6" t="s">
        <v>128</v>
      </c>
      <c r="G6" s="6" t="s">
        <v>129</v>
      </c>
      <c r="H6" s="6" t="s">
        <v>130</v>
      </c>
      <c r="I6" s="6" t="s">
        <v>131</v>
      </c>
      <c r="J6" s="6" t="s">
        <v>132</v>
      </c>
      <c r="K6" s="6" t="s">
        <v>133</v>
      </c>
      <c r="L6" s="6" t="s">
        <v>134</v>
      </c>
      <c r="M6" s="6" t="s">
        <v>135</v>
      </c>
      <c r="N6" s="6" t="s">
        <v>136</v>
      </c>
      <c r="O6" s="6" t="s">
        <v>137</v>
      </c>
      <c r="P6" s="6" t="s">
        <v>138</v>
      </c>
      <c r="Q6" s="6" t="s">
        <v>139</v>
      </c>
      <c r="R6" s="6" t="s">
        <v>140</v>
      </c>
    </row>
    <row r="7" customFormat="false" ht="15" hidden="false" customHeight="false" outlineLevel="0" collapsed="false">
      <c r="B7" s="7" t="n">
        <v>1</v>
      </c>
      <c r="C7" s="21" t="n">
        <f aca="false">(B7-1)/4</f>
        <v>0</v>
      </c>
      <c r="D7" s="21" t="n">
        <f aca="false">B7/4</f>
        <v>0.25</v>
      </c>
      <c r="E7" s="22" t="n">
        <f aca="false">INT((B7-1)/4)+1</f>
        <v>1</v>
      </c>
      <c r="F7" s="23" t="n">
        <f aca="false">IF(B7&lt;Inputs!$D$26,SUMPRODUCT(Inputs!$D$6:$D$15,Inputs!$F$6:$F$15),SUMPRODUCT(Inputs!$G$6:$G$15,Inputs!$F$6:$F$15))/1000000</f>
        <v>353</v>
      </c>
      <c r="G7" s="24" t="n">
        <f aca="false">IF(E7&lt;=Inputs!$D$21,Inputs!$D$19*F7/4,Inputs!$D$20*R7*Flows!$E$4/4)</f>
        <v>1.544375</v>
      </c>
      <c r="H7" s="24" t="n">
        <f aca="false">IF(E7&lt;=Inputs!$D$21,Inputs!$D$19*SUMPRODUCT(Inputs!$G$6:$G$15,Inputs!$F$6:$F$15)/1000000/4,G7)</f>
        <v>2.14375</v>
      </c>
      <c r="I7" s="24" t="n">
        <f aca="false">IF(B7=Inputs!$D$23,Inputs!$D$22/1000000,0)</f>
        <v>0</v>
      </c>
      <c r="J7" s="23" t="n">
        <f aca="false">SUMPRODUCT((Inputs!$C$38:$C$45=B7)*Inputs!$D$38:$D$45)</f>
        <v>54</v>
      </c>
      <c r="K7" s="24" t="n">
        <f aca="false">IF(B7=1,Inputs!$D$24/1000000,0)</f>
        <v>1.8</v>
      </c>
      <c r="L7" s="24" t="n">
        <f aca="false">Inputs!$D$25/1000000</f>
        <v>0.125</v>
      </c>
      <c r="M7" s="24" t="n">
        <f aca="false">J7+K7+L7</f>
        <v>55.925</v>
      </c>
      <c r="N7" s="24" t="n">
        <f aca="false">G7-I7+M7</f>
        <v>57.469375</v>
      </c>
      <c r="O7" s="23" t="n">
        <f aca="false">SUMPRODUCT((Inputs!$E$38:$E$45=B7)*Inputs!$F$38:$F$45)</f>
        <v>0</v>
      </c>
      <c r="P7" s="24" t="n">
        <f aca="false">Flows!$E$4*M7+H7-I7</f>
        <v>56.95025</v>
      </c>
      <c r="Q7" s="24" t="n">
        <f aca="false">Flows!$E$4*O7</f>
        <v>0</v>
      </c>
      <c r="R7" s="23" t="n">
        <f aca="false">SUMPRODUCT((Inputs!$C$38:$C$45&lt;=B7)*(Inputs!$E$38:$E$45&gt;=B7)*Inputs!$D$38:$D$45)</f>
        <v>54</v>
      </c>
    </row>
    <row r="8" customFormat="false" ht="15" hidden="false" customHeight="false" outlineLevel="0" collapsed="false">
      <c r="B8" s="7" t="n">
        <v>2</v>
      </c>
      <c r="C8" s="21" t="n">
        <f aca="false">(B8-1)/4</f>
        <v>0.25</v>
      </c>
      <c r="D8" s="21" t="n">
        <f aca="false">B8/4</f>
        <v>0.5</v>
      </c>
      <c r="E8" s="22" t="n">
        <f aca="false">INT((B8-1)/4)+1</f>
        <v>1</v>
      </c>
      <c r="F8" s="23" t="n">
        <f aca="false">IF(B8&lt;Inputs!$D$26,SUMPRODUCT(Inputs!$D$6:$D$15,Inputs!$F$6:$F$15),SUMPRODUCT(Inputs!$G$6:$G$15,Inputs!$F$6:$F$15))/1000000</f>
        <v>353</v>
      </c>
      <c r="G8" s="24" t="n">
        <f aca="false">IF(E8&lt;=Inputs!$D$21,Inputs!$D$19*F8/4,Inputs!$D$20*R8*Flows!$E$4/4)</f>
        <v>1.544375</v>
      </c>
      <c r="H8" s="24" t="n">
        <f aca="false">IF(E8&lt;=Inputs!$D$21,Inputs!$D$19*SUMPRODUCT(Inputs!$G$6:$G$15,Inputs!$F$6:$F$15)/1000000/4,G8)</f>
        <v>2.14375</v>
      </c>
      <c r="I8" s="24" t="n">
        <f aca="false">IF(B8=Inputs!$D$23,Inputs!$D$22/1000000,0)</f>
        <v>0</v>
      </c>
      <c r="J8" s="23" t="n">
        <f aca="false">SUMPRODUCT((Inputs!$C$38:$C$45=B8)*Inputs!$D$38:$D$45)</f>
        <v>36</v>
      </c>
      <c r="K8" s="24" t="n">
        <f aca="false">IF(B8=1,Inputs!$D$24/1000000,0)</f>
        <v>0</v>
      </c>
      <c r="L8" s="24" t="n">
        <f aca="false">Inputs!$D$25/1000000</f>
        <v>0.125</v>
      </c>
      <c r="M8" s="24" t="n">
        <f aca="false">J8+K8+L8</f>
        <v>36.125</v>
      </c>
      <c r="N8" s="24" t="n">
        <f aca="false">G8-I8+M8</f>
        <v>37.669375</v>
      </c>
      <c r="O8" s="23" t="n">
        <f aca="false">SUMPRODUCT((Inputs!$E$38:$E$45=B8)*Inputs!$F$38:$F$45)</f>
        <v>0</v>
      </c>
      <c r="P8" s="24" t="n">
        <f aca="false">Flows!$E$4*M8+H8-I8</f>
        <v>37.54625</v>
      </c>
      <c r="Q8" s="24" t="n">
        <f aca="false">Flows!$E$4*O8</f>
        <v>0</v>
      </c>
      <c r="R8" s="23" t="n">
        <f aca="false">SUMPRODUCT((Inputs!$C$38:$C$45&lt;=B8)*(Inputs!$E$38:$E$45&gt;=B8)*Inputs!$D$38:$D$45)</f>
        <v>90</v>
      </c>
    </row>
    <row r="9" customFormat="false" ht="15" hidden="false" customHeight="false" outlineLevel="0" collapsed="false">
      <c r="B9" s="7" t="n">
        <v>3</v>
      </c>
      <c r="C9" s="21" t="n">
        <f aca="false">(B9-1)/4</f>
        <v>0.5</v>
      </c>
      <c r="D9" s="21" t="n">
        <f aca="false">B9/4</f>
        <v>0.75</v>
      </c>
      <c r="E9" s="22" t="n">
        <f aca="false">INT((B9-1)/4)+1</f>
        <v>1</v>
      </c>
      <c r="F9" s="23" t="n">
        <f aca="false">IF(B9&lt;Inputs!$D$26,SUMPRODUCT(Inputs!$D$6:$D$15,Inputs!$F$6:$F$15),SUMPRODUCT(Inputs!$G$6:$G$15,Inputs!$F$6:$F$15))/1000000</f>
        <v>353</v>
      </c>
      <c r="G9" s="24" t="n">
        <f aca="false">IF(E9&lt;=Inputs!$D$21,Inputs!$D$19*F9/4,Inputs!$D$20*R9*Flows!$E$4/4)</f>
        <v>1.544375</v>
      </c>
      <c r="H9" s="24" t="n">
        <f aca="false">IF(E9&lt;=Inputs!$D$21,Inputs!$D$19*SUMPRODUCT(Inputs!$G$6:$G$15,Inputs!$F$6:$F$15)/1000000/4,G9)</f>
        <v>2.14375</v>
      </c>
      <c r="I9" s="24" t="n">
        <f aca="false">IF(B9=Inputs!$D$23,Inputs!$D$22/1000000,0)</f>
        <v>0</v>
      </c>
      <c r="J9" s="23" t="n">
        <f aca="false">SUMPRODUCT((Inputs!$C$38:$C$45=B9)*Inputs!$D$38:$D$45)</f>
        <v>0</v>
      </c>
      <c r="K9" s="24" t="n">
        <f aca="false">IF(B9=1,Inputs!$D$24/1000000,0)</f>
        <v>0</v>
      </c>
      <c r="L9" s="24" t="n">
        <f aca="false">Inputs!$D$25/1000000</f>
        <v>0.125</v>
      </c>
      <c r="M9" s="24" t="n">
        <f aca="false">J9+K9+L9</f>
        <v>0.125</v>
      </c>
      <c r="N9" s="24" t="n">
        <f aca="false">G9-I9+M9</f>
        <v>1.669375</v>
      </c>
      <c r="O9" s="23" t="n">
        <f aca="false">SUMPRODUCT((Inputs!$E$38:$E$45=B9)*Inputs!$F$38:$F$45)</f>
        <v>0</v>
      </c>
      <c r="P9" s="24" t="n">
        <f aca="false">Flows!$E$4*M9+H9-I9</f>
        <v>2.26625</v>
      </c>
      <c r="Q9" s="24" t="n">
        <f aca="false">Flows!$E$4*O9</f>
        <v>0</v>
      </c>
      <c r="R9" s="23" t="n">
        <f aca="false">SUMPRODUCT((Inputs!$C$38:$C$45&lt;=B9)*(Inputs!$E$38:$E$45&gt;=B9)*Inputs!$D$38:$D$45)</f>
        <v>90</v>
      </c>
    </row>
    <row r="10" customFormat="false" ht="15" hidden="false" customHeight="false" outlineLevel="0" collapsed="false">
      <c r="B10" s="7" t="n">
        <v>4</v>
      </c>
      <c r="C10" s="21" t="n">
        <f aca="false">(B10-1)/4</f>
        <v>0.75</v>
      </c>
      <c r="D10" s="21" t="n">
        <f aca="false">B10/4</f>
        <v>1</v>
      </c>
      <c r="E10" s="22" t="n">
        <f aca="false">INT((B10-1)/4)+1</f>
        <v>1</v>
      </c>
      <c r="F10" s="23" t="n">
        <f aca="false">IF(B10&lt;Inputs!$D$26,SUMPRODUCT(Inputs!$D$6:$D$15,Inputs!$F$6:$F$15),SUMPRODUCT(Inputs!$G$6:$G$15,Inputs!$F$6:$F$15))/1000000</f>
        <v>490</v>
      </c>
      <c r="G10" s="24" t="n">
        <f aca="false">IF(E10&lt;=Inputs!$D$21,Inputs!$D$19*F10/4,Inputs!$D$20*R10*Flows!$E$4/4)</f>
        <v>2.14375</v>
      </c>
      <c r="H10" s="24" t="n">
        <f aca="false">IF(E10&lt;=Inputs!$D$21,Inputs!$D$19*SUMPRODUCT(Inputs!$G$6:$G$15,Inputs!$F$6:$F$15)/1000000/4,G10)</f>
        <v>2.14375</v>
      </c>
      <c r="I10" s="24" t="n">
        <f aca="false">IF(B10=Inputs!$D$23,Inputs!$D$22/1000000,0)</f>
        <v>0</v>
      </c>
      <c r="J10" s="23" t="n">
        <f aca="false">SUMPRODUCT((Inputs!$C$38:$C$45=B10)*Inputs!$D$38:$D$45)</f>
        <v>45</v>
      </c>
      <c r="K10" s="24" t="n">
        <f aca="false">IF(B10=1,Inputs!$D$24/1000000,0)</f>
        <v>0</v>
      </c>
      <c r="L10" s="24" t="n">
        <f aca="false">Inputs!$D$25/1000000</f>
        <v>0.125</v>
      </c>
      <c r="M10" s="24" t="n">
        <f aca="false">J10+K10+L10</f>
        <v>45.125</v>
      </c>
      <c r="N10" s="24" t="n">
        <f aca="false">G10-I10+M10</f>
        <v>47.26875</v>
      </c>
      <c r="O10" s="23" t="n">
        <f aca="false">SUMPRODUCT((Inputs!$E$38:$E$45=B10)*Inputs!$F$38:$F$45)</f>
        <v>0</v>
      </c>
      <c r="P10" s="24" t="n">
        <f aca="false">Flows!$E$4*M10+H10-I10</f>
        <v>46.36625</v>
      </c>
      <c r="Q10" s="24" t="n">
        <f aca="false">Flows!$E$4*O10</f>
        <v>0</v>
      </c>
      <c r="R10" s="23" t="n">
        <f aca="false">SUMPRODUCT((Inputs!$C$38:$C$45&lt;=B10)*(Inputs!$E$38:$E$45&gt;=B10)*Inputs!$D$38:$D$45)</f>
        <v>135</v>
      </c>
    </row>
    <row r="11" customFormat="false" ht="15" hidden="false" customHeight="false" outlineLevel="0" collapsed="false">
      <c r="B11" s="7" t="n">
        <v>5</v>
      </c>
      <c r="C11" s="21" t="n">
        <f aca="false">(B11-1)/4</f>
        <v>1</v>
      </c>
      <c r="D11" s="21" t="n">
        <f aca="false">B11/4</f>
        <v>1.25</v>
      </c>
      <c r="E11" s="22" t="n">
        <f aca="false">INT((B11-1)/4)+1</f>
        <v>2</v>
      </c>
      <c r="F11" s="23" t="n">
        <f aca="false">IF(B11&lt;Inputs!$D$26,SUMPRODUCT(Inputs!$D$6:$D$15,Inputs!$F$6:$F$15),SUMPRODUCT(Inputs!$G$6:$G$15,Inputs!$F$6:$F$15))/1000000</f>
        <v>490</v>
      </c>
      <c r="G11" s="24" t="n">
        <f aca="false">IF(E11&lt;=Inputs!$D$21,Inputs!$D$19*F11/4,Inputs!$D$20*R11*Flows!$E$4/4)</f>
        <v>2.14375</v>
      </c>
      <c r="H11" s="24" t="n">
        <f aca="false">IF(E11&lt;=Inputs!$D$21,Inputs!$D$19*SUMPRODUCT(Inputs!$G$6:$G$15,Inputs!$F$6:$F$15)/1000000/4,G11)</f>
        <v>2.14375</v>
      </c>
      <c r="I11" s="24" t="n">
        <f aca="false">IF(B11=Inputs!$D$23,Inputs!$D$22/1000000,0)</f>
        <v>0.9</v>
      </c>
      <c r="J11" s="23" t="n">
        <f aca="false">SUMPRODUCT((Inputs!$C$38:$C$45=B11)*Inputs!$D$38:$D$45)</f>
        <v>0</v>
      </c>
      <c r="K11" s="24" t="n">
        <f aca="false">IF(B11=1,Inputs!$D$24/1000000,0)</f>
        <v>0</v>
      </c>
      <c r="L11" s="24" t="n">
        <f aca="false">Inputs!$D$25/1000000</f>
        <v>0.125</v>
      </c>
      <c r="M11" s="24" t="n">
        <f aca="false">J11+K11+L11</f>
        <v>0.125</v>
      </c>
      <c r="N11" s="24" t="n">
        <f aca="false">G11-I11+M11</f>
        <v>1.36875</v>
      </c>
      <c r="O11" s="23" t="n">
        <f aca="false">SUMPRODUCT((Inputs!$E$38:$E$45=B11)*Inputs!$F$38:$F$45)</f>
        <v>0</v>
      </c>
      <c r="P11" s="24" t="n">
        <f aca="false">Flows!$E$4*M11+H11-I11</f>
        <v>1.36625</v>
      </c>
      <c r="Q11" s="24" t="n">
        <f aca="false">Flows!$E$4*O11</f>
        <v>0</v>
      </c>
      <c r="R11" s="23" t="n">
        <f aca="false">SUMPRODUCT((Inputs!$C$38:$C$45&lt;=B11)*(Inputs!$E$38:$E$45&gt;=B11)*Inputs!$D$38:$D$45)</f>
        <v>135</v>
      </c>
    </row>
    <row r="12" customFormat="false" ht="15" hidden="false" customHeight="false" outlineLevel="0" collapsed="false">
      <c r="B12" s="7" t="n">
        <v>6</v>
      </c>
      <c r="C12" s="21" t="n">
        <f aca="false">(B12-1)/4</f>
        <v>1.25</v>
      </c>
      <c r="D12" s="21" t="n">
        <f aca="false">B12/4</f>
        <v>1.5</v>
      </c>
      <c r="E12" s="22" t="n">
        <f aca="false">INT((B12-1)/4)+1</f>
        <v>2</v>
      </c>
      <c r="F12" s="23" t="n">
        <f aca="false">IF(B12&lt;Inputs!$D$26,SUMPRODUCT(Inputs!$D$6:$D$15,Inputs!$F$6:$F$15),SUMPRODUCT(Inputs!$G$6:$G$15,Inputs!$F$6:$F$15))/1000000</f>
        <v>490</v>
      </c>
      <c r="G12" s="24" t="n">
        <f aca="false">IF(E12&lt;=Inputs!$D$21,Inputs!$D$19*F12/4,Inputs!$D$20*R12*Flows!$E$4/4)</f>
        <v>2.14375</v>
      </c>
      <c r="H12" s="24" t="n">
        <f aca="false">IF(E12&lt;=Inputs!$D$21,Inputs!$D$19*SUMPRODUCT(Inputs!$G$6:$G$15,Inputs!$F$6:$F$15)/1000000/4,G12)</f>
        <v>2.14375</v>
      </c>
      <c r="I12" s="24" t="n">
        <f aca="false">IF(B12=Inputs!$D$23,Inputs!$D$22/1000000,0)</f>
        <v>0</v>
      </c>
      <c r="J12" s="23" t="n">
        <f aca="false">SUMPRODUCT((Inputs!$C$38:$C$45=B12)*Inputs!$D$38:$D$45)</f>
        <v>60</v>
      </c>
      <c r="K12" s="24" t="n">
        <f aca="false">IF(B12=1,Inputs!$D$24/1000000,0)</f>
        <v>0</v>
      </c>
      <c r="L12" s="24" t="n">
        <f aca="false">Inputs!$D$25/1000000</f>
        <v>0.125</v>
      </c>
      <c r="M12" s="24" t="n">
        <f aca="false">J12+K12+L12</f>
        <v>60.125</v>
      </c>
      <c r="N12" s="24" t="n">
        <f aca="false">G12-I12+M12</f>
        <v>62.26875</v>
      </c>
      <c r="O12" s="23" t="n">
        <f aca="false">SUMPRODUCT((Inputs!$E$38:$E$45=B12)*Inputs!$F$38:$F$45)</f>
        <v>0</v>
      </c>
      <c r="P12" s="24" t="n">
        <f aca="false">Flows!$E$4*M12+H12-I12</f>
        <v>61.06625</v>
      </c>
      <c r="Q12" s="24" t="n">
        <f aca="false">Flows!$E$4*O12</f>
        <v>0</v>
      </c>
      <c r="R12" s="23" t="n">
        <f aca="false">SUMPRODUCT((Inputs!$C$38:$C$45&lt;=B12)*(Inputs!$E$38:$E$45&gt;=B12)*Inputs!$D$38:$D$45)</f>
        <v>195</v>
      </c>
    </row>
    <row r="13" customFormat="false" ht="15" hidden="false" customHeight="false" outlineLevel="0" collapsed="false">
      <c r="B13" s="7" t="n">
        <v>7</v>
      </c>
      <c r="C13" s="21" t="n">
        <f aca="false">(B13-1)/4</f>
        <v>1.5</v>
      </c>
      <c r="D13" s="21" t="n">
        <f aca="false">B13/4</f>
        <v>1.75</v>
      </c>
      <c r="E13" s="22" t="n">
        <f aca="false">INT((B13-1)/4)+1</f>
        <v>2</v>
      </c>
      <c r="F13" s="23" t="n">
        <f aca="false">IF(B13&lt;Inputs!$D$26,SUMPRODUCT(Inputs!$D$6:$D$15,Inputs!$F$6:$F$15),SUMPRODUCT(Inputs!$G$6:$G$15,Inputs!$F$6:$F$15))/1000000</f>
        <v>490</v>
      </c>
      <c r="G13" s="24" t="n">
        <f aca="false">IF(E13&lt;=Inputs!$D$21,Inputs!$D$19*F13/4,Inputs!$D$20*R13*Flows!$E$4/4)</f>
        <v>2.14375</v>
      </c>
      <c r="H13" s="24" t="n">
        <f aca="false">IF(E13&lt;=Inputs!$D$21,Inputs!$D$19*SUMPRODUCT(Inputs!$G$6:$G$15,Inputs!$F$6:$F$15)/1000000/4,G13)</f>
        <v>2.14375</v>
      </c>
      <c r="I13" s="24" t="n">
        <f aca="false">IF(B13=Inputs!$D$23,Inputs!$D$22/1000000,0)</f>
        <v>0</v>
      </c>
      <c r="J13" s="23" t="n">
        <f aca="false">SUMPRODUCT((Inputs!$C$38:$C$45=B13)*Inputs!$D$38:$D$45)</f>
        <v>0</v>
      </c>
      <c r="K13" s="24" t="n">
        <f aca="false">IF(B13=1,Inputs!$D$24/1000000,0)</f>
        <v>0</v>
      </c>
      <c r="L13" s="24" t="n">
        <f aca="false">Inputs!$D$25/1000000</f>
        <v>0.125</v>
      </c>
      <c r="M13" s="24" t="n">
        <f aca="false">J13+K13+L13</f>
        <v>0.125</v>
      </c>
      <c r="N13" s="24" t="n">
        <f aca="false">G13-I13+M13</f>
        <v>2.26875</v>
      </c>
      <c r="O13" s="23" t="n">
        <f aca="false">SUMPRODUCT((Inputs!$E$38:$E$45=B13)*Inputs!$F$38:$F$45)</f>
        <v>0</v>
      </c>
      <c r="P13" s="24" t="n">
        <f aca="false">Flows!$E$4*M13+H13-I13</f>
        <v>2.26625</v>
      </c>
      <c r="Q13" s="24" t="n">
        <f aca="false">Flows!$E$4*O13</f>
        <v>0</v>
      </c>
      <c r="R13" s="23" t="n">
        <f aca="false">SUMPRODUCT((Inputs!$C$38:$C$45&lt;=B13)*(Inputs!$E$38:$E$45&gt;=B13)*Inputs!$D$38:$D$45)</f>
        <v>195</v>
      </c>
    </row>
    <row r="14" customFormat="false" ht="15" hidden="false" customHeight="false" outlineLevel="0" collapsed="false">
      <c r="B14" s="7" t="n">
        <v>8</v>
      </c>
      <c r="C14" s="21" t="n">
        <f aca="false">(B14-1)/4</f>
        <v>1.75</v>
      </c>
      <c r="D14" s="21" t="n">
        <f aca="false">B14/4</f>
        <v>2</v>
      </c>
      <c r="E14" s="22" t="n">
        <f aca="false">INT((B14-1)/4)+1</f>
        <v>2</v>
      </c>
      <c r="F14" s="23" t="n">
        <f aca="false">IF(B14&lt;Inputs!$D$26,SUMPRODUCT(Inputs!$D$6:$D$15,Inputs!$F$6:$F$15),SUMPRODUCT(Inputs!$G$6:$G$15,Inputs!$F$6:$F$15))/1000000</f>
        <v>490</v>
      </c>
      <c r="G14" s="24" t="n">
        <f aca="false">IF(E14&lt;=Inputs!$D$21,Inputs!$D$19*F14/4,Inputs!$D$20*R14*Flows!$E$4/4)</f>
        <v>2.14375</v>
      </c>
      <c r="H14" s="24" t="n">
        <f aca="false">IF(E14&lt;=Inputs!$D$21,Inputs!$D$19*SUMPRODUCT(Inputs!$G$6:$G$15,Inputs!$F$6:$F$15)/1000000/4,G14)</f>
        <v>2.14375</v>
      </c>
      <c r="I14" s="24" t="n">
        <f aca="false">IF(B14=Inputs!$D$23,Inputs!$D$22/1000000,0)</f>
        <v>0</v>
      </c>
      <c r="J14" s="23" t="n">
        <f aca="false">SUMPRODUCT((Inputs!$C$38:$C$45=B14)*Inputs!$D$38:$D$45)</f>
        <v>55</v>
      </c>
      <c r="K14" s="24" t="n">
        <f aca="false">IF(B14=1,Inputs!$D$24/1000000,0)</f>
        <v>0</v>
      </c>
      <c r="L14" s="24" t="n">
        <f aca="false">Inputs!$D$25/1000000</f>
        <v>0.125</v>
      </c>
      <c r="M14" s="24" t="n">
        <f aca="false">J14+K14+L14</f>
        <v>55.125</v>
      </c>
      <c r="N14" s="24" t="n">
        <f aca="false">G14-I14+M14</f>
        <v>57.26875</v>
      </c>
      <c r="O14" s="23" t="n">
        <f aca="false">SUMPRODUCT((Inputs!$E$38:$E$45=B14)*Inputs!$F$38:$F$45)</f>
        <v>0</v>
      </c>
      <c r="P14" s="24" t="n">
        <f aca="false">Flows!$E$4*M14+H14-I14</f>
        <v>56.16625</v>
      </c>
      <c r="Q14" s="24" t="n">
        <f aca="false">Flows!$E$4*O14</f>
        <v>0</v>
      </c>
      <c r="R14" s="23" t="n">
        <f aca="false">SUMPRODUCT((Inputs!$C$38:$C$45&lt;=B14)*(Inputs!$E$38:$E$45&gt;=B14)*Inputs!$D$38:$D$45)</f>
        <v>250</v>
      </c>
    </row>
    <row r="15" customFormat="false" ht="15" hidden="false" customHeight="false" outlineLevel="0" collapsed="false">
      <c r="B15" s="7" t="n">
        <v>9</v>
      </c>
      <c r="C15" s="21" t="n">
        <f aca="false">(B15-1)/4</f>
        <v>2</v>
      </c>
      <c r="D15" s="21" t="n">
        <f aca="false">B15/4</f>
        <v>2.25</v>
      </c>
      <c r="E15" s="22" t="n">
        <f aca="false">INT((B15-1)/4)+1</f>
        <v>3</v>
      </c>
      <c r="F15" s="23" t="n">
        <f aca="false">IF(B15&lt;Inputs!$D$26,SUMPRODUCT(Inputs!$D$6:$D$15,Inputs!$F$6:$F$15),SUMPRODUCT(Inputs!$G$6:$G$15,Inputs!$F$6:$F$15))/1000000</f>
        <v>490</v>
      </c>
      <c r="G15" s="24" t="n">
        <f aca="false">IF(E15&lt;=Inputs!$D$21,Inputs!$D$19*F15/4,Inputs!$D$20*R15*Flows!$E$4/4)</f>
        <v>2.14375</v>
      </c>
      <c r="H15" s="24" t="n">
        <f aca="false">IF(E15&lt;=Inputs!$D$21,Inputs!$D$19*SUMPRODUCT(Inputs!$G$6:$G$15,Inputs!$F$6:$F$15)/1000000/4,G15)</f>
        <v>2.14375</v>
      </c>
      <c r="I15" s="24" t="n">
        <f aca="false">IF(B15=Inputs!$D$23,Inputs!$D$22/1000000,0)</f>
        <v>0</v>
      </c>
      <c r="J15" s="23" t="n">
        <f aca="false">SUMPRODUCT((Inputs!$C$38:$C$45=B15)*Inputs!$D$38:$D$45)</f>
        <v>0</v>
      </c>
      <c r="K15" s="24" t="n">
        <f aca="false">IF(B15=1,Inputs!$D$24/1000000,0)</f>
        <v>0</v>
      </c>
      <c r="L15" s="24" t="n">
        <f aca="false">Inputs!$D$25/1000000</f>
        <v>0.125</v>
      </c>
      <c r="M15" s="24" t="n">
        <f aca="false">J15+K15+L15</f>
        <v>0.125</v>
      </c>
      <c r="N15" s="24" t="n">
        <f aca="false">G15-I15+M15</f>
        <v>2.26875</v>
      </c>
      <c r="O15" s="23" t="n">
        <f aca="false">SUMPRODUCT((Inputs!$E$38:$E$45=B15)*Inputs!$F$38:$F$45)</f>
        <v>0</v>
      </c>
      <c r="P15" s="24" t="n">
        <f aca="false">Flows!$E$4*M15+H15-I15</f>
        <v>2.26625</v>
      </c>
      <c r="Q15" s="24" t="n">
        <f aca="false">Flows!$E$4*O15</f>
        <v>0</v>
      </c>
      <c r="R15" s="23" t="n">
        <f aca="false">SUMPRODUCT((Inputs!$C$38:$C$45&lt;=B15)*(Inputs!$E$38:$E$45&gt;=B15)*Inputs!$D$38:$D$45)</f>
        <v>250</v>
      </c>
    </row>
    <row r="16" customFormat="false" ht="15" hidden="false" customHeight="false" outlineLevel="0" collapsed="false">
      <c r="B16" s="7" t="n">
        <v>10</v>
      </c>
      <c r="C16" s="21" t="n">
        <f aca="false">(B16-1)/4</f>
        <v>2.25</v>
      </c>
      <c r="D16" s="21" t="n">
        <f aca="false">B16/4</f>
        <v>2.5</v>
      </c>
      <c r="E16" s="22" t="n">
        <f aca="false">INT((B16-1)/4)+1</f>
        <v>3</v>
      </c>
      <c r="F16" s="23" t="n">
        <f aca="false">IF(B16&lt;Inputs!$D$26,SUMPRODUCT(Inputs!$D$6:$D$15,Inputs!$F$6:$F$15),SUMPRODUCT(Inputs!$G$6:$G$15,Inputs!$F$6:$F$15))/1000000</f>
        <v>490</v>
      </c>
      <c r="G16" s="24" t="n">
        <f aca="false">IF(E16&lt;=Inputs!$D$21,Inputs!$D$19*F16/4,Inputs!$D$20*R16*Flows!$E$4/4)</f>
        <v>2.14375</v>
      </c>
      <c r="H16" s="24" t="n">
        <f aca="false">IF(E16&lt;=Inputs!$D$21,Inputs!$D$19*SUMPRODUCT(Inputs!$G$6:$G$15,Inputs!$F$6:$F$15)/1000000/4,G16)</f>
        <v>2.14375</v>
      </c>
      <c r="I16" s="24" t="n">
        <f aca="false">IF(B16=Inputs!$D$23,Inputs!$D$22/1000000,0)</f>
        <v>0</v>
      </c>
      <c r="J16" s="23" t="n">
        <f aca="false">SUMPRODUCT((Inputs!$C$38:$C$45=B16)*Inputs!$D$38:$D$45)</f>
        <v>70</v>
      </c>
      <c r="K16" s="24" t="n">
        <f aca="false">IF(B16=1,Inputs!$D$24/1000000,0)</f>
        <v>0</v>
      </c>
      <c r="L16" s="24" t="n">
        <f aca="false">Inputs!$D$25/1000000</f>
        <v>0.125</v>
      </c>
      <c r="M16" s="24" t="n">
        <f aca="false">J16+K16+L16</f>
        <v>70.125</v>
      </c>
      <c r="N16" s="24" t="n">
        <f aca="false">G16-I16+M16</f>
        <v>72.26875</v>
      </c>
      <c r="O16" s="23" t="n">
        <f aca="false">SUMPRODUCT((Inputs!$E$38:$E$45=B16)*Inputs!$F$38:$F$45)</f>
        <v>0</v>
      </c>
      <c r="P16" s="24" t="n">
        <f aca="false">Flows!$E$4*M16+H16-I16</f>
        <v>70.86625</v>
      </c>
      <c r="Q16" s="24" t="n">
        <f aca="false">Flows!$E$4*O16</f>
        <v>0</v>
      </c>
      <c r="R16" s="23" t="n">
        <f aca="false">SUMPRODUCT((Inputs!$C$38:$C$45&lt;=B16)*(Inputs!$E$38:$E$45&gt;=B16)*Inputs!$D$38:$D$45)</f>
        <v>320</v>
      </c>
    </row>
    <row r="17" customFormat="false" ht="15" hidden="false" customHeight="false" outlineLevel="0" collapsed="false">
      <c r="B17" s="7" t="n">
        <v>11</v>
      </c>
      <c r="C17" s="21" t="n">
        <f aca="false">(B17-1)/4</f>
        <v>2.5</v>
      </c>
      <c r="D17" s="21" t="n">
        <f aca="false">B17/4</f>
        <v>2.75</v>
      </c>
      <c r="E17" s="22" t="n">
        <f aca="false">INT((B17-1)/4)+1</f>
        <v>3</v>
      </c>
      <c r="F17" s="23" t="n">
        <f aca="false">IF(B17&lt;Inputs!$D$26,SUMPRODUCT(Inputs!$D$6:$D$15,Inputs!$F$6:$F$15),SUMPRODUCT(Inputs!$G$6:$G$15,Inputs!$F$6:$F$15))/1000000</f>
        <v>490</v>
      </c>
      <c r="G17" s="24" t="n">
        <f aca="false">IF(E17&lt;=Inputs!$D$21,Inputs!$D$19*F17/4,Inputs!$D$20*R17*Flows!$E$4/4)</f>
        <v>2.14375</v>
      </c>
      <c r="H17" s="24" t="n">
        <f aca="false">IF(E17&lt;=Inputs!$D$21,Inputs!$D$19*SUMPRODUCT(Inputs!$G$6:$G$15,Inputs!$F$6:$F$15)/1000000/4,G17)</f>
        <v>2.14375</v>
      </c>
      <c r="I17" s="24" t="n">
        <f aca="false">IF(B17=Inputs!$D$23,Inputs!$D$22/1000000,0)</f>
        <v>0</v>
      </c>
      <c r="J17" s="23" t="n">
        <f aca="false">SUMPRODUCT((Inputs!$C$38:$C$45=B17)*Inputs!$D$38:$D$45)</f>
        <v>0</v>
      </c>
      <c r="K17" s="24" t="n">
        <f aca="false">IF(B17=1,Inputs!$D$24/1000000,0)</f>
        <v>0</v>
      </c>
      <c r="L17" s="24" t="n">
        <f aca="false">Inputs!$D$25/1000000</f>
        <v>0.125</v>
      </c>
      <c r="M17" s="24" t="n">
        <f aca="false">J17+K17+L17</f>
        <v>0.125</v>
      </c>
      <c r="N17" s="24" t="n">
        <f aca="false">G17-I17+M17</f>
        <v>2.26875</v>
      </c>
      <c r="O17" s="23" t="n">
        <f aca="false">SUMPRODUCT((Inputs!$E$38:$E$45=B17)*Inputs!$F$38:$F$45)</f>
        <v>0</v>
      </c>
      <c r="P17" s="24" t="n">
        <f aca="false">Flows!$E$4*M17+H17-I17</f>
        <v>2.26625</v>
      </c>
      <c r="Q17" s="24" t="n">
        <f aca="false">Flows!$E$4*O17</f>
        <v>0</v>
      </c>
      <c r="R17" s="23" t="n">
        <f aca="false">SUMPRODUCT((Inputs!$C$38:$C$45&lt;=B17)*(Inputs!$E$38:$E$45&gt;=B17)*Inputs!$D$38:$D$45)</f>
        <v>320</v>
      </c>
    </row>
    <row r="18" customFormat="false" ht="15" hidden="false" customHeight="false" outlineLevel="0" collapsed="false">
      <c r="B18" s="7" t="n">
        <v>12</v>
      </c>
      <c r="C18" s="21" t="n">
        <f aca="false">(B18-1)/4</f>
        <v>2.75</v>
      </c>
      <c r="D18" s="21" t="n">
        <f aca="false">B18/4</f>
        <v>3</v>
      </c>
      <c r="E18" s="22" t="n">
        <f aca="false">INT((B18-1)/4)+1</f>
        <v>3</v>
      </c>
      <c r="F18" s="23" t="n">
        <f aca="false">IF(B18&lt;Inputs!$D$26,SUMPRODUCT(Inputs!$D$6:$D$15,Inputs!$F$6:$F$15),SUMPRODUCT(Inputs!$G$6:$G$15,Inputs!$F$6:$F$15))/1000000</f>
        <v>490</v>
      </c>
      <c r="G18" s="24" t="n">
        <f aca="false">IF(E18&lt;=Inputs!$D$21,Inputs!$D$19*F18/4,Inputs!$D$20*R18*Flows!$E$4/4)</f>
        <v>2.14375</v>
      </c>
      <c r="H18" s="24" t="n">
        <f aca="false">IF(E18&lt;=Inputs!$D$21,Inputs!$D$19*SUMPRODUCT(Inputs!$G$6:$G$15,Inputs!$F$6:$F$15)/1000000/4,G18)</f>
        <v>2.14375</v>
      </c>
      <c r="I18" s="24" t="n">
        <f aca="false">IF(B18=Inputs!$D$23,Inputs!$D$22/1000000,0)</f>
        <v>0</v>
      </c>
      <c r="J18" s="23" t="n">
        <f aca="false">SUMPRODUCT((Inputs!$C$38:$C$45=B18)*Inputs!$D$38:$D$45)</f>
        <v>52</v>
      </c>
      <c r="K18" s="24" t="n">
        <f aca="false">IF(B18=1,Inputs!$D$24/1000000,0)</f>
        <v>0</v>
      </c>
      <c r="L18" s="24" t="n">
        <f aca="false">Inputs!$D$25/1000000</f>
        <v>0.125</v>
      </c>
      <c r="M18" s="24" t="n">
        <f aca="false">J18+K18+L18</f>
        <v>52.125</v>
      </c>
      <c r="N18" s="24" t="n">
        <f aca="false">G18-I18+M18</f>
        <v>54.26875</v>
      </c>
      <c r="O18" s="23" t="n">
        <f aca="false">SUMPRODUCT((Inputs!$E$38:$E$45=B18)*Inputs!$F$38:$F$45)</f>
        <v>0</v>
      </c>
      <c r="P18" s="24" t="n">
        <f aca="false">Flows!$E$4*M18+H18-I18</f>
        <v>53.22625</v>
      </c>
      <c r="Q18" s="24" t="n">
        <f aca="false">Flows!$E$4*O18</f>
        <v>0</v>
      </c>
      <c r="R18" s="23" t="n">
        <f aca="false">SUMPRODUCT((Inputs!$C$38:$C$45&lt;=B18)*(Inputs!$E$38:$E$45&gt;=B18)*Inputs!$D$38:$D$45)</f>
        <v>372</v>
      </c>
    </row>
    <row r="19" customFormat="false" ht="15" hidden="false" customHeight="false" outlineLevel="0" collapsed="false">
      <c r="B19" s="7" t="n">
        <v>13</v>
      </c>
      <c r="C19" s="21" t="n">
        <f aca="false">(B19-1)/4</f>
        <v>3</v>
      </c>
      <c r="D19" s="21" t="n">
        <f aca="false">B19/4</f>
        <v>3.25</v>
      </c>
      <c r="E19" s="22" t="n">
        <f aca="false">INT((B19-1)/4)+1</f>
        <v>4</v>
      </c>
      <c r="F19" s="23" t="n">
        <f aca="false">IF(B19&lt;Inputs!$D$26,SUMPRODUCT(Inputs!$D$6:$D$15,Inputs!$F$6:$F$15),SUMPRODUCT(Inputs!$G$6:$G$15,Inputs!$F$6:$F$15))/1000000</f>
        <v>490</v>
      </c>
      <c r="G19" s="24" t="n">
        <f aca="false">IF(E19&lt;=Inputs!$D$21,Inputs!$D$19*F19/4,Inputs!$D$20*R19*Flows!$E$4/4)</f>
        <v>2.14375</v>
      </c>
      <c r="H19" s="24" t="n">
        <f aca="false">IF(E19&lt;=Inputs!$D$21,Inputs!$D$19*SUMPRODUCT(Inputs!$G$6:$G$15,Inputs!$F$6:$F$15)/1000000/4,G19)</f>
        <v>2.14375</v>
      </c>
      <c r="I19" s="24" t="n">
        <f aca="false">IF(B19=Inputs!$D$23,Inputs!$D$22/1000000,0)</f>
        <v>0</v>
      </c>
      <c r="J19" s="23" t="n">
        <f aca="false">SUMPRODUCT((Inputs!$C$38:$C$45=B19)*Inputs!$D$38:$D$45)</f>
        <v>0</v>
      </c>
      <c r="K19" s="24" t="n">
        <f aca="false">IF(B19=1,Inputs!$D$24/1000000,0)</f>
        <v>0</v>
      </c>
      <c r="L19" s="24" t="n">
        <f aca="false">Inputs!$D$25/1000000</f>
        <v>0.125</v>
      </c>
      <c r="M19" s="24" t="n">
        <f aca="false">J19+K19+L19</f>
        <v>0.125</v>
      </c>
      <c r="N19" s="24" t="n">
        <f aca="false">G19-I19+M19</f>
        <v>2.26875</v>
      </c>
      <c r="O19" s="23" t="n">
        <f aca="false">SUMPRODUCT((Inputs!$E$38:$E$45=B19)*Inputs!$F$38:$F$45)</f>
        <v>0</v>
      </c>
      <c r="P19" s="24" t="n">
        <f aca="false">Flows!$E$4*M19+H19-I19</f>
        <v>2.26625</v>
      </c>
      <c r="Q19" s="24" t="n">
        <f aca="false">Flows!$E$4*O19</f>
        <v>0</v>
      </c>
      <c r="R19" s="23" t="n">
        <f aca="false">SUMPRODUCT((Inputs!$C$38:$C$45&lt;=B19)*(Inputs!$E$38:$E$45&gt;=B19)*Inputs!$D$38:$D$45)</f>
        <v>372</v>
      </c>
    </row>
    <row r="20" customFormat="false" ht="15" hidden="false" customHeight="false" outlineLevel="0" collapsed="false">
      <c r="B20" s="7" t="n">
        <v>14</v>
      </c>
      <c r="C20" s="21" t="n">
        <f aca="false">(B20-1)/4</f>
        <v>3.25</v>
      </c>
      <c r="D20" s="21" t="n">
        <f aca="false">B20/4</f>
        <v>3.5</v>
      </c>
      <c r="E20" s="22" t="n">
        <f aca="false">INT((B20-1)/4)+1</f>
        <v>4</v>
      </c>
      <c r="F20" s="23" t="n">
        <f aca="false">IF(B20&lt;Inputs!$D$26,SUMPRODUCT(Inputs!$D$6:$D$15,Inputs!$F$6:$F$15),SUMPRODUCT(Inputs!$G$6:$G$15,Inputs!$F$6:$F$15))/1000000</f>
        <v>490</v>
      </c>
      <c r="G20" s="24" t="n">
        <f aca="false">IF(E20&lt;=Inputs!$D$21,Inputs!$D$19*F20/4,Inputs!$D$20*R20*Flows!$E$4/4)</f>
        <v>2.14375</v>
      </c>
      <c r="H20" s="24" t="n">
        <f aca="false">IF(E20&lt;=Inputs!$D$21,Inputs!$D$19*SUMPRODUCT(Inputs!$G$6:$G$15,Inputs!$F$6:$F$15)/1000000/4,G20)</f>
        <v>2.14375</v>
      </c>
      <c r="I20" s="24" t="n">
        <f aca="false">IF(B20=Inputs!$D$23,Inputs!$D$22/1000000,0)</f>
        <v>0</v>
      </c>
      <c r="J20" s="23" t="n">
        <f aca="false">SUMPRODUCT((Inputs!$C$38:$C$45=B20)*Inputs!$D$38:$D$45)</f>
        <v>50</v>
      </c>
      <c r="K20" s="24" t="n">
        <f aca="false">IF(B20=1,Inputs!$D$24/1000000,0)</f>
        <v>0</v>
      </c>
      <c r="L20" s="24" t="n">
        <f aca="false">Inputs!$D$25/1000000</f>
        <v>0.125</v>
      </c>
      <c r="M20" s="24" t="n">
        <f aca="false">J20+K20+L20</f>
        <v>50.125</v>
      </c>
      <c r="N20" s="24" t="n">
        <f aca="false">G20-I20+M20</f>
        <v>52.26875</v>
      </c>
      <c r="O20" s="23" t="n">
        <f aca="false">SUMPRODUCT((Inputs!$E$38:$E$45=B20)*Inputs!$F$38:$F$45)</f>
        <v>0</v>
      </c>
      <c r="P20" s="24" t="n">
        <f aca="false">Flows!$E$4*M20+H20-I20</f>
        <v>51.26625</v>
      </c>
      <c r="Q20" s="24" t="n">
        <f aca="false">Flows!$E$4*O20</f>
        <v>0</v>
      </c>
      <c r="R20" s="23" t="n">
        <f aca="false">SUMPRODUCT((Inputs!$C$38:$C$45&lt;=B20)*(Inputs!$E$38:$E$45&gt;=B20)*Inputs!$D$38:$D$45)</f>
        <v>422</v>
      </c>
    </row>
    <row r="21" customFormat="false" ht="15" hidden="false" customHeight="false" outlineLevel="0" collapsed="false">
      <c r="B21" s="7" t="n">
        <v>15</v>
      </c>
      <c r="C21" s="21" t="n">
        <f aca="false">(B21-1)/4</f>
        <v>3.5</v>
      </c>
      <c r="D21" s="21" t="n">
        <f aca="false">B21/4</f>
        <v>3.75</v>
      </c>
      <c r="E21" s="22" t="n">
        <f aca="false">INT((B21-1)/4)+1</f>
        <v>4</v>
      </c>
      <c r="F21" s="23" t="n">
        <f aca="false">IF(B21&lt;Inputs!$D$26,SUMPRODUCT(Inputs!$D$6:$D$15,Inputs!$F$6:$F$15),SUMPRODUCT(Inputs!$G$6:$G$15,Inputs!$F$6:$F$15))/1000000</f>
        <v>490</v>
      </c>
      <c r="G21" s="24" t="n">
        <f aca="false">IF(E21&lt;=Inputs!$D$21,Inputs!$D$19*F21/4,Inputs!$D$20*R21*Flows!$E$4/4)</f>
        <v>2.14375</v>
      </c>
      <c r="H21" s="24" t="n">
        <f aca="false">IF(E21&lt;=Inputs!$D$21,Inputs!$D$19*SUMPRODUCT(Inputs!$G$6:$G$15,Inputs!$F$6:$F$15)/1000000/4,G21)</f>
        <v>2.14375</v>
      </c>
      <c r="I21" s="24" t="n">
        <f aca="false">IF(B21=Inputs!$D$23,Inputs!$D$22/1000000,0)</f>
        <v>0</v>
      </c>
      <c r="J21" s="23" t="n">
        <f aca="false">SUMPRODUCT((Inputs!$C$38:$C$45=B21)*Inputs!$D$38:$D$45)</f>
        <v>0</v>
      </c>
      <c r="K21" s="24" t="n">
        <f aca="false">IF(B21=1,Inputs!$D$24/1000000,0)</f>
        <v>0</v>
      </c>
      <c r="L21" s="24" t="n">
        <f aca="false">Inputs!$D$25/1000000</f>
        <v>0.125</v>
      </c>
      <c r="M21" s="24" t="n">
        <f aca="false">J21+K21+L21</f>
        <v>0.125</v>
      </c>
      <c r="N21" s="24" t="n">
        <f aca="false">G21-I21+M21</f>
        <v>2.26875</v>
      </c>
      <c r="O21" s="23" t="n">
        <f aca="false">SUMPRODUCT((Inputs!$E$38:$E$45=B21)*Inputs!$F$38:$F$45)</f>
        <v>0</v>
      </c>
      <c r="P21" s="24" t="n">
        <f aca="false">Flows!$E$4*M21+H21-I21</f>
        <v>2.26625</v>
      </c>
      <c r="Q21" s="24" t="n">
        <f aca="false">Flows!$E$4*O21</f>
        <v>0</v>
      </c>
      <c r="R21" s="23" t="n">
        <f aca="false">SUMPRODUCT((Inputs!$C$38:$C$45&lt;=B21)*(Inputs!$E$38:$E$45&gt;=B21)*Inputs!$D$38:$D$45)</f>
        <v>422</v>
      </c>
    </row>
    <row r="22" customFormat="false" ht="15" hidden="false" customHeight="false" outlineLevel="0" collapsed="false">
      <c r="B22" s="7" t="n">
        <v>16</v>
      </c>
      <c r="C22" s="21" t="n">
        <f aca="false">(B22-1)/4</f>
        <v>3.75</v>
      </c>
      <c r="D22" s="21" t="n">
        <f aca="false">B22/4</f>
        <v>4</v>
      </c>
      <c r="E22" s="22" t="n">
        <f aca="false">INT((B22-1)/4)+1</f>
        <v>4</v>
      </c>
      <c r="F22" s="23" t="n">
        <f aca="false">IF(B22&lt;Inputs!$D$26,SUMPRODUCT(Inputs!$D$6:$D$15,Inputs!$F$6:$F$15),SUMPRODUCT(Inputs!$G$6:$G$15,Inputs!$F$6:$F$15))/1000000</f>
        <v>490</v>
      </c>
      <c r="G22" s="24" t="n">
        <f aca="false">IF(E22&lt;=Inputs!$D$21,Inputs!$D$19*F22/4,Inputs!$D$20*R22*Flows!$E$4/4)</f>
        <v>2.14375</v>
      </c>
      <c r="H22" s="24" t="n">
        <f aca="false">IF(E22&lt;=Inputs!$D$21,Inputs!$D$19*SUMPRODUCT(Inputs!$G$6:$G$15,Inputs!$F$6:$F$15)/1000000/4,G22)</f>
        <v>2.14375</v>
      </c>
      <c r="I22" s="24" t="n">
        <f aca="false">IF(B22=Inputs!$D$23,Inputs!$D$22/1000000,0)</f>
        <v>0</v>
      </c>
      <c r="J22" s="23" t="n">
        <f aca="false">SUMPRODUCT((Inputs!$C$38:$C$45=B22)*Inputs!$D$38:$D$45)</f>
        <v>0</v>
      </c>
      <c r="K22" s="24" t="n">
        <f aca="false">IF(B22=1,Inputs!$D$24/1000000,0)</f>
        <v>0</v>
      </c>
      <c r="L22" s="24" t="n">
        <f aca="false">Inputs!$D$25/1000000</f>
        <v>0.125</v>
      </c>
      <c r="M22" s="24" t="n">
        <f aca="false">J22+K22+L22</f>
        <v>0.125</v>
      </c>
      <c r="N22" s="24" t="n">
        <f aca="false">G22-I22+M22</f>
        <v>2.26875</v>
      </c>
      <c r="O22" s="23" t="n">
        <f aca="false">SUMPRODUCT((Inputs!$E$38:$E$45=B22)*Inputs!$F$38:$F$45)</f>
        <v>108</v>
      </c>
      <c r="P22" s="24" t="n">
        <f aca="false">Flows!$E$4*M22+H22-I22</f>
        <v>2.26625</v>
      </c>
      <c r="Q22" s="24" t="n">
        <f aca="false">Flows!$E$4*O22</f>
        <v>105.84</v>
      </c>
      <c r="R22" s="23" t="n">
        <f aca="false">SUMPRODUCT((Inputs!$C$38:$C$45&lt;=B22)*(Inputs!$E$38:$E$45&gt;=B22)*Inputs!$D$38:$D$45)</f>
        <v>422</v>
      </c>
    </row>
    <row r="23" customFormat="false" ht="15" hidden="false" customHeight="false" outlineLevel="0" collapsed="false">
      <c r="B23" s="7" t="n">
        <v>17</v>
      </c>
      <c r="C23" s="21" t="n">
        <f aca="false">(B23-1)/4</f>
        <v>4</v>
      </c>
      <c r="D23" s="21" t="n">
        <f aca="false">B23/4</f>
        <v>4.25</v>
      </c>
      <c r="E23" s="22" t="n">
        <f aca="false">INT((B23-1)/4)+1</f>
        <v>5</v>
      </c>
      <c r="F23" s="23" t="n">
        <f aca="false">IF(B23&lt;Inputs!$D$26,SUMPRODUCT(Inputs!$D$6:$D$15,Inputs!$F$6:$F$15),SUMPRODUCT(Inputs!$G$6:$G$15,Inputs!$F$6:$F$15))/1000000</f>
        <v>490</v>
      </c>
      <c r="G23" s="24" t="n">
        <f aca="false">IF(E23&lt;=Inputs!$D$21,Inputs!$D$19*F23/4,Inputs!$D$20*R23*Flows!$E$4/4)</f>
        <v>2.14375</v>
      </c>
      <c r="H23" s="24" t="n">
        <f aca="false">IF(E23&lt;=Inputs!$D$21,Inputs!$D$19*SUMPRODUCT(Inputs!$G$6:$G$15,Inputs!$F$6:$F$15)/1000000/4,G23)</f>
        <v>2.14375</v>
      </c>
      <c r="I23" s="24" t="n">
        <f aca="false">IF(B23=Inputs!$D$23,Inputs!$D$22/1000000,0)</f>
        <v>0</v>
      </c>
      <c r="J23" s="23" t="n">
        <f aca="false">SUMPRODUCT((Inputs!$C$38:$C$45=B23)*Inputs!$D$38:$D$45)</f>
        <v>0</v>
      </c>
      <c r="K23" s="24" t="n">
        <f aca="false">IF(B23=1,Inputs!$D$24/1000000,0)</f>
        <v>0</v>
      </c>
      <c r="L23" s="24" t="n">
        <f aca="false">Inputs!$D$25/1000000</f>
        <v>0.125</v>
      </c>
      <c r="M23" s="24" t="n">
        <f aca="false">J23+K23+L23</f>
        <v>0.125</v>
      </c>
      <c r="N23" s="24" t="n">
        <f aca="false">G23-I23+M23</f>
        <v>2.26875</v>
      </c>
      <c r="O23" s="23" t="n">
        <f aca="false">SUMPRODUCT((Inputs!$E$38:$E$45=B23)*Inputs!$F$38:$F$45)</f>
        <v>0</v>
      </c>
      <c r="P23" s="24" t="n">
        <f aca="false">Flows!$E$4*M23+H23-I23</f>
        <v>2.26625</v>
      </c>
      <c r="Q23" s="24" t="n">
        <f aca="false">Flows!$E$4*O23</f>
        <v>0</v>
      </c>
      <c r="R23" s="23" t="n">
        <f aca="false">SUMPRODUCT((Inputs!$C$38:$C$45&lt;=B23)*(Inputs!$E$38:$E$45&gt;=B23)*Inputs!$D$38:$D$45)</f>
        <v>368</v>
      </c>
    </row>
    <row r="24" customFormat="false" ht="15" hidden="false" customHeight="false" outlineLevel="0" collapsed="false">
      <c r="B24" s="7" t="n">
        <v>18</v>
      </c>
      <c r="C24" s="21" t="n">
        <f aca="false">(B24-1)/4</f>
        <v>4.25</v>
      </c>
      <c r="D24" s="21" t="n">
        <f aca="false">B24/4</f>
        <v>4.5</v>
      </c>
      <c r="E24" s="22" t="n">
        <f aca="false">INT((B24-1)/4)+1</f>
        <v>5</v>
      </c>
      <c r="F24" s="23" t="n">
        <f aca="false">IF(B24&lt;Inputs!$D$26,SUMPRODUCT(Inputs!$D$6:$D$15,Inputs!$F$6:$F$15),SUMPRODUCT(Inputs!$G$6:$G$15,Inputs!$F$6:$F$15))/1000000</f>
        <v>490</v>
      </c>
      <c r="G24" s="24" t="n">
        <f aca="false">IF(E24&lt;=Inputs!$D$21,Inputs!$D$19*F24/4,Inputs!$D$20*R24*Flows!$E$4/4)</f>
        <v>2.14375</v>
      </c>
      <c r="H24" s="24" t="n">
        <f aca="false">IF(E24&lt;=Inputs!$D$21,Inputs!$D$19*SUMPRODUCT(Inputs!$G$6:$G$15,Inputs!$F$6:$F$15)/1000000/4,G24)</f>
        <v>2.14375</v>
      </c>
      <c r="I24" s="24" t="n">
        <f aca="false">IF(B24=Inputs!$D$23,Inputs!$D$22/1000000,0)</f>
        <v>0</v>
      </c>
      <c r="J24" s="23" t="n">
        <f aca="false">SUMPRODUCT((Inputs!$C$38:$C$45=B24)*Inputs!$D$38:$D$45)</f>
        <v>0</v>
      </c>
      <c r="K24" s="24" t="n">
        <f aca="false">IF(B24=1,Inputs!$D$24/1000000,0)</f>
        <v>0</v>
      </c>
      <c r="L24" s="24" t="n">
        <f aca="false">Inputs!$D$25/1000000</f>
        <v>0.125</v>
      </c>
      <c r="M24" s="24" t="n">
        <f aca="false">J24+K24+L24</f>
        <v>0.125</v>
      </c>
      <c r="N24" s="24" t="n">
        <f aca="false">G24-I24+M24</f>
        <v>2.26875</v>
      </c>
      <c r="O24" s="23" t="n">
        <f aca="false">SUMPRODUCT((Inputs!$E$38:$E$45=B24)*Inputs!$F$38:$F$45)</f>
        <v>99</v>
      </c>
      <c r="P24" s="24" t="n">
        <f aca="false">Flows!$E$4*M24+H24-I24</f>
        <v>2.26625</v>
      </c>
      <c r="Q24" s="24" t="n">
        <f aca="false">Flows!$E$4*O24</f>
        <v>97.02</v>
      </c>
      <c r="R24" s="23" t="n">
        <f aca="false">SUMPRODUCT((Inputs!$C$38:$C$45&lt;=B24)*(Inputs!$E$38:$E$45&gt;=B24)*Inputs!$D$38:$D$45)</f>
        <v>368</v>
      </c>
    </row>
    <row r="25" customFormat="false" ht="15" hidden="false" customHeight="false" outlineLevel="0" collapsed="false">
      <c r="B25" s="7" t="n">
        <v>19</v>
      </c>
      <c r="C25" s="21" t="n">
        <f aca="false">(B25-1)/4</f>
        <v>4.5</v>
      </c>
      <c r="D25" s="21" t="n">
        <f aca="false">B25/4</f>
        <v>4.75</v>
      </c>
      <c r="E25" s="22" t="n">
        <f aca="false">INT((B25-1)/4)+1</f>
        <v>5</v>
      </c>
      <c r="F25" s="23" t="n">
        <f aca="false">IF(B25&lt;Inputs!$D$26,SUMPRODUCT(Inputs!$D$6:$D$15,Inputs!$F$6:$F$15),SUMPRODUCT(Inputs!$G$6:$G$15,Inputs!$F$6:$F$15))/1000000</f>
        <v>490</v>
      </c>
      <c r="G25" s="24" t="n">
        <f aca="false">IF(E25&lt;=Inputs!$D$21,Inputs!$D$19*F25/4,Inputs!$D$20*R25*Flows!$E$4/4)</f>
        <v>2.14375</v>
      </c>
      <c r="H25" s="24" t="n">
        <f aca="false">IF(E25&lt;=Inputs!$D$21,Inputs!$D$19*SUMPRODUCT(Inputs!$G$6:$G$15,Inputs!$F$6:$F$15)/1000000/4,G25)</f>
        <v>2.14375</v>
      </c>
      <c r="I25" s="24" t="n">
        <f aca="false">IF(B25=Inputs!$D$23,Inputs!$D$22/1000000,0)</f>
        <v>0</v>
      </c>
      <c r="J25" s="23" t="n">
        <f aca="false">SUMPRODUCT((Inputs!$C$38:$C$45=B25)*Inputs!$D$38:$D$45)</f>
        <v>0</v>
      </c>
      <c r="K25" s="24" t="n">
        <f aca="false">IF(B25=1,Inputs!$D$24/1000000,0)</f>
        <v>0</v>
      </c>
      <c r="L25" s="24" t="n">
        <f aca="false">Inputs!$D$25/1000000</f>
        <v>0.125</v>
      </c>
      <c r="M25" s="24" t="n">
        <f aca="false">J25+K25+L25</f>
        <v>0.125</v>
      </c>
      <c r="N25" s="24" t="n">
        <f aca="false">G25-I25+M25</f>
        <v>2.26875</v>
      </c>
      <c r="O25" s="23" t="n">
        <f aca="false">SUMPRODUCT((Inputs!$E$38:$E$45=B25)*Inputs!$F$38:$F$45)</f>
        <v>0</v>
      </c>
      <c r="P25" s="24" t="n">
        <f aca="false">Flows!$E$4*M25+H25-I25</f>
        <v>2.26625</v>
      </c>
      <c r="Q25" s="24" t="n">
        <f aca="false">Flows!$E$4*O25</f>
        <v>0</v>
      </c>
      <c r="R25" s="23" t="n">
        <f aca="false">SUMPRODUCT((Inputs!$C$38:$C$45&lt;=B25)*(Inputs!$E$38:$E$45&gt;=B25)*Inputs!$D$38:$D$45)</f>
        <v>323</v>
      </c>
    </row>
    <row r="26" customFormat="false" ht="15" hidden="false" customHeight="false" outlineLevel="0" collapsed="false">
      <c r="B26" s="7" t="n">
        <v>20</v>
      </c>
      <c r="C26" s="21" t="n">
        <f aca="false">(B26-1)/4</f>
        <v>4.75</v>
      </c>
      <c r="D26" s="21" t="n">
        <f aca="false">B26/4</f>
        <v>5</v>
      </c>
      <c r="E26" s="22" t="n">
        <f aca="false">INT((B26-1)/4)+1</f>
        <v>5</v>
      </c>
      <c r="F26" s="23" t="n">
        <f aca="false">IF(B26&lt;Inputs!$D$26,SUMPRODUCT(Inputs!$D$6:$D$15,Inputs!$F$6:$F$15),SUMPRODUCT(Inputs!$G$6:$G$15,Inputs!$F$6:$F$15))/1000000</f>
        <v>490</v>
      </c>
      <c r="G26" s="24" t="n">
        <f aca="false">IF(E26&lt;=Inputs!$D$21,Inputs!$D$19*F26/4,Inputs!$D$20*R26*Flows!$E$4/4)</f>
        <v>2.14375</v>
      </c>
      <c r="H26" s="24" t="n">
        <f aca="false">IF(E26&lt;=Inputs!$D$21,Inputs!$D$19*SUMPRODUCT(Inputs!$G$6:$G$15,Inputs!$F$6:$F$15)/1000000/4,G26)</f>
        <v>2.14375</v>
      </c>
      <c r="I26" s="24" t="n">
        <f aca="false">IF(B26=Inputs!$D$23,Inputs!$D$22/1000000,0)</f>
        <v>0</v>
      </c>
      <c r="J26" s="23" t="n">
        <f aca="false">SUMPRODUCT((Inputs!$C$38:$C$45=B26)*Inputs!$D$38:$D$45)</f>
        <v>0</v>
      </c>
      <c r="K26" s="24" t="n">
        <f aca="false">IF(B26=1,Inputs!$D$24/1000000,0)</f>
        <v>0</v>
      </c>
      <c r="L26" s="24" t="n">
        <f aca="false">Inputs!$D$25/1000000</f>
        <v>0.125</v>
      </c>
      <c r="M26" s="24" t="n">
        <f aca="false">J26+K26+L26</f>
        <v>0.125</v>
      </c>
      <c r="N26" s="24" t="n">
        <f aca="false">G26-I26+M26</f>
        <v>2.26875</v>
      </c>
      <c r="O26" s="23" t="n">
        <f aca="false">SUMPRODUCT((Inputs!$E$38:$E$45=B26)*Inputs!$F$38:$F$45)</f>
        <v>0</v>
      </c>
      <c r="P26" s="24" t="n">
        <f aca="false">Flows!$E$4*M26+H26-I26</f>
        <v>2.26625</v>
      </c>
      <c r="Q26" s="24" t="n">
        <f aca="false">Flows!$E$4*O26</f>
        <v>0</v>
      </c>
      <c r="R26" s="23" t="n">
        <f aca="false">SUMPRODUCT((Inputs!$C$38:$C$45&lt;=B26)*(Inputs!$E$38:$E$45&gt;=B26)*Inputs!$D$38:$D$45)</f>
        <v>323</v>
      </c>
    </row>
    <row r="27" customFormat="false" ht="15" hidden="false" customHeight="false" outlineLevel="0" collapsed="false">
      <c r="B27" s="7" t="n">
        <v>21</v>
      </c>
      <c r="C27" s="21" t="n">
        <f aca="false">(B27-1)/4</f>
        <v>5</v>
      </c>
      <c r="D27" s="21" t="n">
        <f aca="false">B27/4</f>
        <v>5.25</v>
      </c>
      <c r="E27" s="22" t="n">
        <f aca="false">INT((B27-1)/4)+1</f>
        <v>6</v>
      </c>
      <c r="F27" s="23" t="n">
        <f aca="false">IF(B27&lt;Inputs!$D$26,SUMPRODUCT(Inputs!$D$6:$D$15,Inputs!$F$6:$F$15),SUMPRODUCT(Inputs!$G$6:$G$15,Inputs!$F$6:$F$15))/1000000</f>
        <v>490</v>
      </c>
      <c r="G27" s="24" t="n">
        <f aca="false">IF(E27&lt;=Inputs!$D$21,Inputs!$D$19*F27/4,Inputs!$D$20*R27*Flows!$E$4/4)</f>
        <v>0.9891875</v>
      </c>
      <c r="H27" s="24" t="n">
        <f aca="false">IF(E27&lt;=Inputs!$D$21,Inputs!$D$19*SUMPRODUCT(Inputs!$G$6:$G$15,Inputs!$F$6:$F$15)/1000000/4,G27)</f>
        <v>0.9891875</v>
      </c>
      <c r="I27" s="24" t="n">
        <f aca="false">IF(B27=Inputs!$D$23,Inputs!$D$22/1000000,0)</f>
        <v>0</v>
      </c>
      <c r="J27" s="23" t="n">
        <f aca="false">SUMPRODUCT((Inputs!$C$38:$C$45=B27)*Inputs!$D$38:$D$45)</f>
        <v>0</v>
      </c>
      <c r="K27" s="24" t="n">
        <f aca="false">IF(B27=1,Inputs!$D$24/1000000,0)</f>
        <v>0</v>
      </c>
      <c r="L27" s="24" t="n">
        <f aca="false">Inputs!$D$25/1000000</f>
        <v>0.125</v>
      </c>
      <c r="M27" s="24" t="n">
        <f aca="false">J27+K27+L27</f>
        <v>0.125</v>
      </c>
      <c r="N27" s="24" t="n">
        <f aca="false">G27-I27+M27</f>
        <v>1.1141875</v>
      </c>
      <c r="O27" s="23" t="n">
        <f aca="false">SUMPRODUCT((Inputs!$E$38:$E$45=B27)*Inputs!$F$38:$F$45)</f>
        <v>0</v>
      </c>
      <c r="P27" s="24" t="n">
        <f aca="false">Flows!$E$4*M27+H27-I27</f>
        <v>1.1116875</v>
      </c>
      <c r="Q27" s="24" t="n">
        <f aca="false">Flows!$E$4*O27</f>
        <v>0</v>
      </c>
      <c r="R27" s="23" t="n">
        <f aca="false">SUMPRODUCT((Inputs!$C$38:$C$45&lt;=B27)*(Inputs!$E$38:$E$45&gt;=B27)*Inputs!$D$38:$D$45)</f>
        <v>323</v>
      </c>
    </row>
    <row r="28" customFormat="false" ht="15" hidden="false" customHeight="false" outlineLevel="0" collapsed="false">
      <c r="B28" s="7" t="n">
        <v>22</v>
      </c>
      <c r="C28" s="21" t="n">
        <f aca="false">(B28-1)/4</f>
        <v>5.25</v>
      </c>
      <c r="D28" s="21" t="n">
        <f aca="false">B28/4</f>
        <v>5.5</v>
      </c>
      <c r="E28" s="22" t="n">
        <f aca="false">INT((B28-1)/4)+1</f>
        <v>6</v>
      </c>
      <c r="F28" s="23" t="n">
        <f aca="false">IF(B28&lt;Inputs!$D$26,SUMPRODUCT(Inputs!$D$6:$D$15,Inputs!$F$6:$F$15),SUMPRODUCT(Inputs!$G$6:$G$15,Inputs!$F$6:$F$15))/1000000</f>
        <v>490</v>
      </c>
      <c r="G28" s="24" t="n">
        <f aca="false">IF(E28&lt;=Inputs!$D$21,Inputs!$D$19*F28/4,Inputs!$D$20*R28*Flows!$E$4/4)</f>
        <v>0.9891875</v>
      </c>
      <c r="H28" s="24" t="n">
        <f aca="false">IF(E28&lt;=Inputs!$D$21,Inputs!$D$19*SUMPRODUCT(Inputs!$G$6:$G$15,Inputs!$F$6:$F$15)/1000000/4,G28)</f>
        <v>0.9891875</v>
      </c>
      <c r="I28" s="24" t="n">
        <f aca="false">IF(B28=Inputs!$D$23,Inputs!$D$22/1000000,0)</f>
        <v>0</v>
      </c>
      <c r="J28" s="23" t="n">
        <f aca="false">SUMPRODUCT((Inputs!$C$38:$C$45=B28)*Inputs!$D$38:$D$45)</f>
        <v>0</v>
      </c>
      <c r="K28" s="24" t="n">
        <f aca="false">IF(B28=1,Inputs!$D$24/1000000,0)</f>
        <v>0</v>
      </c>
      <c r="L28" s="24" t="n">
        <f aca="false">Inputs!$D$25/1000000</f>
        <v>0.125</v>
      </c>
      <c r="M28" s="24" t="n">
        <f aca="false">J28+K28+L28</f>
        <v>0.125</v>
      </c>
      <c r="N28" s="24" t="n">
        <f aca="false">G28-I28+M28</f>
        <v>1.1141875</v>
      </c>
      <c r="O28" s="23" t="n">
        <f aca="false">SUMPRODUCT((Inputs!$E$38:$E$45=B28)*Inputs!$F$38:$F$45)</f>
        <v>0</v>
      </c>
      <c r="P28" s="24" t="n">
        <f aca="false">Flows!$E$4*M28+H28-I28</f>
        <v>1.1116875</v>
      </c>
      <c r="Q28" s="24" t="n">
        <f aca="false">Flows!$E$4*O28</f>
        <v>0</v>
      </c>
      <c r="R28" s="23" t="n">
        <f aca="false">SUMPRODUCT((Inputs!$C$38:$C$45&lt;=B28)*(Inputs!$E$38:$E$45&gt;=B28)*Inputs!$D$38:$D$45)</f>
        <v>323</v>
      </c>
    </row>
    <row r="29" customFormat="false" ht="15" hidden="false" customHeight="false" outlineLevel="0" collapsed="false">
      <c r="B29" s="7" t="n">
        <v>23</v>
      </c>
      <c r="C29" s="21" t="n">
        <f aca="false">(B29-1)/4</f>
        <v>5.5</v>
      </c>
      <c r="D29" s="21" t="n">
        <f aca="false">B29/4</f>
        <v>5.75</v>
      </c>
      <c r="E29" s="22" t="n">
        <f aca="false">INT((B29-1)/4)+1</f>
        <v>6</v>
      </c>
      <c r="F29" s="23" t="n">
        <f aca="false">IF(B29&lt;Inputs!$D$26,SUMPRODUCT(Inputs!$D$6:$D$15,Inputs!$F$6:$F$15),SUMPRODUCT(Inputs!$G$6:$G$15,Inputs!$F$6:$F$15))/1000000</f>
        <v>490</v>
      </c>
      <c r="G29" s="24" t="n">
        <f aca="false">IF(E29&lt;=Inputs!$D$21,Inputs!$D$19*F29/4,Inputs!$D$20*R29*Flows!$E$4/4)</f>
        <v>0.9891875</v>
      </c>
      <c r="H29" s="24" t="n">
        <f aca="false">IF(E29&lt;=Inputs!$D$21,Inputs!$D$19*SUMPRODUCT(Inputs!$G$6:$G$15,Inputs!$F$6:$F$15)/1000000/4,G29)</f>
        <v>0.9891875</v>
      </c>
      <c r="I29" s="24" t="n">
        <f aca="false">IF(B29=Inputs!$D$23,Inputs!$D$22/1000000,0)</f>
        <v>0</v>
      </c>
      <c r="J29" s="23" t="n">
        <f aca="false">SUMPRODUCT((Inputs!$C$38:$C$45=B29)*Inputs!$D$38:$D$45)</f>
        <v>0</v>
      </c>
      <c r="K29" s="24" t="n">
        <f aca="false">IF(B29=1,Inputs!$D$24/1000000,0)</f>
        <v>0</v>
      </c>
      <c r="L29" s="24" t="n">
        <f aca="false">Inputs!$D$25/1000000</f>
        <v>0.125</v>
      </c>
      <c r="M29" s="24" t="n">
        <f aca="false">J29+K29+L29</f>
        <v>0.125</v>
      </c>
      <c r="N29" s="24" t="n">
        <f aca="false">G29-I29+M29</f>
        <v>1.1141875</v>
      </c>
      <c r="O29" s="23" t="n">
        <f aca="false">SUMPRODUCT((Inputs!$E$38:$E$45=B29)*Inputs!$F$38:$F$45)</f>
        <v>0</v>
      </c>
      <c r="P29" s="24" t="n">
        <f aca="false">Flows!$E$4*M29+H29-I29</f>
        <v>1.1116875</v>
      </c>
      <c r="Q29" s="24" t="n">
        <f aca="false">Flows!$E$4*O29</f>
        <v>0</v>
      </c>
      <c r="R29" s="23" t="n">
        <f aca="false">SUMPRODUCT((Inputs!$C$38:$C$45&lt;=B29)*(Inputs!$E$38:$E$45&gt;=B29)*Inputs!$D$38:$D$45)</f>
        <v>323</v>
      </c>
    </row>
    <row r="30" customFormat="false" ht="15" hidden="false" customHeight="false" outlineLevel="0" collapsed="false">
      <c r="B30" s="7" t="n">
        <v>24</v>
      </c>
      <c r="C30" s="21" t="n">
        <f aca="false">(B30-1)/4</f>
        <v>5.75</v>
      </c>
      <c r="D30" s="21" t="n">
        <f aca="false">B30/4</f>
        <v>6</v>
      </c>
      <c r="E30" s="22" t="n">
        <f aca="false">INT((B30-1)/4)+1</f>
        <v>6</v>
      </c>
      <c r="F30" s="23" t="n">
        <f aca="false">IF(B30&lt;Inputs!$D$26,SUMPRODUCT(Inputs!$D$6:$D$15,Inputs!$F$6:$F$15),SUMPRODUCT(Inputs!$G$6:$G$15,Inputs!$F$6:$F$15))/1000000</f>
        <v>490</v>
      </c>
      <c r="G30" s="24" t="n">
        <f aca="false">IF(E30&lt;=Inputs!$D$21,Inputs!$D$19*F30/4,Inputs!$D$20*R30*Flows!$E$4/4)</f>
        <v>0.9891875</v>
      </c>
      <c r="H30" s="24" t="n">
        <f aca="false">IF(E30&lt;=Inputs!$D$21,Inputs!$D$19*SUMPRODUCT(Inputs!$G$6:$G$15,Inputs!$F$6:$F$15)/1000000/4,G30)</f>
        <v>0.9891875</v>
      </c>
      <c r="I30" s="24" t="n">
        <f aca="false">IF(B30=Inputs!$D$23,Inputs!$D$22/1000000,0)</f>
        <v>0</v>
      </c>
      <c r="J30" s="23" t="n">
        <f aca="false">SUMPRODUCT((Inputs!$C$38:$C$45=B30)*Inputs!$D$38:$D$45)</f>
        <v>0</v>
      </c>
      <c r="K30" s="24" t="n">
        <f aca="false">IF(B30=1,Inputs!$D$24/1000000,0)</f>
        <v>0</v>
      </c>
      <c r="L30" s="24" t="n">
        <f aca="false">Inputs!$D$25/1000000</f>
        <v>0.125</v>
      </c>
      <c r="M30" s="24" t="n">
        <f aca="false">J30+K30+L30</f>
        <v>0.125</v>
      </c>
      <c r="N30" s="24" t="n">
        <f aca="false">G30-I30+M30</f>
        <v>1.1141875</v>
      </c>
      <c r="O30" s="23" t="n">
        <f aca="false">SUMPRODUCT((Inputs!$E$38:$E$45=B30)*Inputs!$F$38:$F$45)</f>
        <v>27</v>
      </c>
      <c r="P30" s="24" t="n">
        <f aca="false">Flows!$E$4*M30+H30-I30</f>
        <v>1.1116875</v>
      </c>
      <c r="Q30" s="24" t="n">
        <f aca="false">Flows!$E$4*O30</f>
        <v>26.46</v>
      </c>
      <c r="R30" s="23" t="n">
        <f aca="false">SUMPRODUCT((Inputs!$C$38:$C$45&lt;=B30)*(Inputs!$E$38:$E$45&gt;=B30)*Inputs!$D$38:$D$45)</f>
        <v>323</v>
      </c>
    </row>
    <row r="31" customFormat="false" ht="15" hidden="false" customHeight="false" outlineLevel="0" collapsed="false">
      <c r="B31" s="7" t="n">
        <v>25</v>
      </c>
      <c r="C31" s="21" t="n">
        <f aca="false">(B31-1)/4</f>
        <v>6</v>
      </c>
      <c r="D31" s="21" t="n">
        <f aca="false">B31/4</f>
        <v>6.25</v>
      </c>
      <c r="E31" s="22" t="n">
        <f aca="false">INT((B31-1)/4)+1</f>
        <v>7</v>
      </c>
      <c r="F31" s="23" t="n">
        <f aca="false">IF(B31&lt;Inputs!$D$26,SUMPRODUCT(Inputs!$D$6:$D$15,Inputs!$F$6:$F$15),SUMPRODUCT(Inputs!$G$6:$G$15,Inputs!$F$6:$F$15))/1000000</f>
        <v>490</v>
      </c>
      <c r="G31" s="24" t="n">
        <f aca="false">IF(E31&lt;=Inputs!$D$21,Inputs!$D$19*F31/4,Inputs!$D$20*R31*Flows!$E$4/4)</f>
        <v>0.8789375</v>
      </c>
      <c r="H31" s="24" t="n">
        <f aca="false">IF(E31&lt;=Inputs!$D$21,Inputs!$D$19*SUMPRODUCT(Inputs!$G$6:$G$15,Inputs!$F$6:$F$15)/1000000/4,G31)</f>
        <v>0.8789375</v>
      </c>
      <c r="I31" s="24" t="n">
        <f aca="false">IF(B31=Inputs!$D$23,Inputs!$D$22/1000000,0)</f>
        <v>0</v>
      </c>
      <c r="J31" s="23" t="n">
        <f aca="false">SUMPRODUCT((Inputs!$C$38:$C$45=B31)*Inputs!$D$38:$D$45)</f>
        <v>0</v>
      </c>
      <c r="K31" s="24" t="n">
        <f aca="false">IF(B31=1,Inputs!$D$24/1000000,0)</f>
        <v>0</v>
      </c>
      <c r="L31" s="24" t="n">
        <f aca="false">Inputs!$D$25/1000000</f>
        <v>0.125</v>
      </c>
      <c r="M31" s="24" t="n">
        <f aca="false">J31+K31+L31</f>
        <v>0.125</v>
      </c>
      <c r="N31" s="24" t="n">
        <f aca="false">G31-I31+M31</f>
        <v>1.0039375</v>
      </c>
      <c r="O31" s="23" t="n">
        <f aca="false">SUMPRODUCT((Inputs!$E$38:$E$45=B31)*Inputs!$F$38:$F$45)</f>
        <v>0</v>
      </c>
      <c r="P31" s="24" t="n">
        <f aca="false">Flows!$E$4*M31+H31-I31</f>
        <v>1.0014375</v>
      </c>
      <c r="Q31" s="24" t="n">
        <f aca="false">Flows!$E$4*O31</f>
        <v>0</v>
      </c>
      <c r="R31" s="23" t="n">
        <f aca="false">SUMPRODUCT((Inputs!$C$38:$C$45&lt;=B31)*(Inputs!$E$38:$E$45&gt;=B31)*Inputs!$D$38:$D$45)</f>
        <v>287</v>
      </c>
    </row>
    <row r="32" customFormat="false" ht="15" hidden="false" customHeight="false" outlineLevel="0" collapsed="false">
      <c r="B32" s="7" t="n">
        <v>26</v>
      </c>
      <c r="C32" s="21" t="n">
        <f aca="false">(B32-1)/4</f>
        <v>6.25</v>
      </c>
      <c r="D32" s="21" t="n">
        <f aca="false">B32/4</f>
        <v>6.5</v>
      </c>
      <c r="E32" s="22" t="n">
        <f aca="false">INT((B32-1)/4)+1</f>
        <v>7</v>
      </c>
      <c r="F32" s="23" t="n">
        <f aca="false">IF(B32&lt;Inputs!$D$26,SUMPRODUCT(Inputs!$D$6:$D$15,Inputs!$F$6:$F$15),SUMPRODUCT(Inputs!$G$6:$G$15,Inputs!$F$6:$F$15))/1000000</f>
        <v>490</v>
      </c>
      <c r="G32" s="24" t="n">
        <f aca="false">IF(E32&lt;=Inputs!$D$21,Inputs!$D$19*F32/4,Inputs!$D$20*R32*Flows!$E$4/4)</f>
        <v>0.8789375</v>
      </c>
      <c r="H32" s="24" t="n">
        <f aca="false">IF(E32&lt;=Inputs!$D$21,Inputs!$D$19*SUMPRODUCT(Inputs!$G$6:$G$15,Inputs!$F$6:$F$15)/1000000/4,G32)</f>
        <v>0.8789375</v>
      </c>
      <c r="I32" s="24" t="n">
        <f aca="false">IF(B32=Inputs!$D$23,Inputs!$D$22/1000000,0)</f>
        <v>0</v>
      </c>
      <c r="J32" s="23" t="n">
        <f aca="false">SUMPRODUCT((Inputs!$C$38:$C$45=B32)*Inputs!$D$38:$D$45)</f>
        <v>0</v>
      </c>
      <c r="K32" s="24" t="n">
        <f aca="false">IF(B32=1,Inputs!$D$24/1000000,0)</f>
        <v>0</v>
      </c>
      <c r="L32" s="24" t="n">
        <f aca="false">Inputs!$D$25/1000000</f>
        <v>0.125</v>
      </c>
      <c r="M32" s="24" t="n">
        <f aca="false">J32+K32+L32</f>
        <v>0.125</v>
      </c>
      <c r="N32" s="24" t="n">
        <f aca="false">G32-I32+M32</f>
        <v>1.0039375</v>
      </c>
      <c r="O32" s="23" t="n">
        <f aca="false">SUMPRODUCT((Inputs!$E$38:$E$45=B32)*Inputs!$F$38:$F$45)</f>
        <v>0</v>
      </c>
      <c r="P32" s="24" t="n">
        <f aca="false">Flows!$E$4*M32+H32-I32</f>
        <v>1.0014375</v>
      </c>
      <c r="Q32" s="24" t="n">
        <f aca="false">Flows!$E$4*O32</f>
        <v>0</v>
      </c>
      <c r="R32" s="23" t="n">
        <f aca="false">SUMPRODUCT((Inputs!$C$38:$C$45&lt;=B32)*(Inputs!$E$38:$E$45&gt;=B32)*Inputs!$D$38:$D$45)</f>
        <v>287</v>
      </c>
    </row>
    <row r="33" customFormat="false" ht="15" hidden="false" customHeight="false" outlineLevel="0" collapsed="false">
      <c r="B33" s="7" t="n">
        <v>27</v>
      </c>
      <c r="C33" s="21" t="n">
        <f aca="false">(B33-1)/4</f>
        <v>6.5</v>
      </c>
      <c r="D33" s="21" t="n">
        <f aca="false">B33/4</f>
        <v>6.75</v>
      </c>
      <c r="E33" s="22" t="n">
        <f aca="false">INT((B33-1)/4)+1</f>
        <v>7</v>
      </c>
      <c r="F33" s="23" t="n">
        <f aca="false">IF(B33&lt;Inputs!$D$26,SUMPRODUCT(Inputs!$D$6:$D$15,Inputs!$F$6:$F$15),SUMPRODUCT(Inputs!$G$6:$G$15,Inputs!$F$6:$F$15))/1000000</f>
        <v>490</v>
      </c>
      <c r="G33" s="24" t="n">
        <f aca="false">IF(E33&lt;=Inputs!$D$21,Inputs!$D$19*F33/4,Inputs!$D$20*R33*Flows!$E$4/4)</f>
        <v>0.8789375</v>
      </c>
      <c r="H33" s="24" t="n">
        <f aca="false">IF(E33&lt;=Inputs!$D$21,Inputs!$D$19*SUMPRODUCT(Inputs!$G$6:$G$15,Inputs!$F$6:$F$15)/1000000/4,G33)</f>
        <v>0.8789375</v>
      </c>
      <c r="I33" s="24" t="n">
        <f aca="false">IF(B33=Inputs!$D$23,Inputs!$D$22/1000000,0)</f>
        <v>0</v>
      </c>
      <c r="J33" s="23" t="n">
        <f aca="false">SUMPRODUCT((Inputs!$C$38:$C$45=B33)*Inputs!$D$38:$D$45)</f>
        <v>0</v>
      </c>
      <c r="K33" s="24" t="n">
        <f aca="false">IF(B33=1,Inputs!$D$24/1000000,0)</f>
        <v>0</v>
      </c>
      <c r="L33" s="24" t="n">
        <f aca="false">Inputs!$D$25/1000000</f>
        <v>0.125</v>
      </c>
      <c r="M33" s="24" t="n">
        <f aca="false">J33+K33+L33</f>
        <v>0.125</v>
      </c>
      <c r="N33" s="24" t="n">
        <f aca="false">G33-I33+M33</f>
        <v>1.0039375</v>
      </c>
      <c r="O33" s="23" t="n">
        <f aca="false">SUMPRODUCT((Inputs!$E$38:$E$45=B33)*Inputs!$F$38:$F$45)</f>
        <v>0</v>
      </c>
      <c r="P33" s="24" t="n">
        <f aca="false">Flows!$E$4*M33+H33-I33</f>
        <v>1.0014375</v>
      </c>
      <c r="Q33" s="24" t="n">
        <f aca="false">Flows!$E$4*O33</f>
        <v>0</v>
      </c>
      <c r="R33" s="23" t="n">
        <f aca="false">SUMPRODUCT((Inputs!$C$38:$C$45&lt;=B33)*(Inputs!$E$38:$E$45&gt;=B33)*Inputs!$D$38:$D$45)</f>
        <v>287</v>
      </c>
    </row>
    <row r="34" customFormat="false" ht="15" hidden="false" customHeight="false" outlineLevel="0" collapsed="false">
      <c r="B34" s="7" t="n">
        <v>28</v>
      </c>
      <c r="C34" s="21" t="n">
        <f aca="false">(B34-1)/4</f>
        <v>6.75</v>
      </c>
      <c r="D34" s="21" t="n">
        <f aca="false">B34/4</f>
        <v>7</v>
      </c>
      <c r="E34" s="22" t="n">
        <f aca="false">INT((B34-1)/4)+1</f>
        <v>7</v>
      </c>
      <c r="F34" s="23" t="n">
        <f aca="false">IF(B34&lt;Inputs!$D$26,SUMPRODUCT(Inputs!$D$6:$D$15,Inputs!$F$6:$F$15),SUMPRODUCT(Inputs!$G$6:$G$15,Inputs!$F$6:$F$15))/1000000</f>
        <v>490</v>
      </c>
      <c r="G34" s="24" t="n">
        <f aca="false">IF(E34&lt;=Inputs!$D$21,Inputs!$D$19*F34/4,Inputs!$D$20*R34*Flows!$E$4/4)</f>
        <v>0.8789375</v>
      </c>
      <c r="H34" s="24" t="n">
        <f aca="false">IF(E34&lt;=Inputs!$D$21,Inputs!$D$19*SUMPRODUCT(Inputs!$G$6:$G$15,Inputs!$F$6:$F$15)/1000000/4,G34)</f>
        <v>0.8789375</v>
      </c>
      <c r="I34" s="24" t="n">
        <f aca="false">IF(B34=Inputs!$D$23,Inputs!$D$22/1000000,0)</f>
        <v>0</v>
      </c>
      <c r="J34" s="23" t="n">
        <f aca="false">SUMPRODUCT((Inputs!$C$38:$C$45=B34)*Inputs!$D$38:$D$45)</f>
        <v>0</v>
      </c>
      <c r="K34" s="24" t="n">
        <f aca="false">IF(B34=1,Inputs!$D$24/1000000,0)</f>
        <v>0</v>
      </c>
      <c r="L34" s="24" t="n">
        <f aca="false">Inputs!$D$25/1000000</f>
        <v>0.125</v>
      </c>
      <c r="M34" s="24" t="n">
        <f aca="false">J34+K34+L34</f>
        <v>0.125</v>
      </c>
      <c r="N34" s="24" t="n">
        <f aca="false">G34-I34+M34</f>
        <v>1.0039375</v>
      </c>
      <c r="O34" s="23" t="n">
        <f aca="false">SUMPRODUCT((Inputs!$E$38:$E$45=B34)*Inputs!$F$38:$F$45)</f>
        <v>150</v>
      </c>
      <c r="P34" s="24" t="n">
        <f aca="false">Flows!$E$4*M34+H34-I34</f>
        <v>1.0014375</v>
      </c>
      <c r="Q34" s="24" t="n">
        <f aca="false">Flows!$E$4*O34</f>
        <v>147</v>
      </c>
      <c r="R34" s="23" t="n">
        <f aca="false">SUMPRODUCT((Inputs!$C$38:$C$45&lt;=B34)*(Inputs!$E$38:$E$45&gt;=B34)*Inputs!$D$38:$D$45)</f>
        <v>287</v>
      </c>
    </row>
    <row r="35" customFormat="false" ht="15" hidden="false" customHeight="false" outlineLevel="0" collapsed="false">
      <c r="B35" s="7" t="n">
        <v>29</v>
      </c>
      <c r="C35" s="21" t="n">
        <f aca="false">(B35-1)/4</f>
        <v>7</v>
      </c>
      <c r="D35" s="21" t="n">
        <f aca="false">B35/4</f>
        <v>7.25</v>
      </c>
      <c r="E35" s="22" t="n">
        <f aca="false">INT((B35-1)/4)+1</f>
        <v>8</v>
      </c>
      <c r="F35" s="23" t="n">
        <f aca="false">IF(B35&lt;Inputs!$D$26,SUMPRODUCT(Inputs!$D$6:$D$15,Inputs!$F$6:$F$15),SUMPRODUCT(Inputs!$G$6:$G$15,Inputs!$F$6:$F$15))/1000000</f>
        <v>490</v>
      </c>
      <c r="G35" s="24" t="n">
        <f aca="false">IF(E35&lt;=Inputs!$D$21,Inputs!$D$19*F35/4,Inputs!$D$20*R35*Flows!$E$4/4)</f>
        <v>0.6951875</v>
      </c>
      <c r="H35" s="24" t="n">
        <f aca="false">IF(E35&lt;=Inputs!$D$21,Inputs!$D$19*SUMPRODUCT(Inputs!$G$6:$G$15,Inputs!$F$6:$F$15)/1000000/4,G35)</f>
        <v>0.6951875</v>
      </c>
      <c r="I35" s="24" t="n">
        <f aca="false">IF(B35=Inputs!$D$23,Inputs!$D$22/1000000,0)</f>
        <v>0</v>
      </c>
      <c r="J35" s="23" t="n">
        <f aca="false">SUMPRODUCT((Inputs!$C$38:$C$45=B35)*Inputs!$D$38:$D$45)</f>
        <v>0</v>
      </c>
      <c r="K35" s="24" t="n">
        <f aca="false">IF(B35=1,Inputs!$D$24/1000000,0)</f>
        <v>0</v>
      </c>
      <c r="L35" s="24" t="n">
        <f aca="false">Inputs!$D$25/1000000</f>
        <v>0.125</v>
      </c>
      <c r="M35" s="24" t="n">
        <f aca="false">J35+K35+L35</f>
        <v>0.125</v>
      </c>
      <c r="N35" s="24" t="n">
        <f aca="false">G35-I35+M35</f>
        <v>0.8201875</v>
      </c>
      <c r="O35" s="23" t="n">
        <f aca="false">SUMPRODUCT((Inputs!$E$38:$E$45=B35)*Inputs!$F$38:$F$45)</f>
        <v>0</v>
      </c>
      <c r="P35" s="24" t="n">
        <f aca="false">Flows!$E$4*M35+H35-I35</f>
        <v>0.8176875</v>
      </c>
      <c r="Q35" s="24" t="n">
        <f aca="false">Flows!$E$4*O35</f>
        <v>0</v>
      </c>
      <c r="R35" s="23" t="n">
        <f aca="false">SUMPRODUCT((Inputs!$C$38:$C$45&lt;=B35)*(Inputs!$E$38:$E$45&gt;=B35)*Inputs!$D$38:$D$45)</f>
        <v>227</v>
      </c>
    </row>
    <row r="36" customFormat="false" ht="15" hidden="false" customHeight="false" outlineLevel="0" collapsed="false">
      <c r="B36" s="7" t="n">
        <v>30</v>
      </c>
      <c r="C36" s="21" t="n">
        <f aca="false">(B36-1)/4</f>
        <v>7.25</v>
      </c>
      <c r="D36" s="21" t="n">
        <f aca="false">B36/4</f>
        <v>7.5</v>
      </c>
      <c r="E36" s="22" t="n">
        <f aca="false">INT((B36-1)/4)+1</f>
        <v>8</v>
      </c>
      <c r="F36" s="23" t="n">
        <f aca="false">IF(B36&lt;Inputs!$D$26,SUMPRODUCT(Inputs!$D$6:$D$15,Inputs!$F$6:$F$15),SUMPRODUCT(Inputs!$G$6:$G$15,Inputs!$F$6:$F$15))/1000000</f>
        <v>490</v>
      </c>
      <c r="G36" s="24" t="n">
        <f aca="false">IF(E36&lt;=Inputs!$D$21,Inputs!$D$19*F36/4,Inputs!$D$20*R36*Flows!$E$4/4)</f>
        <v>0.6951875</v>
      </c>
      <c r="H36" s="24" t="n">
        <f aca="false">IF(E36&lt;=Inputs!$D$21,Inputs!$D$19*SUMPRODUCT(Inputs!$G$6:$G$15,Inputs!$F$6:$F$15)/1000000/4,G36)</f>
        <v>0.6951875</v>
      </c>
      <c r="I36" s="24" t="n">
        <f aca="false">IF(B36=Inputs!$D$23,Inputs!$D$22/1000000,0)</f>
        <v>0</v>
      </c>
      <c r="J36" s="23" t="n">
        <f aca="false">SUMPRODUCT((Inputs!$C$38:$C$45=B36)*Inputs!$D$38:$D$45)</f>
        <v>0</v>
      </c>
      <c r="K36" s="24" t="n">
        <f aca="false">IF(B36=1,Inputs!$D$24/1000000,0)</f>
        <v>0</v>
      </c>
      <c r="L36" s="24" t="n">
        <f aca="false">Inputs!$D$25/1000000</f>
        <v>0.125</v>
      </c>
      <c r="M36" s="24" t="n">
        <f aca="false">J36+K36+L36</f>
        <v>0.125</v>
      </c>
      <c r="N36" s="24" t="n">
        <f aca="false">G36-I36+M36</f>
        <v>0.8201875</v>
      </c>
      <c r="O36" s="23" t="n">
        <f aca="false">SUMPRODUCT((Inputs!$E$38:$E$45=B36)*Inputs!$F$38:$F$45)</f>
        <v>121</v>
      </c>
      <c r="P36" s="24" t="n">
        <f aca="false">Flows!$E$4*M36+H36-I36</f>
        <v>0.8176875</v>
      </c>
      <c r="Q36" s="24" t="n">
        <f aca="false">Flows!$E$4*O36</f>
        <v>118.58</v>
      </c>
      <c r="R36" s="23" t="n">
        <f aca="false">SUMPRODUCT((Inputs!$C$38:$C$45&lt;=B36)*(Inputs!$E$38:$E$45&gt;=B36)*Inputs!$D$38:$D$45)</f>
        <v>227</v>
      </c>
    </row>
    <row r="37" customFormat="false" ht="15" hidden="false" customHeight="false" outlineLevel="0" collapsed="false">
      <c r="B37" s="7" t="n">
        <v>31</v>
      </c>
      <c r="C37" s="21" t="n">
        <f aca="false">(B37-1)/4</f>
        <v>7.5</v>
      </c>
      <c r="D37" s="21" t="n">
        <f aca="false">B37/4</f>
        <v>7.75</v>
      </c>
      <c r="E37" s="22" t="n">
        <f aca="false">INT((B37-1)/4)+1</f>
        <v>8</v>
      </c>
      <c r="F37" s="23" t="n">
        <f aca="false">IF(B37&lt;Inputs!$D$26,SUMPRODUCT(Inputs!$D$6:$D$15,Inputs!$F$6:$F$15),SUMPRODUCT(Inputs!$G$6:$G$15,Inputs!$F$6:$F$15))/1000000</f>
        <v>490</v>
      </c>
      <c r="G37" s="24" t="n">
        <f aca="false">IF(E37&lt;=Inputs!$D$21,Inputs!$D$19*F37/4,Inputs!$D$20*R37*Flows!$E$4/4)</f>
        <v>0.52675</v>
      </c>
      <c r="H37" s="24" t="n">
        <f aca="false">IF(E37&lt;=Inputs!$D$21,Inputs!$D$19*SUMPRODUCT(Inputs!$G$6:$G$15,Inputs!$F$6:$F$15)/1000000/4,G37)</f>
        <v>0.52675</v>
      </c>
      <c r="I37" s="24" t="n">
        <f aca="false">IF(B37=Inputs!$D$23,Inputs!$D$22/1000000,0)</f>
        <v>0</v>
      </c>
      <c r="J37" s="23" t="n">
        <f aca="false">SUMPRODUCT((Inputs!$C$38:$C$45=B37)*Inputs!$D$38:$D$45)</f>
        <v>0</v>
      </c>
      <c r="K37" s="24" t="n">
        <f aca="false">IF(B37=1,Inputs!$D$24/1000000,0)</f>
        <v>0</v>
      </c>
      <c r="L37" s="24" t="n">
        <f aca="false">Inputs!$D$25/1000000</f>
        <v>0.125</v>
      </c>
      <c r="M37" s="24" t="n">
        <f aca="false">J37+K37+L37</f>
        <v>0.125</v>
      </c>
      <c r="N37" s="24" t="n">
        <f aca="false">G37-I37+M37</f>
        <v>0.65175</v>
      </c>
      <c r="O37" s="23" t="n">
        <f aca="false">SUMPRODUCT((Inputs!$E$38:$E$45=B37)*Inputs!$F$38:$F$45)</f>
        <v>0</v>
      </c>
      <c r="P37" s="24" t="n">
        <f aca="false">Flows!$E$4*M37+H37-I37</f>
        <v>0.64925</v>
      </c>
      <c r="Q37" s="24" t="n">
        <f aca="false">Flows!$E$4*O37</f>
        <v>0</v>
      </c>
      <c r="R37" s="23" t="n">
        <f aca="false">SUMPRODUCT((Inputs!$C$38:$C$45&lt;=B37)*(Inputs!$E$38:$E$45&gt;=B37)*Inputs!$D$38:$D$45)</f>
        <v>172</v>
      </c>
    </row>
    <row r="38" customFormat="false" ht="15" hidden="false" customHeight="false" outlineLevel="0" collapsed="false">
      <c r="B38" s="7" t="n">
        <v>32</v>
      </c>
      <c r="C38" s="21" t="n">
        <f aca="false">(B38-1)/4</f>
        <v>7.75</v>
      </c>
      <c r="D38" s="21" t="n">
        <f aca="false">B38/4</f>
        <v>8</v>
      </c>
      <c r="E38" s="22" t="n">
        <f aca="false">INT((B38-1)/4)+1</f>
        <v>8</v>
      </c>
      <c r="F38" s="23" t="n">
        <f aca="false">IF(B38&lt;Inputs!$D$26,SUMPRODUCT(Inputs!$D$6:$D$15,Inputs!$F$6:$F$15),SUMPRODUCT(Inputs!$G$6:$G$15,Inputs!$F$6:$F$15))/1000000</f>
        <v>490</v>
      </c>
      <c r="G38" s="24" t="n">
        <f aca="false">IF(E38&lt;=Inputs!$D$21,Inputs!$D$19*F38/4,Inputs!$D$20*R38*Flows!$E$4/4)</f>
        <v>0.52675</v>
      </c>
      <c r="H38" s="24" t="n">
        <f aca="false">IF(E38&lt;=Inputs!$D$21,Inputs!$D$19*SUMPRODUCT(Inputs!$G$6:$G$15,Inputs!$F$6:$F$15)/1000000/4,G38)</f>
        <v>0.52675</v>
      </c>
      <c r="I38" s="24" t="n">
        <f aca="false">IF(B38=Inputs!$D$23,Inputs!$D$22/1000000,0)</f>
        <v>0</v>
      </c>
      <c r="J38" s="23" t="n">
        <f aca="false">SUMPRODUCT((Inputs!$C$38:$C$45=B38)*Inputs!$D$38:$D$45)</f>
        <v>0</v>
      </c>
      <c r="K38" s="24" t="n">
        <f aca="false">IF(B38=1,Inputs!$D$24/1000000,0)</f>
        <v>0</v>
      </c>
      <c r="L38" s="24" t="n">
        <f aca="false">Inputs!$D$25/1000000</f>
        <v>0.125</v>
      </c>
      <c r="M38" s="24" t="n">
        <f aca="false">J38+K38+L38</f>
        <v>0.125</v>
      </c>
      <c r="N38" s="24" t="n">
        <f aca="false">G38-I38+M38</f>
        <v>0.65175</v>
      </c>
      <c r="O38" s="23" t="n">
        <f aca="false">SUMPRODUCT((Inputs!$E$38:$E$45=B38)*Inputs!$F$38:$F$45)</f>
        <v>0</v>
      </c>
      <c r="P38" s="24" t="n">
        <f aca="false">Flows!$E$4*M38+H38-I38</f>
        <v>0.64925</v>
      </c>
      <c r="Q38" s="24" t="n">
        <f aca="false">Flows!$E$4*O38</f>
        <v>0</v>
      </c>
      <c r="R38" s="23" t="n">
        <f aca="false">SUMPRODUCT((Inputs!$C$38:$C$45&lt;=B38)*(Inputs!$E$38:$E$45&gt;=B38)*Inputs!$D$38:$D$45)</f>
        <v>172</v>
      </c>
    </row>
    <row r="39" customFormat="false" ht="15" hidden="false" customHeight="false" outlineLevel="0" collapsed="false">
      <c r="B39" s="7" t="n">
        <v>33</v>
      </c>
      <c r="C39" s="21" t="n">
        <f aca="false">(B39-1)/4</f>
        <v>8</v>
      </c>
      <c r="D39" s="21" t="n">
        <f aca="false">B39/4</f>
        <v>8.25</v>
      </c>
      <c r="E39" s="22" t="n">
        <f aca="false">INT((B39-1)/4)+1</f>
        <v>9</v>
      </c>
      <c r="F39" s="23" t="n">
        <f aca="false">IF(B39&lt;Inputs!$D$26,SUMPRODUCT(Inputs!$D$6:$D$15,Inputs!$F$6:$F$15),SUMPRODUCT(Inputs!$G$6:$G$15,Inputs!$F$6:$F$15))/1000000</f>
        <v>490</v>
      </c>
      <c r="G39" s="24" t="n">
        <f aca="false">IF(E39&lt;=Inputs!$D$21,Inputs!$D$19*F39/4,Inputs!$D$20*R39*Flows!$E$4/4)</f>
        <v>0.52675</v>
      </c>
      <c r="H39" s="24" t="n">
        <f aca="false">IF(E39&lt;=Inputs!$D$21,Inputs!$D$19*SUMPRODUCT(Inputs!$G$6:$G$15,Inputs!$F$6:$F$15)/1000000/4,G39)</f>
        <v>0.52675</v>
      </c>
      <c r="I39" s="24" t="n">
        <f aca="false">IF(B39=Inputs!$D$23,Inputs!$D$22/1000000,0)</f>
        <v>0</v>
      </c>
      <c r="J39" s="23" t="n">
        <f aca="false">SUMPRODUCT((Inputs!$C$38:$C$45=B39)*Inputs!$D$38:$D$45)</f>
        <v>0</v>
      </c>
      <c r="K39" s="24" t="n">
        <f aca="false">IF(B39=1,Inputs!$D$24/1000000,0)</f>
        <v>0</v>
      </c>
      <c r="L39" s="24" t="n">
        <f aca="false">Inputs!$D$25/1000000</f>
        <v>0.125</v>
      </c>
      <c r="M39" s="24" t="n">
        <f aca="false">J39+K39+L39</f>
        <v>0.125</v>
      </c>
      <c r="N39" s="24" t="n">
        <f aca="false">G39-I39+M39</f>
        <v>0.65175</v>
      </c>
      <c r="O39" s="23" t="n">
        <f aca="false">SUMPRODUCT((Inputs!$E$38:$E$45=B39)*Inputs!$F$38:$F$45)</f>
        <v>0</v>
      </c>
      <c r="P39" s="24" t="n">
        <f aca="false">Flows!$E$4*M39+H39-I39</f>
        <v>0.64925</v>
      </c>
      <c r="Q39" s="24" t="n">
        <f aca="false">Flows!$E$4*O39</f>
        <v>0</v>
      </c>
      <c r="R39" s="23" t="n">
        <f aca="false">SUMPRODUCT((Inputs!$C$38:$C$45&lt;=B39)*(Inputs!$E$38:$E$45&gt;=B39)*Inputs!$D$38:$D$45)</f>
        <v>172</v>
      </c>
    </row>
    <row r="40" customFormat="false" ht="15" hidden="false" customHeight="false" outlineLevel="0" collapsed="false">
      <c r="B40" s="7" t="n">
        <v>34</v>
      </c>
      <c r="C40" s="21" t="n">
        <f aca="false">(B40-1)/4</f>
        <v>8.25</v>
      </c>
      <c r="D40" s="21" t="n">
        <f aca="false">B40/4</f>
        <v>8.5</v>
      </c>
      <c r="E40" s="22" t="n">
        <f aca="false">INT((B40-1)/4)+1</f>
        <v>9</v>
      </c>
      <c r="F40" s="23" t="n">
        <f aca="false">IF(B40&lt;Inputs!$D$26,SUMPRODUCT(Inputs!$D$6:$D$15,Inputs!$F$6:$F$15),SUMPRODUCT(Inputs!$G$6:$G$15,Inputs!$F$6:$F$15))/1000000</f>
        <v>490</v>
      </c>
      <c r="G40" s="24" t="n">
        <f aca="false">IF(E40&lt;=Inputs!$D$21,Inputs!$D$19*F40/4,Inputs!$D$20*R40*Flows!$E$4/4)</f>
        <v>0.52675</v>
      </c>
      <c r="H40" s="24" t="n">
        <f aca="false">IF(E40&lt;=Inputs!$D$21,Inputs!$D$19*SUMPRODUCT(Inputs!$G$6:$G$15,Inputs!$F$6:$F$15)/1000000/4,G40)</f>
        <v>0.52675</v>
      </c>
      <c r="I40" s="24" t="n">
        <f aca="false">IF(B40=Inputs!$D$23,Inputs!$D$22/1000000,0)</f>
        <v>0</v>
      </c>
      <c r="J40" s="23" t="n">
        <f aca="false">SUMPRODUCT((Inputs!$C$38:$C$45=B40)*Inputs!$D$38:$D$45)</f>
        <v>0</v>
      </c>
      <c r="K40" s="24" t="n">
        <f aca="false">IF(B40=1,Inputs!$D$24/1000000,0)</f>
        <v>0</v>
      </c>
      <c r="L40" s="24" t="n">
        <f aca="false">Inputs!$D$25/1000000</f>
        <v>0.125</v>
      </c>
      <c r="M40" s="24" t="n">
        <f aca="false">J40+K40+L40</f>
        <v>0.125</v>
      </c>
      <c r="N40" s="24" t="n">
        <f aca="false">G40-I40+M40</f>
        <v>0.65175</v>
      </c>
      <c r="O40" s="23" t="n">
        <f aca="false">SUMPRODUCT((Inputs!$E$38:$E$45=B40)*Inputs!$F$38:$F$45)</f>
        <v>150</v>
      </c>
      <c r="P40" s="24" t="n">
        <f aca="false">Flows!$E$4*M40+H40-I40</f>
        <v>0.64925</v>
      </c>
      <c r="Q40" s="24" t="n">
        <f aca="false">Flows!$E$4*O40</f>
        <v>147</v>
      </c>
      <c r="R40" s="23" t="n">
        <f aca="false">SUMPRODUCT((Inputs!$C$38:$C$45&lt;=B40)*(Inputs!$E$38:$E$45&gt;=B40)*Inputs!$D$38:$D$45)</f>
        <v>172</v>
      </c>
    </row>
    <row r="41" customFormat="false" ht="15" hidden="false" customHeight="false" outlineLevel="0" collapsed="false">
      <c r="B41" s="7" t="n">
        <v>35</v>
      </c>
      <c r="C41" s="21" t="n">
        <f aca="false">(B41-1)/4</f>
        <v>8.5</v>
      </c>
      <c r="D41" s="21" t="n">
        <f aca="false">B41/4</f>
        <v>8.75</v>
      </c>
      <c r="E41" s="22" t="n">
        <f aca="false">INT((B41-1)/4)+1</f>
        <v>9</v>
      </c>
      <c r="F41" s="23" t="n">
        <f aca="false">IF(B41&lt;Inputs!$D$26,SUMPRODUCT(Inputs!$D$6:$D$15,Inputs!$F$6:$F$15),SUMPRODUCT(Inputs!$G$6:$G$15,Inputs!$F$6:$F$15))/1000000</f>
        <v>490</v>
      </c>
      <c r="G41" s="24" t="n">
        <f aca="false">IF(E41&lt;=Inputs!$D$21,Inputs!$D$19*F41/4,Inputs!$D$20*R41*Flows!$E$4/4)</f>
        <v>0.373625</v>
      </c>
      <c r="H41" s="24" t="n">
        <f aca="false">IF(E41&lt;=Inputs!$D$21,Inputs!$D$19*SUMPRODUCT(Inputs!$G$6:$G$15,Inputs!$F$6:$F$15)/1000000/4,G41)</f>
        <v>0.373625</v>
      </c>
      <c r="I41" s="24" t="n">
        <f aca="false">IF(B41=Inputs!$D$23,Inputs!$D$22/1000000,0)</f>
        <v>0</v>
      </c>
      <c r="J41" s="23" t="n">
        <f aca="false">SUMPRODUCT((Inputs!$C$38:$C$45=B41)*Inputs!$D$38:$D$45)</f>
        <v>0</v>
      </c>
      <c r="K41" s="24" t="n">
        <f aca="false">IF(B41=1,Inputs!$D$24/1000000,0)</f>
        <v>0</v>
      </c>
      <c r="L41" s="24" t="n">
        <f aca="false">Inputs!$D$25/1000000</f>
        <v>0.125</v>
      </c>
      <c r="M41" s="24" t="n">
        <f aca="false">J41+K41+L41</f>
        <v>0.125</v>
      </c>
      <c r="N41" s="24" t="n">
        <f aca="false">G41-I41+M41</f>
        <v>0.498625</v>
      </c>
      <c r="O41" s="23" t="n">
        <f aca="false">SUMPRODUCT((Inputs!$E$38:$E$45=B41)*Inputs!$F$38:$F$45)</f>
        <v>0</v>
      </c>
      <c r="P41" s="24" t="n">
        <f aca="false">Flows!$E$4*M41+H41-I41</f>
        <v>0.496125</v>
      </c>
      <c r="Q41" s="24" t="n">
        <f aca="false">Flows!$E$4*O41</f>
        <v>0</v>
      </c>
      <c r="R41" s="23" t="n">
        <f aca="false">SUMPRODUCT((Inputs!$C$38:$C$45&lt;=B41)*(Inputs!$E$38:$E$45&gt;=B41)*Inputs!$D$38:$D$45)</f>
        <v>122</v>
      </c>
    </row>
    <row r="42" customFormat="false" ht="15" hidden="false" customHeight="false" outlineLevel="0" collapsed="false">
      <c r="B42" s="7" t="n">
        <v>36</v>
      </c>
      <c r="C42" s="21" t="n">
        <f aca="false">(B42-1)/4</f>
        <v>8.75</v>
      </c>
      <c r="D42" s="21" t="n">
        <f aca="false">B42/4</f>
        <v>9</v>
      </c>
      <c r="E42" s="22" t="n">
        <f aca="false">INT((B42-1)/4)+1</f>
        <v>9</v>
      </c>
      <c r="F42" s="23" t="n">
        <f aca="false">IF(B42&lt;Inputs!$D$26,SUMPRODUCT(Inputs!$D$6:$D$15,Inputs!$F$6:$F$15),SUMPRODUCT(Inputs!$G$6:$G$15,Inputs!$F$6:$F$15))/1000000</f>
        <v>490</v>
      </c>
      <c r="G42" s="24" t="n">
        <f aca="false">IF(E42&lt;=Inputs!$D$21,Inputs!$D$19*F42/4,Inputs!$D$20*R42*Flows!$E$4/4)</f>
        <v>0.373625</v>
      </c>
      <c r="H42" s="24" t="n">
        <f aca="false">IF(E42&lt;=Inputs!$D$21,Inputs!$D$19*SUMPRODUCT(Inputs!$G$6:$G$15,Inputs!$F$6:$F$15)/1000000/4,G42)</f>
        <v>0.373625</v>
      </c>
      <c r="I42" s="24" t="n">
        <f aca="false">IF(B42=Inputs!$D$23,Inputs!$D$22/1000000,0)</f>
        <v>0</v>
      </c>
      <c r="J42" s="23" t="n">
        <f aca="false">SUMPRODUCT((Inputs!$C$38:$C$45=B42)*Inputs!$D$38:$D$45)</f>
        <v>0</v>
      </c>
      <c r="K42" s="24" t="n">
        <f aca="false">IF(B42=1,Inputs!$D$24/1000000,0)</f>
        <v>0</v>
      </c>
      <c r="L42" s="24" t="n">
        <f aca="false">Inputs!$D$25/1000000</f>
        <v>0.125</v>
      </c>
      <c r="M42" s="24" t="n">
        <f aca="false">J42+K42+L42</f>
        <v>0.125</v>
      </c>
      <c r="N42" s="24" t="n">
        <f aca="false">G42-I42+M42</f>
        <v>0.498625</v>
      </c>
      <c r="O42" s="23" t="n">
        <f aca="false">SUMPRODUCT((Inputs!$E$38:$E$45=B42)*Inputs!$F$38:$F$45)</f>
        <v>168</v>
      </c>
      <c r="P42" s="24" t="n">
        <f aca="false">Flows!$E$4*M42+H42-I42</f>
        <v>0.496125</v>
      </c>
      <c r="Q42" s="24" t="n">
        <f aca="false">Flows!$E$4*O42</f>
        <v>164.64</v>
      </c>
      <c r="R42" s="23" t="n">
        <f aca="false">SUMPRODUCT((Inputs!$C$38:$C$45&lt;=B42)*(Inputs!$E$38:$E$45&gt;=B42)*Inputs!$D$38:$D$45)</f>
        <v>122</v>
      </c>
    </row>
    <row r="43" customFormat="false" ht="15" hidden="false" customHeight="false" outlineLevel="0" collapsed="false">
      <c r="B43" s="7" t="n">
        <v>37</v>
      </c>
      <c r="C43" s="21" t="n">
        <f aca="false">(B43-1)/4</f>
        <v>9</v>
      </c>
      <c r="D43" s="21" t="n">
        <f aca="false">B43/4</f>
        <v>9.25</v>
      </c>
      <c r="E43" s="22" t="n">
        <f aca="false">INT((B43-1)/4)+1</f>
        <v>10</v>
      </c>
      <c r="F43" s="23" t="n">
        <f aca="false">IF(B43&lt;Inputs!$D$26,SUMPRODUCT(Inputs!$D$6:$D$15,Inputs!$F$6:$F$15),SUMPRODUCT(Inputs!$G$6:$G$15,Inputs!$F$6:$F$15))/1000000</f>
        <v>490</v>
      </c>
      <c r="G43" s="24" t="n">
        <f aca="false">IF(E43&lt;=Inputs!$D$21,Inputs!$D$19*F43/4,Inputs!$D$20*R43*Flows!$E$4/4)</f>
        <v>0.15925</v>
      </c>
      <c r="H43" s="24" t="n">
        <f aca="false">IF(E43&lt;=Inputs!$D$21,Inputs!$D$19*SUMPRODUCT(Inputs!$G$6:$G$15,Inputs!$F$6:$F$15)/1000000/4,G43)</f>
        <v>0.15925</v>
      </c>
      <c r="I43" s="24" t="n">
        <f aca="false">IF(B43=Inputs!$D$23,Inputs!$D$22/1000000,0)</f>
        <v>0</v>
      </c>
      <c r="J43" s="23" t="n">
        <f aca="false">SUMPRODUCT((Inputs!$C$38:$C$45=B43)*Inputs!$D$38:$D$45)</f>
        <v>0</v>
      </c>
      <c r="K43" s="24" t="n">
        <f aca="false">IF(B43=1,Inputs!$D$24/1000000,0)</f>
        <v>0</v>
      </c>
      <c r="L43" s="24" t="n">
        <f aca="false">Inputs!$D$25/1000000</f>
        <v>0.125</v>
      </c>
      <c r="M43" s="24" t="n">
        <f aca="false">J43+K43+L43</f>
        <v>0.125</v>
      </c>
      <c r="N43" s="24" t="n">
        <f aca="false">G43-I43+M43</f>
        <v>0.28425</v>
      </c>
      <c r="O43" s="23" t="n">
        <f aca="false">SUMPRODUCT((Inputs!$E$38:$E$45=B43)*Inputs!$F$38:$F$45)</f>
        <v>0</v>
      </c>
      <c r="P43" s="24" t="n">
        <f aca="false">Flows!$E$4*M43+H43-I43</f>
        <v>0.28175</v>
      </c>
      <c r="Q43" s="24" t="n">
        <f aca="false">Flows!$E$4*O43</f>
        <v>0</v>
      </c>
      <c r="R43" s="23" t="n">
        <f aca="false">SUMPRODUCT((Inputs!$C$38:$C$45&lt;=B43)*(Inputs!$E$38:$E$45&gt;=B43)*Inputs!$D$38:$D$45)</f>
        <v>52</v>
      </c>
    </row>
    <row r="44" customFormat="false" ht="15" hidden="false" customHeight="false" outlineLevel="0" collapsed="false">
      <c r="B44" s="7" t="n">
        <v>38</v>
      </c>
      <c r="C44" s="21" t="n">
        <f aca="false">(B44-1)/4</f>
        <v>9.25</v>
      </c>
      <c r="D44" s="21" t="n">
        <f aca="false">B44/4</f>
        <v>9.5</v>
      </c>
      <c r="E44" s="22" t="n">
        <f aca="false">INT((B44-1)/4)+1</f>
        <v>10</v>
      </c>
      <c r="F44" s="23" t="n">
        <f aca="false">IF(B44&lt;Inputs!$D$26,SUMPRODUCT(Inputs!$D$6:$D$15,Inputs!$F$6:$F$15),SUMPRODUCT(Inputs!$G$6:$G$15,Inputs!$F$6:$F$15))/1000000</f>
        <v>490</v>
      </c>
      <c r="G44" s="24" t="n">
        <f aca="false">IF(E44&lt;=Inputs!$D$21,Inputs!$D$19*F44/4,Inputs!$D$20*R44*Flows!$E$4/4)</f>
        <v>0.15925</v>
      </c>
      <c r="H44" s="24" t="n">
        <f aca="false">IF(E44&lt;=Inputs!$D$21,Inputs!$D$19*SUMPRODUCT(Inputs!$G$6:$G$15,Inputs!$F$6:$F$15)/1000000/4,G44)</f>
        <v>0.15925</v>
      </c>
      <c r="I44" s="24" t="n">
        <f aca="false">IF(B44=Inputs!$D$23,Inputs!$D$22/1000000,0)</f>
        <v>0</v>
      </c>
      <c r="J44" s="23" t="n">
        <f aca="false">SUMPRODUCT((Inputs!$C$38:$C$45=B44)*Inputs!$D$38:$D$45)</f>
        <v>0</v>
      </c>
      <c r="K44" s="24" t="n">
        <f aca="false">IF(B44=1,Inputs!$D$24/1000000,0)</f>
        <v>0</v>
      </c>
      <c r="L44" s="24" t="n">
        <f aca="false">Inputs!$D$25/1000000</f>
        <v>0.125</v>
      </c>
      <c r="M44" s="24" t="n">
        <f aca="false">J44+K44+L44</f>
        <v>0.125</v>
      </c>
      <c r="N44" s="24" t="n">
        <f aca="false">G44-I44+M44</f>
        <v>0.28425</v>
      </c>
      <c r="O44" s="23" t="n">
        <f aca="false">SUMPRODUCT((Inputs!$E$38:$E$45=B44)*Inputs!$F$38:$F$45)</f>
        <v>0</v>
      </c>
      <c r="P44" s="24" t="n">
        <f aca="false">Flows!$E$4*M44+H44-I44</f>
        <v>0.28175</v>
      </c>
      <c r="Q44" s="24" t="n">
        <f aca="false">Flows!$E$4*O44</f>
        <v>0</v>
      </c>
      <c r="R44" s="23" t="n">
        <f aca="false">SUMPRODUCT((Inputs!$C$38:$C$45&lt;=B44)*(Inputs!$E$38:$E$45&gt;=B44)*Inputs!$D$38:$D$45)</f>
        <v>52</v>
      </c>
    </row>
    <row r="45" customFormat="false" ht="15" hidden="false" customHeight="false" outlineLevel="0" collapsed="false">
      <c r="B45" s="7" t="n">
        <v>39</v>
      </c>
      <c r="C45" s="21" t="n">
        <f aca="false">(B45-1)/4</f>
        <v>9.5</v>
      </c>
      <c r="D45" s="21" t="n">
        <f aca="false">B45/4</f>
        <v>9.75</v>
      </c>
      <c r="E45" s="22" t="n">
        <f aca="false">INT((B45-1)/4)+1</f>
        <v>10</v>
      </c>
      <c r="F45" s="23" t="n">
        <f aca="false">IF(B45&lt;Inputs!$D$26,SUMPRODUCT(Inputs!$D$6:$D$15,Inputs!$F$6:$F$15),SUMPRODUCT(Inputs!$G$6:$G$15,Inputs!$F$6:$F$15))/1000000</f>
        <v>490</v>
      </c>
      <c r="G45" s="24" t="n">
        <f aca="false">IF(E45&lt;=Inputs!$D$21,Inputs!$D$19*F45/4,Inputs!$D$20*R45*Flows!$E$4/4)</f>
        <v>0.15925</v>
      </c>
      <c r="H45" s="24" t="n">
        <f aca="false">IF(E45&lt;=Inputs!$D$21,Inputs!$D$19*SUMPRODUCT(Inputs!$G$6:$G$15,Inputs!$F$6:$F$15)/1000000/4,G45)</f>
        <v>0.15925</v>
      </c>
      <c r="I45" s="24" t="n">
        <f aca="false">IF(B45=Inputs!$D$23,Inputs!$D$22/1000000,0)</f>
        <v>0</v>
      </c>
      <c r="J45" s="23" t="n">
        <f aca="false">SUMPRODUCT((Inputs!$C$38:$C$45=B45)*Inputs!$D$38:$D$45)</f>
        <v>0</v>
      </c>
      <c r="K45" s="24" t="n">
        <f aca="false">IF(B45=1,Inputs!$D$24/1000000,0)</f>
        <v>0</v>
      </c>
      <c r="L45" s="24" t="n">
        <f aca="false">Inputs!$D$25/1000000</f>
        <v>0.125</v>
      </c>
      <c r="M45" s="24" t="n">
        <f aca="false">J45+K45+L45</f>
        <v>0.125</v>
      </c>
      <c r="N45" s="24" t="n">
        <f aca="false">G45-I45+M45</f>
        <v>0.28425</v>
      </c>
      <c r="O45" s="23" t="n">
        <f aca="false">SUMPRODUCT((Inputs!$E$38:$E$45=B45)*Inputs!$F$38:$F$45)</f>
        <v>0</v>
      </c>
      <c r="P45" s="24" t="n">
        <f aca="false">Flows!$E$4*M45+H45-I45</f>
        <v>0.28175</v>
      </c>
      <c r="Q45" s="24" t="n">
        <f aca="false">Flows!$E$4*O45</f>
        <v>0</v>
      </c>
      <c r="R45" s="23" t="n">
        <f aca="false">SUMPRODUCT((Inputs!$C$38:$C$45&lt;=B45)*(Inputs!$E$38:$E$45&gt;=B45)*Inputs!$D$38:$D$45)</f>
        <v>52</v>
      </c>
    </row>
    <row r="46" customFormat="false" ht="15" hidden="false" customHeight="false" outlineLevel="0" collapsed="false">
      <c r="B46" s="7" t="n">
        <v>40</v>
      </c>
      <c r="C46" s="21" t="n">
        <f aca="false">(B46-1)/4</f>
        <v>9.75</v>
      </c>
      <c r="D46" s="21" t="n">
        <f aca="false">B46/4</f>
        <v>10</v>
      </c>
      <c r="E46" s="22" t="n">
        <f aca="false">INT((B46-1)/4)+1</f>
        <v>10</v>
      </c>
      <c r="F46" s="23" t="n">
        <f aca="false">IF(B46&lt;Inputs!$D$26,SUMPRODUCT(Inputs!$D$6:$D$15,Inputs!$F$6:$F$15),SUMPRODUCT(Inputs!$G$6:$G$15,Inputs!$F$6:$F$15))/1000000</f>
        <v>490</v>
      </c>
      <c r="G46" s="24" t="n">
        <f aca="false">IF(E46&lt;=Inputs!$D$21,Inputs!$D$19*F46/4,Inputs!$D$20*R46*Flows!$E$4/4)</f>
        <v>0.15925</v>
      </c>
      <c r="H46" s="24" t="n">
        <f aca="false">IF(E46&lt;=Inputs!$D$21,Inputs!$D$19*SUMPRODUCT(Inputs!$G$6:$G$15,Inputs!$F$6:$F$15)/1000000/4,G46)</f>
        <v>0.15925</v>
      </c>
      <c r="I46" s="24" t="n">
        <f aca="false">IF(B46=Inputs!$D$23,Inputs!$D$22/1000000,0)</f>
        <v>0</v>
      </c>
      <c r="J46" s="23" t="n">
        <f aca="false">SUMPRODUCT((Inputs!$C$38:$C$45=B46)*Inputs!$D$38:$D$45)</f>
        <v>0</v>
      </c>
      <c r="K46" s="24" t="n">
        <f aca="false">IF(B46=1,Inputs!$D$24/1000000,0)</f>
        <v>0</v>
      </c>
      <c r="L46" s="24" t="n">
        <f aca="false">Inputs!$D$25/1000000</f>
        <v>0.125</v>
      </c>
      <c r="M46" s="24" t="n">
        <f aca="false">J46+K46+L46</f>
        <v>0.125</v>
      </c>
      <c r="N46" s="24" t="n">
        <f aca="false">G46-I46+M46</f>
        <v>0.28425</v>
      </c>
      <c r="O46" s="23" t="n">
        <f aca="false">SUMPRODUCT((Inputs!$E$38:$E$45=B46)*Inputs!$F$38:$F$45)</f>
        <v>78</v>
      </c>
      <c r="P46" s="24" t="n">
        <f aca="false">Flows!$E$4*M46+H46-I46</f>
        <v>0.28175</v>
      </c>
      <c r="Q46" s="24" t="n">
        <f aca="false">Flows!$E$4*O46</f>
        <v>76.44</v>
      </c>
      <c r="R46" s="23" t="n">
        <f aca="false">SUMPRODUCT((Inputs!$C$38:$C$45&lt;=B46)*(Inputs!$E$38:$E$45&gt;=B46)*Inputs!$D$38:$D$45)</f>
        <v>52</v>
      </c>
    </row>
    <row r="47" customFormat="false" ht="15" hidden="false" customHeight="false" outlineLevel="0" collapsed="false">
      <c r="B47" s="11" t="s">
        <v>54</v>
      </c>
      <c r="G47" s="25" t="n">
        <f aca="false">SUM(G7:G46)</f>
        <v>53.431</v>
      </c>
      <c r="H47" s="25" t="n">
        <f aca="false">SUM(H7:H46)</f>
        <v>55.229125</v>
      </c>
      <c r="I47" s="25" t="n">
        <f aca="false">SUM(I7:I46)</f>
        <v>0.9</v>
      </c>
      <c r="J47" s="25" t="n">
        <f aca="false">SUM(J7:J46)</f>
        <v>422</v>
      </c>
      <c r="K47" s="25" t="n">
        <f aca="false">SUM(K7:K46)</f>
        <v>1.8</v>
      </c>
      <c r="L47" s="25" t="n">
        <f aca="false">SUM(L7:L46)</f>
        <v>5</v>
      </c>
      <c r="M47" s="25" t="n">
        <f aca="false">SUM(M7:M46)</f>
        <v>428.8</v>
      </c>
      <c r="N47" s="25" t="n">
        <f aca="false">SUM(N7:N46)</f>
        <v>481.331</v>
      </c>
      <c r="O47" s="25" t="n">
        <f aca="false">SUM(O7:O46)</f>
        <v>901</v>
      </c>
      <c r="P47" s="25" t="n">
        <f aca="false">SUM(P7:P46)</f>
        <v>474.553125</v>
      </c>
      <c r="Q47" s="25" t="n">
        <f aca="false">SUM(Q7:Q46)</f>
        <v>882.98</v>
      </c>
    </row>
    <row r="49" customFormat="false" ht="15" hidden="false" customHeight="false" outlineLevel="0" collapsed="false">
      <c r="B49" s="7" t="s">
        <v>141</v>
      </c>
      <c r="G49" s="24" t="n">
        <f aca="false">Inputs!$D$19*(SUMPRODUCT(Inputs!$G$6:$G$15,Inputs!$F$6:$F$15)-SUMPRODUCT(Inputs!$D$6:$D$15,Inputs!$F$6:$F$15))/1000000*(Inputs!$D$26-1)/4</f>
        <v>1.798125</v>
      </c>
    </row>
    <row r="50" customFormat="false" ht="15" hidden="false" customHeight="false" outlineLevel="0" collapsed="false">
      <c r="B50" s="7" t="s">
        <v>142</v>
      </c>
      <c r="G50" s="26" t="n">
        <f aca="false">N47+G49</f>
        <v>483.129125</v>
      </c>
    </row>
    <row r="51" customFormat="false" ht="15" hidden="false" customHeight="false" outlineLevel="0" collapsed="false">
      <c r="B51" s="7" t="s">
        <v>143</v>
      </c>
      <c r="G51" s="26" t="n">
        <f aca="false">Inputs!$G$16/1000000-G50</f>
        <v>16.870875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39060"/>
    <pageSetUpPr fitToPage="false"/>
  </sheetPr>
  <dimension ref="B2:Z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26" min="3" style="0" width="14"/>
  </cols>
  <sheetData>
    <row r="2" customFormat="false" ht="17.35" hidden="false" customHeight="false" outlineLevel="0" collapsed="false">
      <c r="B2" s="4" t="s">
        <v>144</v>
      </c>
    </row>
    <row r="3" customFormat="false" ht="15" hidden="false" customHeight="false" outlineLevel="0" collapsed="false">
      <c r="B3" s="7" t="s">
        <v>145</v>
      </c>
    </row>
    <row r="5" customFormat="false" ht="15" hidden="false" customHeight="false" outlineLevel="0" collapsed="false">
      <c r="B5" s="6" t="s">
        <v>146</v>
      </c>
      <c r="C5" s="6" t="s">
        <v>147</v>
      </c>
      <c r="D5" s="6" t="s">
        <v>148</v>
      </c>
      <c r="E5" s="6" t="s">
        <v>149</v>
      </c>
      <c r="F5" s="6" t="s">
        <v>150</v>
      </c>
      <c r="G5" s="6" t="s">
        <v>151</v>
      </c>
      <c r="H5" s="6" t="s">
        <v>152</v>
      </c>
      <c r="I5" s="6" t="s">
        <v>153</v>
      </c>
      <c r="J5" s="6" t="s">
        <v>154</v>
      </c>
      <c r="K5" s="6" t="s">
        <v>155</v>
      </c>
      <c r="L5" s="6" t="s">
        <v>156</v>
      </c>
      <c r="M5" s="6" t="s">
        <v>157</v>
      </c>
      <c r="N5" s="6" t="s">
        <v>158</v>
      </c>
      <c r="O5" s="6" t="s">
        <v>159</v>
      </c>
      <c r="P5" s="6" t="s">
        <v>160</v>
      </c>
      <c r="Q5" s="6" t="s">
        <v>161</v>
      </c>
      <c r="R5" s="6" t="s">
        <v>162</v>
      </c>
      <c r="S5" s="6" t="s">
        <v>163</v>
      </c>
      <c r="T5" s="6" t="s">
        <v>164</v>
      </c>
      <c r="U5" s="6" t="s">
        <v>165</v>
      </c>
      <c r="V5" s="6" t="s">
        <v>166</v>
      </c>
      <c r="W5" s="6" t="s">
        <v>167</v>
      </c>
      <c r="X5" s="6" t="s">
        <v>168</v>
      </c>
      <c r="Y5" s="6" t="s">
        <v>169</v>
      </c>
      <c r="Z5" s="6" t="s">
        <v>170</v>
      </c>
    </row>
    <row r="6" customFormat="false" ht="15" hidden="false" customHeight="false" outlineLevel="0" collapsed="false">
      <c r="B6" s="7" t="str">
        <f aca="false">Inputs!$B$6</f>
        <v>LP01</v>
      </c>
      <c r="C6" s="10" t="n">
        <f aca="false">IF(1&lt;Inputs!$D$26,Inputs!$D$6,Inputs!$G$6)</f>
        <v>100000000</v>
      </c>
      <c r="D6" s="27" t="n">
        <f aca="false">ROUND(Flows!$M$7*1000000*C6/SUM(C$6:C$15),2)+D$18</f>
        <v>15534722.22</v>
      </c>
      <c r="E6" s="27" t="n">
        <f aca="false">ROUND((Flows!$G$7-Flows!$I$7)*1000000*C6*Inputs!$F$6/SUMPRODUCT(C$6:C$15,Inputs!$F$6:$F$15),2)+E$18</f>
        <v>437500</v>
      </c>
      <c r="F6" s="10" t="n">
        <f aca="false">IF(2&lt;Inputs!$D$26,Inputs!$D$6,Inputs!$G$6)</f>
        <v>100000000</v>
      </c>
      <c r="G6" s="27" t="n">
        <f aca="false">ROUND(Flows!$M$8*1000000*F6/SUM(F$6:F$15),2)+G$18</f>
        <v>10034722.22</v>
      </c>
      <c r="H6" s="27" t="n">
        <f aca="false">ROUND((Flows!$G$8-Flows!$I$8)*1000000*F6*Inputs!$F$6/SUMPRODUCT(F$6:F$15,Inputs!$F$6:$F$15),2)+H$18</f>
        <v>437500</v>
      </c>
      <c r="I6" s="10" t="n">
        <f aca="false">IF(3&lt;Inputs!$D$26,Inputs!$D$6,Inputs!$G$6)</f>
        <v>100000000</v>
      </c>
      <c r="J6" s="27" t="n">
        <f aca="false">ROUND(Flows!$M$9*1000000*I6/SUM(I$6:I$15),2)+J$18</f>
        <v>34722.22</v>
      </c>
      <c r="K6" s="27" t="n">
        <f aca="false">ROUND((Flows!$G$9-Flows!$I$9)*1000000*I6*Inputs!$F$6/SUMPRODUCT(I$6:I$15,Inputs!$F$6:$F$15),2)+K$18</f>
        <v>437500</v>
      </c>
      <c r="L6" s="10" t="n">
        <f aca="false">IF(4&lt;Inputs!$D$26,Inputs!$D$6,Inputs!$G$6)</f>
        <v>100000000</v>
      </c>
      <c r="M6" s="27" t="n">
        <f aca="false">ROUND(Flows!$M$10*1000000*L6/SUM(L$6:L$15),2)+M$18</f>
        <v>9025000</v>
      </c>
      <c r="N6" s="27" t="n">
        <f aca="false">ROUND((Flows!$G$10-Flows!$I$10)*1000000*L6*Inputs!$F$6/SUMPRODUCT(L$6:L$15,Inputs!$F$6:$F$15),2)+N$18</f>
        <v>437500</v>
      </c>
      <c r="O6" s="10" t="n">
        <f aca="false">IF(5&lt;Inputs!$D$26,Inputs!$D$6,Inputs!$G$6)</f>
        <v>100000000</v>
      </c>
      <c r="P6" s="27" t="n">
        <f aca="false">ROUND(Flows!$M$11*1000000*O6/SUM(O$6:O$15),2)+P$18</f>
        <v>25000</v>
      </c>
      <c r="Q6" s="27" t="n">
        <f aca="false">ROUND((Flows!$G$11-Flows!$I$11)*1000000*O6*Inputs!$F$6/SUMPRODUCT(O$6:O$15,Inputs!$F$6:$F$15),2)+Q$18</f>
        <v>253826.53</v>
      </c>
      <c r="R6" s="10" t="n">
        <f aca="false">IF(6&lt;Inputs!$D$26,Inputs!$D$6,Inputs!$G$6)</f>
        <v>100000000</v>
      </c>
      <c r="S6" s="27" t="n">
        <f aca="false">ROUND(Flows!$M$12*1000000*R6/SUM(R$6:R$15),2)+S$18</f>
        <v>12025000</v>
      </c>
      <c r="T6" s="27" t="n">
        <f aca="false">ROUND((Flows!$G$12-Flows!$I$12)*1000000*R6*Inputs!$F$6/SUMPRODUCT(R$6:R$15,Inputs!$F$6:$F$15),2)+T$18</f>
        <v>437500</v>
      </c>
      <c r="U6" s="10" t="n">
        <f aca="false">IF(7&lt;Inputs!$D$26,Inputs!$D$6,Inputs!$G$6)</f>
        <v>100000000</v>
      </c>
      <c r="V6" s="27" t="n">
        <f aca="false">ROUND(Flows!$M$13*1000000*U6/SUM(U$6:U$15),2)+V$18</f>
        <v>25000</v>
      </c>
      <c r="W6" s="27" t="n">
        <f aca="false">ROUND((Flows!$G$13-Flows!$I$13)*1000000*U6*Inputs!$F$6/SUMPRODUCT(U$6:U$15,Inputs!$F$6:$F$15),2)+W$18</f>
        <v>437500</v>
      </c>
      <c r="X6" s="10" t="n">
        <f aca="false">IF(8&lt;Inputs!$D$26,Inputs!$D$6,Inputs!$G$6)</f>
        <v>100000000</v>
      </c>
      <c r="Y6" s="27" t="n">
        <f aca="false">ROUND(Flows!$M$14*1000000*X6/SUM(X$6:X$15),2)+Y$18</f>
        <v>11025000</v>
      </c>
      <c r="Z6" s="27" t="n">
        <f aca="false">ROUND((Flows!$G$14-Flows!$I$14)*1000000*X6*Inputs!$F$6/SUMPRODUCT(X$6:X$15,Inputs!$F$6:$F$15),2)+Z$18</f>
        <v>437500</v>
      </c>
    </row>
    <row r="7" customFormat="false" ht="15" hidden="false" customHeight="false" outlineLevel="0" collapsed="false">
      <c r="B7" s="7" t="str">
        <f aca="false">Inputs!$B$7</f>
        <v>LP02</v>
      </c>
      <c r="C7" s="10" t="n">
        <f aca="false">IF(1&lt;Inputs!$D$26,Inputs!$D$7,Inputs!$G$7)</f>
        <v>70000000</v>
      </c>
      <c r="D7" s="27" t="n">
        <f aca="false">ROUND(Flows!$M$7*1000000*C7/SUM(C$6:C$15),2)</f>
        <v>10874305.56</v>
      </c>
      <c r="E7" s="27" t="n">
        <f aca="false">ROUND((Flows!$G$7-Flows!$I$7)*1000000*C7*Inputs!$F$7/SUMPRODUCT(C$6:C$15,Inputs!$F$6:$F$15),2)</f>
        <v>306250</v>
      </c>
      <c r="F7" s="10" t="n">
        <f aca="false">IF(2&lt;Inputs!$D$26,Inputs!$D$7,Inputs!$G$7)</f>
        <v>70000000</v>
      </c>
      <c r="G7" s="27" t="n">
        <f aca="false">ROUND(Flows!$M$8*1000000*F7/SUM(F$6:F$15),2)</f>
        <v>7024305.56</v>
      </c>
      <c r="H7" s="27" t="n">
        <f aca="false">ROUND((Flows!$G$8-Flows!$I$8)*1000000*F7*Inputs!$F$7/SUMPRODUCT(F$6:F$15,Inputs!$F$6:$F$15),2)</f>
        <v>306250</v>
      </c>
      <c r="I7" s="10" t="n">
        <f aca="false">IF(3&lt;Inputs!$D$26,Inputs!$D$7,Inputs!$G$7)</f>
        <v>70000000</v>
      </c>
      <c r="J7" s="27" t="n">
        <f aca="false">ROUND(Flows!$M$9*1000000*I7/SUM(I$6:I$15),2)</f>
        <v>24305.56</v>
      </c>
      <c r="K7" s="27" t="n">
        <f aca="false">ROUND((Flows!$G$9-Flows!$I$9)*1000000*I7*Inputs!$F$7/SUMPRODUCT(I$6:I$15,Inputs!$F$6:$F$15),2)</f>
        <v>306250</v>
      </c>
      <c r="L7" s="10" t="n">
        <f aca="false">IF(4&lt;Inputs!$D$26,Inputs!$D$7,Inputs!$G$7)</f>
        <v>70000000</v>
      </c>
      <c r="M7" s="27" t="n">
        <f aca="false">ROUND(Flows!$M$10*1000000*L7/SUM(L$6:L$15),2)</f>
        <v>6317500</v>
      </c>
      <c r="N7" s="27" t="n">
        <f aca="false">ROUND((Flows!$G$10-Flows!$I$10)*1000000*L7*Inputs!$F$7/SUMPRODUCT(L$6:L$15,Inputs!$F$6:$F$15),2)</f>
        <v>306250</v>
      </c>
      <c r="O7" s="10" t="n">
        <f aca="false">IF(5&lt;Inputs!$D$26,Inputs!$D$7,Inputs!$G$7)</f>
        <v>70000000</v>
      </c>
      <c r="P7" s="27" t="n">
        <f aca="false">ROUND(Flows!$M$11*1000000*O7/SUM(O$6:O$15),2)</f>
        <v>17500</v>
      </c>
      <c r="Q7" s="27" t="n">
        <f aca="false">ROUND((Flows!$G$11-Flows!$I$11)*1000000*O7*Inputs!$F$7/SUMPRODUCT(O$6:O$15,Inputs!$F$6:$F$15),2)</f>
        <v>177678.57</v>
      </c>
      <c r="R7" s="10" t="n">
        <f aca="false">IF(6&lt;Inputs!$D$26,Inputs!$D$7,Inputs!$G$7)</f>
        <v>70000000</v>
      </c>
      <c r="S7" s="27" t="n">
        <f aca="false">ROUND(Flows!$M$12*1000000*R7/SUM(R$6:R$15),2)</f>
        <v>8417500</v>
      </c>
      <c r="T7" s="27" t="n">
        <f aca="false">ROUND((Flows!$G$12-Flows!$I$12)*1000000*R7*Inputs!$F$7/SUMPRODUCT(R$6:R$15,Inputs!$F$6:$F$15),2)</f>
        <v>306250</v>
      </c>
      <c r="U7" s="10" t="n">
        <f aca="false">IF(7&lt;Inputs!$D$26,Inputs!$D$7,Inputs!$G$7)</f>
        <v>70000000</v>
      </c>
      <c r="V7" s="27" t="n">
        <f aca="false">ROUND(Flows!$M$13*1000000*U7/SUM(U$6:U$15),2)</f>
        <v>17500</v>
      </c>
      <c r="W7" s="27" t="n">
        <f aca="false">ROUND((Flows!$G$13-Flows!$I$13)*1000000*U7*Inputs!$F$7/SUMPRODUCT(U$6:U$15,Inputs!$F$6:$F$15),2)</f>
        <v>306250</v>
      </c>
      <c r="X7" s="10" t="n">
        <f aca="false">IF(8&lt;Inputs!$D$26,Inputs!$D$7,Inputs!$G$7)</f>
        <v>70000000</v>
      </c>
      <c r="Y7" s="27" t="n">
        <f aca="false">ROUND(Flows!$M$14*1000000*X7/SUM(X$6:X$15),2)</f>
        <v>7717500</v>
      </c>
      <c r="Z7" s="27" t="n">
        <f aca="false">ROUND((Flows!$G$14-Flows!$I$14)*1000000*X7*Inputs!$F$7/SUMPRODUCT(X$6:X$15,Inputs!$F$6:$F$15),2)</f>
        <v>306250</v>
      </c>
    </row>
    <row r="8" customFormat="false" ht="15" hidden="false" customHeight="false" outlineLevel="0" collapsed="false">
      <c r="B8" s="7" t="str">
        <f aca="false">Inputs!$B$8</f>
        <v>LP03</v>
      </c>
      <c r="C8" s="10" t="n">
        <f aca="false">IF(1&lt;Inputs!$D$26,Inputs!$D$8,Inputs!$G$8)</f>
        <v>40000000</v>
      </c>
      <c r="D8" s="27" t="n">
        <f aca="false">ROUND(Flows!$M$7*1000000*C8/SUM(C$6:C$15),2)</f>
        <v>6213888.89</v>
      </c>
      <c r="E8" s="27" t="n">
        <f aca="false">ROUND((Flows!$G$7-Flows!$I$7)*1000000*C8*Inputs!$F$8/SUMPRODUCT(C$6:C$15,Inputs!$F$6:$F$15),2)</f>
        <v>175000</v>
      </c>
      <c r="F8" s="10" t="n">
        <f aca="false">IF(2&lt;Inputs!$D$26,Inputs!$D$8,Inputs!$G$8)</f>
        <v>40000000</v>
      </c>
      <c r="G8" s="27" t="n">
        <f aca="false">ROUND(Flows!$M$8*1000000*F8/SUM(F$6:F$15),2)</f>
        <v>4013888.89</v>
      </c>
      <c r="H8" s="27" t="n">
        <f aca="false">ROUND((Flows!$G$8-Flows!$I$8)*1000000*F8*Inputs!$F$8/SUMPRODUCT(F$6:F$15,Inputs!$F$6:$F$15),2)</f>
        <v>175000</v>
      </c>
      <c r="I8" s="10" t="n">
        <f aca="false">IF(3&lt;Inputs!$D$26,Inputs!$D$8,Inputs!$G$8)</f>
        <v>40000000</v>
      </c>
      <c r="J8" s="27" t="n">
        <f aca="false">ROUND(Flows!$M$9*1000000*I8/SUM(I$6:I$15),2)</f>
        <v>13888.89</v>
      </c>
      <c r="K8" s="27" t="n">
        <f aca="false">ROUND((Flows!$G$9-Flows!$I$9)*1000000*I8*Inputs!$F$8/SUMPRODUCT(I$6:I$15,Inputs!$F$6:$F$15),2)</f>
        <v>175000</v>
      </c>
      <c r="L8" s="10" t="n">
        <f aca="false">IF(4&lt;Inputs!$D$26,Inputs!$D$8,Inputs!$G$8)</f>
        <v>40000000</v>
      </c>
      <c r="M8" s="27" t="n">
        <f aca="false">ROUND(Flows!$M$10*1000000*L8/SUM(L$6:L$15),2)</f>
        <v>3610000</v>
      </c>
      <c r="N8" s="27" t="n">
        <f aca="false">ROUND((Flows!$G$10-Flows!$I$10)*1000000*L8*Inputs!$F$8/SUMPRODUCT(L$6:L$15,Inputs!$F$6:$F$15),2)</f>
        <v>175000</v>
      </c>
      <c r="O8" s="10" t="n">
        <f aca="false">IF(5&lt;Inputs!$D$26,Inputs!$D$8,Inputs!$G$8)</f>
        <v>40000000</v>
      </c>
      <c r="P8" s="27" t="n">
        <f aca="false">ROUND(Flows!$M$11*1000000*O8/SUM(O$6:O$15),2)</f>
        <v>10000</v>
      </c>
      <c r="Q8" s="27" t="n">
        <f aca="false">ROUND((Flows!$G$11-Flows!$I$11)*1000000*O8*Inputs!$F$8/SUMPRODUCT(O$6:O$15,Inputs!$F$6:$F$15),2)</f>
        <v>101530.61</v>
      </c>
      <c r="R8" s="10" t="n">
        <f aca="false">IF(6&lt;Inputs!$D$26,Inputs!$D$8,Inputs!$G$8)</f>
        <v>40000000</v>
      </c>
      <c r="S8" s="27" t="n">
        <f aca="false">ROUND(Flows!$M$12*1000000*R8/SUM(R$6:R$15),2)</f>
        <v>4810000</v>
      </c>
      <c r="T8" s="27" t="n">
        <f aca="false">ROUND((Flows!$G$12-Flows!$I$12)*1000000*R8*Inputs!$F$8/SUMPRODUCT(R$6:R$15,Inputs!$F$6:$F$15),2)</f>
        <v>175000</v>
      </c>
      <c r="U8" s="10" t="n">
        <f aca="false">IF(7&lt;Inputs!$D$26,Inputs!$D$8,Inputs!$G$8)</f>
        <v>40000000</v>
      </c>
      <c r="V8" s="27" t="n">
        <f aca="false">ROUND(Flows!$M$13*1000000*U8/SUM(U$6:U$15),2)</f>
        <v>10000</v>
      </c>
      <c r="W8" s="27" t="n">
        <f aca="false">ROUND((Flows!$G$13-Flows!$I$13)*1000000*U8*Inputs!$F$8/SUMPRODUCT(U$6:U$15,Inputs!$F$6:$F$15),2)</f>
        <v>175000</v>
      </c>
      <c r="X8" s="10" t="n">
        <f aca="false">IF(8&lt;Inputs!$D$26,Inputs!$D$8,Inputs!$G$8)</f>
        <v>40000000</v>
      </c>
      <c r="Y8" s="27" t="n">
        <f aca="false">ROUND(Flows!$M$14*1000000*X8/SUM(X$6:X$15),2)</f>
        <v>4410000</v>
      </c>
      <c r="Z8" s="27" t="n">
        <f aca="false">ROUND((Flows!$G$14-Flows!$I$14)*1000000*X8*Inputs!$F$8/SUMPRODUCT(X$6:X$15,Inputs!$F$6:$F$15),2)</f>
        <v>175000</v>
      </c>
    </row>
    <row r="9" customFormat="false" ht="15" hidden="false" customHeight="false" outlineLevel="0" collapsed="false">
      <c r="B9" s="7" t="str">
        <f aca="false">Inputs!$B$9</f>
        <v>LP04</v>
      </c>
      <c r="C9" s="10" t="n">
        <f aca="false">IF(1&lt;Inputs!$D$26,Inputs!$D$9,Inputs!$G$9)</f>
        <v>60000000</v>
      </c>
      <c r="D9" s="27" t="n">
        <f aca="false">ROUND(Flows!$M$7*1000000*C9/SUM(C$6:C$15),2)</f>
        <v>9320833.33</v>
      </c>
      <c r="E9" s="27" t="n">
        <f aca="false">ROUND((Flows!$G$7-Flows!$I$7)*1000000*C9*Inputs!$F$9/SUMPRODUCT(C$6:C$15,Inputs!$F$6:$F$15),2)</f>
        <v>262500</v>
      </c>
      <c r="F9" s="10" t="n">
        <f aca="false">IF(2&lt;Inputs!$D$26,Inputs!$D$9,Inputs!$G$9)</f>
        <v>60000000</v>
      </c>
      <c r="G9" s="27" t="n">
        <f aca="false">ROUND(Flows!$M$8*1000000*F9/SUM(F$6:F$15),2)</f>
        <v>6020833.33</v>
      </c>
      <c r="H9" s="27" t="n">
        <f aca="false">ROUND((Flows!$G$8-Flows!$I$8)*1000000*F9*Inputs!$F$9/SUMPRODUCT(F$6:F$15,Inputs!$F$6:$F$15),2)</f>
        <v>262500</v>
      </c>
      <c r="I9" s="10" t="n">
        <f aca="false">IF(3&lt;Inputs!$D$26,Inputs!$D$9,Inputs!$G$9)</f>
        <v>60000000</v>
      </c>
      <c r="J9" s="27" t="n">
        <f aca="false">ROUND(Flows!$M$9*1000000*I9/SUM(I$6:I$15),2)</f>
        <v>20833.33</v>
      </c>
      <c r="K9" s="27" t="n">
        <f aca="false">ROUND((Flows!$G$9-Flows!$I$9)*1000000*I9*Inputs!$F$9/SUMPRODUCT(I$6:I$15,Inputs!$F$6:$F$15),2)</f>
        <v>262500</v>
      </c>
      <c r="L9" s="10" t="n">
        <f aca="false">IF(4&lt;Inputs!$D$26,Inputs!$D$9,Inputs!$G$9)</f>
        <v>60000000</v>
      </c>
      <c r="M9" s="27" t="n">
        <f aca="false">ROUND(Flows!$M$10*1000000*L9/SUM(L$6:L$15),2)</f>
        <v>5415000</v>
      </c>
      <c r="N9" s="27" t="n">
        <f aca="false">ROUND((Flows!$G$10-Flows!$I$10)*1000000*L9*Inputs!$F$9/SUMPRODUCT(L$6:L$15,Inputs!$F$6:$F$15),2)</f>
        <v>262500</v>
      </c>
      <c r="O9" s="10" t="n">
        <f aca="false">IF(5&lt;Inputs!$D$26,Inputs!$D$9,Inputs!$G$9)</f>
        <v>60000000</v>
      </c>
      <c r="P9" s="27" t="n">
        <f aca="false">ROUND(Flows!$M$11*1000000*O9/SUM(O$6:O$15),2)</f>
        <v>15000</v>
      </c>
      <c r="Q9" s="27" t="n">
        <f aca="false">ROUND((Flows!$G$11-Flows!$I$11)*1000000*O9*Inputs!$F$9/SUMPRODUCT(O$6:O$15,Inputs!$F$6:$F$15),2)</f>
        <v>152295.92</v>
      </c>
      <c r="R9" s="10" t="n">
        <f aca="false">IF(6&lt;Inputs!$D$26,Inputs!$D$9,Inputs!$G$9)</f>
        <v>60000000</v>
      </c>
      <c r="S9" s="27" t="n">
        <f aca="false">ROUND(Flows!$M$12*1000000*R9/SUM(R$6:R$15),2)</f>
        <v>7215000</v>
      </c>
      <c r="T9" s="27" t="n">
        <f aca="false">ROUND((Flows!$G$12-Flows!$I$12)*1000000*R9*Inputs!$F$9/SUMPRODUCT(R$6:R$15,Inputs!$F$6:$F$15),2)</f>
        <v>262500</v>
      </c>
      <c r="U9" s="10" t="n">
        <f aca="false">IF(7&lt;Inputs!$D$26,Inputs!$D$9,Inputs!$G$9)</f>
        <v>60000000</v>
      </c>
      <c r="V9" s="27" t="n">
        <f aca="false">ROUND(Flows!$M$13*1000000*U9/SUM(U$6:U$15),2)</f>
        <v>15000</v>
      </c>
      <c r="W9" s="27" t="n">
        <f aca="false">ROUND((Flows!$G$13-Flows!$I$13)*1000000*U9*Inputs!$F$9/SUMPRODUCT(U$6:U$15,Inputs!$F$6:$F$15),2)</f>
        <v>262500</v>
      </c>
      <c r="X9" s="10" t="n">
        <f aca="false">IF(8&lt;Inputs!$D$26,Inputs!$D$9,Inputs!$G$9)</f>
        <v>60000000</v>
      </c>
      <c r="Y9" s="27" t="n">
        <f aca="false">ROUND(Flows!$M$14*1000000*X9/SUM(X$6:X$15),2)</f>
        <v>6615000</v>
      </c>
      <c r="Z9" s="27" t="n">
        <f aca="false">ROUND((Flows!$G$14-Flows!$I$14)*1000000*X9*Inputs!$F$9/SUMPRODUCT(X$6:X$15,Inputs!$F$6:$F$15),2)</f>
        <v>262500</v>
      </c>
    </row>
    <row r="10" customFormat="false" ht="15" hidden="false" customHeight="false" outlineLevel="0" collapsed="false">
      <c r="B10" s="7" t="str">
        <f aca="false">Inputs!$B$10</f>
        <v>LP05</v>
      </c>
      <c r="C10" s="10" t="n">
        <f aca="false">IF(1&lt;Inputs!$D$26,Inputs!$D$10,Inputs!$G$10)</f>
        <v>28000000</v>
      </c>
      <c r="D10" s="27" t="n">
        <f aca="false">ROUND(Flows!$M$7*1000000*C10/SUM(C$6:C$15),2)</f>
        <v>4349722.22</v>
      </c>
      <c r="E10" s="27" t="n">
        <f aca="false">ROUND((Flows!$G$7-Flows!$I$7)*1000000*C10*Inputs!$F$10/SUMPRODUCT(C$6:C$15,Inputs!$F$6:$F$15),2)</f>
        <v>122500</v>
      </c>
      <c r="F10" s="10" t="n">
        <f aca="false">IF(2&lt;Inputs!$D$26,Inputs!$D$10,Inputs!$G$10)</f>
        <v>28000000</v>
      </c>
      <c r="G10" s="27" t="n">
        <f aca="false">ROUND(Flows!$M$8*1000000*F10/SUM(F$6:F$15),2)</f>
        <v>2809722.22</v>
      </c>
      <c r="H10" s="27" t="n">
        <f aca="false">ROUND((Flows!$G$8-Flows!$I$8)*1000000*F10*Inputs!$F$10/SUMPRODUCT(F$6:F$15,Inputs!$F$6:$F$15),2)</f>
        <v>122500</v>
      </c>
      <c r="I10" s="10" t="n">
        <f aca="false">IF(3&lt;Inputs!$D$26,Inputs!$D$10,Inputs!$G$10)</f>
        <v>28000000</v>
      </c>
      <c r="J10" s="27" t="n">
        <f aca="false">ROUND(Flows!$M$9*1000000*I10/SUM(I$6:I$15),2)</f>
        <v>9722.22</v>
      </c>
      <c r="K10" s="27" t="n">
        <f aca="false">ROUND((Flows!$G$9-Flows!$I$9)*1000000*I10*Inputs!$F$10/SUMPRODUCT(I$6:I$15,Inputs!$F$6:$F$15),2)</f>
        <v>122500</v>
      </c>
      <c r="L10" s="10" t="n">
        <f aca="false">IF(4&lt;Inputs!$D$26,Inputs!$D$10,Inputs!$G$10)</f>
        <v>28000000</v>
      </c>
      <c r="M10" s="27" t="n">
        <f aca="false">ROUND(Flows!$M$10*1000000*L10/SUM(L$6:L$15),2)</f>
        <v>2527000</v>
      </c>
      <c r="N10" s="27" t="n">
        <f aca="false">ROUND((Flows!$G$10-Flows!$I$10)*1000000*L10*Inputs!$F$10/SUMPRODUCT(L$6:L$15,Inputs!$F$6:$F$15),2)</f>
        <v>122500</v>
      </c>
      <c r="O10" s="10" t="n">
        <f aca="false">IF(5&lt;Inputs!$D$26,Inputs!$D$10,Inputs!$G$10)</f>
        <v>28000000</v>
      </c>
      <c r="P10" s="27" t="n">
        <f aca="false">ROUND(Flows!$M$11*1000000*O10/SUM(O$6:O$15),2)</f>
        <v>7000</v>
      </c>
      <c r="Q10" s="27" t="n">
        <f aca="false">ROUND((Flows!$G$11-Flows!$I$11)*1000000*O10*Inputs!$F$10/SUMPRODUCT(O$6:O$15,Inputs!$F$6:$F$15),2)</f>
        <v>71071.43</v>
      </c>
      <c r="R10" s="10" t="n">
        <f aca="false">IF(6&lt;Inputs!$D$26,Inputs!$D$10,Inputs!$G$10)</f>
        <v>28000000</v>
      </c>
      <c r="S10" s="27" t="n">
        <f aca="false">ROUND(Flows!$M$12*1000000*R10/SUM(R$6:R$15),2)</f>
        <v>3367000</v>
      </c>
      <c r="T10" s="27" t="n">
        <f aca="false">ROUND((Flows!$G$12-Flows!$I$12)*1000000*R10*Inputs!$F$10/SUMPRODUCT(R$6:R$15,Inputs!$F$6:$F$15),2)</f>
        <v>122500</v>
      </c>
      <c r="U10" s="10" t="n">
        <f aca="false">IF(7&lt;Inputs!$D$26,Inputs!$D$10,Inputs!$G$10)</f>
        <v>28000000</v>
      </c>
      <c r="V10" s="27" t="n">
        <f aca="false">ROUND(Flows!$M$13*1000000*U10/SUM(U$6:U$15),2)</f>
        <v>7000</v>
      </c>
      <c r="W10" s="27" t="n">
        <f aca="false">ROUND((Flows!$G$13-Flows!$I$13)*1000000*U10*Inputs!$F$10/SUMPRODUCT(U$6:U$15,Inputs!$F$6:$F$15),2)</f>
        <v>122500</v>
      </c>
      <c r="X10" s="10" t="n">
        <f aca="false">IF(8&lt;Inputs!$D$26,Inputs!$D$10,Inputs!$G$10)</f>
        <v>28000000</v>
      </c>
      <c r="Y10" s="27" t="n">
        <f aca="false">ROUND(Flows!$M$14*1000000*X10/SUM(X$6:X$15),2)</f>
        <v>3087000</v>
      </c>
      <c r="Z10" s="27" t="n">
        <f aca="false">ROUND((Flows!$G$14-Flows!$I$14)*1000000*X10*Inputs!$F$10/SUMPRODUCT(X$6:X$15,Inputs!$F$6:$F$15),2)</f>
        <v>122500</v>
      </c>
    </row>
    <row r="11" customFormat="false" ht="15" hidden="false" customHeight="false" outlineLevel="0" collapsed="false">
      <c r="B11" s="7" t="str">
        <f aca="false">Inputs!$B$11</f>
        <v>LP06</v>
      </c>
      <c r="C11" s="10" t="n">
        <f aca="false">IF(1&lt;Inputs!$D$26,Inputs!$D$11,Inputs!$G$11)</f>
        <v>55000000</v>
      </c>
      <c r="D11" s="27" t="n">
        <f aca="false">ROUND(Flows!$M$7*1000000*C11/SUM(C$6:C$15),2)</f>
        <v>8544097.22</v>
      </c>
      <c r="E11" s="27" t="n">
        <f aca="false">ROUND((Flows!$G$7-Flows!$I$7)*1000000*C11*Inputs!$F$11/SUMPRODUCT(C$6:C$15,Inputs!$F$6:$F$15),2)</f>
        <v>240625</v>
      </c>
      <c r="F11" s="10" t="n">
        <f aca="false">IF(2&lt;Inputs!$D$26,Inputs!$D$11,Inputs!$G$11)</f>
        <v>55000000</v>
      </c>
      <c r="G11" s="27" t="n">
        <f aca="false">ROUND(Flows!$M$8*1000000*F11/SUM(F$6:F$15),2)</f>
        <v>5519097.22</v>
      </c>
      <c r="H11" s="27" t="n">
        <f aca="false">ROUND((Flows!$G$8-Flows!$I$8)*1000000*F11*Inputs!$F$11/SUMPRODUCT(F$6:F$15,Inputs!$F$6:$F$15),2)</f>
        <v>240625</v>
      </c>
      <c r="I11" s="10" t="n">
        <f aca="false">IF(3&lt;Inputs!$D$26,Inputs!$D$11,Inputs!$G$11)</f>
        <v>55000000</v>
      </c>
      <c r="J11" s="27" t="n">
        <f aca="false">ROUND(Flows!$M$9*1000000*I11/SUM(I$6:I$15),2)</f>
        <v>19097.22</v>
      </c>
      <c r="K11" s="27" t="n">
        <f aca="false">ROUND((Flows!$G$9-Flows!$I$9)*1000000*I11*Inputs!$F$11/SUMPRODUCT(I$6:I$15,Inputs!$F$6:$F$15),2)</f>
        <v>240625</v>
      </c>
      <c r="L11" s="10" t="n">
        <f aca="false">IF(4&lt;Inputs!$D$26,Inputs!$D$11,Inputs!$G$11)</f>
        <v>55000000</v>
      </c>
      <c r="M11" s="27" t="n">
        <f aca="false">ROUND(Flows!$M$10*1000000*L11/SUM(L$6:L$15),2)</f>
        <v>4963750</v>
      </c>
      <c r="N11" s="27" t="n">
        <f aca="false">ROUND((Flows!$G$10-Flows!$I$10)*1000000*L11*Inputs!$F$11/SUMPRODUCT(L$6:L$15,Inputs!$F$6:$F$15),2)</f>
        <v>240625</v>
      </c>
      <c r="O11" s="10" t="n">
        <f aca="false">IF(5&lt;Inputs!$D$26,Inputs!$D$11,Inputs!$G$11)</f>
        <v>55000000</v>
      </c>
      <c r="P11" s="27" t="n">
        <f aca="false">ROUND(Flows!$M$11*1000000*O11/SUM(O$6:O$15),2)</f>
        <v>13750</v>
      </c>
      <c r="Q11" s="27" t="n">
        <f aca="false">ROUND((Flows!$G$11-Flows!$I$11)*1000000*O11*Inputs!$F$11/SUMPRODUCT(O$6:O$15,Inputs!$F$6:$F$15),2)</f>
        <v>139604.59</v>
      </c>
      <c r="R11" s="10" t="n">
        <f aca="false">IF(6&lt;Inputs!$D$26,Inputs!$D$11,Inputs!$G$11)</f>
        <v>55000000</v>
      </c>
      <c r="S11" s="27" t="n">
        <f aca="false">ROUND(Flows!$M$12*1000000*R11/SUM(R$6:R$15),2)</f>
        <v>6613750</v>
      </c>
      <c r="T11" s="27" t="n">
        <f aca="false">ROUND((Flows!$G$12-Flows!$I$12)*1000000*R11*Inputs!$F$11/SUMPRODUCT(R$6:R$15,Inputs!$F$6:$F$15),2)</f>
        <v>240625</v>
      </c>
      <c r="U11" s="10" t="n">
        <f aca="false">IF(7&lt;Inputs!$D$26,Inputs!$D$11,Inputs!$G$11)</f>
        <v>55000000</v>
      </c>
      <c r="V11" s="27" t="n">
        <f aca="false">ROUND(Flows!$M$13*1000000*U11/SUM(U$6:U$15),2)</f>
        <v>13750</v>
      </c>
      <c r="W11" s="27" t="n">
        <f aca="false">ROUND((Flows!$G$13-Flows!$I$13)*1000000*U11*Inputs!$F$11/SUMPRODUCT(U$6:U$15,Inputs!$F$6:$F$15),2)</f>
        <v>240625</v>
      </c>
      <c r="X11" s="10" t="n">
        <f aca="false">IF(8&lt;Inputs!$D$26,Inputs!$D$11,Inputs!$G$11)</f>
        <v>55000000</v>
      </c>
      <c r="Y11" s="27" t="n">
        <f aca="false">ROUND(Flows!$M$14*1000000*X11/SUM(X$6:X$15),2)</f>
        <v>6063750</v>
      </c>
      <c r="Z11" s="27" t="n">
        <f aca="false">ROUND((Flows!$G$14-Flows!$I$14)*1000000*X11*Inputs!$F$11/SUMPRODUCT(X$6:X$15,Inputs!$F$6:$F$15),2)</f>
        <v>240625</v>
      </c>
    </row>
    <row r="12" customFormat="false" ht="15" hidden="false" customHeight="false" outlineLevel="0" collapsed="false">
      <c r="B12" s="7" t="str">
        <f aca="false">Inputs!$B$12</f>
        <v>LP07</v>
      </c>
      <c r="C12" s="10" t="n">
        <f aca="false">IF(1&lt;Inputs!$D$26,Inputs!$D$12,Inputs!$G$12)</f>
        <v>0</v>
      </c>
      <c r="D12" s="27" t="n">
        <f aca="false">ROUND(Flows!$M$7*1000000*C12/SUM(C$6:C$15),2)</f>
        <v>0</v>
      </c>
      <c r="E12" s="27" t="n">
        <f aca="false">ROUND((Flows!$G$7-Flows!$I$7)*1000000*C12*Inputs!$F$12/SUMPRODUCT(C$6:C$15,Inputs!$F$6:$F$15),2)</f>
        <v>0</v>
      </c>
      <c r="F12" s="10" t="n">
        <f aca="false">IF(2&lt;Inputs!$D$26,Inputs!$D$12,Inputs!$G$12)</f>
        <v>0</v>
      </c>
      <c r="G12" s="27" t="n">
        <f aca="false">ROUND(Flows!$M$8*1000000*F12/SUM(F$6:F$15),2)</f>
        <v>0</v>
      </c>
      <c r="H12" s="27" t="n">
        <f aca="false">ROUND((Flows!$G$8-Flows!$I$8)*1000000*F12*Inputs!$F$12/SUMPRODUCT(F$6:F$15,Inputs!$F$6:$F$15),2)</f>
        <v>0</v>
      </c>
      <c r="I12" s="10" t="n">
        <f aca="false">IF(3&lt;Inputs!$D$26,Inputs!$D$12,Inputs!$G$12)</f>
        <v>0</v>
      </c>
      <c r="J12" s="27" t="n">
        <f aca="false">ROUND(Flows!$M$9*1000000*I12/SUM(I$6:I$15),2)</f>
        <v>0</v>
      </c>
      <c r="K12" s="27" t="n">
        <f aca="false">ROUND((Flows!$G$9-Flows!$I$9)*1000000*I12*Inputs!$F$12/SUMPRODUCT(I$6:I$15,Inputs!$F$6:$F$15),2)</f>
        <v>0</v>
      </c>
      <c r="L12" s="10" t="n">
        <f aca="false">IF(4&lt;Inputs!$D$26,Inputs!$D$12,Inputs!$G$12)</f>
        <v>50000000</v>
      </c>
      <c r="M12" s="27" t="n">
        <f aca="false">ROUND(Flows!$M$10*1000000*L12/SUM(L$6:L$15),2)</f>
        <v>4512500</v>
      </c>
      <c r="N12" s="27" t="n">
        <f aca="false">ROUND((Flows!$G$10-Flows!$I$10)*1000000*L12*Inputs!$F$12/SUMPRODUCT(L$6:L$15,Inputs!$F$6:$F$15),2)</f>
        <v>218750</v>
      </c>
      <c r="O12" s="10" t="n">
        <f aca="false">IF(5&lt;Inputs!$D$26,Inputs!$D$12,Inputs!$G$12)</f>
        <v>50000000</v>
      </c>
      <c r="P12" s="27" t="n">
        <f aca="false">ROUND(Flows!$M$11*1000000*O12/SUM(O$6:O$15),2)</f>
        <v>12500</v>
      </c>
      <c r="Q12" s="27" t="n">
        <f aca="false">ROUND((Flows!$G$11-Flows!$I$11)*1000000*O12*Inputs!$F$12/SUMPRODUCT(O$6:O$15,Inputs!$F$6:$F$15),2)</f>
        <v>126913.27</v>
      </c>
      <c r="R12" s="10" t="n">
        <f aca="false">IF(6&lt;Inputs!$D$26,Inputs!$D$12,Inputs!$G$12)</f>
        <v>50000000</v>
      </c>
      <c r="S12" s="27" t="n">
        <f aca="false">ROUND(Flows!$M$12*1000000*R12/SUM(R$6:R$15),2)</f>
        <v>6012500</v>
      </c>
      <c r="T12" s="27" t="n">
        <f aca="false">ROUND((Flows!$G$12-Flows!$I$12)*1000000*R12*Inputs!$F$12/SUMPRODUCT(R$6:R$15,Inputs!$F$6:$F$15),2)</f>
        <v>218750</v>
      </c>
      <c r="U12" s="10" t="n">
        <f aca="false">IF(7&lt;Inputs!$D$26,Inputs!$D$12,Inputs!$G$12)</f>
        <v>50000000</v>
      </c>
      <c r="V12" s="27" t="n">
        <f aca="false">ROUND(Flows!$M$13*1000000*U12/SUM(U$6:U$15),2)</f>
        <v>12500</v>
      </c>
      <c r="W12" s="27" t="n">
        <f aca="false">ROUND((Flows!$G$13-Flows!$I$13)*1000000*U12*Inputs!$F$12/SUMPRODUCT(U$6:U$15,Inputs!$F$6:$F$15),2)</f>
        <v>218750</v>
      </c>
      <c r="X12" s="10" t="n">
        <f aca="false">IF(8&lt;Inputs!$D$26,Inputs!$D$12,Inputs!$G$12)</f>
        <v>50000000</v>
      </c>
      <c r="Y12" s="27" t="n">
        <f aca="false">ROUND(Flows!$M$14*1000000*X12/SUM(X$6:X$15),2)</f>
        <v>5512500</v>
      </c>
      <c r="Z12" s="27" t="n">
        <f aca="false">ROUND((Flows!$G$14-Flows!$I$14)*1000000*X12*Inputs!$F$12/SUMPRODUCT(X$6:X$15,Inputs!$F$6:$F$15),2)</f>
        <v>218750</v>
      </c>
    </row>
    <row r="13" customFormat="false" ht="15" hidden="false" customHeight="false" outlineLevel="0" collapsed="false">
      <c r="B13" s="7" t="str">
        <f aca="false">Inputs!$B$13</f>
        <v>LP08</v>
      </c>
      <c r="C13" s="10" t="n">
        <f aca="false">IF(1&lt;Inputs!$D$26,Inputs!$D$13,Inputs!$G$13)</f>
        <v>0</v>
      </c>
      <c r="D13" s="27" t="n">
        <f aca="false">ROUND(Flows!$M$7*1000000*C13/SUM(C$6:C$15),2)</f>
        <v>0</v>
      </c>
      <c r="E13" s="27" t="n">
        <f aca="false">ROUND((Flows!$G$7-Flows!$I$7)*1000000*C13*Inputs!$F$13/SUMPRODUCT(C$6:C$15,Inputs!$F$6:$F$15),2)</f>
        <v>0</v>
      </c>
      <c r="F13" s="10" t="n">
        <f aca="false">IF(2&lt;Inputs!$D$26,Inputs!$D$13,Inputs!$G$13)</f>
        <v>0</v>
      </c>
      <c r="G13" s="27" t="n">
        <f aca="false">ROUND(Flows!$M$8*1000000*F13/SUM(F$6:F$15),2)</f>
        <v>0</v>
      </c>
      <c r="H13" s="27" t="n">
        <f aca="false">ROUND((Flows!$G$8-Flows!$I$8)*1000000*F13*Inputs!$F$13/SUMPRODUCT(F$6:F$15,Inputs!$F$6:$F$15),2)</f>
        <v>0</v>
      </c>
      <c r="I13" s="10" t="n">
        <f aca="false">IF(3&lt;Inputs!$D$26,Inputs!$D$13,Inputs!$G$13)</f>
        <v>0</v>
      </c>
      <c r="J13" s="27" t="n">
        <f aca="false">ROUND(Flows!$M$9*1000000*I13/SUM(I$6:I$15),2)</f>
        <v>0</v>
      </c>
      <c r="K13" s="27" t="n">
        <f aca="false">ROUND((Flows!$G$9-Flows!$I$9)*1000000*I13*Inputs!$F$13/SUMPRODUCT(I$6:I$15,Inputs!$F$6:$F$15),2)</f>
        <v>0</v>
      </c>
      <c r="L13" s="10" t="n">
        <f aca="false">IF(4&lt;Inputs!$D$26,Inputs!$D$13,Inputs!$G$13)</f>
        <v>60000000</v>
      </c>
      <c r="M13" s="27" t="n">
        <f aca="false">ROUND(Flows!$M$10*1000000*L13/SUM(L$6:L$15),2)</f>
        <v>5415000</v>
      </c>
      <c r="N13" s="27" t="n">
        <f aca="false">ROUND((Flows!$G$10-Flows!$I$10)*1000000*L13*Inputs!$F$13/SUMPRODUCT(L$6:L$15,Inputs!$F$6:$F$15),2)</f>
        <v>262500</v>
      </c>
      <c r="O13" s="10" t="n">
        <f aca="false">IF(5&lt;Inputs!$D$26,Inputs!$D$13,Inputs!$G$13)</f>
        <v>60000000</v>
      </c>
      <c r="P13" s="27" t="n">
        <f aca="false">ROUND(Flows!$M$11*1000000*O13/SUM(O$6:O$15),2)</f>
        <v>15000</v>
      </c>
      <c r="Q13" s="27" t="n">
        <f aca="false">ROUND((Flows!$G$11-Flows!$I$11)*1000000*O13*Inputs!$F$13/SUMPRODUCT(O$6:O$15,Inputs!$F$6:$F$15),2)</f>
        <v>152295.92</v>
      </c>
      <c r="R13" s="10" t="n">
        <f aca="false">IF(6&lt;Inputs!$D$26,Inputs!$D$13,Inputs!$G$13)</f>
        <v>60000000</v>
      </c>
      <c r="S13" s="27" t="n">
        <f aca="false">ROUND(Flows!$M$12*1000000*R13/SUM(R$6:R$15),2)</f>
        <v>7215000</v>
      </c>
      <c r="T13" s="27" t="n">
        <f aca="false">ROUND((Flows!$G$12-Flows!$I$12)*1000000*R13*Inputs!$F$13/SUMPRODUCT(R$6:R$15,Inputs!$F$6:$F$15),2)</f>
        <v>262500</v>
      </c>
      <c r="U13" s="10" t="n">
        <f aca="false">IF(7&lt;Inputs!$D$26,Inputs!$D$13,Inputs!$G$13)</f>
        <v>60000000</v>
      </c>
      <c r="V13" s="27" t="n">
        <f aca="false">ROUND(Flows!$M$13*1000000*U13/SUM(U$6:U$15),2)</f>
        <v>15000</v>
      </c>
      <c r="W13" s="27" t="n">
        <f aca="false">ROUND((Flows!$G$13-Flows!$I$13)*1000000*U13*Inputs!$F$13/SUMPRODUCT(U$6:U$15,Inputs!$F$6:$F$15),2)</f>
        <v>262500</v>
      </c>
      <c r="X13" s="10" t="n">
        <f aca="false">IF(8&lt;Inputs!$D$26,Inputs!$D$13,Inputs!$G$13)</f>
        <v>60000000</v>
      </c>
      <c r="Y13" s="27" t="n">
        <f aca="false">ROUND(Flows!$M$14*1000000*X13/SUM(X$6:X$15),2)</f>
        <v>6615000</v>
      </c>
      <c r="Z13" s="27" t="n">
        <f aca="false">ROUND((Flows!$G$14-Flows!$I$14)*1000000*X13*Inputs!$F$13/SUMPRODUCT(X$6:X$15,Inputs!$F$6:$F$15),2)</f>
        <v>262500</v>
      </c>
    </row>
    <row r="14" customFormat="false" ht="15" hidden="false" customHeight="false" outlineLevel="0" collapsed="false">
      <c r="B14" s="7" t="str">
        <f aca="false">Inputs!$B$14</f>
        <v>LP09</v>
      </c>
      <c r="C14" s="10" t="n">
        <f aca="false">IF(1&lt;Inputs!$D$26,Inputs!$D$14,Inputs!$G$14)</f>
        <v>0</v>
      </c>
      <c r="D14" s="27" t="n">
        <f aca="false">ROUND(Flows!$M$7*1000000*C14/SUM(C$6:C$15),2)</f>
        <v>0</v>
      </c>
      <c r="E14" s="27" t="n">
        <f aca="false">ROUND((Flows!$G$7-Flows!$I$7)*1000000*C14*Inputs!$F$14/SUMPRODUCT(C$6:C$15,Inputs!$F$6:$F$15),2)</f>
        <v>0</v>
      </c>
      <c r="F14" s="10" t="n">
        <f aca="false">IF(2&lt;Inputs!$D$26,Inputs!$D$14,Inputs!$G$14)</f>
        <v>0</v>
      </c>
      <c r="G14" s="27" t="n">
        <f aca="false">ROUND(Flows!$M$8*1000000*F14/SUM(F$6:F$15),2)</f>
        <v>0</v>
      </c>
      <c r="H14" s="27" t="n">
        <f aca="false">ROUND((Flows!$G$8-Flows!$I$8)*1000000*F14*Inputs!$F$14/SUMPRODUCT(F$6:F$15,Inputs!$F$6:$F$15),2)</f>
        <v>0</v>
      </c>
      <c r="I14" s="10" t="n">
        <f aca="false">IF(3&lt;Inputs!$D$26,Inputs!$D$14,Inputs!$G$14)</f>
        <v>0</v>
      </c>
      <c r="J14" s="27" t="n">
        <f aca="false">ROUND(Flows!$M$9*1000000*I14/SUM(I$6:I$15),2)</f>
        <v>0</v>
      </c>
      <c r="K14" s="27" t="n">
        <f aca="false">ROUND((Flows!$G$9-Flows!$I$9)*1000000*I14*Inputs!$F$14/SUMPRODUCT(I$6:I$15,Inputs!$F$6:$F$15),2)</f>
        <v>0</v>
      </c>
      <c r="L14" s="10" t="n">
        <f aca="false">IF(4&lt;Inputs!$D$26,Inputs!$D$14,Inputs!$G$14)</f>
        <v>27000000</v>
      </c>
      <c r="M14" s="27" t="n">
        <f aca="false">ROUND(Flows!$M$10*1000000*L14/SUM(L$6:L$15),2)</f>
        <v>2436750</v>
      </c>
      <c r="N14" s="27" t="n">
        <f aca="false">ROUND((Flows!$G$10-Flows!$I$10)*1000000*L14*Inputs!$F$14/SUMPRODUCT(L$6:L$15,Inputs!$F$6:$F$15),2)</f>
        <v>118125</v>
      </c>
      <c r="O14" s="10" t="n">
        <f aca="false">IF(5&lt;Inputs!$D$26,Inputs!$D$14,Inputs!$G$14)</f>
        <v>27000000</v>
      </c>
      <c r="P14" s="27" t="n">
        <f aca="false">ROUND(Flows!$M$11*1000000*O14/SUM(O$6:O$15),2)</f>
        <v>6750</v>
      </c>
      <c r="Q14" s="27" t="n">
        <f aca="false">ROUND((Flows!$G$11-Flows!$I$11)*1000000*O14*Inputs!$F$14/SUMPRODUCT(O$6:O$15,Inputs!$F$6:$F$15),2)</f>
        <v>68533.16</v>
      </c>
      <c r="R14" s="10" t="n">
        <f aca="false">IF(6&lt;Inputs!$D$26,Inputs!$D$14,Inputs!$G$14)</f>
        <v>27000000</v>
      </c>
      <c r="S14" s="27" t="n">
        <f aca="false">ROUND(Flows!$M$12*1000000*R14/SUM(R$6:R$15),2)</f>
        <v>3246750</v>
      </c>
      <c r="T14" s="27" t="n">
        <f aca="false">ROUND((Flows!$G$12-Flows!$I$12)*1000000*R14*Inputs!$F$14/SUMPRODUCT(R$6:R$15,Inputs!$F$6:$F$15),2)</f>
        <v>118125</v>
      </c>
      <c r="U14" s="10" t="n">
        <f aca="false">IF(7&lt;Inputs!$D$26,Inputs!$D$14,Inputs!$G$14)</f>
        <v>27000000</v>
      </c>
      <c r="V14" s="27" t="n">
        <f aca="false">ROUND(Flows!$M$13*1000000*U14/SUM(U$6:U$15),2)</f>
        <v>6750</v>
      </c>
      <c r="W14" s="27" t="n">
        <f aca="false">ROUND((Flows!$G$13-Flows!$I$13)*1000000*U14*Inputs!$F$14/SUMPRODUCT(U$6:U$15,Inputs!$F$6:$F$15),2)</f>
        <v>118125</v>
      </c>
      <c r="X14" s="10" t="n">
        <f aca="false">IF(8&lt;Inputs!$D$26,Inputs!$D$14,Inputs!$G$14)</f>
        <v>27000000</v>
      </c>
      <c r="Y14" s="27" t="n">
        <f aca="false">ROUND(Flows!$M$14*1000000*X14/SUM(X$6:X$15),2)</f>
        <v>2976750</v>
      </c>
      <c r="Z14" s="27" t="n">
        <f aca="false">ROUND((Flows!$G$14-Flows!$I$14)*1000000*X14*Inputs!$F$14/SUMPRODUCT(X$6:X$15,Inputs!$F$6:$F$15),2)</f>
        <v>118125</v>
      </c>
    </row>
    <row r="15" customFormat="false" ht="15" hidden="false" customHeight="false" outlineLevel="0" collapsed="false">
      <c r="B15" s="7" t="str">
        <f aca="false">Inputs!$B$15</f>
        <v>GP</v>
      </c>
      <c r="C15" s="10" t="n">
        <f aca="false">IF(1&lt;Inputs!$D$26,Inputs!$D$15,Inputs!$G$15)</f>
        <v>7000000</v>
      </c>
      <c r="D15" s="27" t="n">
        <f aca="false">ROUND(Flows!$M$7*1000000*C15/SUM(C$6:C$15),2)</f>
        <v>1087430.56</v>
      </c>
      <c r="E15" s="27" t="n">
        <f aca="false">ROUND((Flows!$G$7-Flows!$I$7)*1000000*C15*Inputs!$F$15/SUMPRODUCT(C$6:C$15,Inputs!$F$6:$F$15),2)</f>
        <v>0</v>
      </c>
      <c r="F15" s="10" t="n">
        <f aca="false">IF(2&lt;Inputs!$D$26,Inputs!$D$15,Inputs!$G$15)</f>
        <v>7000000</v>
      </c>
      <c r="G15" s="27" t="n">
        <f aca="false">ROUND(Flows!$M$8*1000000*F15/SUM(F$6:F$15),2)</f>
        <v>702430.56</v>
      </c>
      <c r="H15" s="27" t="n">
        <f aca="false">ROUND((Flows!$G$8-Flows!$I$8)*1000000*F15*Inputs!$F$15/SUMPRODUCT(F$6:F$15,Inputs!$F$6:$F$15),2)</f>
        <v>0</v>
      </c>
      <c r="I15" s="10" t="n">
        <f aca="false">IF(3&lt;Inputs!$D$26,Inputs!$D$15,Inputs!$G$15)</f>
        <v>7000000</v>
      </c>
      <c r="J15" s="27" t="n">
        <f aca="false">ROUND(Flows!$M$9*1000000*I15/SUM(I$6:I$15),2)</f>
        <v>2430.56</v>
      </c>
      <c r="K15" s="27" t="n">
        <f aca="false">ROUND((Flows!$G$9-Flows!$I$9)*1000000*I15*Inputs!$F$15/SUMPRODUCT(I$6:I$15,Inputs!$F$6:$F$15),2)</f>
        <v>0</v>
      </c>
      <c r="L15" s="10" t="n">
        <f aca="false">IF(4&lt;Inputs!$D$26,Inputs!$D$15,Inputs!$G$15)</f>
        <v>10000000</v>
      </c>
      <c r="M15" s="27" t="n">
        <f aca="false">ROUND(Flows!$M$10*1000000*L15/SUM(L$6:L$15),2)</f>
        <v>902500</v>
      </c>
      <c r="N15" s="27" t="n">
        <f aca="false">ROUND((Flows!$G$10-Flows!$I$10)*1000000*L15*Inputs!$F$15/SUMPRODUCT(L$6:L$15,Inputs!$F$6:$F$15),2)</f>
        <v>0</v>
      </c>
      <c r="O15" s="10" t="n">
        <f aca="false">IF(5&lt;Inputs!$D$26,Inputs!$D$15,Inputs!$G$15)</f>
        <v>10000000</v>
      </c>
      <c r="P15" s="27" t="n">
        <f aca="false">ROUND(Flows!$M$11*1000000*O15/SUM(O$6:O$15),2)</f>
        <v>2500</v>
      </c>
      <c r="Q15" s="27" t="n">
        <f aca="false">ROUND((Flows!$G$11-Flows!$I$11)*1000000*O15*Inputs!$F$15/SUMPRODUCT(O$6:O$15,Inputs!$F$6:$F$15),2)</f>
        <v>0</v>
      </c>
      <c r="R15" s="10" t="n">
        <f aca="false">IF(6&lt;Inputs!$D$26,Inputs!$D$15,Inputs!$G$15)</f>
        <v>10000000</v>
      </c>
      <c r="S15" s="27" t="n">
        <f aca="false">ROUND(Flows!$M$12*1000000*R15/SUM(R$6:R$15),2)</f>
        <v>1202500</v>
      </c>
      <c r="T15" s="27" t="n">
        <f aca="false">ROUND((Flows!$G$12-Flows!$I$12)*1000000*R15*Inputs!$F$15/SUMPRODUCT(R$6:R$15,Inputs!$F$6:$F$15),2)</f>
        <v>0</v>
      </c>
      <c r="U15" s="10" t="n">
        <f aca="false">IF(7&lt;Inputs!$D$26,Inputs!$D$15,Inputs!$G$15)</f>
        <v>10000000</v>
      </c>
      <c r="V15" s="27" t="n">
        <f aca="false">ROUND(Flows!$M$13*1000000*U15/SUM(U$6:U$15),2)</f>
        <v>2500</v>
      </c>
      <c r="W15" s="27" t="n">
        <f aca="false">ROUND((Flows!$G$13-Flows!$I$13)*1000000*U15*Inputs!$F$15/SUMPRODUCT(U$6:U$15,Inputs!$F$6:$F$15),2)</f>
        <v>0</v>
      </c>
      <c r="X15" s="10" t="n">
        <f aca="false">IF(8&lt;Inputs!$D$26,Inputs!$D$15,Inputs!$G$15)</f>
        <v>10000000</v>
      </c>
      <c r="Y15" s="27" t="n">
        <f aca="false">ROUND(Flows!$M$14*1000000*X15/SUM(X$6:X$15),2)</f>
        <v>1102500</v>
      </c>
      <c r="Z15" s="27" t="n">
        <f aca="false">ROUND((Flows!$G$14-Flows!$I$14)*1000000*X15*Inputs!$F$15/SUMPRODUCT(X$6:X$15,Inputs!$F$6:$F$15),2)</f>
        <v>0</v>
      </c>
    </row>
    <row r="16" customFormat="false" ht="15" hidden="false" customHeight="false" outlineLevel="0" collapsed="false">
      <c r="B16" s="11" t="s">
        <v>54</v>
      </c>
      <c r="D16" s="28" t="n">
        <f aca="false">SUM(D6:D15)</f>
        <v>55925000</v>
      </c>
      <c r="E16" s="28" t="n">
        <f aca="false">SUM(E6:E15)</f>
        <v>1544375</v>
      </c>
      <c r="G16" s="28" t="n">
        <f aca="false">SUM(G6:G15)</f>
        <v>36125000</v>
      </c>
      <c r="H16" s="28" t="n">
        <f aca="false">SUM(H6:H15)</f>
        <v>1544375</v>
      </c>
      <c r="J16" s="28" t="n">
        <f aca="false">SUM(J6:J15)</f>
        <v>125000</v>
      </c>
      <c r="K16" s="28" t="n">
        <f aca="false">SUM(K6:K15)</f>
        <v>1544375</v>
      </c>
      <c r="M16" s="28" t="n">
        <f aca="false">SUM(M6:M15)</f>
        <v>45125000</v>
      </c>
      <c r="N16" s="28" t="n">
        <f aca="false">SUM(N6:N15)</f>
        <v>2143750</v>
      </c>
      <c r="P16" s="28" t="n">
        <f aca="false">SUM(P6:P15)</f>
        <v>125000</v>
      </c>
      <c r="Q16" s="28" t="n">
        <f aca="false">SUM(Q6:Q15)</f>
        <v>1243750</v>
      </c>
      <c r="S16" s="28" t="n">
        <f aca="false">SUM(S6:S15)</f>
        <v>60125000</v>
      </c>
      <c r="T16" s="28" t="n">
        <f aca="false">SUM(T6:T15)</f>
        <v>2143750</v>
      </c>
      <c r="V16" s="28" t="n">
        <f aca="false">SUM(V6:V15)</f>
        <v>125000</v>
      </c>
      <c r="W16" s="28" t="n">
        <f aca="false">SUM(W6:W15)</f>
        <v>2143750</v>
      </c>
      <c r="Y16" s="28" t="n">
        <f aca="false">SUM(Y6:Y15)</f>
        <v>55125000</v>
      </c>
      <c r="Z16" s="28" t="n">
        <f aca="false">SUM(Z6:Z15)</f>
        <v>2143750</v>
      </c>
    </row>
    <row r="17" customFormat="false" ht="15" hidden="false" customHeight="false" outlineLevel="0" collapsed="false">
      <c r="B17" s="7" t="s">
        <v>171</v>
      </c>
      <c r="D17" s="27" t="n">
        <f aca="false">ROUND(Flows!$M$7*1000000,2)</f>
        <v>55925000</v>
      </c>
      <c r="E17" s="27" t="n">
        <f aca="false">ROUND((Flows!$G$7-Flows!$I$7)*1000000,2)</f>
        <v>1544375</v>
      </c>
      <c r="G17" s="27" t="n">
        <f aca="false">ROUND(Flows!$M$8*1000000,2)</f>
        <v>36125000</v>
      </c>
      <c r="H17" s="27" t="n">
        <f aca="false">ROUND((Flows!$G$8-Flows!$I$8)*1000000,2)</f>
        <v>1544375</v>
      </c>
      <c r="J17" s="27" t="n">
        <f aca="false">ROUND(Flows!$M$9*1000000,2)</f>
        <v>125000</v>
      </c>
      <c r="K17" s="27" t="n">
        <f aca="false">ROUND((Flows!$G$9-Flows!$I$9)*1000000,2)</f>
        <v>1544375</v>
      </c>
      <c r="M17" s="27" t="n">
        <f aca="false">ROUND(Flows!$M$10*1000000,2)</f>
        <v>45125000</v>
      </c>
      <c r="N17" s="27" t="n">
        <f aca="false">ROUND((Flows!$G$10-Flows!$I$10)*1000000,2)</f>
        <v>2143750</v>
      </c>
      <c r="P17" s="27" t="n">
        <f aca="false">ROUND(Flows!$M$11*1000000,2)</f>
        <v>125000</v>
      </c>
      <c r="Q17" s="27" t="n">
        <f aca="false">ROUND((Flows!$G$11-Flows!$I$11)*1000000,2)</f>
        <v>1243750</v>
      </c>
      <c r="S17" s="27" t="n">
        <f aca="false">ROUND(Flows!$M$12*1000000,2)</f>
        <v>60125000</v>
      </c>
      <c r="T17" s="27" t="n">
        <f aca="false">ROUND((Flows!$G$12-Flows!$I$12)*1000000,2)</f>
        <v>2143750</v>
      </c>
      <c r="V17" s="27" t="n">
        <f aca="false">ROUND(Flows!$M$13*1000000,2)</f>
        <v>125000</v>
      </c>
      <c r="W17" s="27" t="n">
        <f aca="false">ROUND((Flows!$G$13-Flows!$I$13)*1000000,2)</f>
        <v>2143750</v>
      </c>
      <c r="Y17" s="27" t="n">
        <f aca="false">ROUND(Flows!$M$14*1000000,2)</f>
        <v>55125000</v>
      </c>
      <c r="Z17" s="27" t="n">
        <f aca="false">ROUND((Flows!$G$14-Flows!$I$14)*1000000,2)</f>
        <v>2143750</v>
      </c>
    </row>
    <row r="18" customFormat="false" ht="15" hidden="false" customHeight="false" outlineLevel="0" collapsed="false">
      <c r="B18" s="7" t="s">
        <v>172</v>
      </c>
      <c r="D18" s="27" t="n">
        <f aca="false">ROUND(D17-(SUM(D7:D15)+ROUND(Flows!$M$7*1000000*C6/SUM(C$6:C$15),2)),2)</f>
        <v>0</v>
      </c>
      <c r="E18" s="27" t="n">
        <f aca="false">ROUND(E17-(SUM(E7:E15)+ROUND((Flows!$G$7-Flows!$I$7)*1000000*C6*Inputs!$F$6/SUMPRODUCT(C$6:C$15,Inputs!$F$6:$F$15),2)),2)</f>
        <v>0</v>
      </c>
      <c r="G18" s="27" t="n">
        <f aca="false">ROUND(G17-(SUM(G7:G15)+ROUND(Flows!$M$8*1000000*F6/SUM(F$6:F$15),2)),2)</f>
        <v>0</v>
      </c>
      <c r="H18" s="27" t="n">
        <f aca="false">ROUND(H17-(SUM(H7:H15)+ROUND((Flows!$G$8-Flows!$I$8)*1000000*F6*Inputs!$F$6/SUMPRODUCT(F$6:F$15,Inputs!$F$6:$F$15),2)),2)</f>
        <v>0</v>
      </c>
      <c r="J18" s="27" t="n">
        <f aca="false">ROUND(J17-(SUM(J7:J15)+ROUND(Flows!$M$9*1000000*I6/SUM(I$6:I$15),2)),2)</f>
        <v>0</v>
      </c>
      <c r="K18" s="27" t="n">
        <f aca="false">ROUND(K17-(SUM(K7:K15)+ROUND((Flows!$G$9-Flows!$I$9)*1000000*I6*Inputs!$F$6/SUMPRODUCT(I$6:I$15,Inputs!$F$6:$F$15),2)),2)</f>
        <v>0</v>
      </c>
      <c r="M18" s="27" t="n">
        <f aca="false">ROUND(M17-(SUM(M7:M15)+ROUND(Flows!$M$10*1000000*L6/SUM(L$6:L$15),2)),2)</f>
        <v>0</v>
      </c>
      <c r="N18" s="27" t="n">
        <f aca="false">ROUND(N17-(SUM(N7:N15)+ROUND((Flows!$G$10-Flows!$I$10)*1000000*L6*Inputs!$F$6/SUMPRODUCT(L$6:L$15,Inputs!$F$6:$F$15),2)),2)</f>
        <v>0</v>
      </c>
      <c r="P18" s="27" t="n">
        <f aca="false">ROUND(P17-(SUM(P7:P15)+ROUND(Flows!$M$11*1000000*O6/SUM(O$6:O$15),2)),2)</f>
        <v>0</v>
      </c>
      <c r="Q18" s="27" t="n">
        <f aca="false">ROUND(Q17-(SUM(Q7:Q15)+ROUND((Flows!$G$11-Flows!$I$11)*1000000*O6*Inputs!$F$6/SUMPRODUCT(O$6:O$15,Inputs!$F$6:$F$15),2)),2)</f>
        <v>0</v>
      </c>
      <c r="S18" s="27" t="n">
        <f aca="false">ROUND(S17-(SUM(S7:S15)+ROUND(Flows!$M$12*1000000*R6/SUM(R$6:R$15),2)),2)</f>
        <v>0</v>
      </c>
      <c r="T18" s="27" t="n">
        <f aca="false">ROUND(T17-(SUM(T7:T15)+ROUND((Flows!$G$12-Flows!$I$12)*1000000*R6*Inputs!$F$6/SUMPRODUCT(R$6:R$15,Inputs!$F$6:$F$15),2)),2)</f>
        <v>0</v>
      </c>
      <c r="V18" s="27" t="n">
        <f aca="false">ROUND(V17-(SUM(V7:V15)+ROUND(Flows!$M$13*1000000*U6/SUM(U$6:U$15),2)),2)</f>
        <v>0</v>
      </c>
      <c r="W18" s="27" t="n">
        <f aca="false">ROUND(W17-(SUM(W7:W15)+ROUND((Flows!$G$13-Flows!$I$13)*1000000*U6*Inputs!$F$6/SUMPRODUCT(U$6:U$15,Inputs!$F$6:$F$15),2)),2)</f>
        <v>0</v>
      </c>
      <c r="Y18" s="27" t="n">
        <f aca="false">ROUND(Y17-(SUM(Y7:Y15)+ROUND(Flows!$M$14*1000000*X6/SUM(X$6:X$15),2)),2)</f>
        <v>0</v>
      </c>
      <c r="Z18" s="27" t="n">
        <f aca="false">ROUND(Z17-(SUM(Z7:Z15)+ROUND((Flows!$G$14-Flows!$I$14)*1000000*X6*Inputs!$F$6/SUMPRODUCT(X$6:X$15,Inputs!$F$6:$F$15),2)),2)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39060"/>
    <pageSetUpPr fitToPage="false"/>
  </sheetPr>
  <dimension ref="B2:F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"/>
    <col collapsed="false" customWidth="true" hidden="false" outlineLevel="0" max="6" min="3" style="0" width="18"/>
  </cols>
  <sheetData>
    <row r="2" customFormat="false" ht="17.35" hidden="false" customHeight="false" outlineLevel="0" collapsed="false">
      <c r="B2" s="4" t="s">
        <v>173</v>
      </c>
    </row>
    <row r="3" customFormat="false" ht="15" hidden="false" customHeight="false" outlineLevel="0" collapsed="false">
      <c r="B3" s="7" t="s">
        <v>174</v>
      </c>
      <c r="D3" s="22" t="n">
        <f aca="false">Inputs!$D$34</f>
        <v>1</v>
      </c>
    </row>
    <row r="4" customFormat="false" ht="15" hidden="false" customHeight="false" outlineLevel="0" collapsed="false">
      <c r="B4" s="7" t="s">
        <v>175</v>
      </c>
      <c r="D4" s="27" t="n">
        <f aca="false">INDEX(Flows!$M$7:$M$46,D3)*1000000</f>
        <v>55925000</v>
      </c>
    </row>
    <row r="5" customFormat="false" ht="15" hidden="false" customHeight="false" outlineLevel="0" collapsed="false">
      <c r="B5" s="7" t="s">
        <v>176</v>
      </c>
      <c r="D5" s="27" t="n">
        <f aca="false">(INDEX(Flows!$G$7:$G$46,D3)-INDEX(Flows!$I$7:$I$46,D3))*1000000</f>
        <v>1544375</v>
      </c>
    </row>
    <row r="7" customFormat="false" ht="23.85" hidden="false" customHeight="false" outlineLevel="0" collapsed="false">
      <c r="B7" s="6" t="s">
        <v>146</v>
      </c>
      <c r="C7" s="6" t="s">
        <v>177</v>
      </c>
      <c r="D7" s="6" t="s">
        <v>178</v>
      </c>
      <c r="E7" s="6" t="s">
        <v>179</v>
      </c>
      <c r="F7" s="6" t="s">
        <v>180</v>
      </c>
    </row>
    <row r="8" customFormat="false" ht="15" hidden="false" customHeight="false" outlineLevel="0" collapsed="false">
      <c r="B8" s="7" t="str">
        <f aca="false">Inputs!$B$6</f>
        <v>LP01</v>
      </c>
      <c r="C8" s="10" t="n">
        <f aca="false">CHOOSE($D$3,CallGrid!C6,CallGrid!F6,CallGrid!I6,CallGrid!L6,CallGrid!O6,CallGrid!R6,CallGrid!U6,CallGrid!X6)</f>
        <v>100000000</v>
      </c>
      <c r="D8" s="27" t="n">
        <f aca="false">CHOOSE($D$3,CallGrid!D6,CallGrid!G6,CallGrid!J6,CallGrid!M6,CallGrid!P6,CallGrid!S6,CallGrid!V6,CallGrid!Y6)</f>
        <v>15534722.22</v>
      </c>
      <c r="E8" s="27" t="n">
        <f aca="false">CHOOSE($D$3,CallGrid!E6,CallGrid!H6,CallGrid!K6,CallGrid!N6,CallGrid!Q6,CallGrid!T6,CallGrid!W6,CallGrid!Z6)</f>
        <v>437500</v>
      </c>
      <c r="F8" s="27" t="n">
        <f aca="false">D8+E8</f>
        <v>15972222.22</v>
      </c>
    </row>
    <row r="9" customFormat="false" ht="15" hidden="false" customHeight="false" outlineLevel="0" collapsed="false">
      <c r="B9" s="7" t="str">
        <f aca="false">Inputs!$B$7</f>
        <v>LP02</v>
      </c>
      <c r="C9" s="10" t="n">
        <f aca="false">CHOOSE($D$3,CallGrid!C7,CallGrid!F7,CallGrid!I7,CallGrid!L7,CallGrid!O7,CallGrid!R7,CallGrid!U7,CallGrid!X7)</f>
        <v>70000000</v>
      </c>
      <c r="D9" s="27" t="n">
        <f aca="false">CHOOSE($D$3,CallGrid!D7,CallGrid!G7,CallGrid!J7,CallGrid!M7,CallGrid!P7,CallGrid!S7,CallGrid!V7,CallGrid!Y7)</f>
        <v>10874305.56</v>
      </c>
      <c r="E9" s="27" t="n">
        <f aca="false">CHOOSE($D$3,CallGrid!E7,CallGrid!H7,CallGrid!K7,CallGrid!N7,CallGrid!Q7,CallGrid!T7,CallGrid!W7,CallGrid!Z7)</f>
        <v>306250</v>
      </c>
      <c r="F9" s="27" t="n">
        <f aca="false">D9+E9</f>
        <v>11180555.56</v>
      </c>
    </row>
    <row r="10" customFormat="false" ht="15" hidden="false" customHeight="false" outlineLevel="0" collapsed="false">
      <c r="B10" s="7" t="str">
        <f aca="false">Inputs!$B$8</f>
        <v>LP03</v>
      </c>
      <c r="C10" s="10" t="n">
        <f aca="false">CHOOSE($D$3,CallGrid!C8,CallGrid!F8,CallGrid!I8,CallGrid!L8,CallGrid!O8,CallGrid!R8,CallGrid!U8,CallGrid!X8)</f>
        <v>40000000</v>
      </c>
      <c r="D10" s="27" t="n">
        <f aca="false">CHOOSE($D$3,CallGrid!D8,CallGrid!G8,CallGrid!J8,CallGrid!M8,CallGrid!P8,CallGrid!S8,CallGrid!V8,CallGrid!Y8)</f>
        <v>6213888.89</v>
      </c>
      <c r="E10" s="27" t="n">
        <f aca="false">CHOOSE($D$3,CallGrid!E8,CallGrid!H8,CallGrid!K8,CallGrid!N8,CallGrid!Q8,CallGrid!T8,CallGrid!W8,CallGrid!Z8)</f>
        <v>175000</v>
      </c>
      <c r="F10" s="27" t="n">
        <f aca="false">D10+E10</f>
        <v>6388888.89</v>
      </c>
    </row>
    <row r="11" customFormat="false" ht="15" hidden="false" customHeight="false" outlineLevel="0" collapsed="false">
      <c r="B11" s="7" t="str">
        <f aca="false">Inputs!$B$9</f>
        <v>LP04</v>
      </c>
      <c r="C11" s="10" t="n">
        <f aca="false">CHOOSE($D$3,CallGrid!C9,CallGrid!F9,CallGrid!I9,CallGrid!L9,CallGrid!O9,CallGrid!R9,CallGrid!U9,CallGrid!X9)</f>
        <v>60000000</v>
      </c>
      <c r="D11" s="27" t="n">
        <f aca="false">CHOOSE($D$3,CallGrid!D9,CallGrid!G9,CallGrid!J9,CallGrid!M9,CallGrid!P9,CallGrid!S9,CallGrid!V9,CallGrid!Y9)</f>
        <v>9320833.33</v>
      </c>
      <c r="E11" s="27" t="n">
        <f aca="false">CHOOSE($D$3,CallGrid!E9,CallGrid!H9,CallGrid!K9,CallGrid!N9,CallGrid!Q9,CallGrid!T9,CallGrid!W9,CallGrid!Z9)</f>
        <v>262500</v>
      </c>
      <c r="F11" s="27" t="n">
        <f aca="false">D11+E11</f>
        <v>9583333.33</v>
      </c>
    </row>
    <row r="12" customFormat="false" ht="15" hidden="false" customHeight="false" outlineLevel="0" collapsed="false">
      <c r="B12" s="7" t="str">
        <f aca="false">Inputs!$B$10</f>
        <v>LP05</v>
      </c>
      <c r="C12" s="10" t="n">
        <f aca="false">CHOOSE($D$3,CallGrid!C10,CallGrid!F10,CallGrid!I10,CallGrid!L10,CallGrid!O10,CallGrid!R10,CallGrid!U10,CallGrid!X10)</f>
        <v>28000000</v>
      </c>
      <c r="D12" s="27" t="n">
        <f aca="false">CHOOSE($D$3,CallGrid!D10,CallGrid!G10,CallGrid!J10,CallGrid!M10,CallGrid!P10,CallGrid!S10,CallGrid!V10,CallGrid!Y10)</f>
        <v>4349722.22</v>
      </c>
      <c r="E12" s="27" t="n">
        <f aca="false">CHOOSE($D$3,CallGrid!E10,CallGrid!H10,CallGrid!K10,CallGrid!N10,CallGrid!Q10,CallGrid!T10,CallGrid!W10,CallGrid!Z10)</f>
        <v>122500</v>
      </c>
      <c r="F12" s="27" t="n">
        <f aca="false">D12+E12</f>
        <v>4472222.22</v>
      </c>
    </row>
    <row r="13" customFormat="false" ht="15" hidden="false" customHeight="false" outlineLevel="0" collapsed="false">
      <c r="B13" s="7" t="str">
        <f aca="false">Inputs!$B$11</f>
        <v>LP06</v>
      </c>
      <c r="C13" s="10" t="n">
        <f aca="false">CHOOSE($D$3,CallGrid!C11,CallGrid!F11,CallGrid!I11,CallGrid!L11,CallGrid!O11,CallGrid!R11,CallGrid!U11,CallGrid!X11)</f>
        <v>55000000</v>
      </c>
      <c r="D13" s="27" t="n">
        <f aca="false">CHOOSE($D$3,CallGrid!D11,CallGrid!G11,CallGrid!J11,CallGrid!M11,CallGrid!P11,CallGrid!S11,CallGrid!V11,CallGrid!Y11)</f>
        <v>8544097.22</v>
      </c>
      <c r="E13" s="27" t="n">
        <f aca="false">CHOOSE($D$3,CallGrid!E11,CallGrid!H11,CallGrid!K11,CallGrid!N11,CallGrid!Q11,CallGrid!T11,CallGrid!W11,CallGrid!Z11)</f>
        <v>240625</v>
      </c>
      <c r="F13" s="27" t="n">
        <f aca="false">D13+E13</f>
        <v>8784722.22</v>
      </c>
    </row>
    <row r="14" customFormat="false" ht="15" hidden="false" customHeight="false" outlineLevel="0" collapsed="false">
      <c r="B14" s="7" t="str">
        <f aca="false">Inputs!$B$12</f>
        <v>LP07</v>
      </c>
      <c r="C14" s="10" t="n">
        <f aca="false">CHOOSE($D$3,CallGrid!C12,CallGrid!F12,CallGrid!I12,CallGrid!L12,CallGrid!O12,CallGrid!R12,CallGrid!U12,CallGrid!X12)</f>
        <v>0</v>
      </c>
      <c r="D14" s="27" t="n">
        <f aca="false">CHOOSE($D$3,CallGrid!D12,CallGrid!G12,CallGrid!J12,CallGrid!M12,CallGrid!P12,CallGrid!S12,CallGrid!V12,CallGrid!Y12)</f>
        <v>0</v>
      </c>
      <c r="E14" s="27" t="n">
        <f aca="false">CHOOSE($D$3,CallGrid!E12,CallGrid!H12,CallGrid!K12,CallGrid!N12,CallGrid!Q12,CallGrid!T12,CallGrid!W12,CallGrid!Z12)</f>
        <v>0</v>
      </c>
      <c r="F14" s="27" t="n">
        <f aca="false">D14+E14</f>
        <v>0</v>
      </c>
    </row>
    <row r="15" customFormat="false" ht="15" hidden="false" customHeight="false" outlineLevel="0" collapsed="false">
      <c r="B15" s="7" t="str">
        <f aca="false">Inputs!$B$13</f>
        <v>LP08</v>
      </c>
      <c r="C15" s="10" t="n">
        <f aca="false">CHOOSE($D$3,CallGrid!C13,CallGrid!F13,CallGrid!I13,CallGrid!L13,CallGrid!O13,CallGrid!R13,CallGrid!U13,CallGrid!X13)</f>
        <v>0</v>
      </c>
      <c r="D15" s="27" t="n">
        <f aca="false">CHOOSE($D$3,CallGrid!D13,CallGrid!G13,CallGrid!J13,CallGrid!M13,CallGrid!P13,CallGrid!S13,CallGrid!V13,CallGrid!Y13)</f>
        <v>0</v>
      </c>
      <c r="E15" s="27" t="n">
        <f aca="false">CHOOSE($D$3,CallGrid!E13,CallGrid!H13,CallGrid!K13,CallGrid!N13,CallGrid!Q13,CallGrid!T13,CallGrid!W13,CallGrid!Z13)</f>
        <v>0</v>
      </c>
      <c r="F15" s="27" t="n">
        <f aca="false">D15+E15</f>
        <v>0</v>
      </c>
    </row>
    <row r="16" customFormat="false" ht="15" hidden="false" customHeight="false" outlineLevel="0" collapsed="false">
      <c r="B16" s="7" t="str">
        <f aca="false">Inputs!$B$14</f>
        <v>LP09</v>
      </c>
      <c r="C16" s="10" t="n">
        <f aca="false">CHOOSE($D$3,CallGrid!C14,CallGrid!F14,CallGrid!I14,CallGrid!L14,CallGrid!O14,CallGrid!R14,CallGrid!U14,CallGrid!X14)</f>
        <v>0</v>
      </c>
      <c r="D16" s="27" t="n">
        <f aca="false">CHOOSE($D$3,CallGrid!D14,CallGrid!G14,CallGrid!J14,CallGrid!M14,CallGrid!P14,CallGrid!S14,CallGrid!V14,CallGrid!Y14)</f>
        <v>0</v>
      </c>
      <c r="E16" s="27" t="n">
        <f aca="false">CHOOSE($D$3,CallGrid!E14,CallGrid!H14,CallGrid!K14,CallGrid!N14,CallGrid!Q14,CallGrid!T14,CallGrid!W14,CallGrid!Z14)</f>
        <v>0</v>
      </c>
      <c r="F16" s="27" t="n">
        <f aca="false">D16+E16</f>
        <v>0</v>
      </c>
    </row>
    <row r="17" customFormat="false" ht="15" hidden="false" customHeight="false" outlineLevel="0" collapsed="false">
      <c r="B17" s="7" t="str">
        <f aca="false">Inputs!$B$15</f>
        <v>GP</v>
      </c>
      <c r="C17" s="10" t="n">
        <f aca="false">CHOOSE($D$3,CallGrid!C15,CallGrid!F15,CallGrid!I15,CallGrid!L15,CallGrid!O15,CallGrid!R15,CallGrid!U15,CallGrid!X15)</f>
        <v>7000000</v>
      </c>
      <c r="D17" s="27" t="n">
        <f aca="false">CHOOSE($D$3,CallGrid!D15,CallGrid!G15,CallGrid!J15,CallGrid!M15,CallGrid!P15,CallGrid!S15,CallGrid!V15,CallGrid!Y15)</f>
        <v>1087430.56</v>
      </c>
      <c r="E17" s="27" t="n">
        <f aca="false">CHOOSE($D$3,CallGrid!E15,CallGrid!H15,CallGrid!K15,CallGrid!N15,CallGrid!Q15,CallGrid!T15,CallGrid!W15,CallGrid!Z15)</f>
        <v>0</v>
      </c>
      <c r="F17" s="27" t="n">
        <f aca="false">D17+E17</f>
        <v>1087430.56</v>
      </c>
    </row>
    <row r="18" customFormat="false" ht="15" hidden="false" customHeight="false" outlineLevel="0" collapsed="false">
      <c r="B18" s="11" t="s">
        <v>54</v>
      </c>
      <c r="C18" s="28" t="n">
        <f aca="false">SUM(C8:C17)</f>
        <v>360000000</v>
      </c>
      <c r="D18" s="28" t="n">
        <f aca="false">SUM(D8:D17)</f>
        <v>55925000</v>
      </c>
      <c r="E18" s="28" t="n">
        <f aca="false">SUM(E8:E17)</f>
        <v>1544375</v>
      </c>
      <c r="F18" s="28" t="n">
        <f aca="false">SUM(F8:F17)</f>
        <v>57469375</v>
      </c>
    </row>
    <row r="20" customFormat="false" ht="15" hidden="false" customHeight="false" outlineLevel="0" collapsed="false">
      <c r="B20" s="5" t="s">
        <v>181</v>
      </c>
    </row>
    <row r="21" customFormat="false" ht="15" hidden="false" customHeight="false" outlineLevel="0" collapsed="false">
      <c r="B21" s="7" t="s">
        <v>182</v>
      </c>
      <c r="D21" s="27" t="n">
        <f aca="false">CHOOSE(Inputs!$D$30,CallGrid!D10+CallGrid!E10,CallGrid!G10+CallGrid!H10,CallGrid!J10+CallGrid!K10,CallGrid!M10+CallGrid!N10,CallGrid!P10+CallGrid!Q10,CallGrid!S10+CallGrid!T10,CallGrid!V10+CallGrid!W10,CallGrid!Y10+CallGrid!Z10)</f>
        <v>3489500</v>
      </c>
    </row>
    <row r="22" customFormat="false" ht="15" hidden="false" customHeight="false" outlineLevel="0" collapsed="false">
      <c r="B22" s="7" t="s">
        <v>183</v>
      </c>
      <c r="D22" s="27" t="n">
        <f aca="false">ROUND(D21*Inputs!$D$28*Inputs!$D$29/365,2)</f>
        <v>11472.33</v>
      </c>
    </row>
    <row r="24" customFormat="false" ht="15" hidden="false" customHeight="false" outlineLevel="0" collapsed="false">
      <c r="B24" s="6" t="s">
        <v>146</v>
      </c>
      <c r="C24" s="6" t="s">
        <v>184</v>
      </c>
      <c r="D24" s="6" t="s">
        <v>185</v>
      </c>
    </row>
    <row r="25" customFormat="false" ht="15" hidden="false" customHeight="false" outlineLevel="0" collapsed="false">
      <c r="B25" s="7" t="str">
        <f aca="false">Inputs!$B$6</f>
        <v>LP01</v>
      </c>
      <c r="C25" s="10" t="n">
        <f aca="false">IF(Inputs!$B$6="LP05",0,Inputs!$G$6)</f>
        <v>100000000</v>
      </c>
      <c r="D25" s="27" t="n">
        <f aca="false">ROUND($D$22*C25/SUM($C$25:$C$34),2)+IF(B25="LP01",$D$36,0)</f>
        <v>2430.57</v>
      </c>
    </row>
    <row r="26" customFormat="false" ht="15" hidden="false" customHeight="false" outlineLevel="0" collapsed="false">
      <c r="B26" s="7" t="str">
        <f aca="false">Inputs!$B$7</f>
        <v>LP02</v>
      </c>
      <c r="C26" s="10" t="n">
        <f aca="false">IF(Inputs!$B$7="LP05",0,Inputs!$G$7)</f>
        <v>70000000</v>
      </c>
      <c r="D26" s="27" t="n">
        <f aca="false">ROUND($D$22*C26/SUM($C$25:$C$34),2)+IF(B26="LP01",$D$36,0)</f>
        <v>1701.4</v>
      </c>
    </row>
    <row r="27" customFormat="false" ht="15" hidden="false" customHeight="false" outlineLevel="0" collapsed="false">
      <c r="B27" s="7" t="str">
        <f aca="false">Inputs!$B$8</f>
        <v>LP03</v>
      </c>
      <c r="C27" s="10" t="n">
        <f aca="false">IF(Inputs!$B$8="LP05",0,Inputs!$G$8)</f>
        <v>40000000</v>
      </c>
      <c r="D27" s="27" t="n">
        <f aca="false">ROUND($D$22*C27/SUM($C$25:$C$34),2)+IF(B27="LP01",$D$36,0)</f>
        <v>972.23</v>
      </c>
    </row>
    <row r="28" customFormat="false" ht="15" hidden="false" customHeight="false" outlineLevel="0" collapsed="false">
      <c r="B28" s="7" t="str">
        <f aca="false">Inputs!$B$9</f>
        <v>LP04</v>
      </c>
      <c r="C28" s="10" t="n">
        <f aca="false">IF(Inputs!$B$9="LP05",0,Inputs!$G$9)</f>
        <v>60000000</v>
      </c>
      <c r="D28" s="27" t="n">
        <f aca="false">ROUND($D$22*C28/SUM($C$25:$C$34),2)+IF(B28="LP01",$D$36,0)</f>
        <v>1458.35</v>
      </c>
    </row>
    <row r="29" customFormat="false" ht="15" hidden="false" customHeight="false" outlineLevel="0" collapsed="false">
      <c r="B29" s="7" t="str">
        <f aca="false">Inputs!$B$10</f>
        <v>LP05</v>
      </c>
      <c r="C29" s="10" t="n">
        <f aca="false">IF(Inputs!$B$10="LP05",0,Inputs!$G$10)</f>
        <v>0</v>
      </c>
      <c r="D29" s="27" t="n">
        <f aca="false">ROUND($D$22*C29/SUM($C$25:$C$34),2)+IF(B29="LP01",$D$36,0)</f>
        <v>0</v>
      </c>
    </row>
    <row r="30" customFormat="false" ht="15" hidden="false" customHeight="false" outlineLevel="0" collapsed="false">
      <c r="B30" s="7" t="str">
        <f aca="false">Inputs!$B$11</f>
        <v>LP06</v>
      </c>
      <c r="C30" s="10" t="n">
        <f aca="false">IF(Inputs!$B$11="LP05",0,Inputs!$G$11)</f>
        <v>55000000</v>
      </c>
      <c r="D30" s="27" t="n">
        <f aca="false">ROUND($D$22*C30/SUM($C$25:$C$34),2)+IF(B30="LP01",$D$36,0)</f>
        <v>1336.82</v>
      </c>
    </row>
    <row r="31" customFormat="false" ht="15" hidden="false" customHeight="false" outlineLevel="0" collapsed="false">
      <c r="B31" s="7" t="str">
        <f aca="false">Inputs!$B$12</f>
        <v>LP07</v>
      </c>
      <c r="C31" s="10" t="n">
        <f aca="false">IF(Inputs!$B$12="LP05",0,Inputs!$G$12)</f>
        <v>50000000</v>
      </c>
      <c r="D31" s="27" t="n">
        <f aca="false">ROUND($D$22*C31/SUM($C$25:$C$34),2)+IF(B31="LP01",$D$36,0)</f>
        <v>1215.29</v>
      </c>
    </row>
    <row r="32" customFormat="false" ht="15" hidden="false" customHeight="false" outlineLevel="0" collapsed="false">
      <c r="B32" s="7" t="str">
        <f aca="false">Inputs!$B$13</f>
        <v>LP08</v>
      </c>
      <c r="C32" s="10" t="n">
        <f aca="false">IF(Inputs!$B$13="LP05",0,Inputs!$G$13)</f>
        <v>60000000</v>
      </c>
      <c r="D32" s="27" t="n">
        <f aca="false">ROUND($D$22*C32/SUM($C$25:$C$34),2)+IF(B32="LP01",$D$36,0)</f>
        <v>1458.35</v>
      </c>
    </row>
    <row r="33" customFormat="false" ht="15" hidden="false" customHeight="false" outlineLevel="0" collapsed="false">
      <c r="B33" s="7" t="str">
        <f aca="false">Inputs!$B$14</f>
        <v>LP09</v>
      </c>
      <c r="C33" s="10" t="n">
        <f aca="false">IF(Inputs!$B$14="LP05",0,Inputs!$G$14)</f>
        <v>27000000</v>
      </c>
      <c r="D33" s="27" t="n">
        <f aca="false">ROUND($D$22*C33/SUM($C$25:$C$34),2)+IF(B33="LP01",$D$36,0)</f>
        <v>656.26</v>
      </c>
    </row>
    <row r="34" customFormat="false" ht="15" hidden="false" customHeight="false" outlineLevel="0" collapsed="false">
      <c r="B34" s="7" t="str">
        <f aca="false">Inputs!$B$15</f>
        <v>GP</v>
      </c>
      <c r="C34" s="10" t="n">
        <f aca="false">IF(Inputs!$B$15="LP05",0,Inputs!$G$15)</f>
        <v>10000000</v>
      </c>
      <c r="D34" s="27" t="n">
        <f aca="false">ROUND($D$22*C34/SUM($C$25:$C$34),2)+IF(B34="LP01",$D$36,0)</f>
        <v>243.06</v>
      </c>
    </row>
    <row r="35" customFormat="false" ht="15" hidden="false" customHeight="false" outlineLevel="0" collapsed="false">
      <c r="B35" s="11" t="s">
        <v>54</v>
      </c>
      <c r="D35" s="28" t="n">
        <f aca="false">SUM(D25:D34)</f>
        <v>11472.33</v>
      </c>
    </row>
    <row r="36" customFormat="false" ht="15" hidden="false" customHeight="false" outlineLevel="0" collapsed="false">
      <c r="B36" s="7" t="s">
        <v>186</v>
      </c>
      <c r="D36" s="27" t="n">
        <f aca="false">ROUND($D$22-SUMPRODUCT(ROUND($D$22*$C$25:$C$34/SUM($C$25:$C$34),2)),2)</f>
        <v>-0.01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39060"/>
    <pageSetUpPr fitToPage="false"/>
  </sheetPr>
  <dimension ref="B2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"/>
    <col collapsed="false" customWidth="true" hidden="false" outlineLevel="0" max="4" min="3" style="0" width="18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14"/>
  </cols>
  <sheetData>
    <row r="2" customFormat="false" ht="17.35" hidden="false" customHeight="false" outlineLevel="0" collapsed="false">
      <c r="B2" s="4" t="s">
        <v>187</v>
      </c>
    </row>
    <row r="3" customFormat="false" ht="15" hidden="false" customHeight="false" outlineLevel="0" collapsed="false">
      <c r="B3" s="7" t="s">
        <v>188</v>
      </c>
    </row>
    <row r="4" customFormat="false" ht="15" hidden="false" customHeight="false" outlineLevel="0" collapsed="false">
      <c r="B4" s="7" t="s">
        <v>189</v>
      </c>
      <c r="D4" s="21" t="n">
        <f aca="false">MAX(0,(Inputs!$D$26-1-0)/4)</f>
        <v>0.75</v>
      </c>
      <c r="E4" s="21" t="n">
        <f aca="false">MAX(0,(Inputs!$D$26-1-1)/4)</f>
        <v>0.5</v>
      </c>
      <c r="F4" s="21" t="n">
        <f aca="false">MAX(0,(Inputs!$D$26-1-2)/4)</f>
        <v>0.25</v>
      </c>
    </row>
    <row r="6" customFormat="false" ht="23.85" hidden="false" customHeight="false" outlineLevel="0" collapsed="false">
      <c r="B6" s="6" t="s">
        <v>146</v>
      </c>
      <c r="C6" s="6" t="s">
        <v>190</v>
      </c>
      <c r="D6" s="6" t="s">
        <v>191</v>
      </c>
      <c r="E6" s="6" t="s">
        <v>192</v>
      </c>
      <c r="F6" s="6" t="s">
        <v>193</v>
      </c>
      <c r="G6" s="6" t="s">
        <v>194</v>
      </c>
      <c r="H6" s="6" t="s">
        <v>195</v>
      </c>
    </row>
    <row r="7" customFormat="false" ht="15" hidden="false" customHeight="false" outlineLevel="0" collapsed="false">
      <c r="B7" s="7" t="str">
        <f aca="false">Inputs!$B$6</f>
        <v>LP01</v>
      </c>
      <c r="C7" s="27" t="n">
        <f aca="false">IF(1&lt;Inputs!$D$26,CallGrid!D6,0)+IF(2&lt;Inputs!$D$26,CallGrid!G6,0)+IF(3&lt;Inputs!$D$26,CallGrid!J6,0)</f>
        <v>25604166.66</v>
      </c>
      <c r="D7" s="27" t="n">
        <f aca="false">ROUND($C$17*Inputs!$G$6/Inputs!$G$16,2)</f>
        <v>18435000</v>
      </c>
      <c r="E7" s="27" t="n">
        <f aca="false">ROUND(D7-C7,2)+IF(B7="LP01",-$E$18,0)</f>
        <v>-7169166.66</v>
      </c>
      <c r="F7" s="27" t="n">
        <f aca="false">ROUND(IF(1&lt;Inputs!$D$26,CallGrid!D$16*$H7*Inputs!$D$27*D$4,0)+IF(2&lt;Inputs!$D$26,CallGrid!G$16*$H7*Inputs!$D$27*E$4,0)+IF(3&lt;Inputs!$D$26,CallGrid!J$16*$H7*Inputs!$D$27*F$4,0),2)+IF(B7="LP01",-$F$18,0)</f>
        <v>-373566.65</v>
      </c>
      <c r="G7" s="27" t="n">
        <f aca="false">IF(Inputs!$F$6=1,ROUND(Inputs!$D$19*Inputs!$E$6*(Inputs!$D$26-1)/4,2),0)</f>
        <v>0</v>
      </c>
      <c r="H7" s="29" t="n">
        <f aca="false">Inputs!$G$6/Inputs!$G$16-Inputs!$D$6/Inputs!$D$16</f>
        <v>-0.0777777777777778</v>
      </c>
    </row>
    <row r="8" customFormat="false" ht="15" hidden="false" customHeight="false" outlineLevel="0" collapsed="false">
      <c r="B8" s="7" t="str">
        <f aca="false">Inputs!$B$7</f>
        <v>LP02</v>
      </c>
      <c r="C8" s="27" t="n">
        <f aca="false">IF(1&lt;Inputs!$D$26,CallGrid!D7,0)+IF(2&lt;Inputs!$D$26,CallGrid!G7,0)+IF(3&lt;Inputs!$D$26,CallGrid!J7,0)</f>
        <v>17922916.68</v>
      </c>
      <c r="D8" s="27" t="n">
        <f aca="false">ROUND($C$17*Inputs!$G$7/Inputs!$G$16,2)</f>
        <v>12904500</v>
      </c>
      <c r="E8" s="27" t="n">
        <f aca="false">ROUND(D8-C8,2)+IF(B8="LP01",-$E$18,0)</f>
        <v>-5018416.68</v>
      </c>
      <c r="F8" s="27" t="n">
        <f aca="false">ROUND(IF(1&lt;Inputs!$D$26,CallGrid!D$16*$H8*Inputs!$D$27*D$4,0)+IF(2&lt;Inputs!$D$26,CallGrid!G$16*$H8*Inputs!$D$27*E$4,0)+IF(3&lt;Inputs!$D$26,CallGrid!J$16*$H8*Inputs!$D$27*F$4,0),2)+IF(B8="LP01",-$F$18,0)</f>
        <v>-261496.67</v>
      </c>
      <c r="G8" s="27" t="n">
        <f aca="false">IF(Inputs!$F$7=1,ROUND(Inputs!$D$19*Inputs!$E$7*(Inputs!$D$26-1)/4,2),0)</f>
        <v>0</v>
      </c>
      <c r="H8" s="29" t="n">
        <f aca="false">Inputs!$G$7/Inputs!$G$16-Inputs!$D$7/Inputs!$D$16</f>
        <v>-0.0544444444444444</v>
      </c>
    </row>
    <row r="9" customFormat="false" ht="15" hidden="false" customHeight="false" outlineLevel="0" collapsed="false">
      <c r="B9" s="7" t="str">
        <f aca="false">Inputs!$B$8</f>
        <v>LP03</v>
      </c>
      <c r="C9" s="27" t="n">
        <f aca="false">IF(1&lt;Inputs!$D$26,CallGrid!D8,0)+IF(2&lt;Inputs!$D$26,CallGrid!G8,0)+IF(3&lt;Inputs!$D$26,CallGrid!J8,0)</f>
        <v>10241666.67</v>
      </c>
      <c r="D9" s="27" t="n">
        <f aca="false">ROUND($C$17*Inputs!$G$8/Inputs!$G$16,2)</f>
        <v>7374000</v>
      </c>
      <c r="E9" s="27" t="n">
        <f aca="false">ROUND(D9-C9,2)+IF(B9="LP01",-$E$18,0)</f>
        <v>-2867666.67</v>
      </c>
      <c r="F9" s="27" t="n">
        <f aca="false">ROUND(IF(1&lt;Inputs!$D$26,CallGrid!D$16*$H9*Inputs!$D$27*D$4,0)+IF(2&lt;Inputs!$D$26,CallGrid!G$16*$H9*Inputs!$D$27*E$4,0)+IF(3&lt;Inputs!$D$26,CallGrid!J$16*$H9*Inputs!$D$27*F$4,0),2)+IF(B9="LP01",-$F$18,0)</f>
        <v>-149426.67</v>
      </c>
      <c r="G9" s="27" t="n">
        <f aca="false">IF(Inputs!$F$8=1,ROUND(Inputs!$D$19*Inputs!$E$8*(Inputs!$D$26-1)/4,2),0)</f>
        <v>0</v>
      </c>
      <c r="H9" s="29" t="n">
        <f aca="false">Inputs!$G$8/Inputs!$G$16-Inputs!$D$8/Inputs!$D$16</f>
        <v>-0.0311111111111111</v>
      </c>
    </row>
    <row r="10" customFormat="false" ht="15" hidden="false" customHeight="false" outlineLevel="0" collapsed="false">
      <c r="B10" s="7" t="str">
        <f aca="false">Inputs!$B$9</f>
        <v>LP04</v>
      </c>
      <c r="C10" s="27" t="n">
        <f aca="false">IF(1&lt;Inputs!$D$26,CallGrid!D9,0)+IF(2&lt;Inputs!$D$26,CallGrid!G9,0)+IF(3&lt;Inputs!$D$26,CallGrid!J9,0)</f>
        <v>15362499.99</v>
      </c>
      <c r="D10" s="27" t="n">
        <f aca="false">ROUND($C$17*Inputs!$G$9/Inputs!$G$16,2)</f>
        <v>11061000</v>
      </c>
      <c r="E10" s="27" t="n">
        <f aca="false">ROUND(D10-C10,2)+IF(B10="LP01",-$E$18,0)</f>
        <v>-4301499.99</v>
      </c>
      <c r="F10" s="27" t="n">
        <f aca="false">ROUND(IF(1&lt;Inputs!$D$26,CallGrid!D$16*$H10*Inputs!$D$27*D$4,0)+IF(2&lt;Inputs!$D$26,CallGrid!G$16*$H10*Inputs!$D$27*E$4,0)+IF(3&lt;Inputs!$D$26,CallGrid!J$16*$H10*Inputs!$D$27*F$4,0),2)+IF(B10="LP01",-$F$18,0)</f>
        <v>-224140</v>
      </c>
      <c r="G10" s="27" t="n">
        <f aca="false">IF(Inputs!$F$9=1,ROUND(Inputs!$D$19*Inputs!$E$9*(Inputs!$D$26-1)/4,2),0)</f>
        <v>0</v>
      </c>
      <c r="H10" s="29" t="n">
        <f aca="false">Inputs!$G$9/Inputs!$G$16-Inputs!$D$9/Inputs!$D$16</f>
        <v>-0.0466666666666667</v>
      </c>
    </row>
    <row r="11" customFormat="false" ht="15" hidden="false" customHeight="false" outlineLevel="0" collapsed="false">
      <c r="B11" s="7" t="str">
        <f aca="false">Inputs!$B$10</f>
        <v>LP05</v>
      </c>
      <c r="C11" s="27" t="n">
        <f aca="false">IF(1&lt;Inputs!$D$26,CallGrid!D10,0)+IF(2&lt;Inputs!$D$26,CallGrid!G10,0)+IF(3&lt;Inputs!$D$26,CallGrid!J10,0)</f>
        <v>7169166.66</v>
      </c>
      <c r="D11" s="27" t="n">
        <f aca="false">ROUND($C$17*Inputs!$G$10/Inputs!$G$16,2)</f>
        <v>5161800</v>
      </c>
      <c r="E11" s="27" t="n">
        <f aca="false">ROUND(D11-C11,2)+IF(B11="LP01",-$E$18,0)</f>
        <v>-2007366.66</v>
      </c>
      <c r="F11" s="27" t="n">
        <f aca="false">ROUND(IF(1&lt;Inputs!$D$26,CallGrid!D$16*$H11*Inputs!$D$27*D$4,0)+IF(2&lt;Inputs!$D$26,CallGrid!G$16*$H11*Inputs!$D$27*E$4,0)+IF(3&lt;Inputs!$D$26,CallGrid!J$16*$H11*Inputs!$D$27*F$4,0),2)+IF(B11="LP01",-$F$18,0)</f>
        <v>-104598.67</v>
      </c>
      <c r="G11" s="27" t="n">
        <f aca="false">IF(Inputs!$F$10=1,ROUND(Inputs!$D$19*Inputs!$E$10*(Inputs!$D$26-1)/4,2),0)</f>
        <v>0</v>
      </c>
      <c r="H11" s="29" t="n">
        <f aca="false">Inputs!$G$10/Inputs!$G$16-Inputs!$D$10/Inputs!$D$16</f>
        <v>-0.0217777777777778</v>
      </c>
    </row>
    <row r="12" customFormat="false" ht="15" hidden="false" customHeight="false" outlineLevel="0" collapsed="false">
      <c r="B12" s="7" t="str">
        <f aca="false">Inputs!$B$11</f>
        <v>LP06</v>
      </c>
      <c r="C12" s="27" t="n">
        <f aca="false">IF(1&lt;Inputs!$D$26,CallGrid!D11,0)+IF(2&lt;Inputs!$D$26,CallGrid!G11,0)+IF(3&lt;Inputs!$D$26,CallGrid!J11,0)</f>
        <v>14082291.66</v>
      </c>
      <c r="D12" s="27" t="n">
        <f aca="false">ROUND($C$17*Inputs!$G$11/Inputs!$G$16,2)</f>
        <v>10139250</v>
      </c>
      <c r="E12" s="27" t="n">
        <f aca="false">ROUND(D12-C12,2)+IF(B12="LP01",-$E$18,0)</f>
        <v>-3943041.66</v>
      </c>
      <c r="F12" s="27" t="n">
        <f aca="false">ROUND(IF(1&lt;Inputs!$D$26,CallGrid!D$16*$H12*Inputs!$D$27*D$4,0)+IF(2&lt;Inputs!$D$26,CallGrid!G$16*$H12*Inputs!$D$27*E$4,0)+IF(3&lt;Inputs!$D$26,CallGrid!J$16*$H12*Inputs!$D$27*F$4,0),2)+IF(B12="LP01",-$F$18,0)</f>
        <v>-205461.67</v>
      </c>
      <c r="G12" s="27" t="n">
        <f aca="false">IF(Inputs!$F$11=1,ROUND(Inputs!$D$19*Inputs!$E$11*(Inputs!$D$26-1)/4,2),0)</f>
        <v>0</v>
      </c>
      <c r="H12" s="29" t="n">
        <f aca="false">Inputs!$G$11/Inputs!$G$16-Inputs!$D$11/Inputs!$D$16</f>
        <v>-0.0427777777777778</v>
      </c>
    </row>
    <row r="13" customFormat="false" ht="15" hidden="false" customHeight="false" outlineLevel="0" collapsed="false">
      <c r="B13" s="7" t="str">
        <f aca="false">Inputs!$B$12</f>
        <v>LP07</v>
      </c>
      <c r="C13" s="27" t="n">
        <f aca="false">IF(1&lt;Inputs!$D$26,CallGrid!D12,0)+IF(2&lt;Inputs!$D$26,CallGrid!G12,0)+IF(3&lt;Inputs!$D$26,CallGrid!J12,0)</f>
        <v>0</v>
      </c>
      <c r="D13" s="27" t="n">
        <f aca="false">ROUND($C$17*Inputs!$G$12/Inputs!$G$16,2)</f>
        <v>9217500</v>
      </c>
      <c r="E13" s="27" t="n">
        <f aca="false">ROUND(D13-C13,2)+IF(B13="LP01",-$E$18,0)</f>
        <v>9217500</v>
      </c>
      <c r="F13" s="27" t="n">
        <f aca="false">ROUND(IF(1&lt;Inputs!$D$26,CallGrid!D$16*$H13*Inputs!$D$27*D$4,0)+IF(2&lt;Inputs!$D$26,CallGrid!G$16*$H13*Inputs!$D$27*E$4,0)+IF(3&lt;Inputs!$D$26,CallGrid!J$16*$H13*Inputs!$D$27*F$4,0),2)+IF(B13="LP01",-$F$18,0)</f>
        <v>480300</v>
      </c>
      <c r="G13" s="27" t="n">
        <f aca="false">IF(Inputs!$F$12=1,ROUND(Inputs!$D$19*Inputs!$E$12*(Inputs!$D$26-1)/4,2),0)</f>
        <v>656250</v>
      </c>
      <c r="H13" s="29" t="n">
        <f aca="false">Inputs!$G$12/Inputs!$G$16-Inputs!$D$12/Inputs!$D$16</f>
        <v>0.1</v>
      </c>
    </row>
    <row r="14" customFormat="false" ht="15" hidden="false" customHeight="false" outlineLevel="0" collapsed="false">
      <c r="B14" s="7" t="str">
        <f aca="false">Inputs!$B$13</f>
        <v>LP08</v>
      </c>
      <c r="C14" s="27" t="n">
        <f aca="false">IF(1&lt;Inputs!$D$26,CallGrid!D13,0)+IF(2&lt;Inputs!$D$26,CallGrid!G13,0)+IF(3&lt;Inputs!$D$26,CallGrid!J13,0)</f>
        <v>0</v>
      </c>
      <c r="D14" s="27" t="n">
        <f aca="false">ROUND($C$17*Inputs!$G$13/Inputs!$G$16,2)</f>
        <v>11061000</v>
      </c>
      <c r="E14" s="27" t="n">
        <f aca="false">ROUND(D14-C14,2)+IF(B14="LP01",-$E$18,0)</f>
        <v>11061000</v>
      </c>
      <c r="F14" s="27" t="n">
        <f aca="false">ROUND(IF(1&lt;Inputs!$D$26,CallGrid!D$16*$H14*Inputs!$D$27*D$4,0)+IF(2&lt;Inputs!$D$26,CallGrid!G$16*$H14*Inputs!$D$27*E$4,0)+IF(3&lt;Inputs!$D$26,CallGrid!J$16*$H14*Inputs!$D$27*F$4,0),2)+IF(B14="LP01",-$F$18,0)</f>
        <v>576360</v>
      </c>
      <c r="G14" s="27" t="n">
        <f aca="false">IF(Inputs!$F$13=1,ROUND(Inputs!$D$19*Inputs!$E$13*(Inputs!$D$26-1)/4,2),0)</f>
        <v>787500</v>
      </c>
      <c r="H14" s="29" t="n">
        <f aca="false">Inputs!$G$13/Inputs!$G$16-Inputs!$D$13/Inputs!$D$16</f>
        <v>0.12</v>
      </c>
    </row>
    <row r="15" customFormat="false" ht="15" hidden="false" customHeight="false" outlineLevel="0" collapsed="false">
      <c r="B15" s="7" t="str">
        <f aca="false">Inputs!$B$14</f>
        <v>LP09</v>
      </c>
      <c r="C15" s="27" t="n">
        <f aca="false">IF(1&lt;Inputs!$D$26,CallGrid!D14,0)+IF(2&lt;Inputs!$D$26,CallGrid!G14,0)+IF(3&lt;Inputs!$D$26,CallGrid!J14,0)</f>
        <v>0</v>
      </c>
      <c r="D15" s="27" t="n">
        <f aca="false">ROUND($C$17*Inputs!$G$14/Inputs!$G$16,2)</f>
        <v>4977450</v>
      </c>
      <c r="E15" s="27" t="n">
        <f aca="false">ROUND(D15-C15,2)+IF(B15="LP01",-$E$18,0)</f>
        <v>4977450</v>
      </c>
      <c r="F15" s="27" t="n">
        <f aca="false">ROUND(IF(1&lt;Inputs!$D$26,CallGrid!D$16*$H15*Inputs!$D$27*D$4,0)+IF(2&lt;Inputs!$D$26,CallGrid!G$16*$H15*Inputs!$D$27*E$4,0)+IF(3&lt;Inputs!$D$26,CallGrid!J$16*$H15*Inputs!$D$27*F$4,0),2)+IF(B15="LP01",-$F$18,0)</f>
        <v>259362</v>
      </c>
      <c r="G15" s="27" t="n">
        <f aca="false">IF(Inputs!$F$14=1,ROUND(Inputs!$D$19*Inputs!$E$14*(Inputs!$D$26-1)/4,2),0)</f>
        <v>354375</v>
      </c>
      <c r="H15" s="29" t="n">
        <f aca="false">Inputs!$G$14/Inputs!$G$16-Inputs!$D$14/Inputs!$D$16</f>
        <v>0.054</v>
      </c>
    </row>
    <row r="16" customFormat="false" ht="15" hidden="false" customHeight="false" outlineLevel="0" collapsed="false">
      <c r="B16" s="7" t="str">
        <f aca="false">Inputs!$B$15</f>
        <v>GP</v>
      </c>
      <c r="C16" s="27" t="n">
        <f aca="false">IF(1&lt;Inputs!$D$26,CallGrid!D15,0)+IF(2&lt;Inputs!$D$26,CallGrid!G15,0)+IF(3&lt;Inputs!$D$26,CallGrid!J15,0)</f>
        <v>1792291.68</v>
      </c>
      <c r="D16" s="27" t="n">
        <f aca="false">ROUND($C$17*Inputs!$G$15/Inputs!$G$16,2)</f>
        <v>1843500</v>
      </c>
      <c r="E16" s="27" t="n">
        <f aca="false">ROUND(D16-C16,2)+IF(B16="LP01",-$E$18,0)</f>
        <v>51208.32</v>
      </c>
      <c r="F16" s="27" t="n">
        <f aca="false">ROUND(IF(1&lt;Inputs!$D$26,CallGrid!D$16*$H16*Inputs!$D$27*D$4,0)+IF(2&lt;Inputs!$D$26,CallGrid!G$16*$H16*Inputs!$D$27*E$4,0)+IF(3&lt;Inputs!$D$26,CallGrid!J$16*$H16*Inputs!$D$27*F$4,0),2)+IF(B16="LP01",-$F$18,0)</f>
        <v>2668.33</v>
      </c>
      <c r="G16" s="27" t="n">
        <f aca="false">IF(Inputs!$F$15=1,ROUND(Inputs!$D$19*Inputs!$E$15*(Inputs!$D$26-1)/4,2),0)</f>
        <v>0</v>
      </c>
      <c r="H16" s="29" t="n">
        <f aca="false">Inputs!$G$15/Inputs!$G$16-Inputs!$D$15/Inputs!$D$16</f>
        <v>0.000555555555555556</v>
      </c>
    </row>
    <row r="17" customFormat="false" ht="15" hidden="false" customHeight="false" outlineLevel="0" collapsed="false">
      <c r="B17" s="11" t="s">
        <v>54</v>
      </c>
      <c r="C17" s="28" t="n">
        <f aca="false">SUM(C7:C16)</f>
        <v>92175000</v>
      </c>
      <c r="D17" s="28" t="n">
        <f aca="false">SUM(D7:D16)</f>
        <v>92175000</v>
      </c>
      <c r="E17" s="28" t="n">
        <f aca="false">SUM(E7:E16)</f>
        <v>0</v>
      </c>
      <c r="F17" s="28" t="n">
        <f aca="false">SUM(F7:F16)</f>
        <v>0</v>
      </c>
      <c r="G17" s="28" t="n">
        <f aca="false">SUM(G7:G16)</f>
        <v>1798125</v>
      </c>
    </row>
    <row r="18" customFormat="false" ht="15" hidden="false" customHeight="false" outlineLevel="0" collapsed="false">
      <c r="B18" s="7" t="s">
        <v>196</v>
      </c>
      <c r="E18" s="27" t="n">
        <f aca="false">ROUND(SUMPRODUCT(ROUND(D7:D16-C7:C16,2)),2)</f>
        <v>0</v>
      </c>
      <c r="F18" s="27" t="n">
        <f aca="false">ROUND(SUMPRODUCT(ROUND(IF(1&lt;Inputs!$D$26,CallGrid!D$16*H7*Inputs!$D$27*D$4,0)+IF(2&lt;Inputs!$D$26,CallGrid!G$16*H7*Inputs!$D$27*E$4,0)+IF(3&lt;Inputs!$D$26,CallGrid!J$16*H7*Inputs!$D$27*F$4,0),2))+SUMPRODUCT(ROUND(IF(1&lt;Inputs!$D$26,CallGrid!D$16*H8*Inputs!$D$27*D$4,0)+IF(2&lt;Inputs!$D$26,CallGrid!G$16*H8*Inputs!$D$27*E$4,0)+IF(3&lt;Inputs!$D$26,CallGrid!J$16*H8*Inputs!$D$27*F$4,0),2))+SUMPRODUCT(ROUND(IF(1&lt;Inputs!$D$26,CallGrid!D$16*H9*Inputs!$D$27*D$4,0)+IF(2&lt;Inputs!$D$26,CallGrid!G$16*H9*Inputs!$D$27*E$4,0)+IF(3&lt;Inputs!$D$26,CallGrid!J$16*H9*Inputs!$D$27*F$4,0),2))+SUMPRODUCT(ROUND(IF(1&lt;Inputs!$D$26,CallGrid!D$16*H10*Inputs!$D$27*D$4,0)+IF(2&lt;Inputs!$D$26,CallGrid!G$16*H10*Inputs!$D$27*E$4,0)+IF(3&lt;Inputs!$D$26,CallGrid!J$16*H10*Inputs!$D$27*F$4,0),2))+SUMPRODUCT(ROUND(IF(1&lt;Inputs!$D$26,CallGrid!D$16*H11*Inputs!$D$27*D$4,0)+IF(2&lt;Inputs!$D$26,CallGrid!G$16*H11*Inputs!$D$27*E$4,0)+IF(3&lt;Inputs!$D$26,CallGrid!J$16*H11*Inputs!$D$27*F$4,0),2))+SUMPRODUCT(ROUND(IF(1&lt;Inputs!$D$26,CallGrid!D$16*H12*Inputs!$D$27*D$4,0)+IF(2&lt;Inputs!$D$26,CallGrid!G$16*H12*Inputs!$D$27*E$4,0)+IF(3&lt;Inputs!$D$26,CallGrid!J$16*H12*Inputs!$D$27*F$4,0),2))+SUMPRODUCT(ROUND(IF(1&lt;Inputs!$D$26,CallGrid!D$16*H13*Inputs!$D$27*D$4,0)+IF(2&lt;Inputs!$D$26,CallGrid!G$16*H13*Inputs!$D$27*E$4,0)+IF(3&lt;Inputs!$D$26,CallGrid!J$16*H13*Inputs!$D$27*F$4,0),2))+SUMPRODUCT(ROUND(IF(1&lt;Inputs!$D$26,CallGrid!D$16*H14*Inputs!$D$27*D$4,0)+IF(2&lt;Inputs!$D$26,CallGrid!G$16*H14*Inputs!$D$27*E$4,0)+IF(3&lt;Inputs!$D$26,CallGrid!J$16*H14*Inputs!$D$27*F$4,0),2))+SUMPRODUCT(ROUND(IF(1&lt;Inputs!$D$26,CallGrid!D$16*H15*Inputs!$D$27*D$4,0)+IF(2&lt;Inputs!$D$26,CallGrid!G$16*H15*Inputs!$D$27*E$4,0)+IF(3&lt;Inputs!$D$26,CallGrid!J$16*H15*Inputs!$D$27*F$4,0),2))+SUMPRODUCT(ROUND(IF(1&lt;Inputs!$D$26,CallGrid!D$16*H16*Inputs!$D$27*D$4,0)+IF(2&lt;Inputs!$D$26,CallGrid!G$16*H16*Inputs!$D$27*E$4,0)+IF(3&lt;Inputs!$D$26,CallGrid!J$16*H16*Inputs!$D$27*F$4,0),2)),2)</f>
        <v>-0.02</v>
      </c>
    </row>
    <row r="20" customFormat="false" ht="15" hidden="false" customHeight="false" outlineLevel="0" collapsed="false">
      <c r="B20" s="7" t="s">
        <v>197</v>
      </c>
      <c r="E20" s="27" t="n">
        <f aca="false">SUMIF(E7:E16,"&gt;0")</f>
        <v>25307158.32</v>
      </c>
    </row>
    <row r="21" customFormat="false" ht="15" hidden="false" customHeight="false" outlineLevel="0" collapsed="false">
      <c r="B21" s="7" t="s">
        <v>198</v>
      </c>
      <c r="E21" s="27" t="n">
        <f aca="false">SUMIF(F7:F16,"&gt;0")</f>
        <v>1318690.33</v>
      </c>
    </row>
    <row r="22" customFormat="false" ht="15" hidden="false" customHeight="false" outlineLevel="0" collapsed="false">
      <c r="B22" s="7" t="s">
        <v>199</v>
      </c>
      <c r="E22" s="20" t="n">
        <f aca="false">C17/Inputs!$G$16</f>
        <v>0.18435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39060"/>
    <pageSetUpPr fitToPage="false"/>
  </sheetPr>
  <dimension ref="B2:AL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19" min="3" style="0" width="13"/>
    <col collapsed="false" customWidth="true" hidden="false" outlineLevel="0" max="21" min="21" style="0" width="8"/>
    <col collapsed="false" customWidth="true" hidden="false" outlineLevel="0" max="38" min="22" style="0" width="13"/>
  </cols>
  <sheetData>
    <row r="2" customFormat="false" ht="17.35" hidden="false" customHeight="false" outlineLevel="0" collapsed="false">
      <c r="B2" s="4" t="s">
        <v>200</v>
      </c>
    </row>
    <row r="3" customFormat="false" ht="15" hidden="false" customHeight="false" outlineLevel="0" collapsed="false">
      <c r="B3" s="7" t="s">
        <v>201</v>
      </c>
    </row>
    <row r="5" customFormat="false" ht="15" hidden="false" customHeight="false" outlineLevel="0" collapsed="false">
      <c r="B5" s="5" t="s">
        <v>202</v>
      </c>
      <c r="U5" s="5" t="s">
        <v>203</v>
      </c>
    </row>
    <row r="6" customFormat="false" ht="46.25" hidden="false" customHeight="false" outlineLevel="0" collapsed="false">
      <c r="B6" s="6" t="s">
        <v>124</v>
      </c>
      <c r="C6" s="6" t="s">
        <v>204</v>
      </c>
      <c r="D6" s="6" t="s">
        <v>205</v>
      </c>
      <c r="E6" s="6" t="s">
        <v>206</v>
      </c>
      <c r="F6" s="6" t="s">
        <v>207</v>
      </c>
      <c r="G6" s="6" t="s">
        <v>208</v>
      </c>
      <c r="H6" s="6" t="s">
        <v>209</v>
      </c>
      <c r="I6" s="6" t="s">
        <v>210</v>
      </c>
      <c r="J6" s="6" t="s">
        <v>211</v>
      </c>
      <c r="K6" s="6" t="s">
        <v>212</v>
      </c>
      <c r="L6" s="6" t="s">
        <v>213</v>
      </c>
      <c r="M6" s="6" t="s">
        <v>214</v>
      </c>
      <c r="N6" s="6" t="s">
        <v>215</v>
      </c>
      <c r="O6" s="6" t="s">
        <v>216</v>
      </c>
      <c r="P6" s="6" t="s">
        <v>217</v>
      </c>
      <c r="Q6" s="6" t="s">
        <v>218</v>
      </c>
      <c r="R6" s="6" t="s">
        <v>219</v>
      </c>
      <c r="S6" s="6" t="s">
        <v>220</v>
      </c>
      <c r="U6" s="6" t="s">
        <v>124</v>
      </c>
      <c r="V6" s="6" t="s">
        <v>204</v>
      </c>
      <c r="W6" s="6" t="s">
        <v>205</v>
      </c>
      <c r="X6" s="6" t="s">
        <v>206</v>
      </c>
      <c r="Y6" s="6" t="s">
        <v>207</v>
      </c>
      <c r="Z6" s="6" t="s">
        <v>208</v>
      </c>
      <c r="AA6" s="6" t="s">
        <v>209</v>
      </c>
      <c r="AB6" s="6" t="s">
        <v>210</v>
      </c>
      <c r="AC6" s="6" t="s">
        <v>211</v>
      </c>
      <c r="AD6" s="6" t="s">
        <v>212</v>
      </c>
      <c r="AE6" s="6" t="s">
        <v>213</v>
      </c>
      <c r="AF6" s="6" t="s">
        <v>214</v>
      </c>
      <c r="AG6" s="6" t="s">
        <v>215</v>
      </c>
      <c r="AH6" s="6" t="s">
        <v>216</v>
      </c>
      <c r="AI6" s="6" t="s">
        <v>217</v>
      </c>
      <c r="AJ6" s="6" t="s">
        <v>218</v>
      </c>
      <c r="AK6" s="6" t="s">
        <v>219</v>
      </c>
      <c r="AL6" s="6" t="s">
        <v>220</v>
      </c>
    </row>
    <row r="7" customFormat="false" ht="15" hidden="false" customHeight="false" outlineLevel="0" collapsed="false">
      <c r="B7" s="7" t="n">
        <v>1</v>
      </c>
      <c r="C7" s="26" t="n">
        <f aca="false">Flows!$P$7</f>
        <v>56.95025</v>
      </c>
      <c r="D7" s="26" t="n">
        <f aca="false">(0+C7)*(1+Inputs!$D$31)^0.25</f>
        <v>58.0565967030629</v>
      </c>
      <c r="E7" s="26" t="n">
        <f aca="false">M7-0</f>
        <v>56.95025</v>
      </c>
      <c r="F7" s="26" t="n">
        <f aca="false">Flows!$Q$7</f>
        <v>0</v>
      </c>
      <c r="G7" s="26" t="n">
        <f aca="false">MIN(F7,MAX(E7,D7,0))</f>
        <v>0</v>
      </c>
      <c r="H7" s="26" t="n">
        <f aca="false">MIN(G7,E7)</f>
        <v>0</v>
      </c>
      <c r="I7" s="26" t="n">
        <f aca="false">G7-H7</f>
        <v>0</v>
      </c>
      <c r="J7" s="26" t="n">
        <f aca="false">MIN(F7-G7,MAX(0,O7*Inputs!$D$32/(1-Inputs!$D$32)-0))</f>
        <v>0</v>
      </c>
      <c r="K7" s="26" t="n">
        <f aca="false">F7-G7-J7-L7</f>
        <v>0</v>
      </c>
      <c r="L7" s="26" t="n">
        <f aca="false">(F7-G7-J7)*Inputs!$D$32</f>
        <v>0</v>
      </c>
      <c r="M7" s="26" t="n">
        <f aca="false">C7</f>
        <v>56.95025</v>
      </c>
      <c r="N7" s="26" t="n">
        <f aca="false">0+H7</f>
        <v>0</v>
      </c>
      <c r="O7" s="26" t="n">
        <f aca="false">0+I7</f>
        <v>0</v>
      </c>
      <c r="P7" s="26" t="n">
        <f aca="false">0+J7</f>
        <v>0</v>
      </c>
      <c r="Q7" s="26" t="n">
        <f aca="false">D7-G7</f>
        <v>58.0565967030629</v>
      </c>
      <c r="S7" s="26" t="n">
        <f aca="false">0+J7+L7</f>
        <v>0</v>
      </c>
      <c r="U7" s="7" t="n">
        <v>1</v>
      </c>
      <c r="V7" s="26" t="n">
        <f aca="false">Flows!$P$7</f>
        <v>56.95025</v>
      </c>
      <c r="W7" s="26" t="n">
        <f aca="false">0+V7+AK7</f>
        <v>58.089255</v>
      </c>
      <c r="X7" s="26" t="n">
        <f aca="false">AF7-0</f>
        <v>56.95025</v>
      </c>
      <c r="Y7" s="26" t="n">
        <f aca="false">Flows!$Q$7</f>
        <v>0</v>
      </c>
      <c r="Z7" s="26" t="n">
        <f aca="false">MIN(Y7,MAX(X7,W7,0))</f>
        <v>0</v>
      </c>
      <c r="AA7" s="26" t="n">
        <f aca="false">MIN(Z7,X7)</f>
        <v>0</v>
      </c>
      <c r="AB7" s="26" t="n">
        <f aca="false">Z7-AA7</f>
        <v>0</v>
      </c>
      <c r="AC7" s="26" t="n">
        <f aca="false">MIN(Y7-Z7,MAX(0,AH7*Inputs!$D$32/(1-Inputs!$D$32)-0))</f>
        <v>0</v>
      </c>
      <c r="AD7" s="26" t="n">
        <f aca="false">Y7-Z7-AC7-AE7</f>
        <v>0</v>
      </c>
      <c r="AE7" s="26" t="n">
        <f aca="false">(Y7-Z7-AC7)*Inputs!$D$32</f>
        <v>0</v>
      </c>
      <c r="AF7" s="26" t="n">
        <f aca="false">V7</f>
        <v>56.95025</v>
      </c>
      <c r="AG7" s="26" t="n">
        <f aca="false">0+AA7</f>
        <v>0</v>
      </c>
      <c r="AH7" s="26" t="n">
        <f aca="false">0+AB7</f>
        <v>0</v>
      </c>
      <c r="AI7" s="26" t="n">
        <f aca="false">0+AC7</f>
        <v>0</v>
      </c>
      <c r="AJ7" s="26" t="n">
        <f aca="false">0+V7-Z7</f>
        <v>56.95025</v>
      </c>
      <c r="AK7" s="26" t="n">
        <f aca="false">0+Inputs!$D$31*(0+V7)*0.25</f>
        <v>1.139005</v>
      </c>
      <c r="AL7" s="26" t="n">
        <f aca="false">0+AC7+AE7</f>
        <v>0</v>
      </c>
    </row>
    <row r="8" customFormat="false" ht="15" hidden="false" customHeight="false" outlineLevel="0" collapsed="false">
      <c r="B8" s="7" t="n">
        <v>2</v>
      </c>
      <c r="C8" s="26" t="n">
        <f aca="false">Flows!$P$8</f>
        <v>37.54625</v>
      </c>
      <c r="D8" s="26" t="n">
        <f aca="false">(Q7+C8)*(1+Inputs!$D$31)^0.25</f>
        <v>97.4600798891044</v>
      </c>
      <c r="E8" s="26" t="n">
        <f aca="false">M8-N7</f>
        <v>94.4965</v>
      </c>
      <c r="F8" s="26" t="n">
        <f aca="false">Flows!$Q$8</f>
        <v>0</v>
      </c>
      <c r="G8" s="26" t="n">
        <f aca="false">MIN(F8,MAX(E8,D8,0))</f>
        <v>0</v>
      </c>
      <c r="H8" s="26" t="n">
        <f aca="false">MIN(G8,E8)</f>
        <v>0</v>
      </c>
      <c r="I8" s="26" t="n">
        <f aca="false">G8-H8</f>
        <v>0</v>
      </c>
      <c r="J8" s="26" t="n">
        <f aca="false">MIN(F8-G8,MAX(0,O8*Inputs!$D$32/(1-Inputs!$D$32)-P7))</f>
        <v>0</v>
      </c>
      <c r="K8" s="26" t="n">
        <f aca="false">F8-G8-J8-L8</f>
        <v>0</v>
      </c>
      <c r="L8" s="26" t="n">
        <f aca="false">(F8-G8-J8)*Inputs!$D$32</f>
        <v>0</v>
      </c>
      <c r="M8" s="26" t="n">
        <f aca="false">C8+M7</f>
        <v>94.4965</v>
      </c>
      <c r="N8" s="26" t="n">
        <f aca="false">N7+H8</f>
        <v>0</v>
      </c>
      <c r="O8" s="26" t="n">
        <f aca="false">O7+I8</f>
        <v>0</v>
      </c>
      <c r="P8" s="26" t="n">
        <f aca="false">P7+J8</f>
        <v>0</v>
      </c>
      <c r="Q8" s="26" t="n">
        <f aca="false">D8-G8</f>
        <v>97.4600798891044</v>
      </c>
      <c r="S8" s="26" t="n">
        <f aca="false">S7+J8+L8</f>
        <v>0</v>
      </c>
      <c r="U8" s="7" t="n">
        <v>2</v>
      </c>
      <c r="V8" s="26" t="n">
        <f aca="false">Flows!$P$8</f>
        <v>37.54625</v>
      </c>
      <c r="W8" s="26" t="n">
        <f aca="false">AJ7+V8+AK8</f>
        <v>97.525435</v>
      </c>
      <c r="X8" s="26" t="n">
        <f aca="false">AF8-AG7</f>
        <v>94.4965</v>
      </c>
      <c r="Y8" s="26" t="n">
        <f aca="false">Flows!$Q$8</f>
        <v>0</v>
      </c>
      <c r="Z8" s="26" t="n">
        <f aca="false">MIN(Y8,MAX(X8,W8,0))</f>
        <v>0</v>
      </c>
      <c r="AA8" s="26" t="n">
        <f aca="false">MIN(Z8,X8)</f>
        <v>0</v>
      </c>
      <c r="AB8" s="26" t="n">
        <f aca="false">Z8-AA8</f>
        <v>0</v>
      </c>
      <c r="AC8" s="26" t="n">
        <f aca="false">MIN(Y8-Z8,MAX(0,AH8*Inputs!$D$32/(1-Inputs!$D$32)-AI7))</f>
        <v>0</v>
      </c>
      <c r="AD8" s="26" t="n">
        <f aca="false">Y8-Z8-AC8-AE8</f>
        <v>0</v>
      </c>
      <c r="AE8" s="26" t="n">
        <f aca="false">(Y8-Z8-AC8)*Inputs!$D$32</f>
        <v>0</v>
      </c>
      <c r="AF8" s="26" t="n">
        <f aca="false">V8+AF7</f>
        <v>94.4965</v>
      </c>
      <c r="AG8" s="26" t="n">
        <f aca="false">AG7+AA8</f>
        <v>0</v>
      </c>
      <c r="AH8" s="26" t="n">
        <f aca="false">AH7+AB8</f>
        <v>0</v>
      </c>
      <c r="AI8" s="26" t="n">
        <f aca="false">AI7+AC8</f>
        <v>0</v>
      </c>
      <c r="AJ8" s="26" t="n">
        <f aca="false">AJ7+V8-Z8</f>
        <v>94.4965</v>
      </c>
      <c r="AK8" s="26" t="n">
        <f aca="false">AK7+Inputs!$D$31*(AJ7+V8)*0.25</f>
        <v>3.028935</v>
      </c>
      <c r="AL8" s="26" t="n">
        <f aca="false">AL7+AC8+AE8</f>
        <v>0</v>
      </c>
    </row>
    <row r="9" customFormat="false" ht="15" hidden="false" customHeight="false" outlineLevel="0" collapsed="false">
      <c r="B9" s="7" t="n">
        <v>3</v>
      </c>
      <c r="C9" s="26" t="n">
        <f aca="false">Flows!$P$9</f>
        <v>2.26625</v>
      </c>
      <c r="D9" s="26" t="n">
        <f aca="false">(Q8+C9)*(1+Inputs!$D$31)^0.25</f>
        <v>101.663668114685</v>
      </c>
      <c r="E9" s="26" t="n">
        <f aca="false">M9-N8</f>
        <v>96.76275</v>
      </c>
      <c r="F9" s="26" t="n">
        <f aca="false">Flows!$Q$9</f>
        <v>0</v>
      </c>
      <c r="G9" s="26" t="n">
        <f aca="false">MIN(F9,MAX(E9,D9,0))</f>
        <v>0</v>
      </c>
      <c r="H9" s="26" t="n">
        <f aca="false">MIN(G9,E9)</f>
        <v>0</v>
      </c>
      <c r="I9" s="26" t="n">
        <f aca="false">G9-H9</f>
        <v>0</v>
      </c>
      <c r="J9" s="26" t="n">
        <f aca="false">MIN(F9-G9,MAX(0,O9*Inputs!$D$32/(1-Inputs!$D$32)-P8))</f>
        <v>0</v>
      </c>
      <c r="K9" s="26" t="n">
        <f aca="false">F9-G9-J9-L9</f>
        <v>0</v>
      </c>
      <c r="L9" s="26" t="n">
        <f aca="false">(F9-G9-J9)*Inputs!$D$32</f>
        <v>0</v>
      </c>
      <c r="M9" s="26" t="n">
        <f aca="false">C9+M8</f>
        <v>96.76275</v>
      </c>
      <c r="N9" s="26" t="n">
        <f aca="false">N8+H9</f>
        <v>0</v>
      </c>
      <c r="O9" s="26" t="n">
        <f aca="false">O8+I9</f>
        <v>0</v>
      </c>
      <c r="P9" s="26" t="n">
        <f aca="false">P8+J9</f>
        <v>0</v>
      </c>
      <c r="Q9" s="26" t="n">
        <f aca="false">D9-G9</f>
        <v>101.663668114685</v>
      </c>
      <c r="S9" s="26" t="n">
        <f aca="false">S8+J9+L9</f>
        <v>0</v>
      </c>
      <c r="U9" s="7" t="n">
        <v>3</v>
      </c>
      <c r="V9" s="26" t="n">
        <f aca="false">Flows!$P$9</f>
        <v>2.26625</v>
      </c>
      <c r="W9" s="26" t="n">
        <f aca="false">AJ8+V9+AK9</f>
        <v>101.72694</v>
      </c>
      <c r="X9" s="26" t="n">
        <f aca="false">AF9-AG8</f>
        <v>96.76275</v>
      </c>
      <c r="Y9" s="26" t="n">
        <f aca="false">Flows!$Q$9</f>
        <v>0</v>
      </c>
      <c r="Z9" s="26" t="n">
        <f aca="false">MIN(Y9,MAX(X9,W9,0))</f>
        <v>0</v>
      </c>
      <c r="AA9" s="26" t="n">
        <f aca="false">MIN(Z9,X9)</f>
        <v>0</v>
      </c>
      <c r="AB9" s="26" t="n">
        <f aca="false">Z9-AA9</f>
        <v>0</v>
      </c>
      <c r="AC9" s="26" t="n">
        <f aca="false">MIN(Y9-Z9,MAX(0,AH9*Inputs!$D$32/(1-Inputs!$D$32)-AI8))</f>
        <v>0</v>
      </c>
      <c r="AD9" s="26" t="n">
        <f aca="false">Y9-Z9-AC9-AE9</f>
        <v>0</v>
      </c>
      <c r="AE9" s="26" t="n">
        <f aca="false">(Y9-Z9-AC9)*Inputs!$D$32</f>
        <v>0</v>
      </c>
      <c r="AF9" s="26" t="n">
        <f aca="false">V9+AF8</f>
        <v>96.76275</v>
      </c>
      <c r="AG9" s="26" t="n">
        <f aca="false">AG8+AA9</f>
        <v>0</v>
      </c>
      <c r="AH9" s="26" t="n">
        <f aca="false">AH8+AB9</f>
        <v>0</v>
      </c>
      <c r="AI9" s="26" t="n">
        <f aca="false">AI8+AC9</f>
        <v>0</v>
      </c>
      <c r="AJ9" s="26" t="n">
        <f aca="false">AJ8+V9-Z9</f>
        <v>96.76275</v>
      </c>
      <c r="AK9" s="26" t="n">
        <f aca="false">AK8+Inputs!$D$31*(AJ8+V9)*0.25</f>
        <v>4.96419</v>
      </c>
      <c r="AL9" s="26" t="n">
        <f aca="false">AL8+AC9+AE9</f>
        <v>0</v>
      </c>
    </row>
    <row r="10" customFormat="false" ht="15" hidden="false" customHeight="false" outlineLevel="0" collapsed="false">
      <c r="B10" s="7" t="n">
        <v>4</v>
      </c>
      <c r="C10" s="26" t="n">
        <f aca="false">Flows!$P$10</f>
        <v>46.36625</v>
      </c>
      <c r="D10" s="26" t="n">
        <f aca="false">(Q9+C10)*(1+Inputs!$D$31)^0.25</f>
        <v>150.905628262768</v>
      </c>
      <c r="E10" s="26" t="n">
        <f aca="false">M10-N9</f>
        <v>143.129</v>
      </c>
      <c r="F10" s="26" t="n">
        <f aca="false">Flows!$Q$10</f>
        <v>0</v>
      </c>
      <c r="G10" s="26" t="n">
        <f aca="false">MIN(F10,MAX(E10,D10,0))</f>
        <v>0</v>
      </c>
      <c r="H10" s="26" t="n">
        <f aca="false">MIN(G10,E10)</f>
        <v>0</v>
      </c>
      <c r="I10" s="26" t="n">
        <f aca="false">G10-H10</f>
        <v>0</v>
      </c>
      <c r="J10" s="26" t="n">
        <f aca="false">MIN(F10-G10,MAX(0,O10*Inputs!$D$32/(1-Inputs!$D$32)-P9))</f>
        <v>0</v>
      </c>
      <c r="K10" s="26" t="n">
        <f aca="false">F10-G10-J10-L10</f>
        <v>0</v>
      </c>
      <c r="L10" s="26" t="n">
        <f aca="false">(F10-G10-J10)*Inputs!$D$32</f>
        <v>0</v>
      </c>
      <c r="M10" s="26" t="n">
        <f aca="false">C10+M9</f>
        <v>143.129</v>
      </c>
      <c r="N10" s="26" t="n">
        <f aca="false">N9+H10</f>
        <v>0</v>
      </c>
      <c r="O10" s="26" t="n">
        <f aca="false">O9+I10</f>
        <v>0</v>
      </c>
      <c r="P10" s="26" t="n">
        <f aca="false">P9+J10</f>
        <v>0</v>
      </c>
      <c r="Q10" s="26" t="n">
        <f aca="false">D10-G10</f>
        <v>150.905628262768</v>
      </c>
      <c r="S10" s="26" t="n">
        <f aca="false">S9+J10+L10</f>
        <v>0</v>
      </c>
      <c r="U10" s="7" t="n">
        <v>4</v>
      </c>
      <c r="V10" s="26" t="n">
        <f aca="false">Flows!$P$10</f>
        <v>46.36625</v>
      </c>
      <c r="W10" s="26" t="n">
        <f aca="false">AJ9+V10+AK10</f>
        <v>150.95577</v>
      </c>
      <c r="X10" s="26" t="n">
        <f aca="false">AF10-AG9</f>
        <v>143.129</v>
      </c>
      <c r="Y10" s="26" t="n">
        <f aca="false">Flows!$Q$10</f>
        <v>0</v>
      </c>
      <c r="Z10" s="26" t="n">
        <f aca="false">MIN(Y10,MAX(X10,W10,0))</f>
        <v>0</v>
      </c>
      <c r="AA10" s="26" t="n">
        <f aca="false">MIN(Z10,X10)</f>
        <v>0</v>
      </c>
      <c r="AB10" s="26" t="n">
        <f aca="false">Z10-AA10</f>
        <v>0</v>
      </c>
      <c r="AC10" s="26" t="n">
        <f aca="false">MIN(Y10-Z10,MAX(0,AH10*Inputs!$D$32/(1-Inputs!$D$32)-AI9))</f>
        <v>0</v>
      </c>
      <c r="AD10" s="26" t="n">
        <f aca="false">Y10-Z10-AC10-AE10</f>
        <v>0</v>
      </c>
      <c r="AE10" s="26" t="n">
        <f aca="false">(Y10-Z10-AC10)*Inputs!$D$32</f>
        <v>0</v>
      </c>
      <c r="AF10" s="26" t="n">
        <f aca="false">V10+AF9</f>
        <v>143.129</v>
      </c>
      <c r="AG10" s="26" t="n">
        <f aca="false">AG9+AA10</f>
        <v>0</v>
      </c>
      <c r="AH10" s="26" t="n">
        <f aca="false">AH9+AB10</f>
        <v>0</v>
      </c>
      <c r="AI10" s="26" t="n">
        <f aca="false">AI9+AC10</f>
        <v>0</v>
      </c>
      <c r="AJ10" s="26" t="n">
        <f aca="false">AJ9+V10-Z10</f>
        <v>143.129</v>
      </c>
      <c r="AK10" s="26" t="n">
        <f aca="false">AK9+Inputs!$D$31*(AJ9+V10)*0.25</f>
        <v>7.82677</v>
      </c>
      <c r="AL10" s="26" t="n">
        <f aca="false">AL9+AC10+AE10</f>
        <v>0</v>
      </c>
    </row>
    <row r="11" customFormat="false" ht="15" hidden="false" customHeight="false" outlineLevel="0" collapsed="false">
      <c r="B11" s="7" t="n">
        <v>5</v>
      </c>
      <c r="C11" s="26" t="n">
        <f aca="false">Flows!$P$11</f>
        <v>1.36625</v>
      </c>
      <c r="D11" s="26" t="n">
        <f aca="false">(Q10+C11)*(1+Inputs!$D$31)^0.25</f>
        <v>155.22999504865</v>
      </c>
      <c r="E11" s="26" t="n">
        <f aca="false">M11-N10</f>
        <v>144.49525</v>
      </c>
      <c r="F11" s="26" t="n">
        <f aca="false">Flows!$Q$11</f>
        <v>0</v>
      </c>
      <c r="G11" s="26" t="n">
        <f aca="false">MIN(F11,MAX(E11,D11,0))</f>
        <v>0</v>
      </c>
      <c r="H11" s="26" t="n">
        <f aca="false">MIN(G11,E11)</f>
        <v>0</v>
      </c>
      <c r="I11" s="26" t="n">
        <f aca="false">G11-H11</f>
        <v>0</v>
      </c>
      <c r="J11" s="26" t="n">
        <f aca="false">MIN(F11-G11,MAX(0,O11*Inputs!$D$32/(1-Inputs!$D$32)-P10))</f>
        <v>0</v>
      </c>
      <c r="K11" s="26" t="n">
        <f aca="false">F11-G11-J11-L11</f>
        <v>0</v>
      </c>
      <c r="L11" s="26" t="n">
        <f aca="false">(F11-G11-J11)*Inputs!$D$32</f>
        <v>0</v>
      </c>
      <c r="M11" s="26" t="n">
        <f aca="false">C11+M10</f>
        <v>144.49525</v>
      </c>
      <c r="N11" s="26" t="n">
        <f aca="false">N10+H11</f>
        <v>0</v>
      </c>
      <c r="O11" s="26" t="n">
        <f aca="false">O10+I11</f>
        <v>0</v>
      </c>
      <c r="P11" s="26" t="n">
        <f aca="false">P10+J11</f>
        <v>0</v>
      </c>
      <c r="Q11" s="26" t="n">
        <f aca="false">D11-G11</f>
        <v>155.22999504865</v>
      </c>
      <c r="S11" s="26" t="n">
        <f aca="false">S10+J11+L11</f>
        <v>0</v>
      </c>
      <c r="U11" s="7" t="n">
        <v>5</v>
      </c>
      <c r="V11" s="26" t="n">
        <f aca="false">Flows!$P$11</f>
        <v>1.36625</v>
      </c>
      <c r="W11" s="26" t="n">
        <f aca="false">AJ10+V11+AK11</f>
        <v>155.211925</v>
      </c>
      <c r="X11" s="26" t="n">
        <f aca="false">AF11-AG10</f>
        <v>144.49525</v>
      </c>
      <c r="Y11" s="26" t="n">
        <f aca="false">Flows!$Q$11</f>
        <v>0</v>
      </c>
      <c r="Z11" s="26" t="n">
        <f aca="false">MIN(Y11,MAX(X11,W11,0))</f>
        <v>0</v>
      </c>
      <c r="AA11" s="26" t="n">
        <f aca="false">MIN(Z11,X11)</f>
        <v>0</v>
      </c>
      <c r="AB11" s="26" t="n">
        <f aca="false">Z11-AA11</f>
        <v>0</v>
      </c>
      <c r="AC11" s="26" t="n">
        <f aca="false">MIN(Y11-Z11,MAX(0,AH11*Inputs!$D$32/(1-Inputs!$D$32)-AI10))</f>
        <v>0</v>
      </c>
      <c r="AD11" s="26" t="n">
        <f aca="false">Y11-Z11-AC11-AE11</f>
        <v>0</v>
      </c>
      <c r="AE11" s="26" t="n">
        <f aca="false">(Y11-Z11-AC11)*Inputs!$D$32</f>
        <v>0</v>
      </c>
      <c r="AF11" s="26" t="n">
        <f aca="false">V11+AF10</f>
        <v>144.49525</v>
      </c>
      <c r="AG11" s="26" t="n">
        <f aca="false">AG10+AA11</f>
        <v>0</v>
      </c>
      <c r="AH11" s="26" t="n">
        <f aca="false">AH10+AB11</f>
        <v>0</v>
      </c>
      <c r="AI11" s="26" t="n">
        <f aca="false">AI10+AC11</f>
        <v>0</v>
      </c>
      <c r="AJ11" s="26" t="n">
        <f aca="false">AJ10+V11-Z11</f>
        <v>144.49525</v>
      </c>
      <c r="AK11" s="26" t="n">
        <f aca="false">AK10+Inputs!$D$31*(AJ10+V11)*0.25</f>
        <v>10.716675</v>
      </c>
      <c r="AL11" s="26" t="n">
        <f aca="false">AL10+AC11+AE11</f>
        <v>0</v>
      </c>
    </row>
    <row r="12" customFormat="false" ht="15" hidden="false" customHeight="false" outlineLevel="0" collapsed="false">
      <c r="B12" s="7" t="n">
        <v>6</v>
      </c>
      <c r="C12" s="26" t="n">
        <f aca="false">Flows!$P$12</f>
        <v>61.06625</v>
      </c>
      <c r="D12" s="26" t="n">
        <f aca="false">(Q11+C12)*(1+Inputs!$D$31)^0.25</f>
        <v>220.498134199172</v>
      </c>
      <c r="E12" s="26" t="n">
        <f aca="false">M12-N11</f>
        <v>205.5615</v>
      </c>
      <c r="F12" s="26" t="n">
        <f aca="false">Flows!$Q$12</f>
        <v>0</v>
      </c>
      <c r="G12" s="26" t="n">
        <f aca="false">MIN(F12,MAX(E12,D12,0))</f>
        <v>0</v>
      </c>
      <c r="H12" s="26" t="n">
        <f aca="false">MIN(G12,E12)</f>
        <v>0</v>
      </c>
      <c r="I12" s="26" t="n">
        <f aca="false">G12-H12</f>
        <v>0</v>
      </c>
      <c r="J12" s="26" t="n">
        <f aca="false">MIN(F12-G12,MAX(0,O12*Inputs!$D$32/(1-Inputs!$D$32)-P11))</f>
        <v>0</v>
      </c>
      <c r="K12" s="26" t="n">
        <f aca="false">F12-G12-J12-L12</f>
        <v>0</v>
      </c>
      <c r="L12" s="26" t="n">
        <f aca="false">(F12-G12-J12)*Inputs!$D$32</f>
        <v>0</v>
      </c>
      <c r="M12" s="26" t="n">
        <f aca="false">C12+M11</f>
        <v>205.5615</v>
      </c>
      <c r="N12" s="26" t="n">
        <f aca="false">N11+H12</f>
        <v>0</v>
      </c>
      <c r="O12" s="26" t="n">
        <f aca="false">O11+I12</f>
        <v>0</v>
      </c>
      <c r="P12" s="26" t="n">
        <f aca="false">P11+J12</f>
        <v>0</v>
      </c>
      <c r="Q12" s="26" t="n">
        <f aca="false">D12-G12</f>
        <v>220.498134199172</v>
      </c>
      <c r="S12" s="26" t="n">
        <f aca="false">S11+J12+L12</f>
        <v>0</v>
      </c>
      <c r="U12" s="7" t="n">
        <v>6</v>
      </c>
      <c r="V12" s="26" t="n">
        <f aca="false">Flows!$P$12</f>
        <v>61.06625</v>
      </c>
      <c r="W12" s="26" t="n">
        <f aca="false">AJ11+V12+AK12</f>
        <v>220.389405</v>
      </c>
      <c r="X12" s="26" t="n">
        <f aca="false">AF12-AG11</f>
        <v>205.5615</v>
      </c>
      <c r="Y12" s="26" t="n">
        <f aca="false">Flows!$Q$12</f>
        <v>0</v>
      </c>
      <c r="Z12" s="26" t="n">
        <f aca="false">MIN(Y12,MAX(X12,W12,0))</f>
        <v>0</v>
      </c>
      <c r="AA12" s="26" t="n">
        <f aca="false">MIN(Z12,X12)</f>
        <v>0</v>
      </c>
      <c r="AB12" s="26" t="n">
        <f aca="false">Z12-AA12</f>
        <v>0</v>
      </c>
      <c r="AC12" s="26" t="n">
        <f aca="false">MIN(Y12-Z12,MAX(0,AH12*Inputs!$D$32/(1-Inputs!$D$32)-AI11))</f>
        <v>0</v>
      </c>
      <c r="AD12" s="26" t="n">
        <f aca="false">Y12-Z12-AC12-AE12</f>
        <v>0</v>
      </c>
      <c r="AE12" s="26" t="n">
        <f aca="false">(Y12-Z12-AC12)*Inputs!$D$32</f>
        <v>0</v>
      </c>
      <c r="AF12" s="26" t="n">
        <f aca="false">V12+AF11</f>
        <v>205.5615</v>
      </c>
      <c r="AG12" s="26" t="n">
        <f aca="false">AG11+AA12</f>
        <v>0</v>
      </c>
      <c r="AH12" s="26" t="n">
        <f aca="false">AH11+AB12</f>
        <v>0</v>
      </c>
      <c r="AI12" s="26" t="n">
        <f aca="false">AI11+AC12</f>
        <v>0</v>
      </c>
      <c r="AJ12" s="26" t="n">
        <f aca="false">AJ11+V12-Z12</f>
        <v>205.5615</v>
      </c>
      <c r="AK12" s="26" t="n">
        <f aca="false">AK11+Inputs!$D$31*(AJ11+V12)*0.25</f>
        <v>14.827905</v>
      </c>
      <c r="AL12" s="26" t="n">
        <f aca="false">AL11+AC12+AE12</f>
        <v>0</v>
      </c>
    </row>
    <row r="13" customFormat="false" ht="15" hidden="false" customHeight="false" outlineLevel="0" collapsed="false">
      <c r="B13" s="7" t="n">
        <v>7</v>
      </c>
      <c r="C13" s="26" t="n">
        <f aca="false">Flows!$P$13</f>
        <v>2.26625</v>
      </c>
      <c r="D13" s="26" t="n">
        <f aca="false">(Q12+C13)*(1+Inputs!$D$31)^0.25</f>
        <v>227.091926958309</v>
      </c>
      <c r="E13" s="26" t="n">
        <f aca="false">M13-N12</f>
        <v>207.82775</v>
      </c>
      <c r="F13" s="26" t="n">
        <f aca="false">Flows!$Q$13</f>
        <v>0</v>
      </c>
      <c r="G13" s="26" t="n">
        <f aca="false">MIN(F13,MAX(E13,D13,0))</f>
        <v>0</v>
      </c>
      <c r="H13" s="26" t="n">
        <f aca="false">MIN(G13,E13)</f>
        <v>0</v>
      </c>
      <c r="I13" s="26" t="n">
        <f aca="false">G13-H13</f>
        <v>0</v>
      </c>
      <c r="J13" s="26" t="n">
        <f aca="false">MIN(F13-G13,MAX(0,O13*Inputs!$D$32/(1-Inputs!$D$32)-P12))</f>
        <v>0</v>
      </c>
      <c r="K13" s="26" t="n">
        <f aca="false">F13-G13-J13-L13</f>
        <v>0</v>
      </c>
      <c r="L13" s="26" t="n">
        <f aca="false">(F13-G13-J13)*Inputs!$D$32</f>
        <v>0</v>
      </c>
      <c r="M13" s="26" t="n">
        <f aca="false">C13+M12</f>
        <v>207.82775</v>
      </c>
      <c r="N13" s="26" t="n">
        <f aca="false">N12+H13</f>
        <v>0</v>
      </c>
      <c r="O13" s="26" t="n">
        <f aca="false">O12+I13</f>
        <v>0</v>
      </c>
      <c r="P13" s="26" t="n">
        <f aca="false">P12+J13</f>
        <v>0</v>
      </c>
      <c r="Q13" s="26" t="n">
        <f aca="false">D13-G13</f>
        <v>227.091926958309</v>
      </c>
      <c r="S13" s="26" t="n">
        <f aca="false">S12+J13+L13</f>
        <v>0</v>
      </c>
      <c r="U13" s="7" t="n">
        <v>7</v>
      </c>
      <c r="V13" s="26" t="n">
        <f aca="false">Flows!$P$13</f>
        <v>2.26625</v>
      </c>
      <c r="W13" s="26" t="n">
        <f aca="false">AJ12+V13+AK13</f>
        <v>226.81221</v>
      </c>
      <c r="X13" s="26" t="n">
        <f aca="false">AF13-AG12</f>
        <v>207.82775</v>
      </c>
      <c r="Y13" s="26" t="n">
        <f aca="false">Flows!$Q$13</f>
        <v>0</v>
      </c>
      <c r="Z13" s="26" t="n">
        <f aca="false">MIN(Y13,MAX(X13,W13,0))</f>
        <v>0</v>
      </c>
      <c r="AA13" s="26" t="n">
        <f aca="false">MIN(Z13,X13)</f>
        <v>0</v>
      </c>
      <c r="AB13" s="26" t="n">
        <f aca="false">Z13-AA13</f>
        <v>0</v>
      </c>
      <c r="AC13" s="26" t="n">
        <f aca="false">MIN(Y13-Z13,MAX(0,AH13*Inputs!$D$32/(1-Inputs!$D$32)-AI12))</f>
        <v>0</v>
      </c>
      <c r="AD13" s="26" t="n">
        <f aca="false">Y13-Z13-AC13-AE13</f>
        <v>0</v>
      </c>
      <c r="AE13" s="26" t="n">
        <f aca="false">(Y13-Z13-AC13)*Inputs!$D$32</f>
        <v>0</v>
      </c>
      <c r="AF13" s="26" t="n">
        <f aca="false">V13+AF12</f>
        <v>207.82775</v>
      </c>
      <c r="AG13" s="26" t="n">
        <f aca="false">AG12+AA13</f>
        <v>0</v>
      </c>
      <c r="AH13" s="26" t="n">
        <f aca="false">AH12+AB13</f>
        <v>0</v>
      </c>
      <c r="AI13" s="26" t="n">
        <f aca="false">AI12+AC13</f>
        <v>0</v>
      </c>
      <c r="AJ13" s="26" t="n">
        <f aca="false">AJ12+V13-Z13</f>
        <v>207.82775</v>
      </c>
      <c r="AK13" s="26" t="n">
        <f aca="false">AK12+Inputs!$D$31*(AJ12+V13)*0.25</f>
        <v>18.98446</v>
      </c>
      <c r="AL13" s="26" t="n">
        <f aca="false">AL12+AC13+AE13</f>
        <v>0</v>
      </c>
    </row>
    <row r="14" customFormat="false" ht="15" hidden="false" customHeight="false" outlineLevel="0" collapsed="false">
      <c r="B14" s="7" t="n">
        <v>8</v>
      </c>
      <c r="C14" s="26" t="n">
        <f aca="false">Flows!$P$14</f>
        <v>56.16625</v>
      </c>
      <c r="D14" s="26" t="n">
        <f aca="false">(Q13+C14)*(1+Inputs!$D$31)^0.25</f>
        <v>288.760905220142</v>
      </c>
      <c r="E14" s="26" t="n">
        <f aca="false">M14-N13</f>
        <v>263.994</v>
      </c>
      <c r="F14" s="26" t="n">
        <f aca="false">Flows!$Q$14</f>
        <v>0</v>
      </c>
      <c r="G14" s="26" t="n">
        <f aca="false">MIN(F14,MAX(E14,D14,0))</f>
        <v>0</v>
      </c>
      <c r="H14" s="26" t="n">
        <f aca="false">MIN(G14,E14)</f>
        <v>0</v>
      </c>
      <c r="I14" s="26" t="n">
        <f aca="false">G14-H14</f>
        <v>0</v>
      </c>
      <c r="J14" s="26" t="n">
        <f aca="false">MIN(F14-G14,MAX(0,O14*Inputs!$D$32/(1-Inputs!$D$32)-P13))</f>
        <v>0</v>
      </c>
      <c r="K14" s="26" t="n">
        <f aca="false">F14-G14-J14-L14</f>
        <v>0</v>
      </c>
      <c r="L14" s="26" t="n">
        <f aca="false">(F14-G14-J14)*Inputs!$D$32</f>
        <v>0</v>
      </c>
      <c r="M14" s="26" t="n">
        <f aca="false">C14+M13</f>
        <v>263.994</v>
      </c>
      <c r="N14" s="26" t="n">
        <f aca="false">N13+H14</f>
        <v>0</v>
      </c>
      <c r="O14" s="26" t="n">
        <f aca="false">O13+I14</f>
        <v>0</v>
      </c>
      <c r="P14" s="26" t="n">
        <f aca="false">P13+J14</f>
        <v>0</v>
      </c>
      <c r="Q14" s="26" t="n">
        <f aca="false">D14-G14</f>
        <v>288.760905220142</v>
      </c>
      <c r="S14" s="26" t="n">
        <f aca="false">S13+J14+L14</f>
        <v>0</v>
      </c>
      <c r="U14" s="7" t="n">
        <v>8</v>
      </c>
      <c r="V14" s="26" t="n">
        <f aca="false">Flows!$P$14</f>
        <v>56.16625</v>
      </c>
      <c r="W14" s="26" t="n">
        <f aca="false">AJ13+V14+AK14</f>
        <v>288.25834</v>
      </c>
      <c r="X14" s="26" t="n">
        <f aca="false">AF14-AG13</f>
        <v>263.994</v>
      </c>
      <c r="Y14" s="26" t="n">
        <f aca="false">Flows!$Q$14</f>
        <v>0</v>
      </c>
      <c r="Z14" s="26" t="n">
        <f aca="false">MIN(Y14,MAX(X14,W14,0))</f>
        <v>0</v>
      </c>
      <c r="AA14" s="26" t="n">
        <f aca="false">MIN(Z14,X14)</f>
        <v>0</v>
      </c>
      <c r="AB14" s="26" t="n">
        <f aca="false">Z14-AA14</f>
        <v>0</v>
      </c>
      <c r="AC14" s="26" t="n">
        <f aca="false">MIN(Y14-Z14,MAX(0,AH14*Inputs!$D$32/(1-Inputs!$D$32)-AI13))</f>
        <v>0</v>
      </c>
      <c r="AD14" s="26" t="n">
        <f aca="false">Y14-Z14-AC14-AE14</f>
        <v>0</v>
      </c>
      <c r="AE14" s="26" t="n">
        <f aca="false">(Y14-Z14-AC14)*Inputs!$D$32</f>
        <v>0</v>
      </c>
      <c r="AF14" s="26" t="n">
        <f aca="false">V14+AF13</f>
        <v>263.994</v>
      </c>
      <c r="AG14" s="26" t="n">
        <f aca="false">AG13+AA14</f>
        <v>0</v>
      </c>
      <c r="AH14" s="26" t="n">
        <f aca="false">AH13+AB14</f>
        <v>0</v>
      </c>
      <c r="AI14" s="26" t="n">
        <f aca="false">AI13+AC14</f>
        <v>0</v>
      </c>
      <c r="AJ14" s="26" t="n">
        <f aca="false">AJ13+V14-Z14</f>
        <v>263.994</v>
      </c>
      <c r="AK14" s="26" t="n">
        <f aca="false">AK13+Inputs!$D$31*(AJ13+V14)*0.25</f>
        <v>24.26434</v>
      </c>
      <c r="AL14" s="26" t="n">
        <f aca="false">AL13+AC14+AE14</f>
        <v>0</v>
      </c>
    </row>
    <row r="15" customFormat="false" ht="15" hidden="false" customHeight="false" outlineLevel="0" collapsed="false">
      <c r="B15" s="7" t="n">
        <v>9</v>
      </c>
      <c r="C15" s="26" t="n">
        <f aca="false">Flows!$P$15</f>
        <v>2.26625</v>
      </c>
      <c r="D15" s="26" t="n">
        <f aca="false">(Q14+C15)*(1+Inputs!$D$31)^0.25</f>
        <v>296.680807902608</v>
      </c>
      <c r="E15" s="26" t="n">
        <f aca="false">M15-N14</f>
        <v>266.26025</v>
      </c>
      <c r="F15" s="26" t="n">
        <f aca="false">Flows!$Q$15</f>
        <v>0</v>
      </c>
      <c r="G15" s="26" t="n">
        <f aca="false">MIN(F15,MAX(E15,D15,0))</f>
        <v>0</v>
      </c>
      <c r="H15" s="26" t="n">
        <f aca="false">MIN(G15,E15)</f>
        <v>0</v>
      </c>
      <c r="I15" s="26" t="n">
        <f aca="false">G15-H15</f>
        <v>0</v>
      </c>
      <c r="J15" s="26" t="n">
        <f aca="false">MIN(F15-G15,MAX(0,O15*Inputs!$D$32/(1-Inputs!$D$32)-P14))</f>
        <v>0</v>
      </c>
      <c r="K15" s="26" t="n">
        <f aca="false">F15-G15-J15-L15</f>
        <v>0</v>
      </c>
      <c r="L15" s="26" t="n">
        <f aca="false">(F15-G15-J15)*Inputs!$D$32</f>
        <v>0</v>
      </c>
      <c r="M15" s="26" t="n">
        <f aca="false">C15+M14</f>
        <v>266.26025</v>
      </c>
      <c r="N15" s="26" t="n">
        <f aca="false">N14+H15</f>
        <v>0</v>
      </c>
      <c r="O15" s="26" t="n">
        <f aca="false">O14+I15</f>
        <v>0</v>
      </c>
      <c r="P15" s="26" t="n">
        <f aca="false">P14+J15</f>
        <v>0</v>
      </c>
      <c r="Q15" s="26" t="n">
        <f aca="false">D15-G15</f>
        <v>296.680807902608</v>
      </c>
      <c r="S15" s="26" t="n">
        <f aca="false">S14+J15+L15</f>
        <v>0</v>
      </c>
      <c r="U15" s="7" t="n">
        <v>9</v>
      </c>
      <c r="V15" s="26" t="n">
        <f aca="false">Flows!$P$15</f>
        <v>2.26625</v>
      </c>
      <c r="W15" s="26" t="n">
        <f aca="false">AJ14+V15+AK15</f>
        <v>295.849795</v>
      </c>
      <c r="X15" s="26" t="n">
        <f aca="false">AF15-AG14</f>
        <v>266.26025</v>
      </c>
      <c r="Y15" s="26" t="n">
        <f aca="false">Flows!$Q$15</f>
        <v>0</v>
      </c>
      <c r="Z15" s="26" t="n">
        <f aca="false">MIN(Y15,MAX(X15,W15,0))</f>
        <v>0</v>
      </c>
      <c r="AA15" s="26" t="n">
        <f aca="false">MIN(Z15,X15)</f>
        <v>0</v>
      </c>
      <c r="AB15" s="26" t="n">
        <f aca="false">Z15-AA15</f>
        <v>0</v>
      </c>
      <c r="AC15" s="26" t="n">
        <f aca="false">MIN(Y15-Z15,MAX(0,AH15*Inputs!$D$32/(1-Inputs!$D$32)-AI14))</f>
        <v>0</v>
      </c>
      <c r="AD15" s="26" t="n">
        <f aca="false">Y15-Z15-AC15-AE15</f>
        <v>0</v>
      </c>
      <c r="AE15" s="26" t="n">
        <f aca="false">(Y15-Z15-AC15)*Inputs!$D$32</f>
        <v>0</v>
      </c>
      <c r="AF15" s="26" t="n">
        <f aca="false">V15+AF14</f>
        <v>266.26025</v>
      </c>
      <c r="AG15" s="26" t="n">
        <f aca="false">AG14+AA15</f>
        <v>0</v>
      </c>
      <c r="AH15" s="26" t="n">
        <f aca="false">AH14+AB15</f>
        <v>0</v>
      </c>
      <c r="AI15" s="26" t="n">
        <f aca="false">AI14+AC15</f>
        <v>0</v>
      </c>
      <c r="AJ15" s="26" t="n">
        <f aca="false">AJ14+V15-Z15</f>
        <v>266.26025</v>
      </c>
      <c r="AK15" s="26" t="n">
        <f aca="false">AK14+Inputs!$D$31*(AJ14+V15)*0.25</f>
        <v>29.589545</v>
      </c>
      <c r="AL15" s="26" t="n">
        <f aca="false">AL14+AC15+AE15</f>
        <v>0</v>
      </c>
    </row>
    <row r="16" customFormat="false" ht="15" hidden="false" customHeight="false" outlineLevel="0" collapsed="false">
      <c r="B16" s="7" t="n">
        <v>10</v>
      </c>
      <c r="C16" s="26" t="n">
        <f aca="false">Flows!$P$16</f>
        <v>70.86625</v>
      </c>
      <c r="D16" s="26" t="n">
        <f aca="false">(Q15+C16)*(1+Inputs!$D$31)^0.25</f>
        <v>374.68722806395</v>
      </c>
      <c r="E16" s="26" t="n">
        <f aca="false">M16-N15</f>
        <v>337.1265</v>
      </c>
      <c r="F16" s="26" t="n">
        <f aca="false">Flows!$Q$16</f>
        <v>0</v>
      </c>
      <c r="G16" s="26" t="n">
        <f aca="false">MIN(F16,MAX(E16,D16,0))</f>
        <v>0</v>
      </c>
      <c r="H16" s="26" t="n">
        <f aca="false">MIN(G16,E16)</f>
        <v>0</v>
      </c>
      <c r="I16" s="26" t="n">
        <f aca="false">G16-H16</f>
        <v>0</v>
      </c>
      <c r="J16" s="26" t="n">
        <f aca="false">MIN(F16-G16,MAX(0,O16*Inputs!$D$32/(1-Inputs!$D$32)-P15))</f>
        <v>0</v>
      </c>
      <c r="K16" s="26" t="n">
        <f aca="false">F16-G16-J16-L16</f>
        <v>0</v>
      </c>
      <c r="L16" s="26" t="n">
        <f aca="false">(F16-G16-J16)*Inputs!$D$32</f>
        <v>0</v>
      </c>
      <c r="M16" s="26" t="n">
        <f aca="false">C16+M15</f>
        <v>337.1265</v>
      </c>
      <c r="N16" s="26" t="n">
        <f aca="false">N15+H16</f>
        <v>0</v>
      </c>
      <c r="O16" s="26" t="n">
        <f aca="false">O15+I16</f>
        <v>0</v>
      </c>
      <c r="P16" s="26" t="n">
        <f aca="false">P15+J16</f>
        <v>0</v>
      </c>
      <c r="Q16" s="26" t="n">
        <f aca="false">D16-G16</f>
        <v>374.68722806395</v>
      </c>
      <c r="S16" s="26" t="n">
        <f aca="false">S15+J16+L16</f>
        <v>0</v>
      </c>
      <c r="U16" s="7" t="n">
        <v>10</v>
      </c>
      <c r="V16" s="26" t="n">
        <f aca="false">Flows!$P$16</f>
        <v>70.86625</v>
      </c>
      <c r="W16" s="26" t="n">
        <f aca="false">AJ15+V16+AK16</f>
        <v>373.458575</v>
      </c>
      <c r="X16" s="26" t="n">
        <f aca="false">AF16-AG15</f>
        <v>337.1265</v>
      </c>
      <c r="Y16" s="26" t="n">
        <f aca="false">Flows!$Q$16</f>
        <v>0</v>
      </c>
      <c r="Z16" s="26" t="n">
        <f aca="false">MIN(Y16,MAX(X16,W16,0))</f>
        <v>0</v>
      </c>
      <c r="AA16" s="26" t="n">
        <f aca="false">MIN(Z16,X16)</f>
        <v>0</v>
      </c>
      <c r="AB16" s="26" t="n">
        <f aca="false">Z16-AA16</f>
        <v>0</v>
      </c>
      <c r="AC16" s="26" t="n">
        <f aca="false">MIN(Y16-Z16,MAX(0,AH16*Inputs!$D$32/(1-Inputs!$D$32)-AI15))</f>
        <v>0</v>
      </c>
      <c r="AD16" s="26" t="n">
        <f aca="false">Y16-Z16-AC16-AE16</f>
        <v>0</v>
      </c>
      <c r="AE16" s="26" t="n">
        <f aca="false">(Y16-Z16-AC16)*Inputs!$D$32</f>
        <v>0</v>
      </c>
      <c r="AF16" s="26" t="n">
        <f aca="false">V16+AF15</f>
        <v>337.1265</v>
      </c>
      <c r="AG16" s="26" t="n">
        <f aca="false">AG15+AA16</f>
        <v>0</v>
      </c>
      <c r="AH16" s="26" t="n">
        <f aca="false">AH15+AB16</f>
        <v>0</v>
      </c>
      <c r="AI16" s="26" t="n">
        <f aca="false">AI15+AC16</f>
        <v>0</v>
      </c>
      <c r="AJ16" s="26" t="n">
        <f aca="false">AJ15+V16-Z16</f>
        <v>337.1265</v>
      </c>
      <c r="AK16" s="26" t="n">
        <f aca="false">AK15+Inputs!$D$31*(AJ15+V16)*0.25</f>
        <v>36.332075</v>
      </c>
      <c r="AL16" s="26" t="n">
        <f aca="false">AL15+AC16+AE16</f>
        <v>0</v>
      </c>
    </row>
    <row r="17" customFormat="false" ht="15" hidden="false" customHeight="false" outlineLevel="0" collapsed="false">
      <c r="B17" s="7" t="n">
        <v>11</v>
      </c>
      <c r="C17" s="26" t="n">
        <f aca="false">Flows!$P$17</f>
        <v>2.26625</v>
      </c>
      <c r="D17" s="26" t="n">
        <f aca="false">(Q16+C17)*(1+Inputs!$D$31)^0.25</f>
        <v>384.276382487797</v>
      </c>
      <c r="E17" s="26" t="n">
        <f aca="false">M17-N16</f>
        <v>339.39275</v>
      </c>
      <c r="F17" s="26" t="n">
        <f aca="false">Flows!$Q$17</f>
        <v>0</v>
      </c>
      <c r="G17" s="26" t="n">
        <f aca="false">MIN(F17,MAX(E17,D17,0))</f>
        <v>0</v>
      </c>
      <c r="H17" s="26" t="n">
        <f aca="false">MIN(G17,E17)</f>
        <v>0</v>
      </c>
      <c r="I17" s="26" t="n">
        <f aca="false">G17-H17</f>
        <v>0</v>
      </c>
      <c r="J17" s="26" t="n">
        <f aca="false">MIN(F17-G17,MAX(0,O17*Inputs!$D$32/(1-Inputs!$D$32)-P16))</f>
        <v>0</v>
      </c>
      <c r="K17" s="26" t="n">
        <f aca="false">F17-G17-J17-L17</f>
        <v>0</v>
      </c>
      <c r="L17" s="26" t="n">
        <f aca="false">(F17-G17-J17)*Inputs!$D$32</f>
        <v>0</v>
      </c>
      <c r="M17" s="26" t="n">
        <f aca="false">C17+M16</f>
        <v>339.39275</v>
      </c>
      <c r="N17" s="26" t="n">
        <f aca="false">N16+H17</f>
        <v>0</v>
      </c>
      <c r="O17" s="26" t="n">
        <f aca="false">O16+I17</f>
        <v>0</v>
      </c>
      <c r="P17" s="26" t="n">
        <f aca="false">P16+J17</f>
        <v>0</v>
      </c>
      <c r="Q17" s="26" t="n">
        <f aca="false">D17-G17</f>
        <v>384.276382487797</v>
      </c>
      <c r="S17" s="26" t="n">
        <f aca="false">S16+J17+L17</f>
        <v>0</v>
      </c>
      <c r="U17" s="7" t="n">
        <v>11</v>
      </c>
      <c r="V17" s="26" t="n">
        <f aca="false">Flows!$P$17</f>
        <v>2.26625</v>
      </c>
      <c r="W17" s="26" t="n">
        <f aca="false">AJ16+V17+AK17</f>
        <v>382.51268</v>
      </c>
      <c r="X17" s="26" t="n">
        <f aca="false">AF17-AG16</f>
        <v>339.39275</v>
      </c>
      <c r="Y17" s="26" t="n">
        <f aca="false">Flows!$Q$17</f>
        <v>0</v>
      </c>
      <c r="Z17" s="26" t="n">
        <f aca="false">MIN(Y17,MAX(X17,W17,0))</f>
        <v>0</v>
      </c>
      <c r="AA17" s="26" t="n">
        <f aca="false">MIN(Z17,X17)</f>
        <v>0</v>
      </c>
      <c r="AB17" s="26" t="n">
        <f aca="false">Z17-AA17</f>
        <v>0</v>
      </c>
      <c r="AC17" s="26" t="n">
        <f aca="false">MIN(Y17-Z17,MAX(0,AH17*Inputs!$D$32/(1-Inputs!$D$32)-AI16))</f>
        <v>0</v>
      </c>
      <c r="AD17" s="26" t="n">
        <f aca="false">Y17-Z17-AC17-AE17</f>
        <v>0</v>
      </c>
      <c r="AE17" s="26" t="n">
        <f aca="false">(Y17-Z17-AC17)*Inputs!$D$32</f>
        <v>0</v>
      </c>
      <c r="AF17" s="26" t="n">
        <f aca="false">V17+AF16</f>
        <v>339.39275</v>
      </c>
      <c r="AG17" s="26" t="n">
        <f aca="false">AG16+AA17</f>
        <v>0</v>
      </c>
      <c r="AH17" s="26" t="n">
        <f aca="false">AH16+AB17</f>
        <v>0</v>
      </c>
      <c r="AI17" s="26" t="n">
        <f aca="false">AI16+AC17</f>
        <v>0</v>
      </c>
      <c r="AJ17" s="26" t="n">
        <f aca="false">AJ16+V17-Z17</f>
        <v>339.39275</v>
      </c>
      <c r="AK17" s="26" t="n">
        <f aca="false">AK16+Inputs!$D$31*(AJ16+V17)*0.25</f>
        <v>43.11993</v>
      </c>
      <c r="AL17" s="26" t="n">
        <f aca="false">AL16+AC17+AE17</f>
        <v>0</v>
      </c>
    </row>
    <row r="18" customFormat="false" ht="15" hidden="false" customHeight="false" outlineLevel="0" collapsed="false">
      <c r="B18" s="7" t="n">
        <v>12</v>
      </c>
      <c r="C18" s="26" t="n">
        <f aca="false">Flows!$P$18</f>
        <v>53.22625</v>
      </c>
      <c r="D18" s="26" t="n">
        <f aca="false">(Q17+C18)*(1+Inputs!$D$31)^0.25</f>
        <v>446.001797900314</v>
      </c>
      <c r="E18" s="26" t="n">
        <f aca="false">M18-N17</f>
        <v>392.619</v>
      </c>
      <c r="F18" s="26" t="n">
        <f aca="false">Flows!$Q$18</f>
        <v>0</v>
      </c>
      <c r="G18" s="26" t="n">
        <f aca="false">MIN(F18,MAX(E18,D18,0))</f>
        <v>0</v>
      </c>
      <c r="H18" s="26" t="n">
        <f aca="false">MIN(G18,E18)</f>
        <v>0</v>
      </c>
      <c r="I18" s="26" t="n">
        <f aca="false">G18-H18</f>
        <v>0</v>
      </c>
      <c r="J18" s="26" t="n">
        <f aca="false">MIN(F18-G18,MAX(0,O18*Inputs!$D$32/(1-Inputs!$D$32)-P17))</f>
        <v>0</v>
      </c>
      <c r="K18" s="26" t="n">
        <f aca="false">F18-G18-J18-L18</f>
        <v>0</v>
      </c>
      <c r="L18" s="26" t="n">
        <f aca="false">(F18-G18-J18)*Inputs!$D$32</f>
        <v>0</v>
      </c>
      <c r="M18" s="26" t="n">
        <f aca="false">C18+M17</f>
        <v>392.619</v>
      </c>
      <c r="N18" s="26" t="n">
        <f aca="false">N17+H18</f>
        <v>0</v>
      </c>
      <c r="O18" s="26" t="n">
        <f aca="false">O17+I18</f>
        <v>0</v>
      </c>
      <c r="P18" s="26" t="n">
        <f aca="false">P17+J18</f>
        <v>0</v>
      </c>
      <c r="Q18" s="26" t="n">
        <f aca="false">D18-G18</f>
        <v>446.001797900314</v>
      </c>
      <c r="S18" s="26" t="n">
        <f aca="false">S17+J18+L18</f>
        <v>0</v>
      </c>
      <c r="U18" s="7" t="n">
        <v>12</v>
      </c>
      <c r="V18" s="26" t="n">
        <f aca="false">Flows!$P$18</f>
        <v>53.22625</v>
      </c>
      <c r="W18" s="26" t="n">
        <f aca="false">AJ17+V18+AK18</f>
        <v>443.59131</v>
      </c>
      <c r="X18" s="26" t="n">
        <f aca="false">AF18-AG17</f>
        <v>392.619</v>
      </c>
      <c r="Y18" s="26" t="n">
        <f aca="false">Flows!$Q$18</f>
        <v>0</v>
      </c>
      <c r="Z18" s="26" t="n">
        <f aca="false">MIN(Y18,MAX(X18,W18,0))</f>
        <v>0</v>
      </c>
      <c r="AA18" s="26" t="n">
        <f aca="false">MIN(Z18,X18)</f>
        <v>0</v>
      </c>
      <c r="AB18" s="26" t="n">
        <f aca="false">Z18-AA18</f>
        <v>0</v>
      </c>
      <c r="AC18" s="26" t="n">
        <f aca="false">MIN(Y18-Z18,MAX(0,AH18*Inputs!$D$32/(1-Inputs!$D$32)-AI17))</f>
        <v>0</v>
      </c>
      <c r="AD18" s="26" t="n">
        <f aca="false">Y18-Z18-AC18-AE18</f>
        <v>0</v>
      </c>
      <c r="AE18" s="26" t="n">
        <f aca="false">(Y18-Z18-AC18)*Inputs!$D$32</f>
        <v>0</v>
      </c>
      <c r="AF18" s="26" t="n">
        <f aca="false">V18+AF17</f>
        <v>392.619</v>
      </c>
      <c r="AG18" s="26" t="n">
        <f aca="false">AG17+AA18</f>
        <v>0</v>
      </c>
      <c r="AH18" s="26" t="n">
        <f aca="false">AH17+AB18</f>
        <v>0</v>
      </c>
      <c r="AI18" s="26" t="n">
        <f aca="false">AI17+AC18</f>
        <v>0</v>
      </c>
      <c r="AJ18" s="26" t="n">
        <f aca="false">AJ17+V18-Z18</f>
        <v>392.619</v>
      </c>
      <c r="AK18" s="26" t="n">
        <f aca="false">AK17+Inputs!$D$31*(AJ17+V18)*0.25</f>
        <v>50.97231</v>
      </c>
      <c r="AL18" s="26" t="n">
        <f aca="false">AL17+AC18+AE18</f>
        <v>0</v>
      </c>
    </row>
    <row r="19" customFormat="false" ht="15" hidden="false" customHeight="false" outlineLevel="0" collapsed="false">
      <c r="B19" s="7" t="n">
        <v>13</v>
      </c>
      <c r="C19" s="26" t="n">
        <f aca="false">Flows!$P$19</f>
        <v>2.26625</v>
      </c>
      <c r="D19" s="26" t="n">
        <f aca="false">(Q18+C19)*(1+Inputs!$D$31)^0.25</f>
        <v>456.97634816033</v>
      </c>
      <c r="E19" s="26" t="n">
        <f aca="false">M19-N18</f>
        <v>394.88525</v>
      </c>
      <c r="F19" s="26" t="n">
        <f aca="false">Flows!$Q$19</f>
        <v>0</v>
      </c>
      <c r="G19" s="26" t="n">
        <f aca="false">MIN(F19,MAX(E19,D19,0))</f>
        <v>0</v>
      </c>
      <c r="H19" s="26" t="n">
        <f aca="false">MIN(G19,E19)</f>
        <v>0</v>
      </c>
      <c r="I19" s="26" t="n">
        <f aca="false">G19-H19</f>
        <v>0</v>
      </c>
      <c r="J19" s="26" t="n">
        <f aca="false">MIN(F19-G19,MAX(0,O19*Inputs!$D$32/(1-Inputs!$D$32)-P18))</f>
        <v>0</v>
      </c>
      <c r="K19" s="26" t="n">
        <f aca="false">F19-G19-J19-L19</f>
        <v>0</v>
      </c>
      <c r="L19" s="26" t="n">
        <f aca="false">(F19-G19-J19)*Inputs!$D$32</f>
        <v>0</v>
      </c>
      <c r="M19" s="26" t="n">
        <f aca="false">C19+M18</f>
        <v>394.88525</v>
      </c>
      <c r="N19" s="26" t="n">
        <f aca="false">N18+H19</f>
        <v>0</v>
      </c>
      <c r="O19" s="26" t="n">
        <f aca="false">O18+I19</f>
        <v>0</v>
      </c>
      <c r="P19" s="26" t="n">
        <f aca="false">P18+J19</f>
        <v>0</v>
      </c>
      <c r="Q19" s="26" t="n">
        <f aca="false">D19-G19</f>
        <v>456.97634816033</v>
      </c>
      <c r="S19" s="26" t="n">
        <f aca="false">S18+J19+L19</f>
        <v>0</v>
      </c>
      <c r="U19" s="7" t="n">
        <v>13</v>
      </c>
      <c r="V19" s="26" t="n">
        <f aca="false">Flows!$P$19</f>
        <v>2.26625</v>
      </c>
      <c r="W19" s="26" t="n">
        <f aca="false">AJ18+V19+AK19</f>
        <v>453.755265</v>
      </c>
      <c r="X19" s="26" t="n">
        <f aca="false">AF19-AG18</f>
        <v>394.88525</v>
      </c>
      <c r="Y19" s="26" t="n">
        <f aca="false">Flows!$Q$19</f>
        <v>0</v>
      </c>
      <c r="Z19" s="26" t="n">
        <f aca="false">MIN(Y19,MAX(X19,W19,0))</f>
        <v>0</v>
      </c>
      <c r="AA19" s="26" t="n">
        <f aca="false">MIN(Z19,X19)</f>
        <v>0</v>
      </c>
      <c r="AB19" s="26" t="n">
        <f aca="false">Z19-AA19</f>
        <v>0</v>
      </c>
      <c r="AC19" s="26" t="n">
        <f aca="false">MIN(Y19-Z19,MAX(0,AH19*Inputs!$D$32/(1-Inputs!$D$32)-AI18))</f>
        <v>0</v>
      </c>
      <c r="AD19" s="26" t="n">
        <f aca="false">Y19-Z19-AC19-AE19</f>
        <v>0</v>
      </c>
      <c r="AE19" s="26" t="n">
        <f aca="false">(Y19-Z19-AC19)*Inputs!$D$32</f>
        <v>0</v>
      </c>
      <c r="AF19" s="26" t="n">
        <f aca="false">V19+AF18</f>
        <v>394.88525</v>
      </c>
      <c r="AG19" s="26" t="n">
        <f aca="false">AG18+AA19</f>
        <v>0</v>
      </c>
      <c r="AH19" s="26" t="n">
        <f aca="false">AH18+AB19</f>
        <v>0</v>
      </c>
      <c r="AI19" s="26" t="n">
        <f aca="false">AI18+AC19</f>
        <v>0</v>
      </c>
      <c r="AJ19" s="26" t="n">
        <f aca="false">AJ18+V19-Z19</f>
        <v>394.88525</v>
      </c>
      <c r="AK19" s="26" t="n">
        <f aca="false">AK18+Inputs!$D$31*(AJ18+V19)*0.25</f>
        <v>58.870015</v>
      </c>
      <c r="AL19" s="26" t="n">
        <f aca="false">AL18+AC19+AE19</f>
        <v>0</v>
      </c>
    </row>
    <row r="20" customFormat="false" ht="15" hidden="false" customHeight="false" outlineLevel="0" collapsed="false">
      <c r="B20" s="7" t="n">
        <v>14</v>
      </c>
      <c r="C20" s="26" t="n">
        <f aca="false">Flows!$P$20</f>
        <v>51.26625</v>
      </c>
      <c r="D20" s="26" t="n">
        <f aca="false">(Q19+C20)*(1+Inputs!$D$31)^0.25</f>
        <v>518.115996834274</v>
      </c>
      <c r="E20" s="26" t="n">
        <f aca="false">M20-N19</f>
        <v>446.1515</v>
      </c>
      <c r="F20" s="26" t="n">
        <f aca="false">Flows!$Q$20</f>
        <v>0</v>
      </c>
      <c r="G20" s="26" t="n">
        <f aca="false">MIN(F20,MAX(E20,D20,0))</f>
        <v>0</v>
      </c>
      <c r="H20" s="26" t="n">
        <f aca="false">MIN(G20,E20)</f>
        <v>0</v>
      </c>
      <c r="I20" s="26" t="n">
        <f aca="false">G20-H20</f>
        <v>0</v>
      </c>
      <c r="J20" s="26" t="n">
        <f aca="false">MIN(F20-G20,MAX(0,O20*Inputs!$D$32/(1-Inputs!$D$32)-P19))</f>
        <v>0</v>
      </c>
      <c r="K20" s="26" t="n">
        <f aca="false">F20-G20-J20-L20</f>
        <v>0</v>
      </c>
      <c r="L20" s="26" t="n">
        <f aca="false">(F20-G20-J20)*Inputs!$D$32</f>
        <v>0</v>
      </c>
      <c r="M20" s="26" t="n">
        <f aca="false">C20+M19</f>
        <v>446.1515</v>
      </c>
      <c r="N20" s="26" t="n">
        <f aca="false">N19+H20</f>
        <v>0</v>
      </c>
      <c r="O20" s="26" t="n">
        <f aca="false">O19+I20</f>
        <v>0</v>
      </c>
      <c r="P20" s="26" t="n">
        <f aca="false">P19+J20</f>
        <v>0</v>
      </c>
      <c r="Q20" s="26" t="n">
        <f aca="false">D20-G20</f>
        <v>518.115996834274</v>
      </c>
      <c r="S20" s="26" t="n">
        <f aca="false">S19+J20+L20</f>
        <v>0</v>
      </c>
      <c r="U20" s="7" t="n">
        <v>14</v>
      </c>
      <c r="V20" s="26" t="n">
        <f aca="false">Flows!$P$20</f>
        <v>51.26625</v>
      </c>
      <c r="W20" s="26" t="n">
        <f aca="false">AJ19+V20+AK20</f>
        <v>513.944545</v>
      </c>
      <c r="X20" s="26" t="n">
        <f aca="false">AF20-AG19</f>
        <v>446.1515</v>
      </c>
      <c r="Y20" s="26" t="n">
        <f aca="false">Flows!$Q$20</f>
        <v>0</v>
      </c>
      <c r="Z20" s="26" t="n">
        <f aca="false">MIN(Y20,MAX(X20,W20,0))</f>
        <v>0</v>
      </c>
      <c r="AA20" s="26" t="n">
        <f aca="false">MIN(Z20,X20)</f>
        <v>0</v>
      </c>
      <c r="AB20" s="26" t="n">
        <f aca="false">Z20-AA20</f>
        <v>0</v>
      </c>
      <c r="AC20" s="26" t="n">
        <f aca="false">MIN(Y20-Z20,MAX(0,AH20*Inputs!$D$32/(1-Inputs!$D$32)-AI19))</f>
        <v>0</v>
      </c>
      <c r="AD20" s="26" t="n">
        <f aca="false">Y20-Z20-AC20-AE20</f>
        <v>0</v>
      </c>
      <c r="AE20" s="26" t="n">
        <f aca="false">(Y20-Z20-AC20)*Inputs!$D$32</f>
        <v>0</v>
      </c>
      <c r="AF20" s="26" t="n">
        <f aca="false">V20+AF19</f>
        <v>446.1515</v>
      </c>
      <c r="AG20" s="26" t="n">
        <f aca="false">AG19+AA20</f>
        <v>0</v>
      </c>
      <c r="AH20" s="26" t="n">
        <f aca="false">AH19+AB20</f>
        <v>0</v>
      </c>
      <c r="AI20" s="26" t="n">
        <f aca="false">AI19+AC20</f>
        <v>0</v>
      </c>
      <c r="AJ20" s="26" t="n">
        <f aca="false">AJ19+V20-Z20</f>
        <v>446.1515</v>
      </c>
      <c r="AK20" s="26" t="n">
        <f aca="false">AK19+Inputs!$D$31*(AJ19+V20)*0.25</f>
        <v>67.793045</v>
      </c>
      <c r="AL20" s="26" t="n">
        <f aca="false">AL19+AC20+AE20</f>
        <v>0</v>
      </c>
    </row>
    <row r="21" customFormat="false" ht="15" hidden="false" customHeight="false" outlineLevel="0" collapsed="false">
      <c r="B21" s="7" t="n">
        <v>15</v>
      </c>
      <c r="C21" s="26" t="n">
        <f aca="false">Flows!$P$21</f>
        <v>2.26625</v>
      </c>
      <c r="D21" s="26" t="n">
        <f aca="false">(Q20+C21)*(1+Inputs!$D$31)^0.25</f>
        <v>530.491476962633</v>
      </c>
      <c r="E21" s="26" t="n">
        <f aca="false">M21-N20</f>
        <v>448.41775</v>
      </c>
      <c r="F21" s="26" t="n">
        <f aca="false">Flows!$Q$21</f>
        <v>0</v>
      </c>
      <c r="G21" s="26" t="n">
        <f aca="false">MIN(F21,MAX(E21,D21,0))</f>
        <v>0</v>
      </c>
      <c r="H21" s="26" t="n">
        <f aca="false">MIN(G21,E21)</f>
        <v>0</v>
      </c>
      <c r="I21" s="26" t="n">
        <f aca="false">G21-H21</f>
        <v>0</v>
      </c>
      <c r="J21" s="26" t="n">
        <f aca="false">MIN(F21-G21,MAX(0,O21*Inputs!$D$32/(1-Inputs!$D$32)-P20))</f>
        <v>0</v>
      </c>
      <c r="K21" s="26" t="n">
        <f aca="false">F21-G21-J21-L21</f>
        <v>0</v>
      </c>
      <c r="L21" s="26" t="n">
        <f aca="false">(F21-G21-J21)*Inputs!$D$32</f>
        <v>0</v>
      </c>
      <c r="M21" s="26" t="n">
        <f aca="false">C21+M20</f>
        <v>448.41775</v>
      </c>
      <c r="N21" s="26" t="n">
        <f aca="false">N20+H21</f>
        <v>0</v>
      </c>
      <c r="O21" s="26" t="n">
        <f aca="false">O20+I21</f>
        <v>0</v>
      </c>
      <c r="P21" s="26" t="n">
        <f aca="false">P20+J21</f>
        <v>0</v>
      </c>
      <c r="Q21" s="26" t="n">
        <f aca="false">D21-G21</f>
        <v>530.491476962633</v>
      </c>
      <c r="S21" s="26" t="n">
        <f aca="false">S20+J21+L21</f>
        <v>0</v>
      </c>
      <c r="U21" s="7" t="n">
        <v>15</v>
      </c>
      <c r="V21" s="26" t="n">
        <f aca="false">Flows!$P$21</f>
        <v>2.26625</v>
      </c>
      <c r="W21" s="26" t="n">
        <f aca="false">AJ20+V21+AK21</f>
        <v>525.17915</v>
      </c>
      <c r="X21" s="26" t="n">
        <f aca="false">AF21-AG20</f>
        <v>448.41775</v>
      </c>
      <c r="Y21" s="26" t="n">
        <f aca="false">Flows!$Q$21</f>
        <v>0</v>
      </c>
      <c r="Z21" s="26" t="n">
        <f aca="false">MIN(Y21,MAX(X21,W21,0))</f>
        <v>0</v>
      </c>
      <c r="AA21" s="26" t="n">
        <f aca="false">MIN(Z21,X21)</f>
        <v>0</v>
      </c>
      <c r="AB21" s="26" t="n">
        <f aca="false">Z21-AA21</f>
        <v>0</v>
      </c>
      <c r="AC21" s="26" t="n">
        <f aca="false">MIN(Y21-Z21,MAX(0,AH21*Inputs!$D$32/(1-Inputs!$D$32)-AI20))</f>
        <v>0</v>
      </c>
      <c r="AD21" s="26" t="n">
        <f aca="false">Y21-Z21-AC21-AE21</f>
        <v>0</v>
      </c>
      <c r="AE21" s="26" t="n">
        <f aca="false">(Y21-Z21-AC21)*Inputs!$D$32</f>
        <v>0</v>
      </c>
      <c r="AF21" s="26" t="n">
        <f aca="false">V21+AF20</f>
        <v>448.41775</v>
      </c>
      <c r="AG21" s="26" t="n">
        <f aca="false">AG20+AA21</f>
        <v>0</v>
      </c>
      <c r="AH21" s="26" t="n">
        <f aca="false">AH20+AB21</f>
        <v>0</v>
      </c>
      <c r="AI21" s="26" t="n">
        <f aca="false">AI20+AC21</f>
        <v>0</v>
      </c>
      <c r="AJ21" s="26" t="n">
        <f aca="false">AJ20+V21-Z21</f>
        <v>448.41775</v>
      </c>
      <c r="AK21" s="26" t="n">
        <f aca="false">AK20+Inputs!$D$31*(AJ20+V21)*0.25</f>
        <v>76.7614</v>
      </c>
      <c r="AL21" s="26" t="n">
        <f aca="false">AL20+AC21+AE21</f>
        <v>0</v>
      </c>
    </row>
    <row r="22" customFormat="false" ht="15" hidden="false" customHeight="false" outlineLevel="0" collapsed="false">
      <c r="B22" s="7" t="n">
        <v>16</v>
      </c>
      <c r="C22" s="26" t="n">
        <f aca="false">Flows!$P$22</f>
        <v>2.26625</v>
      </c>
      <c r="D22" s="26" t="n">
        <f aca="false">(Q21+C22)*(1+Inputs!$D$31)^0.25</f>
        <v>543.107369936218</v>
      </c>
      <c r="E22" s="26" t="n">
        <f aca="false">M22-N21</f>
        <v>450.684</v>
      </c>
      <c r="F22" s="26" t="n">
        <f aca="false">Flows!$Q$22</f>
        <v>105.84</v>
      </c>
      <c r="G22" s="26" t="n">
        <f aca="false">MIN(F22,MAX(E22,D22,0))</f>
        <v>105.84</v>
      </c>
      <c r="H22" s="26" t="n">
        <f aca="false">MIN(G22,E22)</f>
        <v>105.84</v>
      </c>
      <c r="I22" s="26" t="n">
        <f aca="false">G22-H22</f>
        <v>0</v>
      </c>
      <c r="J22" s="26" t="n">
        <f aca="false">MIN(F22-G22,MAX(0,O22*Inputs!$D$32/(1-Inputs!$D$32)-P21))</f>
        <v>0</v>
      </c>
      <c r="K22" s="26" t="n">
        <f aca="false">F22-G22-J22-L22</f>
        <v>0</v>
      </c>
      <c r="L22" s="26" t="n">
        <f aca="false">(F22-G22-J22)*Inputs!$D$32</f>
        <v>0</v>
      </c>
      <c r="M22" s="26" t="n">
        <f aca="false">C22+M21</f>
        <v>450.684</v>
      </c>
      <c r="N22" s="26" t="n">
        <f aca="false">N21+H22</f>
        <v>105.84</v>
      </c>
      <c r="O22" s="26" t="n">
        <f aca="false">O21+I22</f>
        <v>0</v>
      </c>
      <c r="P22" s="26" t="n">
        <f aca="false">P21+J22</f>
        <v>0</v>
      </c>
      <c r="Q22" s="26" t="n">
        <f aca="false">D22-G22</f>
        <v>437.267369936218</v>
      </c>
      <c r="S22" s="26" t="n">
        <f aca="false">S21+J22+L22</f>
        <v>0</v>
      </c>
      <c r="U22" s="7" t="n">
        <v>16</v>
      </c>
      <c r="V22" s="26" t="n">
        <f aca="false">Flows!$P$22</f>
        <v>2.26625</v>
      </c>
      <c r="W22" s="26" t="n">
        <f aca="false">AJ21+V22+AK22</f>
        <v>536.45908</v>
      </c>
      <c r="X22" s="26" t="n">
        <f aca="false">AF22-AG21</f>
        <v>450.684</v>
      </c>
      <c r="Y22" s="26" t="n">
        <f aca="false">Flows!$Q$22</f>
        <v>105.84</v>
      </c>
      <c r="Z22" s="26" t="n">
        <f aca="false">MIN(Y22,MAX(X22,W22,0))</f>
        <v>105.84</v>
      </c>
      <c r="AA22" s="26" t="n">
        <f aca="false">MIN(Z22,X22)</f>
        <v>105.84</v>
      </c>
      <c r="AB22" s="26" t="n">
        <f aca="false">Z22-AA22</f>
        <v>0</v>
      </c>
      <c r="AC22" s="26" t="n">
        <f aca="false">MIN(Y22-Z22,MAX(0,AH22*Inputs!$D$32/(1-Inputs!$D$32)-AI21))</f>
        <v>0</v>
      </c>
      <c r="AD22" s="26" t="n">
        <f aca="false">Y22-Z22-AC22-AE22</f>
        <v>0</v>
      </c>
      <c r="AE22" s="26" t="n">
        <f aca="false">(Y22-Z22-AC22)*Inputs!$D$32</f>
        <v>0</v>
      </c>
      <c r="AF22" s="26" t="n">
        <f aca="false">V22+AF21</f>
        <v>450.684</v>
      </c>
      <c r="AG22" s="26" t="n">
        <f aca="false">AG21+AA22</f>
        <v>105.84</v>
      </c>
      <c r="AH22" s="26" t="n">
        <f aca="false">AH21+AB22</f>
        <v>0</v>
      </c>
      <c r="AI22" s="26" t="n">
        <f aca="false">AI21+AC22</f>
        <v>0</v>
      </c>
      <c r="AJ22" s="26" t="n">
        <f aca="false">AJ21+V22-Z22</f>
        <v>344.844</v>
      </c>
      <c r="AK22" s="26" t="n">
        <f aca="false">AK21+Inputs!$D$31*(AJ21+V22)*0.25</f>
        <v>85.77508</v>
      </c>
      <c r="AL22" s="26" t="n">
        <f aca="false">AL21+AC22+AE22</f>
        <v>0</v>
      </c>
    </row>
    <row r="23" customFormat="false" ht="15" hidden="false" customHeight="false" outlineLevel="0" collapsed="false">
      <c r="B23" s="7" t="n">
        <v>17</v>
      </c>
      <c r="C23" s="26" t="n">
        <f aca="false">Flows!$P$23</f>
        <v>2.26625</v>
      </c>
      <c r="D23" s="26" t="n">
        <f aca="false">(Q22+C23)*(1+Inputs!$D$31)^0.25</f>
        <v>448.072240421672</v>
      </c>
      <c r="E23" s="26" t="n">
        <f aca="false">M23-N22</f>
        <v>347.11025</v>
      </c>
      <c r="F23" s="26" t="n">
        <f aca="false">Flows!$Q$23</f>
        <v>0</v>
      </c>
      <c r="G23" s="26" t="n">
        <f aca="false">MIN(F23,MAX(E23,D23,0))</f>
        <v>0</v>
      </c>
      <c r="H23" s="26" t="n">
        <f aca="false">MIN(G23,E23)</f>
        <v>0</v>
      </c>
      <c r="I23" s="26" t="n">
        <f aca="false">G23-H23</f>
        <v>0</v>
      </c>
      <c r="J23" s="26" t="n">
        <f aca="false">MIN(F23-G23,MAX(0,O23*Inputs!$D$32/(1-Inputs!$D$32)-P22))</f>
        <v>0</v>
      </c>
      <c r="K23" s="26" t="n">
        <f aca="false">F23-G23-J23-L23</f>
        <v>0</v>
      </c>
      <c r="L23" s="26" t="n">
        <f aca="false">(F23-G23-J23)*Inputs!$D$32</f>
        <v>0</v>
      </c>
      <c r="M23" s="26" t="n">
        <f aca="false">C23+M22</f>
        <v>452.95025</v>
      </c>
      <c r="N23" s="26" t="n">
        <f aca="false">N22+H23</f>
        <v>105.84</v>
      </c>
      <c r="O23" s="26" t="n">
        <f aca="false">O22+I23</f>
        <v>0</v>
      </c>
      <c r="P23" s="26" t="n">
        <f aca="false">P22+J23</f>
        <v>0</v>
      </c>
      <c r="Q23" s="26" t="n">
        <f aca="false">D23-G23</f>
        <v>448.072240421672</v>
      </c>
      <c r="S23" s="26" t="n">
        <f aca="false">S22+J23+L23</f>
        <v>0</v>
      </c>
      <c r="U23" s="7" t="n">
        <v>17</v>
      </c>
      <c r="V23" s="26" t="n">
        <f aca="false">Flows!$P$23</f>
        <v>2.26625</v>
      </c>
      <c r="W23" s="26" t="n">
        <f aca="false">AJ22+V23+AK23</f>
        <v>439.827535</v>
      </c>
      <c r="X23" s="26" t="n">
        <f aca="false">AF23-AG22</f>
        <v>347.11025</v>
      </c>
      <c r="Y23" s="26" t="n">
        <f aca="false">Flows!$Q$23</f>
        <v>0</v>
      </c>
      <c r="Z23" s="26" t="n">
        <f aca="false">MIN(Y23,MAX(X23,W23,0))</f>
        <v>0</v>
      </c>
      <c r="AA23" s="26" t="n">
        <f aca="false">MIN(Z23,X23)</f>
        <v>0</v>
      </c>
      <c r="AB23" s="26" t="n">
        <f aca="false">Z23-AA23</f>
        <v>0</v>
      </c>
      <c r="AC23" s="26" t="n">
        <f aca="false">MIN(Y23-Z23,MAX(0,AH23*Inputs!$D$32/(1-Inputs!$D$32)-AI22))</f>
        <v>0</v>
      </c>
      <c r="AD23" s="26" t="n">
        <f aca="false">Y23-Z23-AC23-AE23</f>
        <v>0</v>
      </c>
      <c r="AE23" s="26" t="n">
        <f aca="false">(Y23-Z23-AC23)*Inputs!$D$32</f>
        <v>0</v>
      </c>
      <c r="AF23" s="26" t="n">
        <f aca="false">V23+AF22</f>
        <v>452.95025</v>
      </c>
      <c r="AG23" s="26" t="n">
        <f aca="false">AG22+AA23</f>
        <v>105.84</v>
      </c>
      <c r="AH23" s="26" t="n">
        <f aca="false">AH22+AB23</f>
        <v>0</v>
      </c>
      <c r="AI23" s="26" t="n">
        <f aca="false">AI22+AC23</f>
        <v>0</v>
      </c>
      <c r="AJ23" s="26" t="n">
        <f aca="false">AJ22+V23-Z23</f>
        <v>347.11025</v>
      </c>
      <c r="AK23" s="26" t="n">
        <f aca="false">AK22+Inputs!$D$31*(AJ22+V23)*0.25</f>
        <v>92.717285</v>
      </c>
      <c r="AL23" s="26" t="n">
        <f aca="false">AL22+AC23+AE23</f>
        <v>0</v>
      </c>
    </row>
    <row r="24" customFormat="false" ht="15" hidden="false" customHeight="false" outlineLevel="0" collapsed="false">
      <c r="B24" s="7" t="n">
        <v>18</v>
      </c>
      <c r="C24" s="26" t="n">
        <f aca="false">Flows!$P$24</f>
        <v>2.26625</v>
      </c>
      <c r="D24" s="26" t="n">
        <f aca="false">(Q23+C24)*(1+Inputs!$D$31)^0.25</f>
        <v>459.087012230449</v>
      </c>
      <c r="E24" s="26" t="n">
        <f aca="false">M24-N23</f>
        <v>349.3765</v>
      </c>
      <c r="F24" s="26" t="n">
        <f aca="false">Flows!$Q$24</f>
        <v>97.02</v>
      </c>
      <c r="G24" s="26" t="n">
        <f aca="false">MIN(F24,MAX(E24,D24,0))</f>
        <v>97.02</v>
      </c>
      <c r="H24" s="26" t="n">
        <f aca="false">MIN(G24,E24)</f>
        <v>97.02</v>
      </c>
      <c r="I24" s="26" t="n">
        <f aca="false">G24-H24</f>
        <v>0</v>
      </c>
      <c r="J24" s="26" t="n">
        <f aca="false">MIN(F24-G24,MAX(0,O24*Inputs!$D$32/(1-Inputs!$D$32)-P23))</f>
        <v>0</v>
      </c>
      <c r="K24" s="26" t="n">
        <f aca="false">F24-G24-J24-L24</f>
        <v>0</v>
      </c>
      <c r="L24" s="26" t="n">
        <f aca="false">(F24-G24-J24)*Inputs!$D$32</f>
        <v>0</v>
      </c>
      <c r="M24" s="26" t="n">
        <f aca="false">C24+M23</f>
        <v>455.2165</v>
      </c>
      <c r="N24" s="26" t="n">
        <f aca="false">N23+H24</f>
        <v>202.86</v>
      </c>
      <c r="O24" s="26" t="n">
        <f aca="false">O23+I24</f>
        <v>0</v>
      </c>
      <c r="P24" s="26" t="n">
        <f aca="false">P23+J24</f>
        <v>0</v>
      </c>
      <c r="Q24" s="26" t="n">
        <f aca="false">D24-G24</f>
        <v>362.067012230449</v>
      </c>
      <c r="S24" s="26" t="n">
        <f aca="false">S23+J24+L24</f>
        <v>0</v>
      </c>
      <c r="U24" s="7" t="n">
        <v>18</v>
      </c>
      <c r="V24" s="26" t="n">
        <f aca="false">Flows!$P$24</f>
        <v>2.26625</v>
      </c>
      <c r="W24" s="26" t="n">
        <f aca="false">AJ23+V24+AK24</f>
        <v>449.081315</v>
      </c>
      <c r="X24" s="26" t="n">
        <f aca="false">AF24-AG23</f>
        <v>349.3765</v>
      </c>
      <c r="Y24" s="26" t="n">
        <f aca="false">Flows!$Q$24</f>
        <v>97.02</v>
      </c>
      <c r="Z24" s="26" t="n">
        <f aca="false">MIN(Y24,MAX(X24,W24,0))</f>
        <v>97.02</v>
      </c>
      <c r="AA24" s="26" t="n">
        <f aca="false">MIN(Z24,X24)</f>
        <v>97.02</v>
      </c>
      <c r="AB24" s="26" t="n">
        <f aca="false">Z24-AA24</f>
        <v>0</v>
      </c>
      <c r="AC24" s="26" t="n">
        <f aca="false">MIN(Y24-Z24,MAX(0,AH24*Inputs!$D$32/(1-Inputs!$D$32)-AI23))</f>
        <v>0</v>
      </c>
      <c r="AD24" s="26" t="n">
        <f aca="false">Y24-Z24-AC24-AE24</f>
        <v>0</v>
      </c>
      <c r="AE24" s="26" t="n">
        <f aca="false">(Y24-Z24-AC24)*Inputs!$D$32</f>
        <v>0</v>
      </c>
      <c r="AF24" s="26" t="n">
        <f aca="false">V24+AF23</f>
        <v>455.2165</v>
      </c>
      <c r="AG24" s="26" t="n">
        <f aca="false">AG23+AA24</f>
        <v>202.86</v>
      </c>
      <c r="AH24" s="26" t="n">
        <f aca="false">AH23+AB24</f>
        <v>0</v>
      </c>
      <c r="AI24" s="26" t="n">
        <f aca="false">AI23+AC24</f>
        <v>0</v>
      </c>
      <c r="AJ24" s="26" t="n">
        <f aca="false">AJ23+V24-Z24</f>
        <v>252.3565</v>
      </c>
      <c r="AK24" s="26" t="n">
        <f aca="false">AK23+Inputs!$D$31*(AJ23+V24)*0.25</f>
        <v>99.704815</v>
      </c>
      <c r="AL24" s="26" t="n">
        <f aca="false">AL23+AC24+AE24</f>
        <v>0</v>
      </c>
    </row>
    <row r="25" customFormat="false" ht="15" hidden="false" customHeight="false" outlineLevel="0" collapsed="false">
      <c r="B25" s="7" t="n">
        <v>19</v>
      </c>
      <c r="C25" s="26" t="n">
        <f aca="false">Flows!$P$25</f>
        <v>2.26625</v>
      </c>
      <c r="D25" s="26" t="n">
        <f aca="false">(Q24+C25)*(1+Inputs!$D$31)^0.25</f>
        <v>371.410999439414</v>
      </c>
      <c r="E25" s="26" t="n">
        <f aca="false">M25-N24</f>
        <v>254.62275</v>
      </c>
      <c r="F25" s="26" t="n">
        <f aca="false">Flows!$Q$25</f>
        <v>0</v>
      </c>
      <c r="G25" s="26" t="n">
        <f aca="false">MIN(F25,MAX(E25,D25,0))</f>
        <v>0</v>
      </c>
      <c r="H25" s="26" t="n">
        <f aca="false">MIN(G25,E25)</f>
        <v>0</v>
      </c>
      <c r="I25" s="26" t="n">
        <f aca="false">G25-H25</f>
        <v>0</v>
      </c>
      <c r="J25" s="26" t="n">
        <f aca="false">MIN(F25-G25,MAX(0,O25*Inputs!$D$32/(1-Inputs!$D$32)-P24))</f>
        <v>0</v>
      </c>
      <c r="K25" s="26" t="n">
        <f aca="false">F25-G25-J25-L25</f>
        <v>0</v>
      </c>
      <c r="L25" s="26" t="n">
        <f aca="false">(F25-G25-J25)*Inputs!$D$32</f>
        <v>0</v>
      </c>
      <c r="M25" s="26" t="n">
        <f aca="false">C25+M24</f>
        <v>457.48275</v>
      </c>
      <c r="N25" s="26" t="n">
        <f aca="false">N24+H25</f>
        <v>202.86</v>
      </c>
      <c r="O25" s="26" t="n">
        <f aca="false">O24+I25</f>
        <v>0</v>
      </c>
      <c r="P25" s="26" t="n">
        <f aca="false">P24+J25</f>
        <v>0</v>
      </c>
      <c r="Q25" s="26" t="n">
        <f aca="false">D25-G25</f>
        <v>371.410999439414</v>
      </c>
      <c r="S25" s="26" t="n">
        <f aca="false">S24+J25+L25</f>
        <v>0</v>
      </c>
      <c r="U25" s="7" t="n">
        <v>19</v>
      </c>
      <c r="V25" s="26" t="n">
        <f aca="false">Flows!$P$25</f>
        <v>2.26625</v>
      </c>
      <c r="W25" s="26" t="n">
        <f aca="false">AJ24+V25+AK25</f>
        <v>359.42002</v>
      </c>
      <c r="X25" s="26" t="n">
        <f aca="false">AF25-AG24</f>
        <v>254.62275</v>
      </c>
      <c r="Y25" s="26" t="n">
        <f aca="false">Flows!$Q$25</f>
        <v>0</v>
      </c>
      <c r="Z25" s="26" t="n">
        <f aca="false">MIN(Y25,MAX(X25,W25,0))</f>
        <v>0</v>
      </c>
      <c r="AA25" s="26" t="n">
        <f aca="false">MIN(Z25,X25)</f>
        <v>0</v>
      </c>
      <c r="AB25" s="26" t="n">
        <f aca="false">Z25-AA25</f>
        <v>0</v>
      </c>
      <c r="AC25" s="26" t="n">
        <f aca="false">MIN(Y25-Z25,MAX(0,AH25*Inputs!$D$32/(1-Inputs!$D$32)-AI24))</f>
        <v>0</v>
      </c>
      <c r="AD25" s="26" t="n">
        <f aca="false">Y25-Z25-AC25-AE25</f>
        <v>0</v>
      </c>
      <c r="AE25" s="26" t="n">
        <f aca="false">(Y25-Z25-AC25)*Inputs!$D$32</f>
        <v>0</v>
      </c>
      <c r="AF25" s="26" t="n">
        <f aca="false">V25+AF24</f>
        <v>457.48275</v>
      </c>
      <c r="AG25" s="26" t="n">
        <f aca="false">AG24+AA25</f>
        <v>202.86</v>
      </c>
      <c r="AH25" s="26" t="n">
        <f aca="false">AH24+AB25</f>
        <v>0</v>
      </c>
      <c r="AI25" s="26" t="n">
        <f aca="false">AI24+AC25</f>
        <v>0</v>
      </c>
      <c r="AJ25" s="26" t="n">
        <f aca="false">AJ24+V25-Z25</f>
        <v>254.62275</v>
      </c>
      <c r="AK25" s="26" t="n">
        <f aca="false">AK24+Inputs!$D$31*(AJ24+V25)*0.25</f>
        <v>104.79727</v>
      </c>
      <c r="AL25" s="26" t="n">
        <f aca="false">AL24+AC25+AE25</f>
        <v>0</v>
      </c>
    </row>
    <row r="26" customFormat="false" ht="15" hidden="false" customHeight="false" outlineLevel="0" collapsed="false">
      <c r="B26" s="7" t="n">
        <v>20</v>
      </c>
      <c r="C26" s="26" t="n">
        <f aca="false">Flows!$P$26</f>
        <v>2.26625</v>
      </c>
      <c r="D26" s="26" t="n">
        <f aca="false">(Q25+C26)*(1+Inputs!$D$31)^0.25</f>
        <v>380.936508054203</v>
      </c>
      <c r="E26" s="26" t="n">
        <f aca="false">M26-N25</f>
        <v>256.889</v>
      </c>
      <c r="F26" s="26" t="n">
        <f aca="false">Flows!$Q$26</f>
        <v>0</v>
      </c>
      <c r="G26" s="26" t="n">
        <f aca="false">MIN(F26,MAX(E26,D26,0))</f>
        <v>0</v>
      </c>
      <c r="H26" s="26" t="n">
        <f aca="false">MIN(G26,E26)</f>
        <v>0</v>
      </c>
      <c r="I26" s="26" t="n">
        <f aca="false">G26-H26</f>
        <v>0</v>
      </c>
      <c r="J26" s="26" t="n">
        <f aca="false">MIN(F26-G26,MAX(0,O26*Inputs!$D$32/(1-Inputs!$D$32)-P25))</f>
        <v>0</v>
      </c>
      <c r="K26" s="26" t="n">
        <f aca="false">F26-G26-J26-L26</f>
        <v>0</v>
      </c>
      <c r="L26" s="26" t="n">
        <f aca="false">(F26-G26-J26)*Inputs!$D$32</f>
        <v>0</v>
      </c>
      <c r="M26" s="26" t="n">
        <f aca="false">C26+M25</f>
        <v>459.749</v>
      </c>
      <c r="N26" s="26" t="n">
        <f aca="false">N25+H26</f>
        <v>202.86</v>
      </c>
      <c r="O26" s="26" t="n">
        <f aca="false">O25+I26</f>
        <v>0</v>
      </c>
      <c r="P26" s="26" t="n">
        <f aca="false">P25+J26</f>
        <v>0</v>
      </c>
      <c r="Q26" s="26" t="n">
        <f aca="false">D26-G26</f>
        <v>380.936508054203</v>
      </c>
      <c r="S26" s="26" t="n">
        <f aca="false">S25+J26+L26</f>
        <v>0</v>
      </c>
      <c r="U26" s="7" t="n">
        <v>20</v>
      </c>
      <c r="V26" s="26" t="n">
        <f aca="false">Flows!$P$26</f>
        <v>2.26625</v>
      </c>
      <c r="W26" s="26" t="n">
        <f aca="false">AJ25+V26+AK26</f>
        <v>366.82405</v>
      </c>
      <c r="X26" s="26" t="n">
        <f aca="false">AF26-AG25</f>
        <v>256.889</v>
      </c>
      <c r="Y26" s="26" t="n">
        <f aca="false">Flows!$Q$26</f>
        <v>0</v>
      </c>
      <c r="Z26" s="26" t="n">
        <f aca="false">MIN(Y26,MAX(X26,W26,0))</f>
        <v>0</v>
      </c>
      <c r="AA26" s="26" t="n">
        <f aca="false">MIN(Z26,X26)</f>
        <v>0</v>
      </c>
      <c r="AB26" s="26" t="n">
        <f aca="false">Z26-AA26</f>
        <v>0</v>
      </c>
      <c r="AC26" s="26" t="n">
        <f aca="false">MIN(Y26-Z26,MAX(0,AH26*Inputs!$D$32/(1-Inputs!$D$32)-AI25))</f>
        <v>0</v>
      </c>
      <c r="AD26" s="26" t="n">
        <f aca="false">Y26-Z26-AC26-AE26</f>
        <v>0</v>
      </c>
      <c r="AE26" s="26" t="n">
        <f aca="false">(Y26-Z26-AC26)*Inputs!$D$32</f>
        <v>0</v>
      </c>
      <c r="AF26" s="26" t="n">
        <f aca="false">V26+AF25</f>
        <v>459.749</v>
      </c>
      <c r="AG26" s="26" t="n">
        <f aca="false">AG25+AA26</f>
        <v>202.86</v>
      </c>
      <c r="AH26" s="26" t="n">
        <f aca="false">AH25+AB26</f>
        <v>0</v>
      </c>
      <c r="AI26" s="26" t="n">
        <f aca="false">AI25+AC26</f>
        <v>0</v>
      </c>
      <c r="AJ26" s="26" t="n">
        <f aca="false">AJ25+V26-Z26</f>
        <v>256.889</v>
      </c>
      <c r="AK26" s="26" t="n">
        <f aca="false">AK25+Inputs!$D$31*(AJ25+V26)*0.25</f>
        <v>109.93505</v>
      </c>
      <c r="AL26" s="26" t="n">
        <f aca="false">AL25+AC26+AE26</f>
        <v>0</v>
      </c>
    </row>
    <row r="27" customFormat="false" ht="15" hidden="false" customHeight="false" outlineLevel="0" collapsed="false">
      <c r="B27" s="7" t="n">
        <v>21</v>
      </c>
      <c r="C27" s="26" t="n">
        <f aca="false">Flows!$P$27</f>
        <v>1.1116875</v>
      </c>
      <c r="D27" s="26" t="n">
        <f aca="false">(Q26+C27)*(1+Inputs!$D$31)^0.25</f>
        <v>389.470072746358</v>
      </c>
      <c r="E27" s="26" t="n">
        <f aca="false">M27-N26</f>
        <v>258.0006875</v>
      </c>
      <c r="F27" s="26" t="n">
        <f aca="false">Flows!$Q$27</f>
        <v>0</v>
      </c>
      <c r="G27" s="26" t="n">
        <f aca="false">MIN(F27,MAX(E27,D27,0))</f>
        <v>0</v>
      </c>
      <c r="H27" s="26" t="n">
        <f aca="false">MIN(G27,E27)</f>
        <v>0</v>
      </c>
      <c r="I27" s="26" t="n">
        <f aca="false">G27-H27</f>
        <v>0</v>
      </c>
      <c r="J27" s="26" t="n">
        <f aca="false">MIN(F27-G27,MAX(0,O27*Inputs!$D$32/(1-Inputs!$D$32)-P26))</f>
        <v>0</v>
      </c>
      <c r="K27" s="26" t="n">
        <f aca="false">F27-G27-J27-L27</f>
        <v>0</v>
      </c>
      <c r="L27" s="26" t="n">
        <f aca="false">(F27-G27-J27)*Inputs!$D$32</f>
        <v>0</v>
      </c>
      <c r="M27" s="26" t="n">
        <f aca="false">C27+M26</f>
        <v>460.8606875</v>
      </c>
      <c r="N27" s="26" t="n">
        <f aca="false">N26+H27</f>
        <v>202.86</v>
      </c>
      <c r="O27" s="26" t="n">
        <f aca="false">O26+I27</f>
        <v>0</v>
      </c>
      <c r="P27" s="26" t="n">
        <f aca="false">P26+J27</f>
        <v>0</v>
      </c>
      <c r="Q27" s="26" t="n">
        <f aca="false">D27-G27</f>
        <v>389.470072746358</v>
      </c>
      <c r="S27" s="26" t="n">
        <f aca="false">S26+J27+L27</f>
        <v>0</v>
      </c>
      <c r="U27" s="7" t="n">
        <v>21</v>
      </c>
      <c r="V27" s="26" t="n">
        <f aca="false">Flows!$P$27</f>
        <v>1.1116875</v>
      </c>
      <c r="W27" s="26" t="n">
        <f aca="false">AJ26+V27+AK27</f>
        <v>373.09575125</v>
      </c>
      <c r="X27" s="26" t="n">
        <f aca="false">AF27-AG26</f>
        <v>258.0006875</v>
      </c>
      <c r="Y27" s="26" t="n">
        <f aca="false">Flows!$Q$27</f>
        <v>0</v>
      </c>
      <c r="Z27" s="26" t="n">
        <f aca="false">MIN(Y27,MAX(X27,W27,0))</f>
        <v>0</v>
      </c>
      <c r="AA27" s="26" t="n">
        <f aca="false">MIN(Z27,X27)</f>
        <v>0</v>
      </c>
      <c r="AB27" s="26" t="n">
        <f aca="false">Z27-AA27</f>
        <v>0</v>
      </c>
      <c r="AC27" s="26" t="n">
        <f aca="false">MIN(Y27-Z27,MAX(0,AH27*Inputs!$D$32/(1-Inputs!$D$32)-AI26))</f>
        <v>0</v>
      </c>
      <c r="AD27" s="26" t="n">
        <f aca="false">Y27-Z27-AC27-AE27</f>
        <v>0</v>
      </c>
      <c r="AE27" s="26" t="n">
        <f aca="false">(Y27-Z27-AC27)*Inputs!$D$32</f>
        <v>0</v>
      </c>
      <c r="AF27" s="26" t="n">
        <f aca="false">V27+AF26</f>
        <v>460.8606875</v>
      </c>
      <c r="AG27" s="26" t="n">
        <f aca="false">AG26+AA27</f>
        <v>202.86</v>
      </c>
      <c r="AH27" s="26" t="n">
        <f aca="false">AH26+AB27</f>
        <v>0</v>
      </c>
      <c r="AI27" s="26" t="n">
        <f aca="false">AI26+AC27</f>
        <v>0</v>
      </c>
      <c r="AJ27" s="26" t="n">
        <f aca="false">AJ26+V27-Z27</f>
        <v>258.0006875</v>
      </c>
      <c r="AK27" s="26" t="n">
        <f aca="false">AK26+Inputs!$D$31*(AJ26+V27)*0.25</f>
        <v>115.09506375</v>
      </c>
      <c r="AL27" s="26" t="n">
        <f aca="false">AL26+AC27+AE27</f>
        <v>0</v>
      </c>
    </row>
    <row r="28" customFormat="false" ht="15" hidden="false" customHeight="false" outlineLevel="0" collapsed="false">
      <c r="B28" s="7" t="n">
        <v>22</v>
      </c>
      <c r="C28" s="26" t="n">
        <f aca="false">Flows!$P$28</f>
        <v>1.1116875</v>
      </c>
      <c r="D28" s="26" t="n">
        <f aca="false">(Q27+C28)*(1+Inputs!$D$31)^0.25</f>
        <v>398.1694151333</v>
      </c>
      <c r="E28" s="26" t="n">
        <f aca="false">M28-N27</f>
        <v>259.112375</v>
      </c>
      <c r="F28" s="26" t="n">
        <f aca="false">Flows!$Q$28</f>
        <v>0</v>
      </c>
      <c r="G28" s="26" t="n">
        <f aca="false">MIN(F28,MAX(E28,D28,0))</f>
        <v>0</v>
      </c>
      <c r="H28" s="26" t="n">
        <f aca="false">MIN(G28,E28)</f>
        <v>0</v>
      </c>
      <c r="I28" s="26" t="n">
        <f aca="false">G28-H28</f>
        <v>0</v>
      </c>
      <c r="J28" s="26" t="n">
        <f aca="false">MIN(F28-G28,MAX(0,O28*Inputs!$D$32/(1-Inputs!$D$32)-P27))</f>
        <v>0</v>
      </c>
      <c r="K28" s="26" t="n">
        <f aca="false">F28-G28-J28-L28</f>
        <v>0</v>
      </c>
      <c r="L28" s="26" t="n">
        <f aca="false">(F28-G28-J28)*Inputs!$D$32</f>
        <v>0</v>
      </c>
      <c r="M28" s="26" t="n">
        <f aca="false">C28+M27</f>
        <v>461.972375</v>
      </c>
      <c r="N28" s="26" t="n">
        <f aca="false">N27+H28</f>
        <v>202.86</v>
      </c>
      <c r="O28" s="26" t="n">
        <f aca="false">O27+I28</f>
        <v>0</v>
      </c>
      <c r="P28" s="26" t="n">
        <f aca="false">P27+J28</f>
        <v>0</v>
      </c>
      <c r="Q28" s="26" t="n">
        <f aca="false">D28-G28</f>
        <v>398.1694151333</v>
      </c>
      <c r="S28" s="26" t="n">
        <f aca="false">S27+J28+L28</f>
        <v>0</v>
      </c>
      <c r="U28" s="7" t="n">
        <v>22</v>
      </c>
      <c r="V28" s="26" t="n">
        <f aca="false">Flows!$P$28</f>
        <v>1.1116875</v>
      </c>
      <c r="W28" s="26" t="n">
        <f aca="false">AJ27+V28+AK28</f>
        <v>379.38968625</v>
      </c>
      <c r="X28" s="26" t="n">
        <f aca="false">AF28-AG27</f>
        <v>259.112375</v>
      </c>
      <c r="Y28" s="26" t="n">
        <f aca="false">Flows!$Q$28</f>
        <v>0</v>
      </c>
      <c r="Z28" s="26" t="n">
        <f aca="false">MIN(Y28,MAX(X28,W28,0))</f>
        <v>0</v>
      </c>
      <c r="AA28" s="26" t="n">
        <f aca="false">MIN(Z28,X28)</f>
        <v>0</v>
      </c>
      <c r="AB28" s="26" t="n">
        <f aca="false">Z28-AA28</f>
        <v>0</v>
      </c>
      <c r="AC28" s="26" t="n">
        <f aca="false">MIN(Y28-Z28,MAX(0,AH28*Inputs!$D$32/(1-Inputs!$D$32)-AI27))</f>
        <v>0</v>
      </c>
      <c r="AD28" s="26" t="n">
        <f aca="false">Y28-Z28-AC28-AE28</f>
        <v>0</v>
      </c>
      <c r="AE28" s="26" t="n">
        <f aca="false">(Y28-Z28-AC28)*Inputs!$D$32</f>
        <v>0</v>
      </c>
      <c r="AF28" s="26" t="n">
        <f aca="false">V28+AF27</f>
        <v>461.972375</v>
      </c>
      <c r="AG28" s="26" t="n">
        <f aca="false">AG27+AA28</f>
        <v>202.86</v>
      </c>
      <c r="AH28" s="26" t="n">
        <f aca="false">AH27+AB28</f>
        <v>0</v>
      </c>
      <c r="AI28" s="26" t="n">
        <f aca="false">AI27+AC28</f>
        <v>0</v>
      </c>
      <c r="AJ28" s="26" t="n">
        <f aca="false">AJ27+V28-Z28</f>
        <v>259.112375</v>
      </c>
      <c r="AK28" s="26" t="n">
        <f aca="false">AK27+Inputs!$D$31*(AJ27+V28)*0.25</f>
        <v>120.27731125</v>
      </c>
      <c r="AL28" s="26" t="n">
        <f aca="false">AL27+AC28+AE28</f>
        <v>0</v>
      </c>
    </row>
    <row r="29" customFormat="false" ht="15" hidden="false" customHeight="false" outlineLevel="0" collapsed="false">
      <c r="B29" s="7" t="n">
        <v>23</v>
      </c>
      <c r="C29" s="26" t="n">
        <f aca="false">Flows!$P$29</f>
        <v>1.1116875</v>
      </c>
      <c r="D29" s="26" t="n">
        <f aca="false">(Q28+C29)*(1+Inputs!$D$31)^0.25</f>
        <v>407.037755703193</v>
      </c>
      <c r="E29" s="26" t="n">
        <f aca="false">M29-N28</f>
        <v>260.2240625</v>
      </c>
      <c r="F29" s="26" t="n">
        <f aca="false">Flows!$Q$29</f>
        <v>0</v>
      </c>
      <c r="G29" s="26" t="n">
        <f aca="false">MIN(F29,MAX(E29,D29,0))</f>
        <v>0</v>
      </c>
      <c r="H29" s="26" t="n">
        <f aca="false">MIN(G29,E29)</f>
        <v>0</v>
      </c>
      <c r="I29" s="26" t="n">
        <f aca="false">G29-H29</f>
        <v>0</v>
      </c>
      <c r="J29" s="26" t="n">
        <f aca="false">MIN(F29-G29,MAX(0,O29*Inputs!$D$32/(1-Inputs!$D$32)-P28))</f>
        <v>0</v>
      </c>
      <c r="K29" s="26" t="n">
        <f aca="false">F29-G29-J29-L29</f>
        <v>0</v>
      </c>
      <c r="L29" s="26" t="n">
        <f aca="false">(F29-G29-J29)*Inputs!$D$32</f>
        <v>0</v>
      </c>
      <c r="M29" s="26" t="n">
        <f aca="false">C29+M28</f>
        <v>463.0840625</v>
      </c>
      <c r="N29" s="26" t="n">
        <f aca="false">N28+H29</f>
        <v>202.86</v>
      </c>
      <c r="O29" s="26" t="n">
        <f aca="false">O28+I29</f>
        <v>0</v>
      </c>
      <c r="P29" s="26" t="n">
        <f aca="false">P28+J29</f>
        <v>0</v>
      </c>
      <c r="Q29" s="26" t="n">
        <f aca="false">D29-G29</f>
        <v>407.037755703193</v>
      </c>
      <c r="S29" s="26" t="n">
        <f aca="false">S28+J29+L29</f>
        <v>0</v>
      </c>
      <c r="U29" s="7" t="n">
        <v>23</v>
      </c>
      <c r="V29" s="26" t="n">
        <f aca="false">Flows!$P$29</f>
        <v>1.1116875</v>
      </c>
      <c r="W29" s="26" t="n">
        <f aca="false">AJ28+V29+AK29</f>
        <v>385.705855</v>
      </c>
      <c r="X29" s="26" t="n">
        <f aca="false">AF29-AG28</f>
        <v>260.2240625</v>
      </c>
      <c r="Y29" s="26" t="n">
        <f aca="false">Flows!$Q$29</f>
        <v>0</v>
      </c>
      <c r="Z29" s="26" t="n">
        <f aca="false">MIN(Y29,MAX(X29,W29,0))</f>
        <v>0</v>
      </c>
      <c r="AA29" s="26" t="n">
        <f aca="false">MIN(Z29,X29)</f>
        <v>0</v>
      </c>
      <c r="AB29" s="26" t="n">
        <f aca="false">Z29-AA29</f>
        <v>0</v>
      </c>
      <c r="AC29" s="26" t="n">
        <f aca="false">MIN(Y29-Z29,MAX(0,AH29*Inputs!$D$32/(1-Inputs!$D$32)-AI28))</f>
        <v>0</v>
      </c>
      <c r="AD29" s="26" t="n">
        <f aca="false">Y29-Z29-AC29-AE29</f>
        <v>0</v>
      </c>
      <c r="AE29" s="26" t="n">
        <f aca="false">(Y29-Z29-AC29)*Inputs!$D$32</f>
        <v>0</v>
      </c>
      <c r="AF29" s="26" t="n">
        <f aca="false">V29+AF28</f>
        <v>463.0840625</v>
      </c>
      <c r="AG29" s="26" t="n">
        <f aca="false">AG28+AA29</f>
        <v>202.86</v>
      </c>
      <c r="AH29" s="26" t="n">
        <f aca="false">AH28+AB29</f>
        <v>0</v>
      </c>
      <c r="AI29" s="26" t="n">
        <f aca="false">AI28+AC29</f>
        <v>0</v>
      </c>
      <c r="AJ29" s="26" t="n">
        <f aca="false">AJ28+V29-Z29</f>
        <v>260.2240625</v>
      </c>
      <c r="AK29" s="26" t="n">
        <f aca="false">AK28+Inputs!$D$31*(AJ28+V29)*0.25</f>
        <v>125.4817925</v>
      </c>
      <c r="AL29" s="26" t="n">
        <f aca="false">AL28+AC29+AE29</f>
        <v>0</v>
      </c>
    </row>
    <row r="30" customFormat="false" ht="15" hidden="false" customHeight="false" outlineLevel="0" collapsed="false">
      <c r="B30" s="7" t="n">
        <v>24</v>
      </c>
      <c r="C30" s="26" t="n">
        <f aca="false">Flows!$P$30</f>
        <v>1.1116875</v>
      </c>
      <c r="D30" s="26" t="n">
        <f aca="false">(Q29+C30)*(1+Inputs!$D$31)^0.25</f>
        <v>416.078377507165</v>
      </c>
      <c r="E30" s="26" t="n">
        <f aca="false">M30-N29</f>
        <v>261.33575</v>
      </c>
      <c r="F30" s="26" t="n">
        <f aca="false">Flows!$Q$30</f>
        <v>26.46</v>
      </c>
      <c r="G30" s="26" t="n">
        <f aca="false">MIN(F30,MAX(E30,D30,0))</f>
        <v>26.46</v>
      </c>
      <c r="H30" s="26" t="n">
        <f aca="false">MIN(G30,E30)</f>
        <v>26.46</v>
      </c>
      <c r="I30" s="26" t="n">
        <f aca="false">G30-H30</f>
        <v>0</v>
      </c>
      <c r="J30" s="26" t="n">
        <f aca="false">MIN(F30-G30,MAX(0,O30*Inputs!$D$32/(1-Inputs!$D$32)-P29))</f>
        <v>0</v>
      </c>
      <c r="K30" s="26" t="n">
        <f aca="false">F30-G30-J30-L30</f>
        <v>0</v>
      </c>
      <c r="L30" s="26" t="n">
        <f aca="false">(F30-G30-J30)*Inputs!$D$32</f>
        <v>0</v>
      </c>
      <c r="M30" s="26" t="n">
        <f aca="false">C30+M29</f>
        <v>464.19575</v>
      </c>
      <c r="N30" s="26" t="n">
        <f aca="false">N29+H30</f>
        <v>229.32</v>
      </c>
      <c r="O30" s="26" t="n">
        <f aca="false">O29+I30</f>
        <v>0</v>
      </c>
      <c r="P30" s="26" t="n">
        <f aca="false">P29+J30</f>
        <v>0</v>
      </c>
      <c r="Q30" s="26" t="n">
        <f aca="false">D30-G30</f>
        <v>389.618377507165</v>
      </c>
      <c r="S30" s="26" t="n">
        <f aca="false">S29+J30+L30</f>
        <v>0</v>
      </c>
      <c r="U30" s="7" t="n">
        <v>24</v>
      </c>
      <c r="V30" s="26" t="n">
        <f aca="false">Flows!$P$30</f>
        <v>1.1116875</v>
      </c>
      <c r="W30" s="26" t="n">
        <f aca="false">AJ29+V30+AK30</f>
        <v>392.0442575</v>
      </c>
      <c r="X30" s="26" t="n">
        <f aca="false">AF30-AG29</f>
        <v>261.33575</v>
      </c>
      <c r="Y30" s="26" t="n">
        <f aca="false">Flows!$Q$30</f>
        <v>26.46</v>
      </c>
      <c r="Z30" s="26" t="n">
        <f aca="false">MIN(Y30,MAX(X30,W30,0))</f>
        <v>26.46</v>
      </c>
      <c r="AA30" s="26" t="n">
        <f aca="false">MIN(Z30,X30)</f>
        <v>26.46</v>
      </c>
      <c r="AB30" s="26" t="n">
        <f aca="false">Z30-AA30</f>
        <v>0</v>
      </c>
      <c r="AC30" s="26" t="n">
        <f aca="false">MIN(Y30-Z30,MAX(0,AH30*Inputs!$D$32/(1-Inputs!$D$32)-AI29))</f>
        <v>0</v>
      </c>
      <c r="AD30" s="26" t="n">
        <f aca="false">Y30-Z30-AC30-AE30</f>
        <v>0</v>
      </c>
      <c r="AE30" s="26" t="n">
        <f aca="false">(Y30-Z30-AC30)*Inputs!$D$32</f>
        <v>0</v>
      </c>
      <c r="AF30" s="26" t="n">
        <f aca="false">V30+AF29</f>
        <v>464.19575</v>
      </c>
      <c r="AG30" s="26" t="n">
        <f aca="false">AG29+AA30</f>
        <v>229.32</v>
      </c>
      <c r="AH30" s="26" t="n">
        <f aca="false">AH29+AB30</f>
        <v>0</v>
      </c>
      <c r="AI30" s="26" t="n">
        <f aca="false">AI29+AC30</f>
        <v>0</v>
      </c>
      <c r="AJ30" s="26" t="n">
        <f aca="false">AJ29+V30-Z30</f>
        <v>234.87575</v>
      </c>
      <c r="AK30" s="26" t="n">
        <f aca="false">AK29+Inputs!$D$31*(AJ29+V30)*0.25</f>
        <v>130.7085075</v>
      </c>
      <c r="AL30" s="26" t="n">
        <f aca="false">AL29+AC30+AE30</f>
        <v>0</v>
      </c>
    </row>
    <row r="31" customFormat="false" ht="15" hidden="false" customHeight="false" outlineLevel="0" collapsed="false">
      <c r="B31" s="7" t="n">
        <v>25</v>
      </c>
      <c r="C31" s="26" t="n">
        <f aca="false">Flows!$P$31</f>
        <v>1.0014375</v>
      </c>
      <c r="D31" s="26" t="n">
        <f aca="false">(Q30+C31)*(1+Inputs!$D$31)^0.25</f>
        <v>398.208209166703</v>
      </c>
      <c r="E31" s="26" t="n">
        <f aca="false">M31-N30</f>
        <v>235.8771875</v>
      </c>
      <c r="F31" s="26" t="n">
        <f aca="false">Flows!$Q$31</f>
        <v>0</v>
      </c>
      <c r="G31" s="26" t="n">
        <f aca="false">MIN(F31,MAX(E31,D31,0))</f>
        <v>0</v>
      </c>
      <c r="H31" s="26" t="n">
        <f aca="false">MIN(G31,E31)</f>
        <v>0</v>
      </c>
      <c r="I31" s="26" t="n">
        <f aca="false">G31-H31</f>
        <v>0</v>
      </c>
      <c r="J31" s="26" t="n">
        <f aca="false">MIN(F31-G31,MAX(0,O31*Inputs!$D$32/(1-Inputs!$D$32)-P30))</f>
        <v>0</v>
      </c>
      <c r="K31" s="26" t="n">
        <f aca="false">F31-G31-J31-L31</f>
        <v>0</v>
      </c>
      <c r="L31" s="26" t="n">
        <f aca="false">(F31-G31-J31)*Inputs!$D$32</f>
        <v>0</v>
      </c>
      <c r="M31" s="26" t="n">
        <f aca="false">C31+M30</f>
        <v>465.1971875</v>
      </c>
      <c r="N31" s="26" t="n">
        <f aca="false">N30+H31</f>
        <v>229.32</v>
      </c>
      <c r="O31" s="26" t="n">
        <f aca="false">O30+I31</f>
        <v>0</v>
      </c>
      <c r="P31" s="26" t="n">
        <f aca="false">P30+J31</f>
        <v>0</v>
      </c>
      <c r="Q31" s="26" t="n">
        <f aca="false">D31-G31</f>
        <v>398.208209166703</v>
      </c>
      <c r="S31" s="26" t="n">
        <f aca="false">S30+J31+L31</f>
        <v>0</v>
      </c>
      <c r="U31" s="7" t="n">
        <v>25</v>
      </c>
      <c r="V31" s="26" t="n">
        <f aca="false">Flows!$P$31</f>
        <v>1.0014375</v>
      </c>
      <c r="W31" s="26" t="n">
        <f aca="false">AJ30+V31+AK31</f>
        <v>371.30323875</v>
      </c>
      <c r="X31" s="26" t="n">
        <f aca="false">AF31-AG30</f>
        <v>235.8771875</v>
      </c>
      <c r="Y31" s="26" t="n">
        <f aca="false">Flows!$Q$31</f>
        <v>0</v>
      </c>
      <c r="Z31" s="26" t="n">
        <f aca="false">MIN(Y31,MAX(X31,W31,0))</f>
        <v>0</v>
      </c>
      <c r="AA31" s="26" t="n">
        <f aca="false">MIN(Z31,X31)</f>
        <v>0</v>
      </c>
      <c r="AB31" s="26" t="n">
        <f aca="false">Z31-AA31</f>
        <v>0</v>
      </c>
      <c r="AC31" s="26" t="n">
        <f aca="false">MIN(Y31-Z31,MAX(0,AH31*Inputs!$D$32/(1-Inputs!$D$32)-AI30))</f>
        <v>0</v>
      </c>
      <c r="AD31" s="26" t="n">
        <f aca="false">Y31-Z31-AC31-AE31</f>
        <v>0</v>
      </c>
      <c r="AE31" s="26" t="n">
        <f aca="false">(Y31-Z31-AC31)*Inputs!$D$32</f>
        <v>0</v>
      </c>
      <c r="AF31" s="26" t="n">
        <f aca="false">V31+AF30</f>
        <v>465.1971875</v>
      </c>
      <c r="AG31" s="26" t="n">
        <f aca="false">AG30+AA31</f>
        <v>229.32</v>
      </c>
      <c r="AH31" s="26" t="n">
        <f aca="false">AH30+AB31</f>
        <v>0</v>
      </c>
      <c r="AI31" s="26" t="n">
        <f aca="false">AI30+AC31</f>
        <v>0</v>
      </c>
      <c r="AJ31" s="26" t="n">
        <f aca="false">AJ30+V31-Z31</f>
        <v>235.8771875</v>
      </c>
      <c r="AK31" s="26" t="n">
        <f aca="false">AK30+Inputs!$D$31*(AJ30+V31)*0.25</f>
        <v>135.42605125</v>
      </c>
      <c r="AL31" s="26" t="n">
        <f aca="false">AL30+AC31+AE31</f>
        <v>0</v>
      </c>
    </row>
    <row r="32" customFormat="false" ht="15" hidden="false" customHeight="false" outlineLevel="0" collapsed="false">
      <c r="B32" s="7" t="n">
        <v>26</v>
      </c>
      <c r="C32" s="26" t="n">
        <f aca="false">Flows!$P$32</f>
        <v>1.0014375</v>
      </c>
      <c r="D32" s="26" t="n">
        <f aca="false">(Q31+C32)*(1+Inputs!$D$31)^0.25</f>
        <v>406.964911593909</v>
      </c>
      <c r="E32" s="26" t="n">
        <f aca="false">M32-N31</f>
        <v>236.878625</v>
      </c>
      <c r="F32" s="26" t="n">
        <f aca="false">Flows!$Q$32</f>
        <v>0</v>
      </c>
      <c r="G32" s="26" t="n">
        <f aca="false">MIN(F32,MAX(E32,D32,0))</f>
        <v>0</v>
      </c>
      <c r="H32" s="26" t="n">
        <f aca="false">MIN(G32,E32)</f>
        <v>0</v>
      </c>
      <c r="I32" s="26" t="n">
        <f aca="false">G32-H32</f>
        <v>0</v>
      </c>
      <c r="J32" s="26" t="n">
        <f aca="false">MIN(F32-G32,MAX(0,O32*Inputs!$D$32/(1-Inputs!$D$32)-P31))</f>
        <v>0</v>
      </c>
      <c r="K32" s="26" t="n">
        <f aca="false">F32-G32-J32-L32</f>
        <v>0</v>
      </c>
      <c r="L32" s="26" t="n">
        <f aca="false">(F32-G32-J32)*Inputs!$D$32</f>
        <v>0</v>
      </c>
      <c r="M32" s="26" t="n">
        <f aca="false">C32+M31</f>
        <v>466.198625</v>
      </c>
      <c r="N32" s="26" t="n">
        <f aca="false">N31+H32</f>
        <v>229.32</v>
      </c>
      <c r="O32" s="26" t="n">
        <f aca="false">O31+I32</f>
        <v>0</v>
      </c>
      <c r="P32" s="26" t="n">
        <f aca="false">P31+J32</f>
        <v>0</v>
      </c>
      <c r="Q32" s="26" t="n">
        <f aca="false">D32-G32</f>
        <v>406.964911593909</v>
      </c>
      <c r="S32" s="26" t="n">
        <f aca="false">S31+J32+L32</f>
        <v>0</v>
      </c>
      <c r="U32" s="7" t="n">
        <v>26</v>
      </c>
      <c r="V32" s="26" t="n">
        <f aca="false">Flows!$P$32</f>
        <v>1.0014375</v>
      </c>
      <c r="W32" s="26" t="n">
        <f aca="false">AJ31+V32+AK32</f>
        <v>377.04224875</v>
      </c>
      <c r="X32" s="26" t="n">
        <f aca="false">AF32-AG31</f>
        <v>236.878625</v>
      </c>
      <c r="Y32" s="26" t="n">
        <f aca="false">Flows!$Q$32</f>
        <v>0</v>
      </c>
      <c r="Z32" s="26" t="n">
        <f aca="false">MIN(Y32,MAX(X32,W32,0))</f>
        <v>0</v>
      </c>
      <c r="AA32" s="26" t="n">
        <f aca="false">MIN(Z32,X32)</f>
        <v>0</v>
      </c>
      <c r="AB32" s="26" t="n">
        <f aca="false">Z32-AA32</f>
        <v>0</v>
      </c>
      <c r="AC32" s="26" t="n">
        <f aca="false">MIN(Y32-Z32,MAX(0,AH32*Inputs!$D$32/(1-Inputs!$D$32)-AI31))</f>
        <v>0</v>
      </c>
      <c r="AD32" s="26" t="n">
        <f aca="false">Y32-Z32-AC32-AE32</f>
        <v>0</v>
      </c>
      <c r="AE32" s="26" t="n">
        <f aca="false">(Y32-Z32-AC32)*Inputs!$D$32</f>
        <v>0</v>
      </c>
      <c r="AF32" s="26" t="n">
        <f aca="false">V32+AF31</f>
        <v>466.198625</v>
      </c>
      <c r="AG32" s="26" t="n">
        <f aca="false">AG31+AA32</f>
        <v>229.32</v>
      </c>
      <c r="AH32" s="26" t="n">
        <f aca="false">AH31+AB32</f>
        <v>0</v>
      </c>
      <c r="AI32" s="26" t="n">
        <f aca="false">AI31+AC32</f>
        <v>0</v>
      </c>
      <c r="AJ32" s="26" t="n">
        <f aca="false">AJ31+V32-Z32</f>
        <v>236.878625</v>
      </c>
      <c r="AK32" s="26" t="n">
        <f aca="false">AK31+Inputs!$D$31*(AJ31+V32)*0.25</f>
        <v>140.16362375</v>
      </c>
      <c r="AL32" s="26" t="n">
        <f aca="false">AL31+AC32+AE32</f>
        <v>0</v>
      </c>
    </row>
    <row r="33" customFormat="false" ht="15" hidden="false" customHeight="false" outlineLevel="0" collapsed="false">
      <c r="B33" s="7" t="n">
        <v>27</v>
      </c>
      <c r="C33" s="26" t="n">
        <f aca="false">Flows!$P$33</f>
        <v>1.0014375</v>
      </c>
      <c r="D33" s="26" t="n">
        <f aca="false">(Q32+C33)*(1+Inputs!$D$31)^0.25</f>
        <v>415.891726511579</v>
      </c>
      <c r="E33" s="26" t="n">
        <f aca="false">M33-N32</f>
        <v>237.8800625</v>
      </c>
      <c r="F33" s="26" t="n">
        <f aca="false">Flows!$Q$33</f>
        <v>0</v>
      </c>
      <c r="G33" s="26" t="n">
        <f aca="false">MIN(F33,MAX(E33,D33,0))</f>
        <v>0</v>
      </c>
      <c r="H33" s="26" t="n">
        <f aca="false">MIN(G33,E33)</f>
        <v>0</v>
      </c>
      <c r="I33" s="26" t="n">
        <f aca="false">G33-H33</f>
        <v>0</v>
      </c>
      <c r="J33" s="26" t="n">
        <f aca="false">MIN(F33-G33,MAX(0,O33*Inputs!$D$32/(1-Inputs!$D$32)-P32))</f>
        <v>0</v>
      </c>
      <c r="K33" s="26" t="n">
        <f aca="false">F33-G33-J33-L33</f>
        <v>0</v>
      </c>
      <c r="L33" s="26" t="n">
        <f aca="false">(F33-G33-J33)*Inputs!$D$32</f>
        <v>0</v>
      </c>
      <c r="M33" s="26" t="n">
        <f aca="false">C33+M32</f>
        <v>467.2000625</v>
      </c>
      <c r="N33" s="26" t="n">
        <f aca="false">N32+H33</f>
        <v>229.32</v>
      </c>
      <c r="O33" s="26" t="n">
        <f aca="false">O32+I33</f>
        <v>0</v>
      </c>
      <c r="P33" s="26" t="n">
        <f aca="false">P32+J33</f>
        <v>0</v>
      </c>
      <c r="Q33" s="26" t="n">
        <f aca="false">D33-G33</f>
        <v>415.891726511579</v>
      </c>
      <c r="S33" s="26" t="n">
        <f aca="false">S32+J33+L33</f>
        <v>0</v>
      </c>
      <c r="U33" s="7" t="n">
        <v>27</v>
      </c>
      <c r="V33" s="26" t="n">
        <f aca="false">Flows!$P$33</f>
        <v>1.0014375</v>
      </c>
      <c r="W33" s="26" t="n">
        <f aca="false">AJ32+V33+AK33</f>
        <v>382.8012875</v>
      </c>
      <c r="X33" s="26" t="n">
        <f aca="false">AF33-AG32</f>
        <v>237.8800625</v>
      </c>
      <c r="Y33" s="26" t="n">
        <f aca="false">Flows!$Q$33</f>
        <v>0</v>
      </c>
      <c r="Z33" s="26" t="n">
        <f aca="false">MIN(Y33,MAX(X33,W33,0))</f>
        <v>0</v>
      </c>
      <c r="AA33" s="26" t="n">
        <f aca="false">MIN(Z33,X33)</f>
        <v>0</v>
      </c>
      <c r="AB33" s="26" t="n">
        <f aca="false">Z33-AA33</f>
        <v>0</v>
      </c>
      <c r="AC33" s="26" t="n">
        <f aca="false">MIN(Y33-Z33,MAX(0,AH33*Inputs!$D$32/(1-Inputs!$D$32)-AI32))</f>
        <v>0</v>
      </c>
      <c r="AD33" s="26" t="n">
        <f aca="false">Y33-Z33-AC33-AE33</f>
        <v>0</v>
      </c>
      <c r="AE33" s="26" t="n">
        <f aca="false">(Y33-Z33-AC33)*Inputs!$D$32</f>
        <v>0</v>
      </c>
      <c r="AF33" s="26" t="n">
        <f aca="false">V33+AF32</f>
        <v>467.2000625</v>
      </c>
      <c r="AG33" s="26" t="n">
        <f aca="false">AG32+AA33</f>
        <v>229.32</v>
      </c>
      <c r="AH33" s="26" t="n">
        <f aca="false">AH32+AB33</f>
        <v>0</v>
      </c>
      <c r="AI33" s="26" t="n">
        <f aca="false">AI32+AC33</f>
        <v>0</v>
      </c>
      <c r="AJ33" s="26" t="n">
        <f aca="false">AJ32+V33-Z33</f>
        <v>237.8800625</v>
      </c>
      <c r="AK33" s="26" t="n">
        <f aca="false">AK32+Inputs!$D$31*(AJ32+V33)*0.25</f>
        <v>144.921225</v>
      </c>
      <c r="AL33" s="26" t="n">
        <f aca="false">AL32+AC33+AE33</f>
        <v>0</v>
      </c>
    </row>
    <row r="34" customFormat="false" ht="15" hidden="false" customHeight="false" outlineLevel="0" collapsed="false">
      <c r="B34" s="7" t="n">
        <v>28</v>
      </c>
      <c r="C34" s="26" t="n">
        <f aca="false">Flows!$P$34</f>
        <v>1.0014375</v>
      </c>
      <c r="D34" s="26" t="n">
        <f aca="false">(Q33+C34)*(1+Inputs!$D$31)^0.25</f>
        <v>424.991958617989</v>
      </c>
      <c r="E34" s="26" t="n">
        <f aca="false">M34-N33</f>
        <v>238.8815</v>
      </c>
      <c r="F34" s="26" t="n">
        <f aca="false">Flows!$Q$34</f>
        <v>147</v>
      </c>
      <c r="G34" s="26" t="n">
        <f aca="false">MIN(F34,MAX(E34,D34,0))</f>
        <v>147</v>
      </c>
      <c r="H34" s="26" t="n">
        <f aca="false">MIN(G34,E34)</f>
        <v>147</v>
      </c>
      <c r="I34" s="26" t="n">
        <f aca="false">G34-H34</f>
        <v>0</v>
      </c>
      <c r="J34" s="26" t="n">
        <f aca="false">MIN(F34-G34,MAX(0,O34*Inputs!$D$32/(1-Inputs!$D$32)-P33))</f>
        <v>0</v>
      </c>
      <c r="K34" s="26" t="n">
        <f aca="false">F34-G34-J34-L34</f>
        <v>0</v>
      </c>
      <c r="L34" s="26" t="n">
        <f aca="false">(F34-G34-J34)*Inputs!$D$32</f>
        <v>0</v>
      </c>
      <c r="M34" s="26" t="n">
        <f aca="false">C34+M33</f>
        <v>468.2015</v>
      </c>
      <c r="N34" s="26" t="n">
        <f aca="false">N33+H34</f>
        <v>376.32</v>
      </c>
      <c r="O34" s="26" t="n">
        <f aca="false">O33+I34</f>
        <v>0</v>
      </c>
      <c r="P34" s="26" t="n">
        <f aca="false">P33+J34</f>
        <v>0</v>
      </c>
      <c r="Q34" s="26" t="n">
        <f aca="false">D34-G34</f>
        <v>277.991958617989</v>
      </c>
      <c r="S34" s="26" t="n">
        <f aca="false">S33+J34+L34</f>
        <v>0</v>
      </c>
      <c r="U34" s="7" t="n">
        <v>28</v>
      </c>
      <c r="V34" s="26" t="n">
        <f aca="false">Flows!$P$34</f>
        <v>1.0014375</v>
      </c>
      <c r="W34" s="26" t="n">
        <f aca="false">AJ33+V34+AK34</f>
        <v>388.580355</v>
      </c>
      <c r="X34" s="26" t="n">
        <f aca="false">AF34-AG33</f>
        <v>238.8815</v>
      </c>
      <c r="Y34" s="26" t="n">
        <f aca="false">Flows!$Q$34</f>
        <v>147</v>
      </c>
      <c r="Z34" s="26" t="n">
        <f aca="false">MIN(Y34,MAX(X34,W34,0))</f>
        <v>147</v>
      </c>
      <c r="AA34" s="26" t="n">
        <f aca="false">MIN(Z34,X34)</f>
        <v>147</v>
      </c>
      <c r="AB34" s="26" t="n">
        <f aca="false">Z34-AA34</f>
        <v>0</v>
      </c>
      <c r="AC34" s="26" t="n">
        <f aca="false">MIN(Y34-Z34,MAX(0,AH34*Inputs!$D$32/(1-Inputs!$D$32)-AI33))</f>
        <v>0</v>
      </c>
      <c r="AD34" s="26" t="n">
        <f aca="false">Y34-Z34-AC34-AE34</f>
        <v>0</v>
      </c>
      <c r="AE34" s="26" t="n">
        <f aca="false">(Y34-Z34-AC34)*Inputs!$D$32</f>
        <v>0</v>
      </c>
      <c r="AF34" s="26" t="n">
        <f aca="false">V34+AF33</f>
        <v>468.2015</v>
      </c>
      <c r="AG34" s="26" t="n">
        <f aca="false">AG33+AA34</f>
        <v>376.32</v>
      </c>
      <c r="AH34" s="26" t="n">
        <f aca="false">AH33+AB34</f>
        <v>0</v>
      </c>
      <c r="AI34" s="26" t="n">
        <f aca="false">AI33+AC34</f>
        <v>0</v>
      </c>
      <c r="AJ34" s="26" t="n">
        <f aca="false">AJ33+V34-Z34</f>
        <v>91.8815000000002</v>
      </c>
      <c r="AK34" s="26" t="n">
        <f aca="false">AK33+Inputs!$D$31*(AJ33+V34)*0.25</f>
        <v>149.698855</v>
      </c>
      <c r="AL34" s="26" t="n">
        <f aca="false">AL33+AC34+AE34</f>
        <v>0</v>
      </c>
    </row>
    <row r="35" customFormat="false" ht="15" hidden="false" customHeight="false" outlineLevel="0" collapsed="false">
      <c r="B35" s="7" t="n">
        <v>29</v>
      </c>
      <c r="C35" s="26" t="n">
        <f aca="false">Flows!$P$35</f>
        <v>0.8176875</v>
      </c>
      <c r="D35" s="26" t="n">
        <f aca="false">(Q34+C35)*(1+Inputs!$D$31)^0.25</f>
        <v>284.225954786779</v>
      </c>
      <c r="E35" s="26" t="n">
        <f aca="false">M35-N34</f>
        <v>92.6991875000002</v>
      </c>
      <c r="F35" s="26" t="n">
        <f aca="false">Flows!$Q$35</f>
        <v>0</v>
      </c>
      <c r="G35" s="26" t="n">
        <f aca="false">MIN(F35,MAX(E35,D35,0))</f>
        <v>0</v>
      </c>
      <c r="H35" s="26" t="n">
        <f aca="false">MIN(G35,E35)</f>
        <v>0</v>
      </c>
      <c r="I35" s="26" t="n">
        <f aca="false">G35-H35</f>
        <v>0</v>
      </c>
      <c r="J35" s="26" t="n">
        <f aca="false">MIN(F35-G35,MAX(0,O35*Inputs!$D$32/(1-Inputs!$D$32)-P34))</f>
        <v>0</v>
      </c>
      <c r="K35" s="26" t="n">
        <f aca="false">F35-G35-J35-L35</f>
        <v>0</v>
      </c>
      <c r="L35" s="26" t="n">
        <f aca="false">(F35-G35-J35)*Inputs!$D$32</f>
        <v>0</v>
      </c>
      <c r="M35" s="26" t="n">
        <f aca="false">C35+M34</f>
        <v>469.0191875</v>
      </c>
      <c r="N35" s="26" t="n">
        <f aca="false">N34+H35</f>
        <v>376.32</v>
      </c>
      <c r="O35" s="26" t="n">
        <f aca="false">O34+I35</f>
        <v>0</v>
      </c>
      <c r="P35" s="26" t="n">
        <f aca="false">P34+J35</f>
        <v>0</v>
      </c>
      <c r="Q35" s="26" t="n">
        <f aca="false">D35-G35</f>
        <v>284.225954786779</v>
      </c>
      <c r="S35" s="26" t="n">
        <f aca="false">S34+J35+L35</f>
        <v>0</v>
      </c>
      <c r="U35" s="7" t="n">
        <v>29</v>
      </c>
      <c r="V35" s="26" t="n">
        <f aca="false">Flows!$P$35</f>
        <v>0.8176875</v>
      </c>
      <c r="W35" s="26" t="n">
        <f aca="false">AJ34+V35+AK35</f>
        <v>244.25202625</v>
      </c>
      <c r="X35" s="26" t="n">
        <f aca="false">AF35-AG34</f>
        <v>92.6991875000002</v>
      </c>
      <c r="Y35" s="26" t="n">
        <f aca="false">Flows!$Q$35</f>
        <v>0</v>
      </c>
      <c r="Z35" s="26" t="n">
        <f aca="false">MIN(Y35,MAX(X35,W35,0))</f>
        <v>0</v>
      </c>
      <c r="AA35" s="26" t="n">
        <f aca="false">MIN(Z35,X35)</f>
        <v>0</v>
      </c>
      <c r="AB35" s="26" t="n">
        <f aca="false">Z35-AA35</f>
        <v>0</v>
      </c>
      <c r="AC35" s="26" t="n">
        <f aca="false">MIN(Y35-Z35,MAX(0,AH35*Inputs!$D$32/(1-Inputs!$D$32)-AI34))</f>
        <v>0</v>
      </c>
      <c r="AD35" s="26" t="n">
        <f aca="false">Y35-Z35-AC35-AE35</f>
        <v>0</v>
      </c>
      <c r="AE35" s="26" t="n">
        <f aca="false">(Y35-Z35-AC35)*Inputs!$D$32</f>
        <v>0</v>
      </c>
      <c r="AF35" s="26" t="n">
        <f aca="false">V35+AF34</f>
        <v>469.0191875</v>
      </c>
      <c r="AG35" s="26" t="n">
        <f aca="false">AG34+AA35</f>
        <v>376.32</v>
      </c>
      <c r="AH35" s="26" t="n">
        <f aca="false">AH34+AB35</f>
        <v>0</v>
      </c>
      <c r="AI35" s="26" t="n">
        <f aca="false">AI34+AC35</f>
        <v>0</v>
      </c>
      <c r="AJ35" s="26" t="n">
        <f aca="false">AJ34+V35-Z35</f>
        <v>92.6991875000002</v>
      </c>
      <c r="AK35" s="26" t="n">
        <f aca="false">AK34+Inputs!$D$31*(AJ34+V35)*0.25</f>
        <v>151.55283875</v>
      </c>
      <c r="AL35" s="26" t="n">
        <f aca="false">AL34+AC35+AE35</f>
        <v>0</v>
      </c>
    </row>
    <row r="36" customFormat="false" ht="15" hidden="false" customHeight="false" outlineLevel="0" collapsed="false">
      <c r="B36" s="7" t="n">
        <v>30</v>
      </c>
      <c r="C36" s="26" t="n">
        <f aca="false">Flows!$P$36</f>
        <v>0.8176875</v>
      </c>
      <c r="D36" s="26" t="n">
        <f aca="false">(Q35+C36)*(1+Inputs!$D$31)^0.25</f>
        <v>290.581055974568</v>
      </c>
      <c r="E36" s="26" t="n">
        <f aca="false">M36-N35</f>
        <v>93.5168750000001</v>
      </c>
      <c r="F36" s="26" t="n">
        <f aca="false">Flows!$Q$36</f>
        <v>118.58</v>
      </c>
      <c r="G36" s="26" t="n">
        <f aca="false">MIN(F36,MAX(E36,D36,0))</f>
        <v>118.58</v>
      </c>
      <c r="H36" s="26" t="n">
        <f aca="false">MIN(G36,E36)</f>
        <v>93.5168750000001</v>
      </c>
      <c r="I36" s="26" t="n">
        <f aca="false">G36-H36</f>
        <v>25.0631249999999</v>
      </c>
      <c r="J36" s="26" t="n">
        <f aca="false">MIN(F36-G36,MAX(0,O36*Inputs!$D$32/(1-Inputs!$D$32)-P35))</f>
        <v>0</v>
      </c>
      <c r="K36" s="26" t="n">
        <f aca="false">F36-G36-J36-L36</f>
        <v>0</v>
      </c>
      <c r="L36" s="26" t="n">
        <f aca="false">(F36-G36-J36)*Inputs!$D$32</f>
        <v>0</v>
      </c>
      <c r="M36" s="26" t="n">
        <f aca="false">C36+M35</f>
        <v>469.836875</v>
      </c>
      <c r="N36" s="26" t="n">
        <f aca="false">N35+H36</f>
        <v>469.836875</v>
      </c>
      <c r="O36" s="26" t="n">
        <f aca="false">O35+I36</f>
        <v>25.0631249999999</v>
      </c>
      <c r="P36" s="26" t="n">
        <f aca="false">P35+J36</f>
        <v>0</v>
      </c>
      <c r="Q36" s="26" t="n">
        <f aca="false">D36-G36</f>
        <v>172.001055974568</v>
      </c>
      <c r="S36" s="26" t="n">
        <f aca="false">S35+J36+L36</f>
        <v>0</v>
      </c>
      <c r="U36" s="7" t="n">
        <v>30</v>
      </c>
      <c r="V36" s="26" t="n">
        <f aca="false">Flows!$P$36</f>
        <v>0.8176875</v>
      </c>
      <c r="W36" s="26" t="n">
        <f aca="false">AJ35+V36+AK36</f>
        <v>246.94005125</v>
      </c>
      <c r="X36" s="26" t="n">
        <f aca="false">AF36-AG35</f>
        <v>93.5168750000001</v>
      </c>
      <c r="Y36" s="26" t="n">
        <f aca="false">Flows!$Q$36</f>
        <v>118.58</v>
      </c>
      <c r="Z36" s="26" t="n">
        <f aca="false">MIN(Y36,MAX(X36,W36,0))</f>
        <v>118.58</v>
      </c>
      <c r="AA36" s="26" t="n">
        <f aca="false">MIN(Z36,X36)</f>
        <v>93.5168750000001</v>
      </c>
      <c r="AB36" s="26" t="n">
        <f aca="false">Z36-AA36</f>
        <v>25.0631249999999</v>
      </c>
      <c r="AC36" s="26" t="n">
        <f aca="false">MIN(Y36-Z36,MAX(0,AH36*Inputs!$D$32/(1-Inputs!$D$32)-AI35))</f>
        <v>0</v>
      </c>
      <c r="AD36" s="26" t="n">
        <f aca="false">Y36-Z36-AC36-AE36</f>
        <v>0</v>
      </c>
      <c r="AE36" s="26" t="n">
        <f aca="false">(Y36-Z36-AC36)*Inputs!$D$32</f>
        <v>0</v>
      </c>
      <c r="AF36" s="26" t="n">
        <f aca="false">V36+AF35</f>
        <v>469.836875</v>
      </c>
      <c r="AG36" s="26" t="n">
        <f aca="false">AG35+AA36</f>
        <v>469.836875</v>
      </c>
      <c r="AH36" s="26" t="n">
        <f aca="false">AH35+AB36</f>
        <v>25.0631249999999</v>
      </c>
      <c r="AI36" s="26" t="n">
        <f aca="false">AI35+AC36</f>
        <v>0</v>
      </c>
      <c r="AJ36" s="26" t="n">
        <f aca="false">AJ35+V36-Z36</f>
        <v>-25.0631249999998</v>
      </c>
      <c r="AK36" s="26" t="n">
        <f aca="false">AK35+Inputs!$D$31*(AJ35+V36)*0.25</f>
        <v>153.42317625</v>
      </c>
      <c r="AL36" s="26" t="n">
        <f aca="false">AL35+AC36+AE36</f>
        <v>0</v>
      </c>
    </row>
    <row r="37" customFormat="false" ht="15" hidden="false" customHeight="false" outlineLevel="0" collapsed="false">
      <c r="B37" s="7" t="n">
        <v>31</v>
      </c>
      <c r="C37" s="26" t="n">
        <f aca="false">Flows!$P$37</f>
        <v>0.64925</v>
      </c>
      <c r="D37" s="26" t="n">
        <f aca="false">(Q36+C37)*(1+Inputs!$D$31)^0.25</f>
        <v>176.004305242311</v>
      </c>
      <c r="E37" s="26" t="n">
        <f aca="false">M37-N36</f>
        <v>0.649249999999995</v>
      </c>
      <c r="F37" s="26" t="n">
        <f aca="false">Flows!$Q$37</f>
        <v>0</v>
      </c>
      <c r="G37" s="26" t="n">
        <f aca="false">MIN(F37,MAX(E37,D37,0))</f>
        <v>0</v>
      </c>
      <c r="H37" s="26" t="n">
        <f aca="false">MIN(G37,E37)</f>
        <v>0</v>
      </c>
      <c r="I37" s="26" t="n">
        <f aca="false">G37-H37</f>
        <v>0</v>
      </c>
      <c r="J37" s="26" t="n">
        <f aca="false">MIN(F37-G37,MAX(0,O37*Inputs!$D$32/(1-Inputs!$D$32)-P36))</f>
        <v>0</v>
      </c>
      <c r="K37" s="26" t="n">
        <f aca="false">F37-G37-J37-L37</f>
        <v>0</v>
      </c>
      <c r="L37" s="26" t="n">
        <f aca="false">(F37-G37-J37)*Inputs!$D$32</f>
        <v>0</v>
      </c>
      <c r="M37" s="26" t="n">
        <f aca="false">C37+M36</f>
        <v>470.486125</v>
      </c>
      <c r="N37" s="26" t="n">
        <f aca="false">N36+H37</f>
        <v>469.836875</v>
      </c>
      <c r="O37" s="26" t="n">
        <f aca="false">O36+I37</f>
        <v>25.0631249999999</v>
      </c>
      <c r="P37" s="26" t="n">
        <f aca="false">P36+J37</f>
        <v>0</v>
      </c>
      <c r="Q37" s="26" t="n">
        <f aca="false">D37-G37</f>
        <v>176.004305242311</v>
      </c>
      <c r="S37" s="26" t="n">
        <f aca="false">S36+J37+L37</f>
        <v>0</v>
      </c>
      <c r="U37" s="7" t="n">
        <v>31</v>
      </c>
      <c r="V37" s="26" t="n">
        <f aca="false">Flows!$P$37</f>
        <v>0.64925</v>
      </c>
      <c r="W37" s="26" t="n">
        <f aca="false">AJ36+V37+AK37</f>
        <v>128.52102375</v>
      </c>
      <c r="X37" s="26" t="n">
        <f aca="false">AF37-AG36</f>
        <v>0.649249999999995</v>
      </c>
      <c r="Y37" s="26" t="n">
        <f aca="false">Flows!$Q$37</f>
        <v>0</v>
      </c>
      <c r="Z37" s="26" t="n">
        <f aca="false">MIN(Y37,MAX(X37,W37,0))</f>
        <v>0</v>
      </c>
      <c r="AA37" s="26" t="n">
        <f aca="false">MIN(Z37,X37)</f>
        <v>0</v>
      </c>
      <c r="AB37" s="26" t="n">
        <f aca="false">Z37-AA37</f>
        <v>0</v>
      </c>
      <c r="AC37" s="26" t="n">
        <f aca="false">MIN(Y37-Z37,MAX(0,AH37*Inputs!$D$32/(1-Inputs!$D$32)-AI36))</f>
        <v>0</v>
      </c>
      <c r="AD37" s="26" t="n">
        <f aca="false">Y37-Z37-AC37-AE37</f>
        <v>0</v>
      </c>
      <c r="AE37" s="26" t="n">
        <f aca="false">(Y37-Z37-AC37)*Inputs!$D$32</f>
        <v>0</v>
      </c>
      <c r="AF37" s="26" t="n">
        <f aca="false">V37+AF36</f>
        <v>470.486125</v>
      </c>
      <c r="AG37" s="26" t="n">
        <f aca="false">AG36+AA37</f>
        <v>469.836875</v>
      </c>
      <c r="AH37" s="26" t="n">
        <f aca="false">AH36+AB37</f>
        <v>25.0631249999999</v>
      </c>
      <c r="AI37" s="26" t="n">
        <f aca="false">AI36+AC37</f>
        <v>0</v>
      </c>
      <c r="AJ37" s="26" t="n">
        <f aca="false">AJ36+V37-Z37</f>
        <v>-24.4138749999998</v>
      </c>
      <c r="AK37" s="26" t="n">
        <f aca="false">AK36+Inputs!$D$31*(AJ36+V37)*0.25</f>
        <v>152.93489875</v>
      </c>
      <c r="AL37" s="26" t="n">
        <f aca="false">AL36+AC37+AE37</f>
        <v>0</v>
      </c>
    </row>
    <row r="38" customFormat="false" ht="15" hidden="false" customHeight="false" outlineLevel="0" collapsed="false">
      <c r="B38" s="7" t="n">
        <v>32</v>
      </c>
      <c r="C38" s="26" t="n">
        <f aca="false">Flows!$P$38</f>
        <v>0.64925</v>
      </c>
      <c r="D38" s="26" t="n">
        <f aca="false">(Q37+C38)*(1+Inputs!$D$31)^0.25</f>
        <v>180.085323819739</v>
      </c>
      <c r="E38" s="26" t="n">
        <f aca="false">M38-N37</f>
        <v>1.29849999999999</v>
      </c>
      <c r="F38" s="26" t="n">
        <f aca="false">Flows!$Q$38</f>
        <v>0</v>
      </c>
      <c r="G38" s="26" t="n">
        <f aca="false">MIN(F38,MAX(E38,D38,0))</f>
        <v>0</v>
      </c>
      <c r="H38" s="26" t="n">
        <f aca="false">MIN(G38,E38)</f>
        <v>0</v>
      </c>
      <c r="I38" s="26" t="n">
        <f aca="false">G38-H38</f>
        <v>0</v>
      </c>
      <c r="J38" s="26" t="n">
        <f aca="false">MIN(F38-G38,MAX(0,O38*Inputs!$D$32/(1-Inputs!$D$32)-P37))</f>
        <v>0</v>
      </c>
      <c r="K38" s="26" t="n">
        <f aca="false">F38-G38-J38-L38</f>
        <v>0</v>
      </c>
      <c r="L38" s="26" t="n">
        <f aca="false">(F38-G38-J38)*Inputs!$D$32</f>
        <v>0</v>
      </c>
      <c r="M38" s="26" t="n">
        <f aca="false">C38+M37</f>
        <v>471.135375</v>
      </c>
      <c r="N38" s="26" t="n">
        <f aca="false">N37+H38</f>
        <v>469.836875</v>
      </c>
      <c r="O38" s="26" t="n">
        <f aca="false">O37+I38</f>
        <v>25.0631249999999</v>
      </c>
      <c r="P38" s="26" t="n">
        <f aca="false">P37+J38</f>
        <v>0</v>
      </c>
      <c r="Q38" s="26" t="n">
        <f aca="false">D38-G38</f>
        <v>180.085323819739</v>
      </c>
      <c r="S38" s="26" t="n">
        <f aca="false">S37+J38+L38</f>
        <v>0</v>
      </c>
      <c r="U38" s="7" t="n">
        <v>32</v>
      </c>
      <c r="V38" s="26" t="n">
        <f aca="false">Flows!$P$38</f>
        <v>0.64925</v>
      </c>
      <c r="W38" s="26" t="n">
        <f aca="false">AJ37+V38+AK38</f>
        <v>128.69498125</v>
      </c>
      <c r="X38" s="26" t="n">
        <f aca="false">AF38-AG37</f>
        <v>1.29849999999999</v>
      </c>
      <c r="Y38" s="26" t="n">
        <f aca="false">Flows!$Q$38</f>
        <v>0</v>
      </c>
      <c r="Z38" s="26" t="n">
        <f aca="false">MIN(Y38,MAX(X38,W38,0))</f>
        <v>0</v>
      </c>
      <c r="AA38" s="26" t="n">
        <f aca="false">MIN(Z38,X38)</f>
        <v>0</v>
      </c>
      <c r="AB38" s="26" t="n">
        <f aca="false">Z38-AA38</f>
        <v>0</v>
      </c>
      <c r="AC38" s="26" t="n">
        <f aca="false">MIN(Y38-Z38,MAX(0,AH38*Inputs!$D$32/(1-Inputs!$D$32)-AI37))</f>
        <v>0</v>
      </c>
      <c r="AD38" s="26" t="n">
        <f aca="false">Y38-Z38-AC38-AE38</f>
        <v>0</v>
      </c>
      <c r="AE38" s="26" t="n">
        <f aca="false">(Y38-Z38-AC38)*Inputs!$D$32</f>
        <v>0</v>
      </c>
      <c r="AF38" s="26" t="n">
        <f aca="false">V38+AF37</f>
        <v>471.135375</v>
      </c>
      <c r="AG38" s="26" t="n">
        <f aca="false">AG37+AA38</f>
        <v>469.836875</v>
      </c>
      <c r="AH38" s="26" t="n">
        <f aca="false">AH37+AB38</f>
        <v>25.0631249999999</v>
      </c>
      <c r="AI38" s="26" t="n">
        <f aca="false">AI37+AC38</f>
        <v>0</v>
      </c>
      <c r="AJ38" s="26" t="n">
        <f aca="false">AJ37+V38-Z38</f>
        <v>-23.7646249999998</v>
      </c>
      <c r="AK38" s="26" t="n">
        <f aca="false">AK37+Inputs!$D$31*(AJ37+V38)*0.25</f>
        <v>152.45960625</v>
      </c>
      <c r="AL38" s="26" t="n">
        <f aca="false">AL37+AC38+AE38</f>
        <v>0</v>
      </c>
    </row>
    <row r="39" customFormat="false" ht="15" hidden="false" customHeight="false" outlineLevel="0" collapsed="false">
      <c r="B39" s="7" t="n">
        <v>33</v>
      </c>
      <c r="C39" s="26" t="n">
        <f aca="false">Flows!$P$39</f>
        <v>0.64925</v>
      </c>
      <c r="D39" s="26" t="n">
        <f aca="false">(Q38+C39)*(1+Inputs!$D$31)^0.25</f>
        <v>184.245622495995</v>
      </c>
      <c r="E39" s="26" t="n">
        <f aca="false">M39-N38</f>
        <v>1.94774999999999</v>
      </c>
      <c r="F39" s="26" t="n">
        <f aca="false">Flows!$Q$39</f>
        <v>0</v>
      </c>
      <c r="G39" s="26" t="n">
        <f aca="false">MIN(F39,MAX(E39,D39,0))</f>
        <v>0</v>
      </c>
      <c r="H39" s="26" t="n">
        <f aca="false">MIN(G39,E39)</f>
        <v>0</v>
      </c>
      <c r="I39" s="26" t="n">
        <f aca="false">G39-H39</f>
        <v>0</v>
      </c>
      <c r="J39" s="26" t="n">
        <f aca="false">MIN(F39-G39,MAX(0,O39*Inputs!$D$32/(1-Inputs!$D$32)-P38))</f>
        <v>0</v>
      </c>
      <c r="K39" s="26" t="n">
        <f aca="false">F39-G39-J39-L39</f>
        <v>0</v>
      </c>
      <c r="L39" s="26" t="n">
        <f aca="false">(F39-G39-J39)*Inputs!$D$32</f>
        <v>0</v>
      </c>
      <c r="M39" s="26" t="n">
        <f aca="false">C39+M38</f>
        <v>471.784625</v>
      </c>
      <c r="N39" s="26" t="n">
        <f aca="false">N38+H39</f>
        <v>469.836875</v>
      </c>
      <c r="O39" s="26" t="n">
        <f aca="false">O38+I39</f>
        <v>25.0631249999999</v>
      </c>
      <c r="P39" s="26" t="n">
        <f aca="false">P38+J39</f>
        <v>0</v>
      </c>
      <c r="Q39" s="26" t="n">
        <f aca="false">D39-G39</f>
        <v>184.245622495995</v>
      </c>
      <c r="S39" s="26" t="n">
        <f aca="false">S38+J39+L39</f>
        <v>0</v>
      </c>
      <c r="U39" s="7" t="n">
        <v>33</v>
      </c>
      <c r="V39" s="26" t="n">
        <f aca="false">Flows!$P$39</f>
        <v>0.64925</v>
      </c>
      <c r="W39" s="26" t="n">
        <f aca="false">AJ38+V39+AK39</f>
        <v>128.88192375</v>
      </c>
      <c r="X39" s="26" t="n">
        <f aca="false">AF39-AG38</f>
        <v>1.94774999999999</v>
      </c>
      <c r="Y39" s="26" t="n">
        <f aca="false">Flows!$Q$39</f>
        <v>0</v>
      </c>
      <c r="Z39" s="26" t="n">
        <f aca="false">MIN(Y39,MAX(X39,W39,0))</f>
        <v>0</v>
      </c>
      <c r="AA39" s="26" t="n">
        <f aca="false">MIN(Z39,X39)</f>
        <v>0</v>
      </c>
      <c r="AB39" s="26" t="n">
        <f aca="false">Z39-AA39</f>
        <v>0</v>
      </c>
      <c r="AC39" s="26" t="n">
        <f aca="false">MIN(Y39-Z39,MAX(0,AH39*Inputs!$D$32/(1-Inputs!$D$32)-AI38))</f>
        <v>0</v>
      </c>
      <c r="AD39" s="26" t="n">
        <f aca="false">Y39-Z39-AC39-AE39</f>
        <v>0</v>
      </c>
      <c r="AE39" s="26" t="n">
        <f aca="false">(Y39-Z39-AC39)*Inputs!$D$32</f>
        <v>0</v>
      </c>
      <c r="AF39" s="26" t="n">
        <f aca="false">V39+AF38</f>
        <v>471.784625</v>
      </c>
      <c r="AG39" s="26" t="n">
        <f aca="false">AG38+AA39</f>
        <v>469.836875</v>
      </c>
      <c r="AH39" s="26" t="n">
        <f aca="false">AH38+AB39</f>
        <v>25.0631249999999</v>
      </c>
      <c r="AI39" s="26" t="n">
        <f aca="false">AI38+AC39</f>
        <v>0</v>
      </c>
      <c r="AJ39" s="26" t="n">
        <f aca="false">AJ38+V39-Z39</f>
        <v>-23.1153749999998</v>
      </c>
      <c r="AK39" s="26" t="n">
        <f aca="false">AK38+Inputs!$D$31*(AJ38+V39)*0.25</f>
        <v>151.99729875</v>
      </c>
      <c r="AL39" s="26" t="n">
        <f aca="false">AL38+AC39+AE39</f>
        <v>0</v>
      </c>
    </row>
    <row r="40" customFormat="false" ht="15" hidden="false" customHeight="false" outlineLevel="0" collapsed="false">
      <c r="B40" s="7" t="n">
        <v>34</v>
      </c>
      <c r="C40" s="26" t="n">
        <f aca="false">Flows!$P$40</f>
        <v>0.64925</v>
      </c>
      <c r="D40" s="26" t="n">
        <f aca="false">(Q39+C40)*(1+Inputs!$D$31)^0.25</f>
        <v>188.486741409638</v>
      </c>
      <c r="E40" s="26" t="n">
        <f aca="false">M40-N39</f>
        <v>2.59699999999998</v>
      </c>
      <c r="F40" s="26" t="n">
        <f aca="false">Flows!$Q$40</f>
        <v>147</v>
      </c>
      <c r="G40" s="26" t="n">
        <f aca="false">MIN(F40,MAX(E40,D40,0))</f>
        <v>147</v>
      </c>
      <c r="H40" s="26" t="n">
        <f aca="false">MIN(G40,E40)</f>
        <v>2.59699999999998</v>
      </c>
      <c r="I40" s="26" t="n">
        <f aca="false">G40-H40</f>
        <v>144.403</v>
      </c>
      <c r="J40" s="26" t="n">
        <f aca="false">MIN(F40-G40,MAX(0,O40*Inputs!$D$32/(1-Inputs!$D$32)-P39))</f>
        <v>0</v>
      </c>
      <c r="K40" s="26" t="n">
        <f aca="false">F40-G40-J40-L40</f>
        <v>0</v>
      </c>
      <c r="L40" s="26" t="n">
        <f aca="false">(F40-G40-J40)*Inputs!$D$32</f>
        <v>0</v>
      </c>
      <c r="M40" s="26" t="n">
        <f aca="false">C40+M39</f>
        <v>472.433875</v>
      </c>
      <c r="N40" s="26" t="n">
        <f aca="false">N39+H40</f>
        <v>472.433875</v>
      </c>
      <c r="O40" s="26" t="n">
        <f aca="false">O39+I40</f>
        <v>169.466125</v>
      </c>
      <c r="P40" s="26" t="n">
        <f aca="false">P39+J40</f>
        <v>0</v>
      </c>
      <c r="Q40" s="26" t="n">
        <f aca="false">D40-G40</f>
        <v>41.4867414096375</v>
      </c>
      <c r="S40" s="26" t="n">
        <f aca="false">S39+J40+L40</f>
        <v>0</v>
      </c>
      <c r="U40" s="7" t="n">
        <v>34</v>
      </c>
      <c r="V40" s="26" t="n">
        <f aca="false">Flows!$P$40</f>
        <v>0.64925</v>
      </c>
      <c r="W40" s="26" t="n">
        <f aca="false">AJ39+V40+AK40</f>
        <v>129.08185125</v>
      </c>
      <c r="X40" s="26" t="n">
        <f aca="false">AF40-AG39</f>
        <v>2.59699999999998</v>
      </c>
      <c r="Y40" s="26" t="n">
        <f aca="false">Flows!$Q$40</f>
        <v>147</v>
      </c>
      <c r="Z40" s="26" t="n">
        <f aca="false">MIN(Y40,MAX(X40,W40,0))</f>
        <v>129.08185125</v>
      </c>
      <c r="AA40" s="26" t="n">
        <f aca="false">MIN(Z40,X40)</f>
        <v>2.59699999999998</v>
      </c>
      <c r="AB40" s="26" t="n">
        <f aca="false">Z40-AA40</f>
        <v>126.48485125</v>
      </c>
      <c r="AC40" s="26" t="n">
        <f aca="false">MIN(Y40-Z40,MAX(0,AH40*Inputs!$D$32/(1-Inputs!$D$32)-AI39))</f>
        <v>17.9181487499997</v>
      </c>
      <c r="AD40" s="26" t="n">
        <f aca="false">Y40-Z40-AC40-AE40</f>
        <v>0</v>
      </c>
      <c r="AE40" s="26" t="n">
        <f aca="false">(Y40-Z40-AC40)*Inputs!$D$32</f>
        <v>0</v>
      </c>
      <c r="AF40" s="26" t="n">
        <f aca="false">V40+AF39</f>
        <v>472.433875</v>
      </c>
      <c r="AG40" s="26" t="n">
        <f aca="false">AG39+AA40</f>
        <v>472.433875</v>
      </c>
      <c r="AH40" s="26" t="n">
        <f aca="false">AH39+AB40</f>
        <v>151.54797625</v>
      </c>
      <c r="AI40" s="26" t="n">
        <f aca="false">AI39+AC40</f>
        <v>17.9181487499997</v>
      </c>
      <c r="AJ40" s="26" t="n">
        <f aca="false">AJ39+V40-Z40</f>
        <v>-151.54797625</v>
      </c>
      <c r="AK40" s="26" t="n">
        <f aca="false">AK39+Inputs!$D$31*(AJ39+V40)*0.25</f>
        <v>151.54797625</v>
      </c>
      <c r="AL40" s="26" t="n">
        <f aca="false">AL39+AC40+AE40</f>
        <v>17.9181487499997</v>
      </c>
    </row>
    <row r="41" customFormat="false" ht="15" hidden="false" customHeight="false" outlineLevel="0" collapsed="false">
      <c r="B41" s="7" t="n">
        <v>35</v>
      </c>
      <c r="C41" s="26" t="n">
        <f aca="false">Flows!$P$41</f>
        <v>0.496125</v>
      </c>
      <c r="D41" s="26" t="n">
        <f aca="false">(Q40+C41)*(1+Inputs!$D$31)^0.25</f>
        <v>42.7984485332882</v>
      </c>
      <c r="E41" s="26" t="n">
        <f aca="false">M41-N40</f>
        <v>0.496125000000006</v>
      </c>
      <c r="F41" s="26" t="n">
        <f aca="false">Flows!$Q$41</f>
        <v>0</v>
      </c>
      <c r="G41" s="26" t="n">
        <f aca="false">MIN(F41,MAX(E41,D41,0))</f>
        <v>0</v>
      </c>
      <c r="H41" s="26" t="n">
        <f aca="false">MIN(G41,E41)</f>
        <v>0</v>
      </c>
      <c r="I41" s="26" t="n">
        <f aca="false">G41-H41</f>
        <v>0</v>
      </c>
      <c r="J41" s="26" t="n">
        <f aca="false">MIN(F41-G41,MAX(0,O41*Inputs!$D$32/(1-Inputs!$D$32)-P40))</f>
        <v>0</v>
      </c>
      <c r="K41" s="26" t="n">
        <f aca="false">F41-G41-J41-L41</f>
        <v>0</v>
      </c>
      <c r="L41" s="26" t="n">
        <f aca="false">(F41-G41-J41)*Inputs!$D$32</f>
        <v>0</v>
      </c>
      <c r="M41" s="26" t="n">
        <f aca="false">C41+M40</f>
        <v>472.93</v>
      </c>
      <c r="N41" s="26" t="n">
        <f aca="false">N40+H41</f>
        <v>472.433875</v>
      </c>
      <c r="O41" s="26" t="n">
        <f aca="false">O40+I41</f>
        <v>169.466125</v>
      </c>
      <c r="P41" s="26" t="n">
        <f aca="false">P40+J41</f>
        <v>0</v>
      </c>
      <c r="Q41" s="26" t="n">
        <f aca="false">D41-G41</f>
        <v>42.7984485332882</v>
      </c>
      <c r="S41" s="26" t="n">
        <f aca="false">S40+J41+L41</f>
        <v>0</v>
      </c>
      <c r="U41" s="7" t="n">
        <v>35</v>
      </c>
      <c r="V41" s="26" t="n">
        <f aca="false">Flows!$P$41</f>
        <v>0.496125</v>
      </c>
      <c r="W41" s="26" t="n">
        <f aca="false">AJ40+V41+AK41</f>
        <v>-2.52491202499999</v>
      </c>
      <c r="X41" s="26" t="n">
        <f aca="false">AF41-AG40</f>
        <v>0.496125000000006</v>
      </c>
      <c r="Y41" s="26" t="n">
        <f aca="false">Flows!$Q$41</f>
        <v>0</v>
      </c>
      <c r="Z41" s="26" t="n">
        <f aca="false">MIN(Y41,MAX(X41,W41,0))</f>
        <v>0</v>
      </c>
      <c r="AA41" s="26" t="n">
        <f aca="false">MIN(Z41,X41)</f>
        <v>0</v>
      </c>
      <c r="AB41" s="26" t="n">
        <f aca="false">Z41-AA41</f>
        <v>0</v>
      </c>
      <c r="AC41" s="26" t="n">
        <f aca="false">MIN(Y41-Z41,MAX(0,AH41*Inputs!$D$32/(1-Inputs!$D$32)-AI40))</f>
        <v>0</v>
      </c>
      <c r="AD41" s="26" t="n">
        <f aca="false">Y41-Z41-AC41-AE41</f>
        <v>0</v>
      </c>
      <c r="AE41" s="26" t="n">
        <f aca="false">(Y41-Z41-AC41)*Inputs!$D$32</f>
        <v>0</v>
      </c>
      <c r="AF41" s="26" t="n">
        <f aca="false">V41+AF40</f>
        <v>472.93</v>
      </c>
      <c r="AG41" s="26" t="n">
        <f aca="false">AG40+AA41</f>
        <v>472.433875</v>
      </c>
      <c r="AH41" s="26" t="n">
        <f aca="false">AH40+AB41</f>
        <v>151.54797625</v>
      </c>
      <c r="AI41" s="26" t="n">
        <f aca="false">AI40+AC41</f>
        <v>17.9181487499997</v>
      </c>
      <c r="AJ41" s="26" t="n">
        <f aca="false">AJ40+V41-Z41</f>
        <v>-151.05185125</v>
      </c>
      <c r="AK41" s="26" t="n">
        <f aca="false">AK40+Inputs!$D$31*(AJ40+V41)*0.25</f>
        <v>148.526939225</v>
      </c>
      <c r="AL41" s="26" t="n">
        <f aca="false">AL40+AC41+AE41</f>
        <v>17.9181487499997</v>
      </c>
    </row>
    <row r="42" customFormat="false" ht="15" hidden="false" customHeight="false" outlineLevel="0" collapsed="false">
      <c r="B42" s="7" t="n">
        <v>36</v>
      </c>
      <c r="C42" s="26" t="n">
        <f aca="false">Flows!$P$42</f>
        <v>0.496125</v>
      </c>
      <c r="D42" s="26" t="n">
        <f aca="false">(Q41+C42)*(1+Inputs!$D$31)^0.25</f>
        <v>44.1356375969063</v>
      </c>
      <c r="E42" s="26" t="n">
        <f aca="false">M42-N41</f>
        <v>0.992250000000013</v>
      </c>
      <c r="F42" s="26" t="n">
        <f aca="false">Flows!$Q$42</f>
        <v>164.64</v>
      </c>
      <c r="G42" s="26" t="n">
        <f aca="false">MIN(F42,MAX(E42,D42,0))</f>
        <v>44.1356375969063</v>
      </c>
      <c r="H42" s="26" t="n">
        <f aca="false">MIN(G42,E42)</f>
        <v>0.992250000000013</v>
      </c>
      <c r="I42" s="26" t="n">
        <f aca="false">G42-H42</f>
        <v>43.1433875969063</v>
      </c>
      <c r="J42" s="26" t="n">
        <f aca="false">MIN(F42-G42,MAX(0,O42*Inputs!$D$32/(1-Inputs!$D$32)-P41))</f>
        <v>53.1523781492265</v>
      </c>
      <c r="K42" s="26" t="n">
        <f aca="false">F42-G42-J42-L42</f>
        <v>53.8815874030938</v>
      </c>
      <c r="L42" s="26" t="n">
        <f aca="false">(F42-G42-J42)*Inputs!$D$32</f>
        <v>13.4703968507734</v>
      </c>
      <c r="M42" s="26" t="n">
        <f aca="false">C42+M41</f>
        <v>473.426125</v>
      </c>
      <c r="N42" s="26" t="n">
        <f aca="false">N41+H42</f>
        <v>473.426125</v>
      </c>
      <c r="O42" s="26" t="n">
        <f aca="false">O41+I42</f>
        <v>212.609512596906</v>
      </c>
      <c r="P42" s="26" t="n">
        <f aca="false">P41+J42</f>
        <v>53.1523781492265</v>
      </c>
      <c r="Q42" s="26" t="n">
        <f aca="false">D42-G42</f>
        <v>0</v>
      </c>
      <c r="S42" s="26" t="n">
        <f aca="false">S41+J42+L42</f>
        <v>66.622775</v>
      </c>
      <c r="U42" s="7" t="n">
        <v>36</v>
      </c>
      <c r="V42" s="26" t="n">
        <f aca="false">Flows!$P$42</f>
        <v>0.496125</v>
      </c>
      <c r="W42" s="26" t="n">
        <f aca="false">AJ41+V42+AK42</f>
        <v>-5.03990155</v>
      </c>
      <c r="X42" s="26" t="n">
        <f aca="false">AF42-AG41</f>
        <v>0.992250000000013</v>
      </c>
      <c r="Y42" s="26" t="n">
        <f aca="false">Flows!$Q$42</f>
        <v>164.64</v>
      </c>
      <c r="Z42" s="26" t="n">
        <f aca="false">MIN(Y42,MAX(X42,W42,0))</f>
        <v>0.992250000000013</v>
      </c>
      <c r="AA42" s="26" t="n">
        <f aca="false">MIN(Z42,X42)</f>
        <v>0.992250000000013</v>
      </c>
      <c r="AB42" s="26" t="n">
        <f aca="false">Z42-AA42</f>
        <v>0</v>
      </c>
      <c r="AC42" s="26" t="n">
        <f aca="false">MIN(Y42-Z42,MAX(0,AH42*Inputs!$D$32/(1-Inputs!$D$32)-AI41))</f>
        <v>19.9688453125003</v>
      </c>
      <c r="AD42" s="26" t="n">
        <f aca="false">Y42-Z42-AC42-AE42</f>
        <v>114.94312375</v>
      </c>
      <c r="AE42" s="26" t="n">
        <f aca="false">(Y42-Z42-AC42)*Inputs!$D$32</f>
        <v>28.7357809374999</v>
      </c>
      <c r="AF42" s="26" t="n">
        <f aca="false">V42+AF41</f>
        <v>473.426125</v>
      </c>
      <c r="AG42" s="26" t="n">
        <f aca="false">AG41+AA42</f>
        <v>473.426125</v>
      </c>
      <c r="AH42" s="26" t="n">
        <f aca="false">AH41+AB42</f>
        <v>151.54797625</v>
      </c>
      <c r="AI42" s="26" t="n">
        <f aca="false">AI41+AC42</f>
        <v>37.8869940625</v>
      </c>
      <c r="AJ42" s="26" t="n">
        <f aca="false">AJ41+V42-Z42</f>
        <v>-151.54797625</v>
      </c>
      <c r="AK42" s="26" t="n">
        <f aca="false">AK41+Inputs!$D$31*(AJ41+V42)*0.25</f>
        <v>145.5158247</v>
      </c>
      <c r="AL42" s="26" t="n">
        <f aca="false">AL41+AC42+AE42</f>
        <v>66.622775</v>
      </c>
    </row>
    <row r="43" customFormat="false" ht="15" hidden="false" customHeight="false" outlineLevel="0" collapsed="false">
      <c r="B43" s="7" t="n">
        <v>37</v>
      </c>
      <c r="C43" s="26" t="n">
        <f aca="false">Flows!$P$43</f>
        <v>0.28175</v>
      </c>
      <c r="D43" s="26" t="n">
        <f aca="false">(Q42+C43)*(1+Inputs!$D$31)^0.25</f>
        <v>0.287223429591406</v>
      </c>
      <c r="E43" s="26" t="n">
        <f aca="false">M43-N42</f>
        <v>0.281749999999988</v>
      </c>
      <c r="F43" s="26" t="n">
        <f aca="false">Flows!$Q$43</f>
        <v>0</v>
      </c>
      <c r="G43" s="26" t="n">
        <f aca="false">MIN(F43,MAX(E43,D43,0))</f>
        <v>0</v>
      </c>
      <c r="H43" s="26" t="n">
        <f aca="false">MIN(G43,E43)</f>
        <v>0</v>
      </c>
      <c r="I43" s="26" t="n">
        <f aca="false">G43-H43</f>
        <v>0</v>
      </c>
      <c r="J43" s="26" t="n">
        <f aca="false">MIN(F43-G43,MAX(0,O43*Inputs!$D$32/(1-Inputs!$D$32)-P42))</f>
        <v>0</v>
      </c>
      <c r="K43" s="26" t="n">
        <f aca="false">F43-G43-J43-L43</f>
        <v>0</v>
      </c>
      <c r="L43" s="26" t="n">
        <f aca="false">(F43-G43-J43)*Inputs!$D$32</f>
        <v>0</v>
      </c>
      <c r="M43" s="26" t="n">
        <f aca="false">C43+M42</f>
        <v>473.707875</v>
      </c>
      <c r="N43" s="26" t="n">
        <f aca="false">N42+H43</f>
        <v>473.426125</v>
      </c>
      <c r="O43" s="26" t="n">
        <f aca="false">O42+I43</f>
        <v>212.609512596906</v>
      </c>
      <c r="P43" s="26" t="n">
        <f aca="false">P42+J43</f>
        <v>53.1523781492265</v>
      </c>
      <c r="Q43" s="26" t="n">
        <f aca="false">D43-G43</f>
        <v>0.287223429591406</v>
      </c>
      <c r="S43" s="26" t="n">
        <f aca="false">S42+J43+L43</f>
        <v>66.622775</v>
      </c>
      <c r="U43" s="7" t="n">
        <v>37</v>
      </c>
      <c r="V43" s="26" t="n">
        <f aca="false">Flows!$P$43</f>
        <v>0.28175</v>
      </c>
      <c r="W43" s="26" t="n">
        <f aca="false">AJ42+V43+AK43</f>
        <v>-8.77572607500002</v>
      </c>
      <c r="X43" s="26" t="n">
        <f aca="false">AF43-AG42</f>
        <v>0.281749999999988</v>
      </c>
      <c r="Y43" s="26" t="n">
        <f aca="false">Flows!$Q$43</f>
        <v>0</v>
      </c>
      <c r="Z43" s="26" t="n">
        <f aca="false">MIN(Y43,MAX(X43,W43,0))</f>
        <v>0</v>
      </c>
      <c r="AA43" s="26" t="n">
        <f aca="false">MIN(Z43,X43)</f>
        <v>0</v>
      </c>
      <c r="AB43" s="26" t="n">
        <f aca="false">Z43-AA43</f>
        <v>0</v>
      </c>
      <c r="AC43" s="26" t="n">
        <f aca="false">MIN(Y43-Z43,MAX(0,AH43*Inputs!$D$32/(1-Inputs!$D$32)-AI42))</f>
        <v>0</v>
      </c>
      <c r="AD43" s="26" t="n">
        <f aca="false">Y43-Z43-AC43-AE43</f>
        <v>0</v>
      </c>
      <c r="AE43" s="26" t="n">
        <f aca="false">(Y43-Z43-AC43)*Inputs!$D$32</f>
        <v>0</v>
      </c>
      <c r="AF43" s="26" t="n">
        <f aca="false">V43+AF42</f>
        <v>473.707875</v>
      </c>
      <c r="AG43" s="26" t="n">
        <f aca="false">AG42+AA43</f>
        <v>473.426125</v>
      </c>
      <c r="AH43" s="26" t="n">
        <f aca="false">AH42+AB43</f>
        <v>151.54797625</v>
      </c>
      <c r="AI43" s="26" t="n">
        <f aca="false">AI42+AC43</f>
        <v>37.8869940625</v>
      </c>
      <c r="AJ43" s="26" t="n">
        <f aca="false">AJ42+V43-Z43</f>
        <v>-151.26622625</v>
      </c>
      <c r="AK43" s="26" t="n">
        <f aca="false">AK42+Inputs!$D$31*(AJ42+V43)*0.25</f>
        <v>142.490500175</v>
      </c>
      <c r="AL43" s="26" t="n">
        <f aca="false">AL42+AC43+AE43</f>
        <v>66.622775</v>
      </c>
    </row>
    <row r="44" customFormat="false" ht="15" hidden="false" customHeight="false" outlineLevel="0" collapsed="false">
      <c r="B44" s="7" t="n">
        <v>38</v>
      </c>
      <c r="C44" s="26" t="n">
        <f aca="false">Flows!$P$44</f>
        <v>0.28175</v>
      </c>
      <c r="D44" s="26" t="n">
        <f aca="false">(Q43+C44)*(1+Inputs!$D$31)^0.25</f>
        <v>0.580026618610925</v>
      </c>
      <c r="E44" s="26" t="n">
        <f aca="false">M44-N43</f>
        <v>0.563499999999976</v>
      </c>
      <c r="F44" s="26" t="n">
        <f aca="false">Flows!$Q$44</f>
        <v>0</v>
      </c>
      <c r="G44" s="26" t="n">
        <f aca="false">MIN(F44,MAX(E44,D44,0))</f>
        <v>0</v>
      </c>
      <c r="H44" s="26" t="n">
        <f aca="false">MIN(G44,E44)</f>
        <v>0</v>
      </c>
      <c r="I44" s="26" t="n">
        <f aca="false">G44-H44</f>
        <v>0</v>
      </c>
      <c r="J44" s="26" t="n">
        <f aca="false">MIN(F44-G44,MAX(0,O44*Inputs!$D$32/(1-Inputs!$D$32)-P43))</f>
        <v>0</v>
      </c>
      <c r="K44" s="26" t="n">
        <f aca="false">F44-G44-J44-L44</f>
        <v>0</v>
      </c>
      <c r="L44" s="26" t="n">
        <f aca="false">(F44-G44-J44)*Inputs!$D$32</f>
        <v>0</v>
      </c>
      <c r="M44" s="26" t="n">
        <f aca="false">C44+M43</f>
        <v>473.989625</v>
      </c>
      <c r="N44" s="26" t="n">
        <f aca="false">N43+H44</f>
        <v>473.426125</v>
      </c>
      <c r="O44" s="26" t="n">
        <f aca="false">O43+I44</f>
        <v>212.609512596906</v>
      </c>
      <c r="P44" s="26" t="n">
        <f aca="false">P43+J44</f>
        <v>53.1523781492265</v>
      </c>
      <c r="Q44" s="26" t="n">
        <f aca="false">D44-G44</f>
        <v>0.580026618610925</v>
      </c>
      <c r="S44" s="26" t="n">
        <f aca="false">S43+J44+L44</f>
        <v>66.622775</v>
      </c>
      <c r="U44" s="7" t="n">
        <v>38</v>
      </c>
      <c r="V44" s="26" t="n">
        <f aca="false">Flows!$P$44</f>
        <v>0.28175</v>
      </c>
      <c r="W44" s="26" t="n">
        <f aca="false">AJ43+V44+AK44</f>
        <v>-11.5136656</v>
      </c>
      <c r="X44" s="26" t="n">
        <f aca="false">AF44-AG43</f>
        <v>0.563499999999976</v>
      </c>
      <c r="Y44" s="26" t="n">
        <f aca="false">Flows!$Q$44</f>
        <v>0</v>
      </c>
      <c r="Z44" s="26" t="n">
        <f aca="false">MIN(Y44,MAX(X44,W44,0))</f>
        <v>0</v>
      </c>
      <c r="AA44" s="26" t="n">
        <f aca="false">MIN(Z44,X44)</f>
        <v>0</v>
      </c>
      <c r="AB44" s="26" t="n">
        <f aca="false">Z44-AA44</f>
        <v>0</v>
      </c>
      <c r="AC44" s="26" t="n">
        <f aca="false">MIN(Y44-Z44,MAX(0,AH44*Inputs!$D$32/(1-Inputs!$D$32)-AI43))</f>
        <v>0</v>
      </c>
      <c r="AD44" s="26" t="n">
        <f aca="false">Y44-Z44-AC44-AE44</f>
        <v>0</v>
      </c>
      <c r="AE44" s="26" t="n">
        <f aca="false">(Y44-Z44-AC44)*Inputs!$D$32</f>
        <v>0</v>
      </c>
      <c r="AF44" s="26" t="n">
        <f aca="false">V44+AF43</f>
        <v>473.989625</v>
      </c>
      <c r="AG44" s="26" t="n">
        <f aca="false">AG43+AA44</f>
        <v>473.426125</v>
      </c>
      <c r="AH44" s="26" t="n">
        <f aca="false">AH43+AB44</f>
        <v>151.54797625</v>
      </c>
      <c r="AI44" s="26" t="n">
        <f aca="false">AI43+AC44</f>
        <v>37.8869940625</v>
      </c>
      <c r="AJ44" s="26" t="n">
        <f aca="false">AJ43+V44-Z44</f>
        <v>-150.98447625</v>
      </c>
      <c r="AK44" s="26" t="n">
        <f aca="false">AK43+Inputs!$D$31*(AJ43+V44)*0.25</f>
        <v>139.47081065</v>
      </c>
      <c r="AL44" s="26" t="n">
        <f aca="false">AL43+AC44+AE44</f>
        <v>66.622775</v>
      </c>
    </row>
    <row r="45" customFormat="false" ht="15" hidden="false" customHeight="false" outlineLevel="0" collapsed="false">
      <c r="B45" s="7" t="n">
        <v>39</v>
      </c>
      <c r="C45" s="26" t="n">
        <f aca="false">Flows!$P$45</f>
        <v>0.28175</v>
      </c>
      <c r="D45" s="26" t="n">
        <f aca="false">(Q44+C45)*(1+Inputs!$D$31)^0.25</f>
        <v>0.878517962516823</v>
      </c>
      <c r="E45" s="26" t="n">
        <f aca="false">M45-N44</f>
        <v>0.845249999999965</v>
      </c>
      <c r="F45" s="26" t="n">
        <f aca="false">Flows!$Q$45</f>
        <v>0</v>
      </c>
      <c r="G45" s="26" t="n">
        <f aca="false">MIN(F45,MAX(E45,D45,0))</f>
        <v>0</v>
      </c>
      <c r="H45" s="26" t="n">
        <f aca="false">MIN(G45,E45)</f>
        <v>0</v>
      </c>
      <c r="I45" s="26" t="n">
        <f aca="false">G45-H45</f>
        <v>0</v>
      </c>
      <c r="J45" s="26" t="n">
        <f aca="false">MIN(F45-G45,MAX(0,O45*Inputs!$D$32/(1-Inputs!$D$32)-P44))</f>
        <v>0</v>
      </c>
      <c r="K45" s="26" t="n">
        <f aca="false">F45-G45-J45-L45</f>
        <v>0</v>
      </c>
      <c r="L45" s="26" t="n">
        <f aca="false">(F45-G45-J45)*Inputs!$D$32</f>
        <v>0</v>
      </c>
      <c r="M45" s="26" t="n">
        <f aca="false">C45+M44</f>
        <v>474.271375</v>
      </c>
      <c r="N45" s="26" t="n">
        <f aca="false">N44+H45</f>
        <v>473.426125</v>
      </c>
      <c r="O45" s="26" t="n">
        <f aca="false">O44+I45</f>
        <v>212.609512596906</v>
      </c>
      <c r="P45" s="26" t="n">
        <f aca="false">P44+J45</f>
        <v>53.1523781492265</v>
      </c>
      <c r="Q45" s="26" t="n">
        <f aca="false">D45-G45</f>
        <v>0.878517962516823</v>
      </c>
      <c r="S45" s="26" t="n">
        <f aca="false">S44+J45+L45</f>
        <v>66.622775</v>
      </c>
      <c r="U45" s="7" t="n">
        <v>39</v>
      </c>
      <c r="V45" s="26" t="n">
        <f aca="false">Flows!$P$45</f>
        <v>0.28175</v>
      </c>
      <c r="W45" s="26" t="n">
        <f aca="false">AJ44+V45+AK45</f>
        <v>-14.245970125</v>
      </c>
      <c r="X45" s="26" t="n">
        <f aca="false">AF45-AG44</f>
        <v>0.845249999999965</v>
      </c>
      <c r="Y45" s="26" t="n">
        <f aca="false">Flows!$Q$45</f>
        <v>0</v>
      </c>
      <c r="Z45" s="26" t="n">
        <f aca="false">MIN(Y45,MAX(X45,W45,0))</f>
        <v>0</v>
      </c>
      <c r="AA45" s="26" t="n">
        <f aca="false">MIN(Z45,X45)</f>
        <v>0</v>
      </c>
      <c r="AB45" s="26" t="n">
        <f aca="false">Z45-AA45</f>
        <v>0</v>
      </c>
      <c r="AC45" s="26" t="n">
        <f aca="false">MIN(Y45-Z45,MAX(0,AH45*Inputs!$D$32/(1-Inputs!$D$32)-AI44))</f>
        <v>0</v>
      </c>
      <c r="AD45" s="26" t="n">
        <f aca="false">Y45-Z45-AC45-AE45</f>
        <v>0</v>
      </c>
      <c r="AE45" s="26" t="n">
        <f aca="false">(Y45-Z45-AC45)*Inputs!$D$32</f>
        <v>0</v>
      </c>
      <c r="AF45" s="26" t="n">
        <f aca="false">V45+AF44</f>
        <v>474.271375</v>
      </c>
      <c r="AG45" s="26" t="n">
        <f aca="false">AG44+AA45</f>
        <v>473.426125</v>
      </c>
      <c r="AH45" s="26" t="n">
        <f aca="false">AH44+AB45</f>
        <v>151.54797625</v>
      </c>
      <c r="AI45" s="26" t="n">
        <f aca="false">AI44+AC45</f>
        <v>37.8869940625</v>
      </c>
      <c r="AJ45" s="26" t="n">
        <f aca="false">AJ44+V45-Z45</f>
        <v>-150.70272625</v>
      </c>
      <c r="AK45" s="26" t="n">
        <f aca="false">AK44+Inputs!$D$31*(AJ44+V45)*0.25</f>
        <v>136.456756125</v>
      </c>
      <c r="AL45" s="26" t="n">
        <f aca="false">AL44+AC45+AE45</f>
        <v>66.622775</v>
      </c>
    </row>
    <row r="46" customFormat="false" ht="15" hidden="false" customHeight="false" outlineLevel="0" collapsed="false">
      <c r="B46" s="7" t="n">
        <v>40</v>
      </c>
      <c r="C46" s="26" t="n">
        <f aca="false">Flows!$P$46</f>
        <v>0.28175</v>
      </c>
      <c r="D46" s="26" t="n">
        <f aca="false">(Q45+C46)*(1+Inputs!$D$31)^0.25</f>
        <v>1.18280796251682</v>
      </c>
      <c r="E46" s="26" t="n">
        <f aca="false">M46-N45</f>
        <v>1.12699999999995</v>
      </c>
      <c r="F46" s="26" t="n">
        <f aca="false">Flows!$Q$46</f>
        <v>76.44</v>
      </c>
      <c r="G46" s="26" t="n">
        <f aca="false">MIN(F46,MAX(E46,D46,0))</f>
        <v>1.18280796251682</v>
      </c>
      <c r="H46" s="26" t="n">
        <f aca="false">MIN(G46,E46)</f>
        <v>1.12699999999995</v>
      </c>
      <c r="I46" s="26" t="n">
        <f aca="false">G46-H46</f>
        <v>0.0558079625168706</v>
      </c>
      <c r="J46" s="26" t="n">
        <f aca="false">MIN(F46-G46,MAX(0,O46*Inputs!$D$32/(1-Inputs!$D$32)-P45))</f>
        <v>0.0139519906292094</v>
      </c>
      <c r="K46" s="26" t="n">
        <f aca="false">F46-G46-J46-L46</f>
        <v>60.1945920374832</v>
      </c>
      <c r="L46" s="26" t="n">
        <f aca="false">(F46-G46-J46)*Inputs!$D$32</f>
        <v>15.0486480093708</v>
      </c>
      <c r="M46" s="26" t="n">
        <f aca="false">C46+M45</f>
        <v>474.553125</v>
      </c>
      <c r="N46" s="26" t="n">
        <f aca="false">N45+H46</f>
        <v>474.553125</v>
      </c>
      <c r="O46" s="26" t="n">
        <f aca="false">O45+I46</f>
        <v>212.665320559423</v>
      </c>
      <c r="P46" s="26" t="n">
        <f aca="false">P45+J46</f>
        <v>53.1663301398557</v>
      </c>
      <c r="Q46" s="26" t="n">
        <f aca="false">D46-G46</f>
        <v>0</v>
      </c>
      <c r="S46" s="26" t="n">
        <f aca="false">S45+J46+L46</f>
        <v>81.685375</v>
      </c>
      <c r="U46" s="7" t="n">
        <v>40</v>
      </c>
      <c r="V46" s="26" t="n">
        <f aca="false">Flows!$P$46</f>
        <v>0.28175</v>
      </c>
      <c r="W46" s="26" t="n">
        <f aca="false">AJ45+V46+AK46</f>
        <v>-16.97263965</v>
      </c>
      <c r="X46" s="26" t="n">
        <f aca="false">AF46-AG45</f>
        <v>1.12699999999995</v>
      </c>
      <c r="Y46" s="26" t="n">
        <f aca="false">Flows!$Q$46</f>
        <v>76.44</v>
      </c>
      <c r="Z46" s="26" t="n">
        <f aca="false">MIN(Y46,MAX(X46,W46,0))</f>
        <v>1.12699999999995</v>
      </c>
      <c r="AA46" s="26" t="n">
        <f aca="false">MIN(Z46,X46)</f>
        <v>1.12699999999995</v>
      </c>
      <c r="AB46" s="26" t="n">
        <f aca="false">Z46-AA46</f>
        <v>0</v>
      </c>
      <c r="AC46" s="26" t="n">
        <f aca="false">MIN(Y46-Z46,MAX(0,AH46*Inputs!$D$32/(1-Inputs!$D$32)-AI45))</f>
        <v>0</v>
      </c>
      <c r="AD46" s="26" t="n">
        <f aca="false">Y46-Z46-AC46-AE46</f>
        <v>60.2504</v>
      </c>
      <c r="AE46" s="26" t="n">
        <f aca="false">(Y46-Z46-AC46)*Inputs!$D$32</f>
        <v>15.0626</v>
      </c>
      <c r="AF46" s="26" t="n">
        <f aca="false">V46+AF45</f>
        <v>474.553125</v>
      </c>
      <c r="AG46" s="26" t="n">
        <f aca="false">AG45+AA46</f>
        <v>474.553125</v>
      </c>
      <c r="AH46" s="26" t="n">
        <f aca="false">AH45+AB46</f>
        <v>151.54797625</v>
      </c>
      <c r="AI46" s="26" t="n">
        <f aca="false">AI45+AC46</f>
        <v>37.8869940625</v>
      </c>
      <c r="AJ46" s="26" t="n">
        <f aca="false">AJ45+V46-Z46</f>
        <v>-151.54797625</v>
      </c>
      <c r="AK46" s="26" t="n">
        <f aca="false">AK45+Inputs!$D$31*(AJ45+V46)*0.25</f>
        <v>133.4483366</v>
      </c>
      <c r="AL46" s="26" t="n">
        <f aca="false">AL45+AC46+AE46</f>
        <v>81.685375</v>
      </c>
    </row>
    <row r="49" customFormat="false" ht="15" hidden="false" customHeight="false" outlineLevel="0" collapsed="false">
      <c r="B49" s="5" t="s">
        <v>221</v>
      </c>
    </row>
    <row r="50" customFormat="false" ht="15" hidden="false" customHeight="false" outlineLevel="0" collapsed="false">
      <c r="B50" s="7" t="s">
        <v>222</v>
      </c>
      <c r="F50" s="26" t="n">
        <f aca="false">S46</f>
        <v>81.685375</v>
      </c>
    </row>
    <row r="51" customFormat="false" ht="15" hidden="false" customHeight="false" outlineLevel="0" collapsed="false">
      <c r="B51" s="7" t="s">
        <v>223</v>
      </c>
      <c r="F51" s="26" t="n">
        <f aca="false">AL46</f>
        <v>81.685375</v>
      </c>
    </row>
    <row r="52" customFormat="false" ht="15" hidden="false" customHeight="false" outlineLevel="0" collapsed="false">
      <c r="B52" s="7" t="s">
        <v>224</v>
      </c>
      <c r="F52" s="26" t="n">
        <f aca="false">SUM(F7:F46)-M46</f>
        <v>408.426875</v>
      </c>
    </row>
    <row r="53" customFormat="false" ht="15" hidden="false" customHeight="false" outlineLevel="0" collapsed="false">
      <c r="B53" s="7" t="s">
        <v>225</v>
      </c>
      <c r="F53" s="26" t="n">
        <f aca="false">J40+L40</f>
        <v>0</v>
      </c>
    </row>
    <row r="54" customFormat="false" ht="15" hidden="false" customHeight="false" outlineLevel="0" collapsed="false">
      <c r="B54" s="7" t="s">
        <v>226</v>
      </c>
      <c r="F54" s="26" t="n">
        <f aca="false">AC40+AE40</f>
        <v>17.9181487499997</v>
      </c>
    </row>
    <row r="55" customFormat="false" ht="15" hidden="false" customHeight="false" outlineLevel="0" collapsed="false">
      <c r="B55" s="7" t="s">
        <v>227</v>
      </c>
      <c r="F55" s="25" t="n">
        <f aca="false">F54-F53</f>
        <v>17.9181487499997</v>
      </c>
    </row>
    <row r="56" customFormat="false" ht="15" hidden="false" customHeight="false" outlineLevel="0" collapsed="false">
      <c r="B56" s="7" t="s">
        <v>228</v>
      </c>
      <c r="F56" s="26" t="n">
        <f aca="false">D40</f>
        <v>188.486741409638</v>
      </c>
    </row>
    <row r="57" customFormat="false" ht="15" hidden="false" customHeight="false" outlineLevel="0" collapsed="false">
      <c r="B57" s="7" t="s">
        <v>229</v>
      </c>
      <c r="F57" s="26" t="n">
        <f aca="false">W40</f>
        <v>129.08185125</v>
      </c>
    </row>
    <row r="58" customFormat="false" ht="15" hidden="false" customHeight="false" outlineLevel="0" collapsed="false">
      <c r="B58" s="7" t="s">
        <v>230</v>
      </c>
      <c r="F58" s="25" t="n">
        <f aca="false">IF(Inputs!$D$33=1,F50,F51)</f>
        <v>81.685375</v>
      </c>
    </row>
    <row r="59" customFormat="false" ht="15" hidden="false" customHeight="false" outlineLevel="0" collapsed="false">
      <c r="B59" s="7" t="s">
        <v>231</v>
      </c>
      <c r="F59" s="26" t="n">
        <f aca="false">S42</f>
        <v>66.622775</v>
      </c>
      <c r="G59" s="26" t="n">
        <f aca="false">AL42</f>
        <v>66.622775</v>
      </c>
    </row>
    <row r="60" customFormat="false" ht="15" hidden="false" customHeight="false" outlineLevel="0" collapsed="false">
      <c r="B60" s="7" t="s">
        <v>232</v>
      </c>
      <c r="F60" s="26" t="n">
        <f aca="false">MAX(0,AL7-S7,AL8-S8,AL9-S9,AL10-S10,AL11-S11,AL12-S12,AL13-S13,AL14-S14,AL15-S15,AL16-S16,AL17-S17,AL18-S18,AL19-S19,AL20-S20,AL21-S21,AL22-S22,AL23-S23,AL24-S24,AL25-S25,AL26-S26,AL27-S27,AL28-S28,AL29-S29,AL30-S30,AL31-S31,AL32-S32,AL33-S33,AL34-S34,AL35-S35,AL36-S36,AL37-S37,AL38-S38,AL39-S39,AL40-S40,AL41-S41,AL42-S42,AL43-S43,AL44-S44,AL45-S45,AL46-S46)</f>
        <v>17.9181487499997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39060"/>
    <pageSetUpPr fitToPage="false"/>
  </sheetPr>
  <dimension ref="B2:S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19" min="3" style="0" width="13"/>
  </cols>
  <sheetData>
    <row r="2" customFormat="false" ht="17.35" hidden="false" customHeight="false" outlineLevel="0" collapsed="false">
      <c r="B2" s="4" t="s">
        <v>233</v>
      </c>
    </row>
    <row r="3" customFormat="false" ht="15" hidden="false" customHeight="false" outlineLevel="0" collapsed="false">
      <c r="B3" s="7" t="s">
        <v>234</v>
      </c>
    </row>
    <row r="4" customFormat="false" ht="15" hidden="false" customHeight="false" outlineLevel="0" collapsed="false">
      <c r="B4" s="7" t="s">
        <v>235</v>
      </c>
      <c r="E4" s="21" t="n">
        <v>5</v>
      </c>
    </row>
    <row r="6" customFormat="false" ht="15" hidden="false" customHeight="false" outlineLevel="0" collapsed="false">
      <c r="B6" s="6" t="s">
        <v>73</v>
      </c>
      <c r="C6" s="6" t="s">
        <v>236</v>
      </c>
      <c r="D6" s="6" t="s">
        <v>237</v>
      </c>
      <c r="E6" s="6" t="s">
        <v>238</v>
      </c>
    </row>
    <row r="7" customFormat="false" ht="15" hidden="false" customHeight="false" outlineLevel="0" collapsed="false">
      <c r="B7" s="7" t="str">
        <f aca="false">Inputs!B38</f>
        <v>A</v>
      </c>
      <c r="C7" s="21" t="n">
        <f aca="false">(Inputs!C38-1)/4</f>
        <v>0</v>
      </c>
      <c r="D7" s="21" t="n">
        <f aca="false">Inputs!E38/4</f>
        <v>4</v>
      </c>
      <c r="E7" s="26" t="n">
        <f aca="false">IF(AND($E$4&gt;=C7,$E$4&lt;D7),Inputs!D38*(Inputs!F38/Inputs!D38)^(($E$4-C7)/(D7-C7)),0)</f>
        <v>0</v>
      </c>
    </row>
    <row r="8" customFormat="false" ht="15" hidden="false" customHeight="false" outlineLevel="0" collapsed="false">
      <c r="B8" s="7" t="str">
        <f aca="false">Inputs!B39</f>
        <v>B</v>
      </c>
      <c r="C8" s="21" t="n">
        <f aca="false">(Inputs!C39-1)/4</f>
        <v>0.25</v>
      </c>
      <c r="D8" s="21" t="n">
        <f aca="false">Inputs!E39/4</f>
        <v>6</v>
      </c>
      <c r="E8" s="26" t="n">
        <f aca="false">IF(AND($E$4&gt;=C8,$E$4&lt;D8),Inputs!D39*(Inputs!F39/Inputs!D39)^(($E$4-C8)/(D8-C8)),0)</f>
        <v>28.3852183994544</v>
      </c>
    </row>
    <row r="9" customFormat="false" ht="15" hidden="false" customHeight="false" outlineLevel="0" collapsed="false">
      <c r="B9" s="7" t="str">
        <f aca="false">Inputs!B40</f>
        <v>C</v>
      </c>
      <c r="C9" s="21" t="n">
        <f aca="false">(Inputs!C40-1)/4</f>
        <v>0.75</v>
      </c>
      <c r="D9" s="21" t="n">
        <f aca="false">Inputs!E40/4</f>
        <v>4.5</v>
      </c>
      <c r="E9" s="26" t="n">
        <f aca="false">IF(AND($E$4&gt;=C9,$E$4&lt;D9),Inputs!D40*(Inputs!F40/Inputs!D40)^(($E$4-C9)/(D9-C9)),0)</f>
        <v>0</v>
      </c>
    </row>
    <row r="10" customFormat="false" ht="15" hidden="false" customHeight="false" outlineLevel="0" collapsed="false">
      <c r="B10" s="7" t="str">
        <f aca="false">Inputs!B41</f>
        <v>D</v>
      </c>
      <c r="C10" s="21" t="n">
        <f aca="false">(Inputs!C41-1)/4</f>
        <v>1.25</v>
      </c>
      <c r="D10" s="21" t="n">
        <f aca="false">Inputs!E41/4</f>
        <v>7</v>
      </c>
      <c r="E10" s="26" t="n">
        <f aca="false">IF(AND($E$4&gt;=C10,$E$4&lt;D10),Inputs!D41*(Inputs!F41/Inputs!D41)^(($E$4-C10)/(D10-C10)),0)</f>
        <v>109.062975722632</v>
      </c>
    </row>
    <row r="11" customFormat="false" ht="15" hidden="false" customHeight="false" outlineLevel="0" collapsed="false">
      <c r="B11" s="7" t="str">
        <f aca="false">Inputs!B42</f>
        <v>E</v>
      </c>
      <c r="C11" s="21" t="n">
        <f aca="false">(Inputs!C42-1)/4</f>
        <v>1.75</v>
      </c>
      <c r="D11" s="21" t="n">
        <f aca="false">Inputs!E42/4</f>
        <v>7.5</v>
      </c>
      <c r="E11" s="26" t="n">
        <f aca="false">IF(AND($E$4&gt;=C11,$E$4&lt;D11),Inputs!D42*(Inputs!F42/Inputs!D42)^(($E$4-C11)/(D11-C11)),0)</f>
        <v>85.8827503168323</v>
      </c>
    </row>
    <row r="12" customFormat="false" ht="15" hidden="false" customHeight="false" outlineLevel="0" collapsed="false">
      <c r="B12" s="7" t="str">
        <f aca="false">Inputs!B43</f>
        <v>F</v>
      </c>
      <c r="C12" s="21" t="n">
        <f aca="false">(Inputs!C43-1)/4</f>
        <v>2.25</v>
      </c>
      <c r="D12" s="21" t="n">
        <f aca="false">Inputs!E43/4</f>
        <v>9</v>
      </c>
      <c r="E12" s="26" t="n">
        <f aca="false">IF(AND($E$4&gt;=C12,$E$4&lt;D12),Inputs!D43*(Inputs!F43/Inputs!D43)^(($E$4-C12)/(D12-C12)),0)</f>
        <v>99.999750461597</v>
      </c>
    </row>
    <row r="13" customFormat="false" ht="15" hidden="false" customHeight="false" outlineLevel="0" collapsed="false">
      <c r="B13" s="7" t="str">
        <f aca="false">Inputs!B44</f>
        <v>G</v>
      </c>
      <c r="C13" s="21" t="n">
        <f aca="false">(Inputs!C44-1)/4</f>
        <v>2.75</v>
      </c>
      <c r="D13" s="21" t="n">
        <f aca="false">Inputs!E44/4</f>
        <v>10</v>
      </c>
      <c r="E13" s="26" t="n">
        <f aca="false">IF(AND($E$4&gt;=C13,$E$4&lt;D13),Inputs!D44*(Inputs!F44/Inputs!D44)^(($E$4-C13)/(D13-C13)),0)</f>
        <v>58.9728823846993</v>
      </c>
    </row>
    <row r="14" customFormat="false" ht="15" hidden="false" customHeight="false" outlineLevel="0" collapsed="false">
      <c r="B14" s="7" t="str">
        <f aca="false">Inputs!B45</f>
        <v>H</v>
      </c>
      <c r="C14" s="21" t="n">
        <f aca="false">(Inputs!C45-1)/4</f>
        <v>3.25</v>
      </c>
      <c r="D14" s="21" t="n">
        <f aca="false">Inputs!E45/4</f>
        <v>8.5</v>
      </c>
      <c r="E14" s="26" t="n">
        <f aca="false">IF(AND($E$4&gt;=C14,$E$4&lt;D14),Inputs!D45*(Inputs!F45/Inputs!D45)^(($E$4-C14)/(D14-C14)),0)</f>
        <v>72.1124785153704</v>
      </c>
    </row>
    <row r="15" customFormat="false" ht="15" hidden="false" customHeight="false" outlineLevel="0" collapsed="false">
      <c r="B15" s="11" t="s">
        <v>239</v>
      </c>
      <c r="E15" s="25" t="n">
        <f aca="false">SUM(E7:E14)</f>
        <v>454.416055800585</v>
      </c>
      <c r="G15" s="11" t="s">
        <v>240</v>
      </c>
      <c r="J15" s="25" t="n">
        <f aca="false">S59</f>
        <v>37.6877469369146</v>
      </c>
    </row>
    <row r="16" customFormat="false" ht="15" hidden="false" customHeight="false" outlineLevel="0" collapsed="false">
      <c r="B16" s="7" t="s">
        <v>241</v>
      </c>
      <c r="E16" s="26" t="n">
        <f aca="false">E15*Flows!$E$4</f>
        <v>445.327734684573</v>
      </c>
      <c r="G16" s="7" t="s">
        <v>242</v>
      </c>
      <c r="J16" s="26" t="n">
        <f aca="false">E16-J15</f>
        <v>407.639987747659</v>
      </c>
    </row>
    <row r="17" customFormat="false" ht="15" hidden="false" customHeight="false" outlineLevel="0" collapsed="false">
      <c r="G17" s="7" t="s">
        <v>243</v>
      </c>
      <c r="J17" s="26" t="n">
        <f aca="false">J15*Inputs!$G$6/SUMPRODUCT(Inputs!$G$6:$G$15,Inputs!$F$6:$F$15)</f>
        <v>7.69137692590094</v>
      </c>
    </row>
    <row r="18" customFormat="false" ht="15" hidden="false" customHeight="false" outlineLevel="0" collapsed="false">
      <c r="B18" s="5" t="s">
        <v>244</v>
      </c>
    </row>
    <row r="19" customFormat="false" ht="46.25" hidden="false" customHeight="false" outlineLevel="0" collapsed="false">
      <c r="B19" s="6" t="s">
        <v>124</v>
      </c>
      <c r="C19" s="6" t="s">
        <v>204</v>
      </c>
      <c r="D19" s="6" t="s">
        <v>205</v>
      </c>
      <c r="E19" s="6" t="s">
        <v>206</v>
      </c>
      <c r="F19" s="6" t="s">
        <v>207</v>
      </c>
      <c r="G19" s="6" t="s">
        <v>208</v>
      </c>
      <c r="H19" s="6" t="s">
        <v>209</v>
      </c>
      <c r="I19" s="6" t="s">
        <v>210</v>
      </c>
      <c r="J19" s="6" t="s">
        <v>211</v>
      </c>
      <c r="K19" s="6" t="s">
        <v>212</v>
      </c>
      <c r="L19" s="6" t="s">
        <v>213</v>
      </c>
      <c r="M19" s="6" t="s">
        <v>214</v>
      </c>
      <c r="N19" s="6" t="s">
        <v>215</v>
      </c>
      <c r="O19" s="6" t="s">
        <v>216</v>
      </c>
      <c r="P19" s="6" t="s">
        <v>217</v>
      </c>
      <c r="Q19" s="6" t="s">
        <v>218</v>
      </c>
      <c r="R19" s="6" t="s">
        <v>219</v>
      </c>
      <c r="S19" s="6" t="s">
        <v>220</v>
      </c>
    </row>
    <row r="20" customFormat="false" ht="15" hidden="false" customHeight="false" outlineLevel="0" collapsed="false">
      <c r="B20" s="7" t="n">
        <v>1</v>
      </c>
      <c r="C20" s="26" t="n">
        <f aca="false">IF(1&lt;=20,Flows!$P$7,0)</f>
        <v>56.95025</v>
      </c>
      <c r="D20" s="26" t="n">
        <f aca="false">(0+C20)*(1+Inputs!$D$31)^0.25</f>
        <v>58.0565967030629</v>
      </c>
      <c r="E20" s="26" t="n">
        <f aca="false">M20-0</f>
        <v>56.95025</v>
      </c>
      <c r="F20" s="26" t="n">
        <f aca="false">IF(1&lt;=20,Flows!$Q$7,0)+IF(1=20,$E$16,0)</f>
        <v>0</v>
      </c>
      <c r="G20" s="26" t="n">
        <f aca="false">MIN(F20,MAX(E20,D20,0))</f>
        <v>0</v>
      </c>
      <c r="H20" s="26" t="n">
        <f aca="false">MIN(G20,E20)</f>
        <v>0</v>
      </c>
      <c r="I20" s="26" t="n">
        <f aca="false">G20-H20</f>
        <v>0</v>
      </c>
      <c r="J20" s="26" t="n">
        <f aca="false">MIN(F20-G20,MAX(0,O20*Inputs!$D$32/(1-Inputs!$D$32)-0))</f>
        <v>0</v>
      </c>
      <c r="K20" s="26" t="n">
        <f aca="false">F20-G20-J20-L20</f>
        <v>0</v>
      </c>
      <c r="L20" s="26" t="n">
        <f aca="false">(F20-G20-J20)*Inputs!$D$32</f>
        <v>0</v>
      </c>
      <c r="M20" s="26" t="n">
        <f aca="false">C20</f>
        <v>56.95025</v>
      </c>
      <c r="N20" s="26" t="n">
        <f aca="false">0+H20</f>
        <v>0</v>
      </c>
      <c r="O20" s="26" t="n">
        <f aca="false">0+I20</f>
        <v>0</v>
      </c>
      <c r="P20" s="26" t="n">
        <f aca="false">0+J20</f>
        <v>0</v>
      </c>
      <c r="Q20" s="26" t="n">
        <f aca="false">D20-G20</f>
        <v>58.0565967030629</v>
      </c>
      <c r="S20" s="26" t="n">
        <f aca="false">0+J20+L20</f>
        <v>0</v>
      </c>
    </row>
    <row r="21" customFormat="false" ht="15" hidden="false" customHeight="false" outlineLevel="0" collapsed="false">
      <c r="B21" s="7" t="n">
        <v>2</v>
      </c>
      <c r="C21" s="26" t="n">
        <f aca="false">IF(2&lt;=20,Flows!$P$8,0)</f>
        <v>37.54625</v>
      </c>
      <c r="D21" s="26" t="n">
        <f aca="false">(Q20+C21)*(1+Inputs!$D$31)^0.25</f>
        <v>97.4600798891044</v>
      </c>
      <c r="E21" s="26" t="n">
        <f aca="false">M21-N20</f>
        <v>94.4965</v>
      </c>
      <c r="F21" s="26" t="n">
        <f aca="false">IF(2&lt;=20,Flows!$Q$8,0)+IF(2=20,$E$16,0)</f>
        <v>0</v>
      </c>
      <c r="G21" s="26" t="n">
        <f aca="false">MIN(F21,MAX(E21,D21,0))</f>
        <v>0</v>
      </c>
      <c r="H21" s="26" t="n">
        <f aca="false">MIN(G21,E21)</f>
        <v>0</v>
      </c>
      <c r="I21" s="26" t="n">
        <f aca="false">G21-H21</f>
        <v>0</v>
      </c>
      <c r="J21" s="26" t="n">
        <f aca="false">MIN(F21-G21,MAX(0,O21*Inputs!$D$32/(1-Inputs!$D$32)-P20))</f>
        <v>0</v>
      </c>
      <c r="K21" s="26" t="n">
        <f aca="false">F21-G21-J21-L21</f>
        <v>0</v>
      </c>
      <c r="L21" s="26" t="n">
        <f aca="false">(F21-G21-J21)*Inputs!$D$32</f>
        <v>0</v>
      </c>
      <c r="M21" s="26" t="n">
        <f aca="false">C21+M20</f>
        <v>94.4965</v>
      </c>
      <c r="N21" s="26" t="n">
        <f aca="false">N20+H21</f>
        <v>0</v>
      </c>
      <c r="O21" s="26" t="n">
        <f aca="false">O20+I21</f>
        <v>0</v>
      </c>
      <c r="P21" s="26" t="n">
        <f aca="false">P20+J21</f>
        <v>0</v>
      </c>
      <c r="Q21" s="26" t="n">
        <f aca="false">D21-G21</f>
        <v>97.4600798891044</v>
      </c>
      <c r="S21" s="26" t="n">
        <f aca="false">S20+J21+L21</f>
        <v>0</v>
      </c>
    </row>
    <row r="22" customFormat="false" ht="15" hidden="false" customHeight="false" outlineLevel="0" collapsed="false">
      <c r="B22" s="7" t="n">
        <v>3</v>
      </c>
      <c r="C22" s="26" t="n">
        <f aca="false">IF(3&lt;=20,Flows!$P$9,0)</f>
        <v>2.26625</v>
      </c>
      <c r="D22" s="26" t="n">
        <f aca="false">(Q21+C22)*(1+Inputs!$D$31)^0.25</f>
        <v>101.663668114685</v>
      </c>
      <c r="E22" s="26" t="n">
        <f aca="false">M22-N21</f>
        <v>96.76275</v>
      </c>
      <c r="F22" s="26" t="n">
        <f aca="false">IF(3&lt;=20,Flows!$Q$9,0)+IF(3=20,$E$16,0)</f>
        <v>0</v>
      </c>
      <c r="G22" s="26" t="n">
        <f aca="false">MIN(F22,MAX(E22,D22,0))</f>
        <v>0</v>
      </c>
      <c r="H22" s="26" t="n">
        <f aca="false">MIN(G22,E22)</f>
        <v>0</v>
      </c>
      <c r="I22" s="26" t="n">
        <f aca="false">G22-H22</f>
        <v>0</v>
      </c>
      <c r="J22" s="26" t="n">
        <f aca="false">MIN(F22-G22,MAX(0,O22*Inputs!$D$32/(1-Inputs!$D$32)-P21))</f>
        <v>0</v>
      </c>
      <c r="K22" s="26" t="n">
        <f aca="false">F22-G22-J22-L22</f>
        <v>0</v>
      </c>
      <c r="L22" s="26" t="n">
        <f aca="false">(F22-G22-J22)*Inputs!$D$32</f>
        <v>0</v>
      </c>
      <c r="M22" s="26" t="n">
        <f aca="false">C22+M21</f>
        <v>96.76275</v>
      </c>
      <c r="N22" s="26" t="n">
        <f aca="false">N21+H22</f>
        <v>0</v>
      </c>
      <c r="O22" s="26" t="n">
        <f aca="false">O21+I22</f>
        <v>0</v>
      </c>
      <c r="P22" s="26" t="n">
        <f aca="false">P21+J22</f>
        <v>0</v>
      </c>
      <c r="Q22" s="26" t="n">
        <f aca="false">D22-G22</f>
        <v>101.663668114685</v>
      </c>
      <c r="S22" s="26" t="n">
        <f aca="false">S21+J22+L22</f>
        <v>0</v>
      </c>
    </row>
    <row r="23" customFormat="false" ht="15" hidden="false" customHeight="false" outlineLevel="0" collapsed="false">
      <c r="B23" s="7" t="n">
        <v>4</v>
      </c>
      <c r="C23" s="26" t="n">
        <f aca="false">IF(4&lt;=20,Flows!$P$10,0)</f>
        <v>46.36625</v>
      </c>
      <c r="D23" s="26" t="n">
        <f aca="false">(Q22+C23)*(1+Inputs!$D$31)^0.25</f>
        <v>150.905628262768</v>
      </c>
      <c r="E23" s="26" t="n">
        <f aca="false">M23-N22</f>
        <v>143.129</v>
      </c>
      <c r="F23" s="26" t="n">
        <f aca="false">IF(4&lt;=20,Flows!$Q$10,0)+IF(4=20,$E$16,0)</f>
        <v>0</v>
      </c>
      <c r="G23" s="26" t="n">
        <f aca="false">MIN(F23,MAX(E23,D23,0))</f>
        <v>0</v>
      </c>
      <c r="H23" s="26" t="n">
        <f aca="false">MIN(G23,E23)</f>
        <v>0</v>
      </c>
      <c r="I23" s="26" t="n">
        <f aca="false">G23-H23</f>
        <v>0</v>
      </c>
      <c r="J23" s="26" t="n">
        <f aca="false">MIN(F23-G23,MAX(0,O23*Inputs!$D$32/(1-Inputs!$D$32)-P22))</f>
        <v>0</v>
      </c>
      <c r="K23" s="26" t="n">
        <f aca="false">F23-G23-J23-L23</f>
        <v>0</v>
      </c>
      <c r="L23" s="26" t="n">
        <f aca="false">(F23-G23-J23)*Inputs!$D$32</f>
        <v>0</v>
      </c>
      <c r="M23" s="26" t="n">
        <f aca="false">C23+M22</f>
        <v>143.129</v>
      </c>
      <c r="N23" s="26" t="n">
        <f aca="false">N22+H23</f>
        <v>0</v>
      </c>
      <c r="O23" s="26" t="n">
        <f aca="false">O22+I23</f>
        <v>0</v>
      </c>
      <c r="P23" s="26" t="n">
        <f aca="false">P22+J23</f>
        <v>0</v>
      </c>
      <c r="Q23" s="26" t="n">
        <f aca="false">D23-G23</f>
        <v>150.905628262768</v>
      </c>
      <c r="S23" s="26" t="n">
        <f aca="false">S22+J23+L23</f>
        <v>0</v>
      </c>
    </row>
    <row r="24" customFormat="false" ht="15" hidden="false" customHeight="false" outlineLevel="0" collapsed="false">
      <c r="B24" s="7" t="n">
        <v>5</v>
      </c>
      <c r="C24" s="26" t="n">
        <f aca="false">IF(5&lt;=20,Flows!$P$11,0)</f>
        <v>1.36625</v>
      </c>
      <c r="D24" s="26" t="n">
        <f aca="false">(Q23+C24)*(1+Inputs!$D$31)^0.25</f>
        <v>155.22999504865</v>
      </c>
      <c r="E24" s="26" t="n">
        <f aca="false">M24-N23</f>
        <v>144.49525</v>
      </c>
      <c r="F24" s="26" t="n">
        <f aca="false">IF(5&lt;=20,Flows!$Q$11,0)+IF(5=20,$E$16,0)</f>
        <v>0</v>
      </c>
      <c r="G24" s="26" t="n">
        <f aca="false">MIN(F24,MAX(E24,D24,0))</f>
        <v>0</v>
      </c>
      <c r="H24" s="26" t="n">
        <f aca="false">MIN(G24,E24)</f>
        <v>0</v>
      </c>
      <c r="I24" s="26" t="n">
        <f aca="false">G24-H24</f>
        <v>0</v>
      </c>
      <c r="J24" s="26" t="n">
        <f aca="false">MIN(F24-G24,MAX(0,O24*Inputs!$D$32/(1-Inputs!$D$32)-P23))</f>
        <v>0</v>
      </c>
      <c r="K24" s="26" t="n">
        <f aca="false">F24-G24-J24-L24</f>
        <v>0</v>
      </c>
      <c r="L24" s="26" t="n">
        <f aca="false">(F24-G24-J24)*Inputs!$D$32</f>
        <v>0</v>
      </c>
      <c r="M24" s="26" t="n">
        <f aca="false">C24+M23</f>
        <v>144.49525</v>
      </c>
      <c r="N24" s="26" t="n">
        <f aca="false">N23+H24</f>
        <v>0</v>
      </c>
      <c r="O24" s="26" t="n">
        <f aca="false">O23+I24</f>
        <v>0</v>
      </c>
      <c r="P24" s="26" t="n">
        <f aca="false">P23+J24</f>
        <v>0</v>
      </c>
      <c r="Q24" s="26" t="n">
        <f aca="false">D24-G24</f>
        <v>155.22999504865</v>
      </c>
      <c r="S24" s="26" t="n">
        <f aca="false">S23+J24+L24</f>
        <v>0</v>
      </c>
    </row>
    <row r="25" customFormat="false" ht="15" hidden="false" customHeight="false" outlineLevel="0" collapsed="false">
      <c r="B25" s="7" t="n">
        <v>6</v>
      </c>
      <c r="C25" s="26" t="n">
        <f aca="false">IF(6&lt;=20,Flows!$P$12,0)</f>
        <v>61.06625</v>
      </c>
      <c r="D25" s="26" t="n">
        <f aca="false">(Q24+C25)*(1+Inputs!$D$31)^0.25</f>
        <v>220.498134199172</v>
      </c>
      <c r="E25" s="26" t="n">
        <f aca="false">M25-N24</f>
        <v>205.5615</v>
      </c>
      <c r="F25" s="26" t="n">
        <f aca="false">IF(6&lt;=20,Flows!$Q$12,0)+IF(6=20,$E$16,0)</f>
        <v>0</v>
      </c>
      <c r="G25" s="26" t="n">
        <f aca="false">MIN(F25,MAX(E25,D25,0))</f>
        <v>0</v>
      </c>
      <c r="H25" s="26" t="n">
        <f aca="false">MIN(G25,E25)</f>
        <v>0</v>
      </c>
      <c r="I25" s="26" t="n">
        <f aca="false">G25-H25</f>
        <v>0</v>
      </c>
      <c r="J25" s="26" t="n">
        <f aca="false">MIN(F25-G25,MAX(0,O25*Inputs!$D$32/(1-Inputs!$D$32)-P24))</f>
        <v>0</v>
      </c>
      <c r="K25" s="26" t="n">
        <f aca="false">F25-G25-J25-L25</f>
        <v>0</v>
      </c>
      <c r="L25" s="26" t="n">
        <f aca="false">(F25-G25-J25)*Inputs!$D$32</f>
        <v>0</v>
      </c>
      <c r="M25" s="26" t="n">
        <f aca="false">C25+M24</f>
        <v>205.5615</v>
      </c>
      <c r="N25" s="26" t="n">
        <f aca="false">N24+H25</f>
        <v>0</v>
      </c>
      <c r="O25" s="26" t="n">
        <f aca="false">O24+I25</f>
        <v>0</v>
      </c>
      <c r="P25" s="26" t="n">
        <f aca="false">P24+J25</f>
        <v>0</v>
      </c>
      <c r="Q25" s="26" t="n">
        <f aca="false">D25-G25</f>
        <v>220.498134199172</v>
      </c>
      <c r="S25" s="26" t="n">
        <f aca="false">S24+J25+L25</f>
        <v>0</v>
      </c>
    </row>
    <row r="26" customFormat="false" ht="15" hidden="false" customHeight="false" outlineLevel="0" collapsed="false">
      <c r="B26" s="7" t="n">
        <v>7</v>
      </c>
      <c r="C26" s="26" t="n">
        <f aca="false">IF(7&lt;=20,Flows!$P$13,0)</f>
        <v>2.26625</v>
      </c>
      <c r="D26" s="26" t="n">
        <f aca="false">(Q25+C26)*(1+Inputs!$D$31)^0.25</f>
        <v>227.091926958309</v>
      </c>
      <c r="E26" s="26" t="n">
        <f aca="false">M26-N25</f>
        <v>207.82775</v>
      </c>
      <c r="F26" s="26" t="n">
        <f aca="false">IF(7&lt;=20,Flows!$Q$13,0)+IF(7=20,$E$16,0)</f>
        <v>0</v>
      </c>
      <c r="G26" s="26" t="n">
        <f aca="false">MIN(F26,MAX(E26,D26,0))</f>
        <v>0</v>
      </c>
      <c r="H26" s="26" t="n">
        <f aca="false">MIN(G26,E26)</f>
        <v>0</v>
      </c>
      <c r="I26" s="26" t="n">
        <f aca="false">G26-H26</f>
        <v>0</v>
      </c>
      <c r="J26" s="26" t="n">
        <f aca="false">MIN(F26-G26,MAX(0,O26*Inputs!$D$32/(1-Inputs!$D$32)-P25))</f>
        <v>0</v>
      </c>
      <c r="K26" s="26" t="n">
        <f aca="false">F26-G26-J26-L26</f>
        <v>0</v>
      </c>
      <c r="L26" s="26" t="n">
        <f aca="false">(F26-G26-J26)*Inputs!$D$32</f>
        <v>0</v>
      </c>
      <c r="M26" s="26" t="n">
        <f aca="false">C26+M25</f>
        <v>207.82775</v>
      </c>
      <c r="N26" s="26" t="n">
        <f aca="false">N25+H26</f>
        <v>0</v>
      </c>
      <c r="O26" s="26" t="n">
        <f aca="false">O25+I26</f>
        <v>0</v>
      </c>
      <c r="P26" s="26" t="n">
        <f aca="false">P25+J26</f>
        <v>0</v>
      </c>
      <c r="Q26" s="26" t="n">
        <f aca="false">D26-G26</f>
        <v>227.091926958309</v>
      </c>
      <c r="S26" s="26" t="n">
        <f aca="false">S25+J26+L26</f>
        <v>0</v>
      </c>
    </row>
    <row r="27" customFormat="false" ht="15" hidden="false" customHeight="false" outlineLevel="0" collapsed="false">
      <c r="B27" s="7" t="n">
        <v>8</v>
      </c>
      <c r="C27" s="26" t="n">
        <f aca="false">IF(8&lt;=20,Flows!$P$14,0)</f>
        <v>56.16625</v>
      </c>
      <c r="D27" s="26" t="n">
        <f aca="false">(Q26+C27)*(1+Inputs!$D$31)^0.25</f>
        <v>288.760905220142</v>
      </c>
      <c r="E27" s="26" t="n">
        <f aca="false">M27-N26</f>
        <v>263.994</v>
      </c>
      <c r="F27" s="26" t="n">
        <f aca="false">IF(8&lt;=20,Flows!$Q$14,0)+IF(8=20,$E$16,0)</f>
        <v>0</v>
      </c>
      <c r="G27" s="26" t="n">
        <f aca="false">MIN(F27,MAX(E27,D27,0))</f>
        <v>0</v>
      </c>
      <c r="H27" s="26" t="n">
        <f aca="false">MIN(G27,E27)</f>
        <v>0</v>
      </c>
      <c r="I27" s="26" t="n">
        <f aca="false">G27-H27</f>
        <v>0</v>
      </c>
      <c r="J27" s="26" t="n">
        <f aca="false">MIN(F27-G27,MAX(0,O27*Inputs!$D$32/(1-Inputs!$D$32)-P26))</f>
        <v>0</v>
      </c>
      <c r="K27" s="26" t="n">
        <f aca="false">F27-G27-J27-L27</f>
        <v>0</v>
      </c>
      <c r="L27" s="26" t="n">
        <f aca="false">(F27-G27-J27)*Inputs!$D$32</f>
        <v>0</v>
      </c>
      <c r="M27" s="26" t="n">
        <f aca="false">C27+M26</f>
        <v>263.994</v>
      </c>
      <c r="N27" s="26" t="n">
        <f aca="false">N26+H27</f>
        <v>0</v>
      </c>
      <c r="O27" s="26" t="n">
        <f aca="false">O26+I27</f>
        <v>0</v>
      </c>
      <c r="P27" s="26" t="n">
        <f aca="false">P26+J27</f>
        <v>0</v>
      </c>
      <c r="Q27" s="26" t="n">
        <f aca="false">D27-G27</f>
        <v>288.760905220142</v>
      </c>
      <c r="S27" s="26" t="n">
        <f aca="false">S26+J27+L27</f>
        <v>0</v>
      </c>
    </row>
    <row r="28" customFormat="false" ht="15" hidden="false" customHeight="false" outlineLevel="0" collapsed="false">
      <c r="B28" s="7" t="n">
        <v>9</v>
      </c>
      <c r="C28" s="26" t="n">
        <f aca="false">IF(9&lt;=20,Flows!$P$15,0)</f>
        <v>2.26625</v>
      </c>
      <c r="D28" s="26" t="n">
        <f aca="false">(Q27+C28)*(1+Inputs!$D$31)^0.25</f>
        <v>296.680807902608</v>
      </c>
      <c r="E28" s="26" t="n">
        <f aca="false">M28-N27</f>
        <v>266.26025</v>
      </c>
      <c r="F28" s="26" t="n">
        <f aca="false">IF(9&lt;=20,Flows!$Q$15,0)+IF(9=20,$E$16,0)</f>
        <v>0</v>
      </c>
      <c r="G28" s="26" t="n">
        <f aca="false">MIN(F28,MAX(E28,D28,0))</f>
        <v>0</v>
      </c>
      <c r="H28" s="26" t="n">
        <f aca="false">MIN(G28,E28)</f>
        <v>0</v>
      </c>
      <c r="I28" s="26" t="n">
        <f aca="false">G28-H28</f>
        <v>0</v>
      </c>
      <c r="J28" s="26" t="n">
        <f aca="false">MIN(F28-G28,MAX(0,O28*Inputs!$D$32/(1-Inputs!$D$32)-P27))</f>
        <v>0</v>
      </c>
      <c r="K28" s="26" t="n">
        <f aca="false">F28-G28-J28-L28</f>
        <v>0</v>
      </c>
      <c r="L28" s="26" t="n">
        <f aca="false">(F28-G28-J28)*Inputs!$D$32</f>
        <v>0</v>
      </c>
      <c r="M28" s="26" t="n">
        <f aca="false">C28+M27</f>
        <v>266.26025</v>
      </c>
      <c r="N28" s="26" t="n">
        <f aca="false">N27+H28</f>
        <v>0</v>
      </c>
      <c r="O28" s="26" t="n">
        <f aca="false">O27+I28</f>
        <v>0</v>
      </c>
      <c r="P28" s="26" t="n">
        <f aca="false">P27+J28</f>
        <v>0</v>
      </c>
      <c r="Q28" s="26" t="n">
        <f aca="false">D28-G28</f>
        <v>296.680807902608</v>
      </c>
      <c r="S28" s="26" t="n">
        <f aca="false">S27+J28+L28</f>
        <v>0</v>
      </c>
    </row>
    <row r="29" customFormat="false" ht="15" hidden="false" customHeight="false" outlineLevel="0" collapsed="false">
      <c r="B29" s="7" t="n">
        <v>10</v>
      </c>
      <c r="C29" s="26" t="n">
        <f aca="false">IF(10&lt;=20,Flows!$P$16,0)</f>
        <v>70.86625</v>
      </c>
      <c r="D29" s="26" t="n">
        <f aca="false">(Q28+C29)*(1+Inputs!$D$31)^0.25</f>
        <v>374.68722806395</v>
      </c>
      <c r="E29" s="26" t="n">
        <f aca="false">M29-N28</f>
        <v>337.1265</v>
      </c>
      <c r="F29" s="26" t="n">
        <f aca="false">IF(10&lt;=20,Flows!$Q$16,0)+IF(10=20,$E$16,0)</f>
        <v>0</v>
      </c>
      <c r="G29" s="26" t="n">
        <f aca="false">MIN(F29,MAX(E29,D29,0))</f>
        <v>0</v>
      </c>
      <c r="H29" s="26" t="n">
        <f aca="false">MIN(G29,E29)</f>
        <v>0</v>
      </c>
      <c r="I29" s="26" t="n">
        <f aca="false">G29-H29</f>
        <v>0</v>
      </c>
      <c r="J29" s="26" t="n">
        <f aca="false">MIN(F29-G29,MAX(0,O29*Inputs!$D$32/(1-Inputs!$D$32)-P28))</f>
        <v>0</v>
      </c>
      <c r="K29" s="26" t="n">
        <f aca="false">F29-G29-J29-L29</f>
        <v>0</v>
      </c>
      <c r="L29" s="26" t="n">
        <f aca="false">(F29-G29-J29)*Inputs!$D$32</f>
        <v>0</v>
      </c>
      <c r="M29" s="26" t="n">
        <f aca="false">C29+M28</f>
        <v>337.1265</v>
      </c>
      <c r="N29" s="26" t="n">
        <f aca="false">N28+H29</f>
        <v>0</v>
      </c>
      <c r="O29" s="26" t="n">
        <f aca="false">O28+I29</f>
        <v>0</v>
      </c>
      <c r="P29" s="26" t="n">
        <f aca="false">P28+J29</f>
        <v>0</v>
      </c>
      <c r="Q29" s="26" t="n">
        <f aca="false">D29-G29</f>
        <v>374.68722806395</v>
      </c>
      <c r="S29" s="26" t="n">
        <f aca="false">S28+J29+L29</f>
        <v>0</v>
      </c>
    </row>
    <row r="30" customFormat="false" ht="15" hidden="false" customHeight="false" outlineLevel="0" collapsed="false">
      <c r="B30" s="7" t="n">
        <v>11</v>
      </c>
      <c r="C30" s="26" t="n">
        <f aca="false">IF(11&lt;=20,Flows!$P$17,0)</f>
        <v>2.26625</v>
      </c>
      <c r="D30" s="26" t="n">
        <f aca="false">(Q29+C30)*(1+Inputs!$D$31)^0.25</f>
        <v>384.276382487797</v>
      </c>
      <c r="E30" s="26" t="n">
        <f aca="false">M30-N29</f>
        <v>339.39275</v>
      </c>
      <c r="F30" s="26" t="n">
        <f aca="false">IF(11&lt;=20,Flows!$Q$17,0)+IF(11=20,$E$16,0)</f>
        <v>0</v>
      </c>
      <c r="G30" s="26" t="n">
        <f aca="false">MIN(F30,MAX(E30,D30,0))</f>
        <v>0</v>
      </c>
      <c r="H30" s="26" t="n">
        <f aca="false">MIN(G30,E30)</f>
        <v>0</v>
      </c>
      <c r="I30" s="26" t="n">
        <f aca="false">G30-H30</f>
        <v>0</v>
      </c>
      <c r="J30" s="26" t="n">
        <f aca="false">MIN(F30-G30,MAX(0,O30*Inputs!$D$32/(1-Inputs!$D$32)-P29))</f>
        <v>0</v>
      </c>
      <c r="K30" s="26" t="n">
        <f aca="false">F30-G30-J30-L30</f>
        <v>0</v>
      </c>
      <c r="L30" s="26" t="n">
        <f aca="false">(F30-G30-J30)*Inputs!$D$32</f>
        <v>0</v>
      </c>
      <c r="M30" s="26" t="n">
        <f aca="false">C30+M29</f>
        <v>339.39275</v>
      </c>
      <c r="N30" s="26" t="n">
        <f aca="false">N29+H30</f>
        <v>0</v>
      </c>
      <c r="O30" s="26" t="n">
        <f aca="false">O29+I30</f>
        <v>0</v>
      </c>
      <c r="P30" s="26" t="n">
        <f aca="false">P29+J30</f>
        <v>0</v>
      </c>
      <c r="Q30" s="26" t="n">
        <f aca="false">D30-G30</f>
        <v>384.276382487797</v>
      </c>
      <c r="S30" s="26" t="n">
        <f aca="false">S29+J30+L30</f>
        <v>0</v>
      </c>
    </row>
    <row r="31" customFormat="false" ht="15" hidden="false" customHeight="false" outlineLevel="0" collapsed="false">
      <c r="B31" s="7" t="n">
        <v>12</v>
      </c>
      <c r="C31" s="26" t="n">
        <f aca="false">IF(12&lt;=20,Flows!$P$18,0)</f>
        <v>53.22625</v>
      </c>
      <c r="D31" s="26" t="n">
        <f aca="false">(Q30+C31)*(1+Inputs!$D$31)^0.25</f>
        <v>446.001797900314</v>
      </c>
      <c r="E31" s="26" t="n">
        <f aca="false">M31-N30</f>
        <v>392.619</v>
      </c>
      <c r="F31" s="26" t="n">
        <f aca="false">IF(12&lt;=20,Flows!$Q$18,0)+IF(12=20,$E$16,0)</f>
        <v>0</v>
      </c>
      <c r="G31" s="26" t="n">
        <f aca="false">MIN(F31,MAX(E31,D31,0))</f>
        <v>0</v>
      </c>
      <c r="H31" s="26" t="n">
        <f aca="false">MIN(G31,E31)</f>
        <v>0</v>
      </c>
      <c r="I31" s="26" t="n">
        <f aca="false">G31-H31</f>
        <v>0</v>
      </c>
      <c r="J31" s="26" t="n">
        <f aca="false">MIN(F31-G31,MAX(0,O31*Inputs!$D$32/(1-Inputs!$D$32)-P30))</f>
        <v>0</v>
      </c>
      <c r="K31" s="26" t="n">
        <f aca="false">F31-G31-J31-L31</f>
        <v>0</v>
      </c>
      <c r="L31" s="26" t="n">
        <f aca="false">(F31-G31-J31)*Inputs!$D$32</f>
        <v>0</v>
      </c>
      <c r="M31" s="26" t="n">
        <f aca="false">C31+M30</f>
        <v>392.619</v>
      </c>
      <c r="N31" s="26" t="n">
        <f aca="false">N30+H31</f>
        <v>0</v>
      </c>
      <c r="O31" s="26" t="n">
        <f aca="false">O30+I31</f>
        <v>0</v>
      </c>
      <c r="P31" s="26" t="n">
        <f aca="false">P30+J31</f>
        <v>0</v>
      </c>
      <c r="Q31" s="26" t="n">
        <f aca="false">D31-G31</f>
        <v>446.001797900314</v>
      </c>
      <c r="S31" s="26" t="n">
        <f aca="false">S30+J31+L31</f>
        <v>0</v>
      </c>
    </row>
    <row r="32" customFormat="false" ht="15" hidden="false" customHeight="false" outlineLevel="0" collapsed="false">
      <c r="B32" s="7" t="n">
        <v>13</v>
      </c>
      <c r="C32" s="26" t="n">
        <f aca="false">IF(13&lt;=20,Flows!$P$19,0)</f>
        <v>2.26625</v>
      </c>
      <c r="D32" s="26" t="n">
        <f aca="false">(Q31+C32)*(1+Inputs!$D$31)^0.25</f>
        <v>456.97634816033</v>
      </c>
      <c r="E32" s="26" t="n">
        <f aca="false">M32-N31</f>
        <v>394.88525</v>
      </c>
      <c r="F32" s="26" t="n">
        <f aca="false">IF(13&lt;=20,Flows!$Q$19,0)+IF(13=20,$E$16,0)</f>
        <v>0</v>
      </c>
      <c r="G32" s="26" t="n">
        <f aca="false">MIN(F32,MAX(E32,D32,0))</f>
        <v>0</v>
      </c>
      <c r="H32" s="26" t="n">
        <f aca="false">MIN(G32,E32)</f>
        <v>0</v>
      </c>
      <c r="I32" s="26" t="n">
        <f aca="false">G32-H32</f>
        <v>0</v>
      </c>
      <c r="J32" s="26" t="n">
        <f aca="false">MIN(F32-G32,MAX(0,O32*Inputs!$D$32/(1-Inputs!$D$32)-P31))</f>
        <v>0</v>
      </c>
      <c r="K32" s="26" t="n">
        <f aca="false">F32-G32-J32-L32</f>
        <v>0</v>
      </c>
      <c r="L32" s="26" t="n">
        <f aca="false">(F32-G32-J32)*Inputs!$D$32</f>
        <v>0</v>
      </c>
      <c r="M32" s="26" t="n">
        <f aca="false">C32+M31</f>
        <v>394.88525</v>
      </c>
      <c r="N32" s="26" t="n">
        <f aca="false">N31+H32</f>
        <v>0</v>
      </c>
      <c r="O32" s="26" t="n">
        <f aca="false">O31+I32</f>
        <v>0</v>
      </c>
      <c r="P32" s="26" t="n">
        <f aca="false">P31+J32</f>
        <v>0</v>
      </c>
      <c r="Q32" s="26" t="n">
        <f aca="false">D32-G32</f>
        <v>456.97634816033</v>
      </c>
      <c r="S32" s="26" t="n">
        <f aca="false">S31+J32+L32</f>
        <v>0</v>
      </c>
    </row>
    <row r="33" customFormat="false" ht="15" hidden="false" customHeight="false" outlineLevel="0" collapsed="false">
      <c r="B33" s="7" t="n">
        <v>14</v>
      </c>
      <c r="C33" s="26" t="n">
        <f aca="false">IF(14&lt;=20,Flows!$P$20,0)</f>
        <v>51.26625</v>
      </c>
      <c r="D33" s="26" t="n">
        <f aca="false">(Q32+C33)*(1+Inputs!$D$31)^0.25</f>
        <v>518.115996834274</v>
      </c>
      <c r="E33" s="26" t="n">
        <f aca="false">M33-N32</f>
        <v>446.1515</v>
      </c>
      <c r="F33" s="26" t="n">
        <f aca="false">IF(14&lt;=20,Flows!$Q$20,0)+IF(14=20,$E$16,0)</f>
        <v>0</v>
      </c>
      <c r="G33" s="26" t="n">
        <f aca="false">MIN(F33,MAX(E33,D33,0))</f>
        <v>0</v>
      </c>
      <c r="H33" s="26" t="n">
        <f aca="false">MIN(G33,E33)</f>
        <v>0</v>
      </c>
      <c r="I33" s="26" t="n">
        <f aca="false">G33-H33</f>
        <v>0</v>
      </c>
      <c r="J33" s="26" t="n">
        <f aca="false">MIN(F33-G33,MAX(0,O33*Inputs!$D$32/(1-Inputs!$D$32)-P32))</f>
        <v>0</v>
      </c>
      <c r="K33" s="26" t="n">
        <f aca="false">F33-G33-J33-L33</f>
        <v>0</v>
      </c>
      <c r="L33" s="26" t="n">
        <f aca="false">(F33-G33-J33)*Inputs!$D$32</f>
        <v>0</v>
      </c>
      <c r="M33" s="26" t="n">
        <f aca="false">C33+M32</f>
        <v>446.1515</v>
      </c>
      <c r="N33" s="26" t="n">
        <f aca="false">N32+H33</f>
        <v>0</v>
      </c>
      <c r="O33" s="26" t="n">
        <f aca="false">O32+I33</f>
        <v>0</v>
      </c>
      <c r="P33" s="26" t="n">
        <f aca="false">P32+J33</f>
        <v>0</v>
      </c>
      <c r="Q33" s="26" t="n">
        <f aca="false">D33-G33</f>
        <v>518.115996834274</v>
      </c>
      <c r="S33" s="26" t="n">
        <f aca="false">S32+J33+L33</f>
        <v>0</v>
      </c>
    </row>
    <row r="34" customFormat="false" ht="15" hidden="false" customHeight="false" outlineLevel="0" collapsed="false">
      <c r="B34" s="7" t="n">
        <v>15</v>
      </c>
      <c r="C34" s="26" t="n">
        <f aca="false">IF(15&lt;=20,Flows!$P$21,0)</f>
        <v>2.26625</v>
      </c>
      <c r="D34" s="26" t="n">
        <f aca="false">(Q33+C34)*(1+Inputs!$D$31)^0.25</f>
        <v>530.491476962633</v>
      </c>
      <c r="E34" s="26" t="n">
        <f aca="false">M34-N33</f>
        <v>448.41775</v>
      </c>
      <c r="F34" s="26" t="n">
        <f aca="false">IF(15&lt;=20,Flows!$Q$21,0)+IF(15=20,$E$16,0)</f>
        <v>0</v>
      </c>
      <c r="G34" s="26" t="n">
        <f aca="false">MIN(F34,MAX(E34,D34,0))</f>
        <v>0</v>
      </c>
      <c r="H34" s="26" t="n">
        <f aca="false">MIN(G34,E34)</f>
        <v>0</v>
      </c>
      <c r="I34" s="26" t="n">
        <f aca="false">G34-H34</f>
        <v>0</v>
      </c>
      <c r="J34" s="26" t="n">
        <f aca="false">MIN(F34-G34,MAX(0,O34*Inputs!$D$32/(1-Inputs!$D$32)-P33))</f>
        <v>0</v>
      </c>
      <c r="K34" s="26" t="n">
        <f aca="false">F34-G34-J34-L34</f>
        <v>0</v>
      </c>
      <c r="L34" s="26" t="n">
        <f aca="false">(F34-G34-J34)*Inputs!$D$32</f>
        <v>0</v>
      </c>
      <c r="M34" s="26" t="n">
        <f aca="false">C34+M33</f>
        <v>448.41775</v>
      </c>
      <c r="N34" s="26" t="n">
        <f aca="false">N33+H34</f>
        <v>0</v>
      </c>
      <c r="O34" s="26" t="n">
        <f aca="false">O33+I34</f>
        <v>0</v>
      </c>
      <c r="P34" s="26" t="n">
        <f aca="false">P33+J34</f>
        <v>0</v>
      </c>
      <c r="Q34" s="26" t="n">
        <f aca="false">D34-G34</f>
        <v>530.491476962633</v>
      </c>
      <c r="S34" s="26" t="n">
        <f aca="false">S33+J34+L34</f>
        <v>0</v>
      </c>
    </row>
    <row r="35" customFormat="false" ht="15" hidden="false" customHeight="false" outlineLevel="0" collapsed="false">
      <c r="B35" s="7" t="n">
        <v>16</v>
      </c>
      <c r="C35" s="26" t="n">
        <f aca="false">IF(16&lt;=20,Flows!$P$22,0)</f>
        <v>2.26625</v>
      </c>
      <c r="D35" s="26" t="n">
        <f aca="false">(Q34+C35)*(1+Inputs!$D$31)^0.25</f>
        <v>543.107369936218</v>
      </c>
      <c r="E35" s="26" t="n">
        <f aca="false">M35-N34</f>
        <v>450.684</v>
      </c>
      <c r="F35" s="26" t="n">
        <f aca="false">IF(16&lt;=20,Flows!$Q$22,0)+IF(16=20,$E$16,0)</f>
        <v>105.84</v>
      </c>
      <c r="G35" s="26" t="n">
        <f aca="false">MIN(F35,MAX(E35,D35,0))</f>
        <v>105.84</v>
      </c>
      <c r="H35" s="26" t="n">
        <f aca="false">MIN(G35,E35)</f>
        <v>105.84</v>
      </c>
      <c r="I35" s="26" t="n">
        <f aca="false">G35-H35</f>
        <v>0</v>
      </c>
      <c r="J35" s="26" t="n">
        <f aca="false">MIN(F35-G35,MAX(0,O35*Inputs!$D$32/(1-Inputs!$D$32)-P34))</f>
        <v>0</v>
      </c>
      <c r="K35" s="26" t="n">
        <f aca="false">F35-G35-J35-L35</f>
        <v>0</v>
      </c>
      <c r="L35" s="26" t="n">
        <f aca="false">(F35-G35-J35)*Inputs!$D$32</f>
        <v>0</v>
      </c>
      <c r="M35" s="26" t="n">
        <f aca="false">C35+M34</f>
        <v>450.684</v>
      </c>
      <c r="N35" s="26" t="n">
        <f aca="false">N34+H35</f>
        <v>105.84</v>
      </c>
      <c r="O35" s="26" t="n">
        <f aca="false">O34+I35</f>
        <v>0</v>
      </c>
      <c r="P35" s="26" t="n">
        <f aca="false">P34+J35</f>
        <v>0</v>
      </c>
      <c r="Q35" s="26" t="n">
        <f aca="false">D35-G35</f>
        <v>437.267369936218</v>
      </c>
      <c r="S35" s="26" t="n">
        <f aca="false">S34+J35+L35</f>
        <v>0</v>
      </c>
    </row>
    <row r="36" customFormat="false" ht="15" hidden="false" customHeight="false" outlineLevel="0" collapsed="false">
      <c r="B36" s="7" t="n">
        <v>17</v>
      </c>
      <c r="C36" s="26" t="n">
        <f aca="false">IF(17&lt;=20,Flows!$P$23,0)</f>
        <v>2.26625</v>
      </c>
      <c r="D36" s="26" t="n">
        <f aca="false">(Q35+C36)*(1+Inputs!$D$31)^0.25</f>
        <v>448.072240421672</v>
      </c>
      <c r="E36" s="26" t="n">
        <f aca="false">M36-N35</f>
        <v>347.11025</v>
      </c>
      <c r="F36" s="26" t="n">
        <f aca="false">IF(17&lt;=20,Flows!$Q$23,0)+IF(17=20,$E$16,0)</f>
        <v>0</v>
      </c>
      <c r="G36" s="26" t="n">
        <f aca="false">MIN(F36,MAX(E36,D36,0))</f>
        <v>0</v>
      </c>
      <c r="H36" s="26" t="n">
        <f aca="false">MIN(G36,E36)</f>
        <v>0</v>
      </c>
      <c r="I36" s="26" t="n">
        <f aca="false">G36-H36</f>
        <v>0</v>
      </c>
      <c r="J36" s="26" t="n">
        <f aca="false">MIN(F36-G36,MAX(0,O36*Inputs!$D$32/(1-Inputs!$D$32)-P35))</f>
        <v>0</v>
      </c>
      <c r="K36" s="26" t="n">
        <f aca="false">F36-G36-J36-L36</f>
        <v>0</v>
      </c>
      <c r="L36" s="26" t="n">
        <f aca="false">(F36-G36-J36)*Inputs!$D$32</f>
        <v>0</v>
      </c>
      <c r="M36" s="26" t="n">
        <f aca="false">C36+M35</f>
        <v>452.95025</v>
      </c>
      <c r="N36" s="26" t="n">
        <f aca="false">N35+H36</f>
        <v>105.84</v>
      </c>
      <c r="O36" s="26" t="n">
        <f aca="false">O35+I36</f>
        <v>0</v>
      </c>
      <c r="P36" s="26" t="n">
        <f aca="false">P35+J36</f>
        <v>0</v>
      </c>
      <c r="Q36" s="26" t="n">
        <f aca="false">D36-G36</f>
        <v>448.072240421672</v>
      </c>
      <c r="S36" s="26" t="n">
        <f aca="false">S35+J36+L36</f>
        <v>0</v>
      </c>
    </row>
    <row r="37" customFormat="false" ht="15" hidden="false" customHeight="false" outlineLevel="0" collapsed="false">
      <c r="B37" s="7" t="n">
        <v>18</v>
      </c>
      <c r="C37" s="26" t="n">
        <f aca="false">IF(18&lt;=20,Flows!$P$24,0)</f>
        <v>2.26625</v>
      </c>
      <c r="D37" s="26" t="n">
        <f aca="false">(Q36+C37)*(1+Inputs!$D$31)^0.25</f>
        <v>459.087012230449</v>
      </c>
      <c r="E37" s="26" t="n">
        <f aca="false">M37-N36</f>
        <v>349.3765</v>
      </c>
      <c r="F37" s="26" t="n">
        <f aca="false">IF(18&lt;=20,Flows!$Q$24,0)+IF(18=20,$E$16,0)</f>
        <v>97.02</v>
      </c>
      <c r="G37" s="26" t="n">
        <f aca="false">MIN(F37,MAX(E37,D37,0))</f>
        <v>97.02</v>
      </c>
      <c r="H37" s="26" t="n">
        <f aca="false">MIN(G37,E37)</f>
        <v>97.02</v>
      </c>
      <c r="I37" s="26" t="n">
        <f aca="false">G37-H37</f>
        <v>0</v>
      </c>
      <c r="J37" s="26" t="n">
        <f aca="false">MIN(F37-G37,MAX(0,O37*Inputs!$D$32/(1-Inputs!$D$32)-P36))</f>
        <v>0</v>
      </c>
      <c r="K37" s="26" t="n">
        <f aca="false">F37-G37-J37-L37</f>
        <v>0</v>
      </c>
      <c r="L37" s="26" t="n">
        <f aca="false">(F37-G37-J37)*Inputs!$D$32</f>
        <v>0</v>
      </c>
      <c r="M37" s="26" t="n">
        <f aca="false">C37+M36</f>
        <v>455.2165</v>
      </c>
      <c r="N37" s="26" t="n">
        <f aca="false">N36+H37</f>
        <v>202.86</v>
      </c>
      <c r="O37" s="26" t="n">
        <f aca="false">O36+I37</f>
        <v>0</v>
      </c>
      <c r="P37" s="26" t="n">
        <f aca="false">P36+J37</f>
        <v>0</v>
      </c>
      <c r="Q37" s="26" t="n">
        <f aca="false">D37-G37</f>
        <v>362.067012230449</v>
      </c>
      <c r="S37" s="26" t="n">
        <f aca="false">S36+J37+L37</f>
        <v>0</v>
      </c>
    </row>
    <row r="38" customFormat="false" ht="15" hidden="false" customHeight="false" outlineLevel="0" collapsed="false">
      <c r="B38" s="7" t="n">
        <v>19</v>
      </c>
      <c r="C38" s="26" t="n">
        <f aca="false">IF(19&lt;=20,Flows!$P$25,0)</f>
        <v>2.26625</v>
      </c>
      <c r="D38" s="26" t="n">
        <f aca="false">(Q37+C38)*(1+Inputs!$D$31)^0.25</f>
        <v>371.410999439414</v>
      </c>
      <c r="E38" s="26" t="n">
        <f aca="false">M38-N37</f>
        <v>254.62275</v>
      </c>
      <c r="F38" s="26" t="n">
        <f aca="false">IF(19&lt;=20,Flows!$Q$25,0)+IF(19=20,$E$16,0)</f>
        <v>0</v>
      </c>
      <c r="G38" s="26" t="n">
        <f aca="false">MIN(F38,MAX(E38,D38,0))</f>
        <v>0</v>
      </c>
      <c r="H38" s="26" t="n">
        <f aca="false">MIN(G38,E38)</f>
        <v>0</v>
      </c>
      <c r="I38" s="26" t="n">
        <f aca="false">G38-H38</f>
        <v>0</v>
      </c>
      <c r="J38" s="26" t="n">
        <f aca="false">MIN(F38-G38,MAX(0,O38*Inputs!$D$32/(1-Inputs!$D$32)-P37))</f>
        <v>0</v>
      </c>
      <c r="K38" s="26" t="n">
        <f aca="false">F38-G38-J38-L38</f>
        <v>0</v>
      </c>
      <c r="L38" s="26" t="n">
        <f aca="false">(F38-G38-J38)*Inputs!$D$32</f>
        <v>0</v>
      </c>
      <c r="M38" s="26" t="n">
        <f aca="false">C38+M37</f>
        <v>457.48275</v>
      </c>
      <c r="N38" s="26" t="n">
        <f aca="false">N37+H38</f>
        <v>202.86</v>
      </c>
      <c r="O38" s="26" t="n">
        <f aca="false">O37+I38</f>
        <v>0</v>
      </c>
      <c r="P38" s="26" t="n">
        <f aca="false">P37+J38</f>
        <v>0</v>
      </c>
      <c r="Q38" s="26" t="n">
        <f aca="false">D38-G38</f>
        <v>371.410999439414</v>
      </c>
      <c r="S38" s="26" t="n">
        <f aca="false">S37+J38+L38</f>
        <v>0</v>
      </c>
    </row>
    <row r="39" customFormat="false" ht="15" hidden="false" customHeight="false" outlineLevel="0" collapsed="false">
      <c r="B39" s="7" t="n">
        <v>20</v>
      </c>
      <c r="C39" s="26" t="n">
        <f aca="false">IF(20&lt;=20,Flows!$P$26,0)</f>
        <v>2.26625</v>
      </c>
      <c r="D39" s="26" t="n">
        <f aca="false">(Q38+C39)*(1+Inputs!$D$31)^0.25</f>
        <v>380.936508054203</v>
      </c>
      <c r="E39" s="26" t="n">
        <f aca="false">M39-N38</f>
        <v>256.889</v>
      </c>
      <c r="F39" s="26" t="n">
        <f aca="false">IF(20&lt;=20,Flows!$Q$26,0)+IF(20=20,$E$16,0)</f>
        <v>445.327734684573</v>
      </c>
      <c r="G39" s="26" t="n">
        <f aca="false">MIN(F39,MAX(E39,D39,0))</f>
        <v>380.936508054203</v>
      </c>
      <c r="H39" s="26" t="n">
        <f aca="false">MIN(G39,E39)</f>
        <v>256.889</v>
      </c>
      <c r="I39" s="26" t="n">
        <f aca="false">G39-H39</f>
        <v>124.047508054203</v>
      </c>
      <c r="J39" s="26" t="n">
        <f aca="false">MIN(F39-G39,MAX(0,O39*Inputs!$D$32/(1-Inputs!$D$32)-P38))</f>
        <v>31.0118770135507</v>
      </c>
      <c r="K39" s="26" t="n">
        <f aca="false">F39-G39-J39-L39</f>
        <v>26.7034796934556</v>
      </c>
      <c r="L39" s="26" t="n">
        <f aca="false">(F39-G39-J39)*Inputs!$D$32</f>
        <v>6.6758699233639</v>
      </c>
      <c r="M39" s="26" t="n">
        <f aca="false">C39+M38</f>
        <v>459.749</v>
      </c>
      <c r="N39" s="26" t="n">
        <f aca="false">N38+H39</f>
        <v>459.749</v>
      </c>
      <c r="O39" s="26" t="n">
        <f aca="false">O38+I39</f>
        <v>124.047508054203</v>
      </c>
      <c r="P39" s="26" t="n">
        <f aca="false">P38+J39</f>
        <v>31.0118770135507</v>
      </c>
      <c r="Q39" s="26" t="n">
        <f aca="false">D39-G39</f>
        <v>0</v>
      </c>
      <c r="S39" s="26" t="n">
        <f aca="false">S38+J39+L39</f>
        <v>37.6877469369146</v>
      </c>
    </row>
    <row r="40" customFormat="false" ht="15" hidden="false" customHeight="false" outlineLevel="0" collapsed="false">
      <c r="B40" s="7" t="n">
        <v>21</v>
      </c>
      <c r="C40" s="26" t="n">
        <f aca="false">IF(21&lt;=20,Flows!$P$27,0)</f>
        <v>0</v>
      </c>
      <c r="D40" s="26" t="n">
        <f aca="false">(Q39+C40)*(1+Inputs!$D$31)^0.25</f>
        <v>0</v>
      </c>
      <c r="E40" s="26" t="n">
        <f aca="false">M40-N39</f>
        <v>0</v>
      </c>
      <c r="F40" s="26" t="n">
        <f aca="false">IF(21&lt;=20,Flows!$Q$27,0)+IF(21=20,$E$16,0)</f>
        <v>0</v>
      </c>
      <c r="G40" s="26" t="n">
        <f aca="false">MIN(F40,MAX(E40,D40,0))</f>
        <v>0</v>
      </c>
      <c r="H40" s="26" t="n">
        <f aca="false">MIN(G40,E40)</f>
        <v>0</v>
      </c>
      <c r="I40" s="26" t="n">
        <f aca="false">G40-H40</f>
        <v>0</v>
      </c>
      <c r="J40" s="26" t="n">
        <f aca="false">MIN(F40-G40,MAX(0,O40*Inputs!$D$32/(1-Inputs!$D$32)-P39))</f>
        <v>0</v>
      </c>
      <c r="K40" s="26" t="n">
        <f aca="false">F40-G40-J40-L40</f>
        <v>0</v>
      </c>
      <c r="L40" s="26" t="n">
        <f aca="false">(F40-G40-J40)*Inputs!$D$32</f>
        <v>0</v>
      </c>
      <c r="M40" s="26" t="n">
        <f aca="false">C40+M39</f>
        <v>459.749</v>
      </c>
      <c r="N40" s="26" t="n">
        <f aca="false">N39+H40</f>
        <v>459.749</v>
      </c>
      <c r="O40" s="26" t="n">
        <f aca="false">O39+I40</f>
        <v>124.047508054203</v>
      </c>
      <c r="P40" s="26" t="n">
        <f aca="false">P39+J40</f>
        <v>31.0118770135507</v>
      </c>
      <c r="Q40" s="26" t="n">
        <f aca="false">D40-G40</f>
        <v>0</v>
      </c>
      <c r="S40" s="26" t="n">
        <f aca="false">S39+J40+L40</f>
        <v>37.6877469369146</v>
      </c>
    </row>
    <row r="41" customFormat="false" ht="15" hidden="false" customHeight="false" outlineLevel="0" collapsed="false">
      <c r="B41" s="7" t="n">
        <v>22</v>
      </c>
      <c r="C41" s="26" t="n">
        <f aca="false">IF(22&lt;=20,Flows!$P$28,0)</f>
        <v>0</v>
      </c>
      <c r="D41" s="26" t="n">
        <f aca="false">(Q40+C41)*(1+Inputs!$D$31)^0.25</f>
        <v>0</v>
      </c>
      <c r="E41" s="26" t="n">
        <f aca="false">M41-N40</f>
        <v>0</v>
      </c>
      <c r="F41" s="26" t="n">
        <f aca="false">IF(22&lt;=20,Flows!$Q$28,0)+IF(22=20,$E$16,0)</f>
        <v>0</v>
      </c>
      <c r="G41" s="26" t="n">
        <f aca="false">MIN(F41,MAX(E41,D41,0))</f>
        <v>0</v>
      </c>
      <c r="H41" s="26" t="n">
        <f aca="false">MIN(G41,E41)</f>
        <v>0</v>
      </c>
      <c r="I41" s="26" t="n">
        <f aca="false">G41-H41</f>
        <v>0</v>
      </c>
      <c r="J41" s="26" t="n">
        <f aca="false">MIN(F41-G41,MAX(0,O41*Inputs!$D$32/(1-Inputs!$D$32)-P40))</f>
        <v>0</v>
      </c>
      <c r="K41" s="26" t="n">
        <f aca="false">F41-G41-J41-L41</f>
        <v>0</v>
      </c>
      <c r="L41" s="26" t="n">
        <f aca="false">(F41-G41-J41)*Inputs!$D$32</f>
        <v>0</v>
      </c>
      <c r="M41" s="26" t="n">
        <f aca="false">C41+M40</f>
        <v>459.749</v>
      </c>
      <c r="N41" s="26" t="n">
        <f aca="false">N40+H41</f>
        <v>459.749</v>
      </c>
      <c r="O41" s="26" t="n">
        <f aca="false">O40+I41</f>
        <v>124.047508054203</v>
      </c>
      <c r="P41" s="26" t="n">
        <f aca="false">P40+J41</f>
        <v>31.0118770135507</v>
      </c>
      <c r="Q41" s="26" t="n">
        <f aca="false">D41-G41</f>
        <v>0</v>
      </c>
      <c r="S41" s="26" t="n">
        <f aca="false">S40+J41+L41</f>
        <v>37.6877469369146</v>
      </c>
    </row>
    <row r="42" customFormat="false" ht="15" hidden="false" customHeight="false" outlineLevel="0" collapsed="false">
      <c r="B42" s="7" t="n">
        <v>23</v>
      </c>
      <c r="C42" s="26" t="n">
        <f aca="false">IF(23&lt;=20,Flows!$P$29,0)</f>
        <v>0</v>
      </c>
      <c r="D42" s="26" t="n">
        <f aca="false">(Q41+C42)*(1+Inputs!$D$31)^0.25</f>
        <v>0</v>
      </c>
      <c r="E42" s="26" t="n">
        <f aca="false">M42-N41</f>
        <v>0</v>
      </c>
      <c r="F42" s="26" t="n">
        <f aca="false">IF(23&lt;=20,Flows!$Q$29,0)+IF(23=20,$E$16,0)</f>
        <v>0</v>
      </c>
      <c r="G42" s="26" t="n">
        <f aca="false">MIN(F42,MAX(E42,D42,0))</f>
        <v>0</v>
      </c>
      <c r="H42" s="26" t="n">
        <f aca="false">MIN(G42,E42)</f>
        <v>0</v>
      </c>
      <c r="I42" s="26" t="n">
        <f aca="false">G42-H42</f>
        <v>0</v>
      </c>
      <c r="J42" s="26" t="n">
        <f aca="false">MIN(F42-G42,MAX(0,O42*Inputs!$D$32/(1-Inputs!$D$32)-P41))</f>
        <v>0</v>
      </c>
      <c r="K42" s="26" t="n">
        <f aca="false">F42-G42-J42-L42</f>
        <v>0</v>
      </c>
      <c r="L42" s="26" t="n">
        <f aca="false">(F42-G42-J42)*Inputs!$D$32</f>
        <v>0</v>
      </c>
      <c r="M42" s="26" t="n">
        <f aca="false">C42+M41</f>
        <v>459.749</v>
      </c>
      <c r="N42" s="26" t="n">
        <f aca="false">N41+H42</f>
        <v>459.749</v>
      </c>
      <c r="O42" s="26" t="n">
        <f aca="false">O41+I42</f>
        <v>124.047508054203</v>
      </c>
      <c r="P42" s="26" t="n">
        <f aca="false">P41+J42</f>
        <v>31.0118770135507</v>
      </c>
      <c r="Q42" s="26" t="n">
        <f aca="false">D42-G42</f>
        <v>0</v>
      </c>
      <c r="S42" s="26" t="n">
        <f aca="false">S41+J42+L42</f>
        <v>37.6877469369146</v>
      </c>
    </row>
    <row r="43" customFormat="false" ht="15" hidden="false" customHeight="false" outlineLevel="0" collapsed="false">
      <c r="B43" s="7" t="n">
        <v>24</v>
      </c>
      <c r="C43" s="26" t="n">
        <f aca="false">IF(24&lt;=20,Flows!$P$30,0)</f>
        <v>0</v>
      </c>
      <c r="D43" s="26" t="n">
        <f aca="false">(Q42+C43)*(1+Inputs!$D$31)^0.25</f>
        <v>0</v>
      </c>
      <c r="E43" s="26" t="n">
        <f aca="false">M43-N42</f>
        <v>0</v>
      </c>
      <c r="F43" s="26" t="n">
        <f aca="false">IF(24&lt;=20,Flows!$Q$30,0)+IF(24=20,$E$16,0)</f>
        <v>0</v>
      </c>
      <c r="G43" s="26" t="n">
        <f aca="false">MIN(F43,MAX(E43,D43,0))</f>
        <v>0</v>
      </c>
      <c r="H43" s="26" t="n">
        <f aca="false">MIN(G43,E43)</f>
        <v>0</v>
      </c>
      <c r="I43" s="26" t="n">
        <f aca="false">G43-H43</f>
        <v>0</v>
      </c>
      <c r="J43" s="26" t="n">
        <f aca="false">MIN(F43-G43,MAX(0,O43*Inputs!$D$32/(1-Inputs!$D$32)-P42))</f>
        <v>0</v>
      </c>
      <c r="K43" s="26" t="n">
        <f aca="false">F43-G43-J43-L43</f>
        <v>0</v>
      </c>
      <c r="L43" s="26" t="n">
        <f aca="false">(F43-G43-J43)*Inputs!$D$32</f>
        <v>0</v>
      </c>
      <c r="M43" s="26" t="n">
        <f aca="false">C43+M42</f>
        <v>459.749</v>
      </c>
      <c r="N43" s="26" t="n">
        <f aca="false">N42+H43</f>
        <v>459.749</v>
      </c>
      <c r="O43" s="26" t="n">
        <f aca="false">O42+I43</f>
        <v>124.047508054203</v>
      </c>
      <c r="P43" s="26" t="n">
        <f aca="false">P42+J43</f>
        <v>31.0118770135507</v>
      </c>
      <c r="Q43" s="26" t="n">
        <f aca="false">D43-G43</f>
        <v>0</v>
      </c>
      <c r="S43" s="26" t="n">
        <f aca="false">S42+J43+L43</f>
        <v>37.6877469369146</v>
      </c>
    </row>
    <row r="44" customFormat="false" ht="15" hidden="false" customHeight="false" outlineLevel="0" collapsed="false">
      <c r="B44" s="7" t="n">
        <v>25</v>
      </c>
      <c r="C44" s="26" t="n">
        <f aca="false">IF(25&lt;=20,Flows!$P$31,0)</f>
        <v>0</v>
      </c>
      <c r="D44" s="26" t="n">
        <f aca="false">(Q43+C44)*(1+Inputs!$D$31)^0.25</f>
        <v>0</v>
      </c>
      <c r="E44" s="26" t="n">
        <f aca="false">M44-N43</f>
        <v>0</v>
      </c>
      <c r="F44" s="26" t="n">
        <f aca="false">IF(25&lt;=20,Flows!$Q$31,0)+IF(25=20,$E$16,0)</f>
        <v>0</v>
      </c>
      <c r="G44" s="26" t="n">
        <f aca="false">MIN(F44,MAX(E44,D44,0))</f>
        <v>0</v>
      </c>
      <c r="H44" s="26" t="n">
        <f aca="false">MIN(G44,E44)</f>
        <v>0</v>
      </c>
      <c r="I44" s="26" t="n">
        <f aca="false">G44-H44</f>
        <v>0</v>
      </c>
      <c r="J44" s="26" t="n">
        <f aca="false">MIN(F44-G44,MAX(0,O44*Inputs!$D$32/(1-Inputs!$D$32)-P43))</f>
        <v>0</v>
      </c>
      <c r="K44" s="26" t="n">
        <f aca="false">F44-G44-J44-L44</f>
        <v>0</v>
      </c>
      <c r="L44" s="26" t="n">
        <f aca="false">(F44-G44-J44)*Inputs!$D$32</f>
        <v>0</v>
      </c>
      <c r="M44" s="26" t="n">
        <f aca="false">C44+M43</f>
        <v>459.749</v>
      </c>
      <c r="N44" s="26" t="n">
        <f aca="false">N43+H44</f>
        <v>459.749</v>
      </c>
      <c r="O44" s="26" t="n">
        <f aca="false">O43+I44</f>
        <v>124.047508054203</v>
      </c>
      <c r="P44" s="26" t="n">
        <f aca="false">P43+J44</f>
        <v>31.0118770135507</v>
      </c>
      <c r="Q44" s="26" t="n">
        <f aca="false">D44-G44</f>
        <v>0</v>
      </c>
      <c r="S44" s="26" t="n">
        <f aca="false">S43+J44+L44</f>
        <v>37.6877469369146</v>
      </c>
    </row>
    <row r="45" customFormat="false" ht="15" hidden="false" customHeight="false" outlineLevel="0" collapsed="false">
      <c r="B45" s="7" t="n">
        <v>26</v>
      </c>
      <c r="C45" s="26" t="n">
        <f aca="false">IF(26&lt;=20,Flows!$P$32,0)</f>
        <v>0</v>
      </c>
      <c r="D45" s="26" t="n">
        <f aca="false">(Q44+C45)*(1+Inputs!$D$31)^0.25</f>
        <v>0</v>
      </c>
      <c r="E45" s="26" t="n">
        <f aca="false">M45-N44</f>
        <v>0</v>
      </c>
      <c r="F45" s="26" t="n">
        <f aca="false">IF(26&lt;=20,Flows!$Q$32,0)+IF(26=20,$E$16,0)</f>
        <v>0</v>
      </c>
      <c r="G45" s="26" t="n">
        <f aca="false">MIN(F45,MAX(E45,D45,0))</f>
        <v>0</v>
      </c>
      <c r="H45" s="26" t="n">
        <f aca="false">MIN(G45,E45)</f>
        <v>0</v>
      </c>
      <c r="I45" s="26" t="n">
        <f aca="false">G45-H45</f>
        <v>0</v>
      </c>
      <c r="J45" s="26" t="n">
        <f aca="false">MIN(F45-G45,MAX(0,O45*Inputs!$D$32/(1-Inputs!$D$32)-P44))</f>
        <v>0</v>
      </c>
      <c r="K45" s="26" t="n">
        <f aca="false">F45-G45-J45-L45</f>
        <v>0</v>
      </c>
      <c r="L45" s="26" t="n">
        <f aca="false">(F45-G45-J45)*Inputs!$D$32</f>
        <v>0</v>
      </c>
      <c r="M45" s="26" t="n">
        <f aca="false">C45+M44</f>
        <v>459.749</v>
      </c>
      <c r="N45" s="26" t="n">
        <f aca="false">N44+H45</f>
        <v>459.749</v>
      </c>
      <c r="O45" s="26" t="n">
        <f aca="false">O44+I45</f>
        <v>124.047508054203</v>
      </c>
      <c r="P45" s="26" t="n">
        <f aca="false">P44+J45</f>
        <v>31.0118770135507</v>
      </c>
      <c r="Q45" s="26" t="n">
        <f aca="false">D45-G45</f>
        <v>0</v>
      </c>
      <c r="S45" s="26" t="n">
        <f aca="false">S44+J45+L45</f>
        <v>37.6877469369146</v>
      </c>
    </row>
    <row r="46" customFormat="false" ht="15" hidden="false" customHeight="false" outlineLevel="0" collapsed="false">
      <c r="B46" s="7" t="n">
        <v>27</v>
      </c>
      <c r="C46" s="26" t="n">
        <f aca="false">IF(27&lt;=20,Flows!$P$33,0)</f>
        <v>0</v>
      </c>
      <c r="D46" s="26" t="n">
        <f aca="false">(Q45+C46)*(1+Inputs!$D$31)^0.25</f>
        <v>0</v>
      </c>
      <c r="E46" s="26" t="n">
        <f aca="false">M46-N45</f>
        <v>0</v>
      </c>
      <c r="F46" s="26" t="n">
        <f aca="false">IF(27&lt;=20,Flows!$Q$33,0)+IF(27=20,$E$16,0)</f>
        <v>0</v>
      </c>
      <c r="G46" s="26" t="n">
        <f aca="false">MIN(F46,MAX(E46,D46,0))</f>
        <v>0</v>
      </c>
      <c r="H46" s="26" t="n">
        <f aca="false">MIN(G46,E46)</f>
        <v>0</v>
      </c>
      <c r="I46" s="26" t="n">
        <f aca="false">G46-H46</f>
        <v>0</v>
      </c>
      <c r="J46" s="26" t="n">
        <f aca="false">MIN(F46-G46,MAX(0,O46*Inputs!$D$32/(1-Inputs!$D$32)-P45))</f>
        <v>0</v>
      </c>
      <c r="K46" s="26" t="n">
        <f aca="false">F46-G46-J46-L46</f>
        <v>0</v>
      </c>
      <c r="L46" s="26" t="n">
        <f aca="false">(F46-G46-J46)*Inputs!$D$32</f>
        <v>0</v>
      </c>
      <c r="M46" s="26" t="n">
        <f aca="false">C46+M45</f>
        <v>459.749</v>
      </c>
      <c r="N46" s="26" t="n">
        <f aca="false">N45+H46</f>
        <v>459.749</v>
      </c>
      <c r="O46" s="26" t="n">
        <f aca="false">O45+I46</f>
        <v>124.047508054203</v>
      </c>
      <c r="P46" s="26" t="n">
        <f aca="false">P45+J46</f>
        <v>31.0118770135507</v>
      </c>
      <c r="Q46" s="26" t="n">
        <f aca="false">D46-G46</f>
        <v>0</v>
      </c>
      <c r="S46" s="26" t="n">
        <f aca="false">S45+J46+L46</f>
        <v>37.6877469369146</v>
      </c>
    </row>
    <row r="47" customFormat="false" ht="15" hidden="false" customHeight="false" outlineLevel="0" collapsed="false">
      <c r="B47" s="7" t="n">
        <v>28</v>
      </c>
      <c r="C47" s="26" t="n">
        <f aca="false">IF(28&lt;=20,Flows!$P$34,0)</f>
        <v>0</v>
      </c>
      <c r="D47" s="26" t="n">
        <f aca="false">(Q46+C47)*(1+Inputs!$D$31)^0.25</f>
        <v>0</v>
      </c>
      <c r="E47" s="26" t="n">
        <f aca="false">M47-N46</f>
        <v>0</v>
      </c>
      <c r="F47" s="26" t="n">
        <f aca="false">IF(28&lt;=20,Flows!$Q$34,0)+IF(28=20,$E$16,0)</f>
        <v>0</v>
      </c>
      <c r="G47" s="26" t="n">
        <f aca="false">MIN(F47,MAX(E47,D47,0))</f>
        <v>0</v>
      </c>
      <c r="H47" s="26" t="n">
        <f aca="false">MIN(G47,E47)</f>
        <v>0</v>
      </c>
      <c r="I47" s="26" t="n">
        <f aca="false">G47-H47</f>
        <v>0</v>
      </c>
      <c r="J47" s="26" t="n">
        <f aca="false">MIN(F47-G47,MAX(0,O47*Inputs!$D$32/(1-Inputs!$D$32)-P46))</f>
        <v>0</v>
      </c>
      <c r="K47" s="26" t="n">
        <f aca="false">F47-G47-J47-L47</f>
        <v>0</v>
      </c>
      <c r="L47" s="26" t="n">
        <f aca="false">(F47-G47-J47)*Inputs!$D$32</f>
        <v>0</v>
      </c>
      <c r="M47" s="26" t="n">
        <f aca="false">C47+M46</f>
        <v>459.749</v>
      </c>
      <c r="N47" s="26" t="n">
        <f aca="false">N46+H47</f>
        <v>459.749</v>
      </c>
      <c r="O47" s="26" t="n">
        <f aca="false">O46+I47</f>
        <v>124.047508054203</v>
      </c>
      <c r="P47" s="26" t="n">
        <f aca="false">P46+J47</f>
        <v>31.0118770135507</v>
      </c>
      <c r="Q47" s="26" t="n">
        <f aca="false">D47-G47</f>
        <v>0</v>
      </c>
      <c r="S47" s="26" t="n">
        <f aca="false">S46+J47+L47</f>
        <v>37.6877469369146</v>
      </c>
    </row>
    <row r="48" customFormat="false" ht="15" hidden="false" customHeight="false" outlineLevel="0" collapsed="false">
      <c r="B48" s="7" t="n">
        <v>29</v>
      </c>
      <c r="C48" s="26" t="n">
        <f aca="false">IF(29&lt;=20,Flows!$P$35,0)</f>
        <v>0</v>
      </c>
      <c r="D48" s="26" t="n">
        <f aca="false">(Q47+C48)*(1+Inputs!$D$31)^0.25</f>
        <v>0</v>
      </c>
      <c r="E48" s="26" t="n">
        <f aca="false">M48-N47</f>
        <v>0</v>
      </c>
      <c r="F48" s="26" t="n">
        <f aca="false">IF(29&lt;=20,Flows!$Q$35,0)+IF(29=20,$E$16,0)</f>
        <v>0</v>
      </c>
      <c r="G48" s="26" t="n">
        <f aca="false">MIN(F48,MAX(E48,D48,0))</f>
        <v>0</v>
      </c>
      <c r="H48" s="26" t="n">
        <f aca="false">MIN(G48,E48)</f>
        <v>0</v>
      </c>
      <c r="I48" s="26" t="n">
        <f aca="false">G48-H48</f>
        <v>0</v>
      </c>
      <c r="J48" s="26" t="n">
        <f aca="false">MIN(F48-G48,MAX(0,O48*Inputs!$D$32/(1-Inputs!$D$32)-P47))</f>
        <v>0</v>
      </c>
      <c r="K48" s="26" t="n">
        <f aca="false">F48-G48-J48-L48</f>
        <v>0</v>
      </c>
      <c r="L48" s="26" t="n">
        <f aca="false">(F48-G48-J48)*Inputs!$D$32</f>
        <v>0</v>
      </c>
      <c r="M48" s="26" t="n">
        <f aca="false">C48+M47</f>
        <v>459.749</v>
      </c>
      <c r="N48" s="26" t="n">
        <f aca="false">N47+H48</f>
        <v>459.749</v>
      </c>
      <c r="O48" s="26" t="n">
        <f aca="false">O47+I48</f>
        <v>124.047508054203</v>
      </c>
      <c r="P48" s="26" t="n">
        <f aca="false">P47+J48</f>
        <v>31.0118770135507</v>
      </c>
      <c r="Q48" s="26" t="n">
        <f aca="false">D48-G48</f>
        <v>0</v>
      </c>
      <c r="S48" s="26" t="n">
        <f aca="false">S47+J48+L48</f>
        <v>37.6877469369146</v>
      </c>
    </row>
    <row r="49" customFormat="false" ht="15" hidden="false" customHeight="false" outlineLevel="0" collapsed="false">
      <c r="B49" s="7" t="n">
        <v>30</v>
      </c>
      <c r="C49" s="26" t="n">
        <f aca="false">IF(30&lt;=20,Flows!$P$36,0)</f>
        <v>0</v>
      </c>
      <c r="D49" s="26" t="n">
        <f aca="false">(Q48+C49)*(1+Inputs!$D$31)^0.25</f>
        <v>0</v>
      </c>
      <c r="E49" s="26" t="n">
        <f aca="false">M49-N48</f>
        <v>0</v>
      </c>
      <c r="F49" s="26" t="n">
        <f aca="false">IF(30&lt;=20,Flows!$Q$36,0)+IF(30=20,$E$16,0)</f>
        <v>0</v>
      </c>
      <c r="G49" s="26" t="n">
        <f aca="false">MIN(F49,MAX(E49,D49,0))</f>
        <v>0</v>
      </c>
      <c r="H49" s="26" t="n">
        <f aca="false">MIN(G49,E49)</f>
        <v>0</v>
      </c>
      <c r="I49" s="26" t="n">
        <f aca="false">G49-H49</f>
        <v>0</v>
      </c>
      <c r="J49" s="26" t="n">
        <f aca="false">MIN(F49-G49,MAX(0,O49*Inputs!$D$32/(1-Inputs!$D$32)-P48))</f>
        <v>0</v>
      </c>
      <c r="K49" s="26" t="n">
        <f aca="false">F49-G49-J49-L49</f>
        <v>0</v>
      </c>
      <c r="L49" s="26" t="n">
        <f aca="false">(F49-G49-J49)*Inputs!$D$32</f>
        <v>0</v>
      </c>
      <c r="M49" s="26" t="n">
        <f aca="false">C49+M48</f>
        <v>459.749</v>
      </c>
      <c r="N49" s="26" t="n">
        <f aca="false">N48+H49</f>
        <v>459.749</v>
      </c>
      <c r="O49" s="26" t="n">
        <f aca="false">O48+I49</f>
        <v>124.047508054203</v>
      </c>
      <c r="P49" s="26" t="n">
        <f aca="false">P48+J49</f>
        <v>31.0118770135507</v>
      </c>
      <c r="Q49" s="26" t="n">
        <f aca="false">D49-G49</f>
        <v>0</v>
      </c>
      <c r="S49" s="26" t="n">
        <f aca="false">S48+J49+L49</f>
        <v>37.6877469369146</v>
      </c>
    </row>
    <row r="50" customFormat="false" ht="15" hidden="false" customHeight="false" outlineLevel="0" collapsed="false">
      <c r="B50" s="7" t="n">
        <v>31</v>
      </c>
      <c r="C50" s="26" t="n">
        <f aca="false">IF(31&lt;=20,Flows!$P$37,0)</f>
        <v>0</v>
      </c>
      <c r="D50" s="26" t="n">
        <f aca="false">(Q49+C50)*(1+Inputs!$D$31)^0.25</f>
        <v>0</v>
      </c>
      <c r="E50" s="26" t="n">
        <f aca="false">M50-N49</f>
        <v>0</v>
      </c>
      <c r="F50" s="26" t="n">
        <f aca="false">IF(31&lt;=20,Flows!$Q$37,0)+IF(31=20,$E$16,0)</f>
        <v>0</v>
      </c>
      <c r="G50" s="26" t="n">
        <f aca="false">MIN(F50,MAX(E50,D50,0))</f>
        <v>0</v>
      </c>
      <c r="H50" s="26" t="n">
        <f aca="false">MIN(G50,E50)</f>
        <v>0</v>
      </c>
      <c r="I50" s="26" t="n">
        <f aca="false">G50-H50</f>
        <v>0</v>
      </c>
      <c r="J50" s="26" t="n">
        <f aca="false">MIN(F50-G50,MAX(0,O50*Inputs!$D$32/(1-Inputs!$D$32)-P49))</f>
        <v>0</v>
      </c>
      <c r="K50" s="26" t="n">
        <f aca="false">F50-G50-J50-L50</f>
        <v>0</v>
      </c>
      <c r="L50" s="26" t="n">
        <f aca="false">(F50-G50-J50)*Inputs!$D$32</f>
        <v>0</v>
      </c>
      <c r="M50" s="26" t="n">
        <f aca="false">C50+M49</f>
        <v>459.749</v>
      </c>
      <c r="N50" s="26" t="n">
        <f aca="false">N49+H50</f>
        <v>459.749</v>
      </c>
      <c r="O50" s="26" t="n">
        <f aca="false">O49+I50</f>
        <v>124.047508054203</v>
      </c>
      <c r="P50" s="26" t="n">
        <f aca="false">P49+J50</f>
        <v>31.0118770135507</v>
      </c>
      <c r="Q50" s="26" t="n">
        <f aca="false">D50-G50</f>
        <v>0</v>
      </c>
      <c r="S50" s="26" t="n">
        <f aca="false">S49+J50+L50</f>
        <v>37.6877469369146</v>
      </c>
    </row>
    <row r="51" customFormat="false" ht="15" hidden="false" customHeight="false" outlineLevel="0" collapsed="false">
      <c r="B51" s="7" t="n">
        <v>32</v>
      </c>
      <c r="C51" s="26" t="n">
        <f aca="false">IF(32&lt;=20,Flows!$P$38,0)</f>
        <v>0</v>
      </c>
      <c r="D51" s="26" t="n">
        <f aca="false">(Q50+C51)*(1+Inputs!$D$31)^0.25</f>
        <v>0</v>
      </c>
      <c r="E51" s="26" t="n">
        <f aca="false">M51-N50</f>
        <v>0</v>
      </c>
      <c r="F51" s="26" t="n">
        <f aca="false">IF(32&lt;=20,Flows!$Q$38,0)+IF(32=20,$E$16,0)</f>
        <v>0</v>
      </c>
      <c r="G51" s="26" t="n">
        <f aca="false">MIN(F51,MAX(E51,D51,0))</f>
        <v>0</v>
      </c>
      <c r="H51" s="26" t="n">
        <f aca="false">MIN(G51,E51)</f>
        <v>0</v>
      </c>
      <c r="I51" s="26" t="n">
        <f aca="false">G51-H51</f>
        <v>0</v>
      </c>
      <c r="J51" s="26" t="n">
        <f aca="false">MIN(F51-G51,MAX(0,O51*Inputs!$D$32/(1-Inputs!$D$32)-P50))</f>
        <v>0</v>
      </c>
      <c r="K51" s="26" t="n">
        <f aca="false">F51-G51-J51-L51</f>
        <v>0</v>
      </c>
      <c r="L51" s="26" t="n">
        <f aca="false">(F51-G51-J51)*Inputs!$D$32</f>
        <v>0</v>
      </c>
      <c r="M51" s="26" t="n">
        <f aca="false">C51+M50</f>
        <v>459.749</v>
      </c>
      <c r="N51" s="26" t="n">
        <f aca="false">N50+H51</f>
        <v>459.749</v>
      </c>
      <c r="O51" s="26" t="n">
        <f aca="false">O50+I51</f>
        <v>124.047508054203</v>
      </c>
      <c r="P51" s="26" t="n">
        <f aca="false">P50+J51</f>
        <v>31.0118770135507</v>
      </c>
      <c r="Q51" s="26" t="n">
        <f aca="false">D51-G51</f>
        <v>0</v>
      </c>
      <c r="S51" s="26" t="n">
        <f aca="false">S50+J51+L51</f>
        <v>37.6877469369146</v>
      </c>
    </row>
    <row r="52" customFormat="false" ht="15" hidden="false" customHeight="false" outlineLevel="0" collapsed="false">
      <c r="B52" s="7" t="n">
        <v>33</v>
      </c>
      <c r="C52" s="26" t="n">
        <f aca="false">IF(33&lt;=20,Flows!$P$39,0)</f>
        <v>0</v>
      </c>
      <c r="D52" s="26" t="n">
        <f aca="false">(Q51+C52)*(1+Inputs!$D$31)^0.25</f>
        <v>0</v>
      </c>
      <c r="E52" s="26" t="n">
        <f aca="false">M52-N51</f>
        <v>0</v>
      </c>
      <c r="F52" s="26" t="n">
        <f aca="false">IF(33&lt;=20,Flows!$Q$39,0)+IF(33=20,$E$16,0)</f>
        <v>0</v>
      </c>
      <c r="G52" s="26" t="n">
        <f aca="false">MIN(F52,MAX(E52,D52,0))</f>
        <v>0</v>
      </c>
      <c r="H52" s="26" t="n">
        <f aca="false">MIN(G52,E52)</f>
        <v>0</v>
      </c>
      <c r="I52" s="26" t="n">
        <f aca="false">G52-H52</f>
        <v>0</v>
      </c>
      <c r="J52" s="26" t="n">
        <f aca="false">MIN(F52-G52,MAX(0,O52*Inputs!$D$32/(1-Inputs!$D$32)-P51))</f>
        <v>0</v>
      </c>
      <c r="K52" s="26" t="n">
        <f aca="false">F52-G52-J52-L52</f>
        <v>0</v>
      </c>
      <c r="L52" s="26" t="n">
        <f aca="false">(F52-G52-J52)*Inputs!$D$32</f>
        <v>0</v>
      </c>
      <c r="M52" s="26" t="n">
        <f aca="false">C52+M51</f>
        <v>459.749</v>
      </c>
      <c r="N52" s="26" t="n">
        <f aca="false">N51+H52</f>
        <v>459.749</v>
      </c>
      <c r="O52" s="26" t="n">
        <f aca="false">O51+I52</f>
        <v>124.047508054203</v>
      </c>
      <c r="P52" s="26" t="n">
        <f aca="false">P51+J52</f>
        <v>31.0118770135507</v>
      </c>
      <c r="Q52" s="26" t="n">
        <f aca="false">D52-G52</f>
        <v>0</v>
      </c>
      <c r="S52" s="26" t="n">
        <f aca="false">S51+J52+L52</f>
        <v>37.6877469369146</v>
      </c>
    </row>
    <row r="53" customFormat="false" ht="15" hidden="false" customHeight="false" outlineLevel="0" collapsed="false">
      <c r="B53" s="7" t="n">
        <v>34</v>
      </c>
      <c r="C53" s="26" t="n">
        <f aca="false">IF(34&lt;=20,Flows!$P$40,0)</f>
        <v>0</v>
      </c>
      <c r="D53" s="26" t="n">
        <f aca="false">(Q52+C53)*(1+Inputs!$D$31)^0.25</f>
        <v>0</v>
      </c>
      <c r="E53" s="26" t="n">
        <f aca="false">M53-N52</f>
        <v>0</v>
      </c>
      <c r="F53" s="26" t="n">
        <f aca="false">IF(34&lt;=20,Flows!$Q$40,0)+IF(34=20,$E$16,0)</f>
        <v>0</v>
      </c>
      <c r="G53" s="26" t="n">
        <f aca="false">MIN(F53,MAX(E53,D53,0))</f>
        <v>0</v>
      </c>
      <c r="H53" s="26" t="n">
        <f aca="false">MIN(G53,E53)</f>
        <v>0</v>
      </c>
      <c r="I53" s="26" t="n">
        <f aca="false">G53-H53</f>
        <v>0</v>
      </c>
      <c r="J53" s="26" t="n">
        <f aca="false">MIN(F53-G53,MAX(0,O53*Inputs!$D$32/(1-Inputs!$D$32)-P52))</f>
        <v>0</v>
      </c>
      <c r="K53" s="26" t="n">
        <f aca="false">F53-G53-J53-L53</f>
        <v>0</v>
      </c>
      <c r="L53" s="26" t="n">
        <f aca="false">(F53-G53-J53)*Inputs!$D$32</f>
        <v>0</v>
      </c>
      <c r="M53" s="26" t="n">
        <f aca="false">C53+M52</f>
        <v>459.749</v>
      </c>
      <c r="N53" s="26" t="n">
        <f aca="false">N52+H53</f>
        <v>459.749</v>
      </c>
      <c r="O53" s="26" t="n">
        <f aca="false">O52+I53</f>
        <v>124.047508054203</v>
      </c>
      <c r="P53" s="26" t="n">
        <f aca="false">P52+J53</f>
        <v>31.0118770135507</v>
      </c>
      <c r="Q53" s="26" t="n">
        <f aca="false">D53-G53</f>
        <v>0</v>
      </c>
      <c r="S53" s="26" t="n">
        <f aca="false">S52+J53+L53</f>
        <v>37.6877469369146</v>
      </c>
    </row>
    <row r="54" customFormat="false" ht="15" hidden="false" customHeight="false" outlineLevel="0" collapsed="false">
      <c r="B54" s="7" t="n">
        <v>35</v>
      </c>
      <c r="C54" s="26" t="n">
        <f aca="false">IF(35&lt;=20,Flows!$P$41,0)</f>
        <v>0</v>
      </c>
      <c r="D54" s="26" t="n">
        <f aca="false">(Q53+C54)*(1+Inputs!$D$31)^0.25</f>
        <v>0</v>
      </c>
      <c r="E54" s="26" t="n">
        <f aca="false">M54-N53</f>
        <v>0</v>
      </c>
      <c r="F54" s="26" t="n">
        <f aca="false">IF(35&lt;=20,Flows!$Q$41,0)+IF(35=20,$E$16,0)</f>
        <v>0</v>
      </c>
      <c r="G54" s="26" t="n">
        <f aca="false">MIN(F54,MAX(E54,D54,0))</f>
        <v>0</v>
      </c>
      <c r="H54" s="26" t="n">
        <f aca="false">MIN(G54,E54)</f>
        <v>0</v>
      </c>
      <c r="I54" s="26" t="n">
        <f aca="false">G54-H54</f>
        <v>0</v>
      </c>
      <c r="J54" s="26" t="n">
        <f aca="false">MIN(F54-G54,MAX(0,O54*Inputs!$D$32/(1-Inputs!$D$32)-P53))</f>
        <v>0</v>
      </c>
      <c r="K54" s="26" t="n">
        <f aca="false">F54-G54-J54-L54</f>
        <v>0</v>
      </c>
      <c r="L54" s="26" t="n">
        <f aca="false">(F54-G54-J54)*Inputs!$D$32</f>
        <v>0</v>
      </c>
      <c r="M54" s="26" t="n">
        <f aca="false">C54+M53</f>
        <v>459.749</v>
      </c>
      <c r="N54" s="26" t="n">
        <f aca="false">N53+H54</f>
        <v>459.749</v>
      </c>
      <c r="O54" s="26" t="n">
        <f aca="false">O53+I54</f>
        <v>124.047508054203</v>
      </c>
      <c r="P54" s="26" t="n">
        <f aca="false">P53+J54</f>
        <v>31.0118770135507</v>
      </c>
      <c r="Q54" s="26" t="n">
        <f aca="false">D54-G54</f>
        <v>0</v>
      </c>
      <c r="S54" s="26" t="n">
        <f aca="false">S53+J54+L54</f>
        <v>37.6877469369146</v>
      </c>
    </row>
    <row r="55" customFormat="false" ht="15" hidden="false" customHeight="false" outlineLevel="0" collapsed="false">
      <c r="B55" s="7" t="n">
        <v>36</v>
      </c>
      <c r="C55" s="26" t="n">
        <f aca="false">IF(36&lt;=20,Flows!$P$42,0)</f>
        <v>0</v>
      </c>
      <c r="D55" s="26" t="n">
        <f aca="false">(Q54+C55)*(1+Inputs!$D$31)^0.25</f>
        <v>0</v>
      </c>
      <c r="E55" s="26" t="n">
        <f aca="false">M55-N54</f>
        <v>0</v>
      </c>
      <c r="F55" s="26" t="n">
        <f aca="false">IF(36&lt;=20,Flows!$Q$42,0)+IF(36=20,$E$16,0)</f>
        <v>0</v>
      </c>
      <c r="G55" s="26" t="n">
        <f aca="false">MIN(F55,MAX(E55,D55,0))</f>
        <v>0</v>
      </c>
      <c r="H55" s="26" t="n">
        <f aca="false">MIN(G55,E55)</f>
        <v>0</v>
      </c>
      <c r="I55" s="26" t="n">
        <f aca="false">G55-H55</f>
        <v>0</v>
      </c>
      <c r="J55" s="26" t="n">
        <f aca="false">MIN(F55-G55,MAX(0,O55*Inputs!$D$32/(1-Inputs!$D$32)-P54))</f>
        <v>0</v>
      </c>
      <c r="K55" s="26" t="n">
        <f aca="false">F55-G55-J55-L55</f>
        <v>0</v>
      </c>
      <c r="L55" s="26" t="n">
        <f aca="false">(F55-G55-J55)*Inputs!$D$32</f>
        <v>0</v>
      </c>
      <c r="M55" s="26" t="n">
        <f aca="false">C55+M54</f>
        <v>459.749</v>
      </c>
      <c r="N55" s="26" t="n">
        <f aca="false">N54+H55</f>
        <v>459.749</v>
      </c>
      <c r="O55" s="26" t="n">
        <f aca="false">O54+I55</f>
        <v>124.047508054203</v>
      </c>
      <c r="P55" s="26" t="n">
        <f aca="false">P54+J55</f>
        <v>31.0118770135507</v>
      </c>
      <c r="Q55" s="26" t="n">
        <f aca="false">D55-G55</f>
        <v>0</v>
      </c>
      <c r="S55" s="26" t="n">
        <f aca="false">S54+J55+L55</f>
        <v>37.6877469369146</v>
      </c>
    </row>
    <row r="56" customFormat="false" ht="15" hidden="false" customHeight="false" outlineLevel="0" collapsed="false">
      <c r="B56" s="7" t="n">
        <v>37</v>
      </c>
      <c r="C56" s="26" t="n">
        <f aca="false">IF(37&lt;=20,Flows!$P$43,0)</f>
        <v>0</v>
      </c>
      <c r="D56" s="26" t="n">
        <f aca="false">(Q55+C56)*(1+Inputs!$D$31)^0.25</f>
        <v>0</v>
      </c>
      <c r="E56" s="26" t="n">
        <f aca="false">M56-N55</f>
        <v>0</v>
      </c>
      <c r="F56" s="26" t="n">
        <f aca="false">IF(37&lt;=20,Flows!$Q$43,0)+IF(37=20,$E$16,0)</f>
        <v>0</v>
      </c>
      <c r="G56" s="26" t="n">
        <f aca="false">MIN(F56,MAX(E56,D56,0))</f>
        <v>0</v>
      </c>
      <c r="H56" s="26" t="n">
        <f aca="false">MIN(G56,E56)</f>
        <v>0</v>
      </c>
      <c r="I56" s="26" t="n">
        <f aca="false">G56-H56</f>
        <v>0</v>
      </c>
      <c r="J56" s="26" t="n">
        <f aca="false">MIN(F56-G56,MAX(0,O56*Inputs!$D$32/(1-Inputs!$D$32)-P55))</f>
        <v>0</v>
      </c>
      <c r="K56" s="26" t="n">
        <f aca="false">F56-G56-J56-L56</f>
        <v>0</v>
      </c>
      <c r="L56" s="26" t="n">
        <f aca="false">(F56-G56-J56)*Inputs!$D$32</f>
        <v>0</v>
      </c>
      <c r="M56" s="26" t="n">
        <f aca="false">C56+M55</f>
        <v>459.749</v>
      </c>
      <c r="N56" s="26" t="n">
        <f aca="false">N55+H56</f>
        <v>459.749</v>
      </c>
      <c r="O56" s="26" t="n">
        <f aca="false">O55+I56</f>
        <v>124.047508054203</v>
      </c>
      <c r="P56" s="26" t="n">
        <f aca="false">P55+J56</f>
        <v>31.0118770135507</v>
      </c>
      <c r="Q56" s="26" t="n">
        <f aca="false">D56-G56</f>
        <v>0</v>
      </c>
      <c r="S56" s="26" t="n">
        <f aca="false">S55+J56+L56</f>
        <v>37.6877469369146</v>
      </c>
    </row>
    <row r="57" customFormat="false" ht="15" hidden="false" customHeight="false" outlineLevel="0" collapsed="false">
      <c r="B57" s="7" t="n">
        <v>38</v>
      </c>
      <c r="C57" s="26" t="n">
        <f aca="false">IF(38&lt;=20,Flows!$P$44,0)</f>
        <v>0</v>
      </c>
      <c r="D57" s="26" t="n">
        <f aca="false">(Q56+C57)*(1+Inputs!$D$31)^0.25</f>
        <v>0</v>
      </c>
      <c r="E57" s="26" t="n">
        <f aca="false">M57-N56</f>
        <v>0</v>
      </c>
      <c r="F57" s="26" t="n">
        <f aca="false">IF(38&lt;=20,Flows!$Q$44,0)+IF(38=20,$E$16,0)</f>
        <v>0</v>
      </c>
      <c r="G57" s="26" t="n">
        <f aca="false">MIN(F57,MAX(E57,D57,0))</f>
        <v>0</v>
      </c>
      <c r="H57" s="26" t="n">
        <f aca="false">MIN(G57,E57)</f>
        <v>0</v>
      </c>
      <c r="I57" s="26" t="n">
        <f aca="false">G57-H57</f>
        <v>0</v>
      </c>
      <c r="J57" s="26" t="n">
        <f aca="false">MIN(F57-G57,MAX(0,O57*Inputs!$D$32/(1-Inputs!$D$32)-P56))</f>
        <v>0</v>
      </c>
      <c r="K57" s="26" t="n">
        <f aca="false">F57-G57-J57-L57</f>
        <v>0</v>
      </c>
      <c r="L57" s="26" t="n">
        <f aca="false">(F57-G57-J57)*Inputs!$D$32</f>
        <v>0</v>
      </c>
      <c r="M57" s="26" t="n">
        <f aca="false">C57+M56</f>
        <v>459.749</v>
      </c>
      <c r="N57" s="26" t="n">
        <f aca="false">N56+H57</f>
        <v>459.749</v>
      </c>
      <c r="O57" s="26" t="n">
        <f aca="false">O56+I57</f>
        <v>124.047508054203</v>
      </c>
      <c r="P57" s="26" t="n">
        <f aca="false">P56+J57</f>
        <v>31.0118770135507</v>
      </c>
      <c r="Q57" s="26" t="n">
        <f aca="false">D57-G57</f>
        <v>0</v>
      </c>
      <c r="S57" s="26" t="n">
        <f aca="false">S56+J57+L57</f>
        <v>37.6877469369146</v>
      </c>
    </row>
    <row r="58" customFormat="false" ht="15" hidden="false" customHeight="false" outlineLevel="0" collapsed="false">
      <c r="B58" s="7" t="n">
        <v>39</v>
      </c>
      <c r="C58" s="26" t="n">
        <f aca="false">IF(39&lt;=20,Flows!$P$45,0)</f>
        <v>0</v>
      </c>
      <c r="D58" s="26" t="n">
        <f aca="false">(Q57+C58)*(1+Inputs!$D$31)^0.25</f>
        <v>0</v>
      </c>
      <c r="E58" s="26" t="n">
        <f aca="false">M58-N57</f>
        <v>0</v>
      </c>
      <c r="F58" s="26" t="n">
        <f aca="false">IF(39&lt;=20,Flows!$Q$45,0)+IF(39=20,$E$16,0)</f>
        <v>0</v>
      </c>
      <c r="G58" s="26" t="n">
        <f aca="false">MIN(F58,MAX(E58,D58,0))</f>
        <v>0</v>
      </c>
      <c r="H58" s="26" t="n">
        <f aca="false">MIN(G58,E58)</f>
        <v>0</v>
      </c>
      <c r="I58" s="26" t="n">
        <f aca="false">G58-H58</f>
        <v>0</v>
      </c>
      <c r="J58" s="26" t="n">
        <f aca="false">MIN(F58-G58,MAX(0,O58*Inputs!$D$32/(1-Inputs!$D$32)-P57))</f>
        <v>0</v>
      </c>
      <c r="K58" s="26" t="n">
        <f aca="false">F58-G58-J58-L58</f>
        <v>0</v>
      </c>
      <c r="L58" s="26" t="n">
        <f aca="false">(F58-G58-J58)*Inputs!$D$32</f>
        <v>0</v>
      </c>
      <c r="M58" s="26" t="n">
        <f aca="false">C58+M57</f>
        <v>459.749</v>
      </c>
      <c r="N58" s="26" t="n">
        <f aca="false">N57+H58</f>
        <v>459.749</v>
      </c>
      <c r="O58" s="26" t="n">
        <f aca="false">O57+I58</f>
        <v>124.047508054203</v>
      </c>
      <c r="P58" s="26" t="n">
        <f aca="false">P57+J58</f>
        <v>31.0118770135507</v>
      </c>
      <c r="Q58" s="26" t="n">
        <f aca="false">D58-G58</f>
        <v>0</v>
      </c>
      <c r="S58" s="26" t="n">
        <f aca="false">S57+J58+L58</f>
        <v>37.6877469369146</v>
      </c>
    </row>
    <row r="59" customFormat="false" ht="15" hidden="false" customHeight="false" outlineLevel="0" collapsed="false">
      <c r="B59" s="7" t="n">
        <v>40</v>
      </c>
      <c r="C59" s="26" t="n">
        <f aca="false">IF(40&lt;=20,Flows!$P$46,0)</f>
        <v>0</v>
      </c>
      <c r="D59" s="26" t="n">
        <f aca="false">(Q58+C59)*(1+Inputs!$D$31)^0.25</f>
        <v>0</v>
      </c>
      <c r="E59" s="26" t="n">
        <f aca="false">M59-N58</f>
        <v>0</v>
      </c>
      <c r="F59" s="26" t="n">
        <f aca="false">IF(40&lt;=20,Flows!$Q$46,0)+IF(40=20,$E$16,0)</f>
        <v>0</v>
      </c>
      <c r="G59" s="26" t="n">
        <f aca="false">MIN(F59,MAX(E59,D59,0))</f>
        <v>0</v>
      </c>
      <c r="H59" s="26" t="n">
        <f aca="false">MIN(G59,E59)</f>
        <v>0</v>
      </c>
      <c r="I59" s="26" t="n">
        <f aca="false">G59-H59</f>
        <v>0</v>
      </c>
      <c r="J59" s="26" t="n">
        <f aca="false">MIN(F59-G59,MAX(0,O59*Inputs!$D$32/(1-Inputs!$D$32)-P58))</f>
        <v>0</v>
      </c>
      <c r="K59" s="26" t="n">
        <f aca="false">F59-G59-J59-L59</f>
        <v>0</v>
      </c>
      <c r="L59" s="26" t="n">
        <f aca="false">(F59-G59-J59)*Inputs!$D$32</f>
        <v>0</v>
      </c>
      <c r="M59" s="26" t="n">
        <f aca="false">C59+M58</f>
        <v>459.749</v>
      </c>
      <c r="N59" s="26" t="n">
        <f aca="false">N58+H59</f>
        <v>459.749</v>
      </c>
      <c r="O59" s="26" t="n">
        <f aca="false">O58+I59</f>
        <v>124.047508054203</v>
      </c>
      <c r="P59" s="26" t="n">
        <f aca="false">P58+J59</f>
        <v>31.0118770135507</v>
      </c>
      <c r="Q59" s="26" t="n">
        <f aca="false">D59-G59</f>
        <v>0</v>
      </c>
      <c r="S59" s="26" t="n">
        <f aca="false">S58+J59+L59</f>
        <v>37.6877469369146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39060"/>
    <pageSetUpPr fitToPage="false"/>
  </sheetPr>
  <dimension ref="B2:L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"/>
    <col collapsed="false" customWidth="true" hidden="false" outlineLevel="0" max="12" min="3" style="0" width="16"/>
  </cols>
  <sheetData>
    <row r="2" customFormat="false" ht="17.35" hidden="false" customHeight="false" outlineLevel="0" collapsed="false">
      <c r="B2" s="4" t="s">
        <v>245</v>
      </c>
    </row>
    <row r="3" customFormat="false" ht="15" hidden="false" customHeight="false" outlineLevel="0" collapsed="false">
      <c r="B3" s="7" t="s">
        <v>246</v>
      </c>
    </row>
    <row r="4" customFormat="false" ht="15" hidden="false" customHeight="false" outlineLevel="0" collapsed="false">
      <c r="B4" s="7" t="s">
        <v>247</v>
      </c>
      <c r="H4" s="27" t="n">
        <f aca="false">1000000*(IF(AND(1&gt;=(Inputs!C38-1)/4,1&lt;Inputs!E38/4),Inputs!D38*(Inputs!F38/Inputs!D38)^((1-(Inputs!C38-1)/4)/(Inputs!E38/4-(Inputs!C38-1)/4)),0)+IF(AND(1&gt;=(Inputs!C39-1)/4,1&lt;Inputs!E39/4),Inputs!D39*(Inputs!F39/Inputs!D39)^((1-(Inputs!C39-1)/4)/(Inputs!E39/4-(Inputs!C39-1)/4)),0)+IF(AND(1&gt;=(Inputs!C40-1)/4,1&lt;Inputs!E40/4),Inputs!D40*(Inputs!F40/Inputs!D40)^((1-(Inputs!C40-1)/4)/(Inputs!E40/4-(Inputs!C40-1)/4)),0)+IF(AND(1&gt;=(Inputs!C41-1)/4,1&lt;Inputs!E41/4),Inputs!D41*(Inputs!F41/Inputs!D41)^((1-(Inputs!C41-1)/4)/(Inputs!E41/4-(Inputs!C41-1)/4)),0)+IF(AND(1&gt;=(Inputs!C42-1)/4,1&lt;Inputs!E42/4),Inputs!D42*(Inputs!F42/Inputs!D42)^((1-(Inputs!C42-1)/4)/(Inputs!E42/4-(Inputs!C42-1)/4)),0)+IF(AND(1&gt;=(Inputs!C43-1)/4,1&lt;Inputs!E43/4),Inputs!D43*(Inputs!F43/Inputs!D43)^((1-(Inputs!C43-1)/4)/(Inputs!E43/4-(Inputs!C43-1)/4)),0)+IF(AND(1&gt;=(Inputs!C44-1)/4,1&lt;Inputs!E44/4),Inputs!D44*(Inputs!F44/Inputs!D44)^((1-(Inputs!C44-1)/4)/(Inputs!E44/4-(Inputs!C44-1)/4)),0)+IF(AND(1&gt;=(Inputs!C45-1)/4,1&lt;Inputs!E45/4),Inputs!D45*(Inputs!F45/Inputs!D45)^((1-(Inputs!C45-1)/4)/(Inputs!E45/4-(Inputs!C45-1)/4)),0))</f>
        <v>146320002.059616</v>
      </c>
    </row>
    <row r="5" customFormat="false" ht="15" hidden="false" customHeight="false" outlineLevel="0" collapsed="false">
      <c r="B5" s="7" t="s">
        <v>248</v>
      </c>
      <c r="H5" s="27" t="n">
        <f aca="false">1000000*SUMPRODUCT((Inputs!$C$38:$C$45&lt;=4)*(Inputs!$E$38:$E$45&gt;4)*Inputs!$D$38:$D$45)</f>
        <v>135000000</v>
      </c>
    </row>
    <row r="7" customFormat="false" ht="23.85" hidden="false" customHeight="false" outlineLevel="0" collapsed="false">
      <c r="B7" s="6" t="s">
        <v>146</v>
      </c>
      <c r="C7" s="6" t="s">
        <v>249</v>
      </c>
      <c r="D7" s="6" t="s">
        <v>250</v>
      </c>
      <c r="E7" s="6" t="s">
        <v>251</v>
      </c>
      <c r="F7" s="6" t="s">
        <v>252</v>
      </c>
      <c r="G7" s="6" t="s">
        <v>253</v>
      </c>
      <c r="H7" s="6" t="s">
        <v>254</v>
      </c>
      <c r="I7" s="6" t="s">
        <v>255</v>
      </c>
      <c r="J7" s="6" t="s">
        <v>256</v>
      </c>
      <c r="K7" s="6" t="s">
        <v>257</v>
      </c>
      <c r="L7" s="6" t="s">
        <v>258</v>
      </c>
    </row>
    <row r="8" customFormat="false" ht="15" hidden="false" customHeight="false" outlineLevel="0" collapsed="false">
      <c r="B8" s="7" t="str">
        <f aca="false">Inputs!$B$6</f>
        <v>LP01</v>
      </c>
      <c r="C8" s="27" t="n">
        <f aca="false">CallGrid!D6+CallGrid!E6+CallGrid!G6+CallGrid!H6+CallGrid!J6+CallGrid!K6+CallGrid!M6+CallGrid!N6</f>
        <v>36379166.66</v>
      </c>
      <c r="D8" s="27" t="n">
        <f aca="false">Equalization!E7</f>
        <v>-7169166.66</v>
      </c>
      <c r="E8" s="27" t="n">
        <f aca="false">Equalization!G7</f>
        <v>0</v>
      </c>
      <c r="F8" s="27" t="n">
        <f aca="false">C8+D8+E8</f>
        <v>29210000</v>
      </c>
      <c r="G8" s="27" t="n">
        <f aca="false">CallGrid!E6+CallGrid!H6+CallGrid!K6+CallGrid!N6+E8</f>
        <v>1750000</v>
      </c>
      <c r="H8" s="27" t="n">
        <f aca="false">ROUND((Inputs!$D$24+4*Inputs!$D$25)*Inputs!$G$6/Inputs!$G$16,2)</f>
        <v>460000</v>
      </c>
      <c r="I8" s="27" t="n">
        <f aca="false">ROUND(($H$4-$H$5)*Inputs!$G$6/Inputs!$G$16,2)</f>
        <v>2264000.41</v>
      </c>
      <c r="J8" s="27" t="n">
        <f aca="false">F8-G8-H8+I8</f>
        <v>29264000.41</v>
      </c>
      <c r="K8" s="27" t="n">
        <f aca="false">ROUND($H$4*Inputs!$G$6/Inputs!$G$16,2)</f>
        <v>29264000.41</v>
      </c>
      <c r="L8" s="27" t="n">
        <f aca="false">Equalization!F7</f>
        <v>-373566.65</v>
      </c>
    </row>
    <row r="9" customFormat="false" ht="15" hidden="false" customHeight="false" outlineLevel="0" collapsed="false">
      <c r="B9" s="7" t="str">
        <f aca="false">Inputs!$B$7</f>
        <v>LP02</v>
      </c>
      <c r="C9" s="27" t="n">
        <f aca="false">CallGrid!D7+CallGrid!E7+CallGrid!G7+CallGrid!H7+CallGrid!J7+CallGrid!K7+CallGrid!M7+CallGrid!N7</f>
        <v>25465416.68</v>
      </c>
      <c r="D9" s="27" t="n">
        <f aca="false">Equalization!E8</f>
        <v>-5018416.68</v>
      </c>
      <c r="E9" s="27" t="n">
        <f aca="false">Equalization!G8</f>
        <v>0</v>
      </c>
      <c r="F9" s="27" t="n">
        <f aca="false">C9+D9+E9</f>
        <v>20447000</v>
      </c>
      <c r="G9" s="27" t="n">
        <f aca="false">CallGrid!E7+CallGrid!H7+CallGrid!K7+CallGrid!N7+E9</f>
        <v>1225000</v>
      </c>
      <c r="H9" s="27" t="n">
        <f aca="false">ROUND((Inputs!$D$24+4*Inputs!$D$25)*Inputs!$G$7/Inputs!$G$16,2)</f>
        <v>322000</v>
      </c>
      <c r="I9" s="27" t="n">
        <f aca="false">ROUND(($H$4-$H$5)*Inputs!$G$7/Inputs!$G$16,2)</f>
        <v>1584800.29</v>
      </c>
      <c r="J9" s="27" t="n">
        <f aca="false">F9-G9-H9+I9</f>
        <v>20484800.29</v>
      </c>
      <c r="K9" s="27" t="n">
        <f aca="false">ROUND($H$4*Inputs!$G$7/Inputs!$G$16,2)</f>
        <v>20484800.29</v>
      </c>
      <c r="L9" s="27" t="n">
        <f aca="false">Equalization!F8</f>
        <v>-261496.67</v>
      </c>
    </row>
    <row r="10" customFormat="false" ht="15" hidden="false" customHeight="false" outlineLevel="0" collapsed="false">
      <c r="B10" s="7" t="str">
        <f aca="false">Inputs!$B$8</f>
        <v>LP03</v>
      </c>
      <c r="C10" s="27" t="n">
        <f aca="false">CallGrid!D8+CallGrid!E8+CallGrid!G8+CallGrid!H8+CallGrid!J8+CallGrid!K8+CallGrid!M8+CallGrid!N8</f>
        <v>14551666.67</v>
      </c>
      <c r="D10" s="27" t="n">
        <f aca="false">Equalization!E9</f>
        <v>-2867666.67</v>
      </c>
      <c r="E10" s="27" t="n">
        <f aca="false">Equalization!G9</f>
        <v>0</v>
      </c>
      <c r="F10" s="27" t="n">
        <f aca="false">C10+D10+E10</f>
        <v>11684000</v>
      </c>
      <c r="G10" s="27" t="n">
        <f aca="false">CallGrid!E8+CallGrid!H8+CallGrid!K8+CallGrid!N8+E10</f>
        <v>700000</v>
      </c>
      <c r="H10" s="27" t="n">
        <f aca="false">ROUND((Inputs!$D$24+4*Inputs!$D$25)*Inputs!$G$8/Inputs!$G$16,2)</f>
        <v>184000</v>
      </c>
      <c r="I10" s="27" t="n">
        <f aca="false">ROUND(($H$4-$H$5)*Inputs!$G$8/Inputs!$G$16,2)</f>
        <v>905600.16</v>
      </c>
      <c r="J10" s="27" t="n">
        <f aca="false">F10-G10-H10+I10</f>
        <v>11705600.16</v>
      </c>
      <c r="K10" s="27" t="n">
        <f aca="false">ROUND($H$4*Inputs!$G$8/Inputs!$G$16,2)</f>
        <v>11705600.16</v>
      </c>
      <c r="L10" s="27" t="n">
        <f aca="false">Equalization!F9</f>
        <v>-149426.67</v>
      </c>
    </row>
    <row r="11" customFormat="false" ht="15" hidden="false" customHeight="false" outlineLevel="0" collapsed="false">
      <c r="B11" s="7" t="str">
        <f aca="false">Inputs!$B$9</f>
        <v>LP04</v>
      </c>
      <c r="C11" s="27" t="n">
        <f aca="false">CallGrid!D9+CallGrid!E9+CallGrid!G9+CallGrid!H9+CallGrid!J9+CallGrid!K9+CallGrid!M9+CallGrid!N9</f>
        <v>21827499.99</v>
      </c>
      <c r="D11" s="27" t="n">
        <f aca="false">Equalization!E10</f>
        <v>-4301499.99</v>
      </c>
      <c r="E11" s="27" t="n">
        <f aca="false">Equalization!G10</f>
        <v>0</v>
      </c>
      <c r="F11" s="27" t="n">
        <f aca="false">C11+D11+E11</f>
        <v>17526000</v>
      </c>
      <c r="G11" s="27" t="n">
        <f aca="false">CallGrid!E9+CallGrid!H9+CallGrid!K9+CallGrid!N9+E11</f>
        <v>1050000</v>
      </c>
      <c r="H11" s="27" t="n">
        <f aca="false">ROUND((Inputs!$D$24+4*Inputs!$D$25)*Inputs!$G$9/Inputs!$G$16,2)</f>
        <v>276000</v>
      </c>
      <c r="I11" s="27" t="n">
        <f aca="false">ROUND(($H$4-$H$5)*Inputs!$G$9/Inputs!$G$16,2)</f>
        <v>1358400.25</v>
      </c>
      <c r="J11" s="27" t="n">
        <f aca="false">F11-G11-H11+I11</f>
        <v>17558400.25</v>
      </c>
      <c r="K11" s="27" t="n">
        <f aca="false">ROUND($H$4*Inputs!$G$9/Inputs!$G$16,2)</f>
        <v>17558400.25</v>
      </c>
      <c r="L11" s="27" t="n">
        <f aca="false">Equalization!F10</f>
        <v>-224140</v>
      </c>
    </row>
    <row r="12" customFormat="false" ht="15" hidden="false" customHeight="false" outlineLevel="0" collapsed="false">
      <c r="B12" s="7" t="str">
        <f aca="false">Inputs!$B$10</f>
        <v>LP05</v>
      </c>
      <c r="C12" s="27" t="n">
        <f aca="false">CallGrid!D10+CallGrid!E10+CallGrid!G10+CallGrid!H10+CallGrid!J10+CallGrid!K10+CallGrid!M10+CallGrid!N10</f>
        <v>10186166.66</v>
      </c>
      <c r="D12" s="27" t="n">
        <f aca="false">Equalization!E11</f>
        <v>-2007366.66</v>
      </c>
      <c r="E12" s="27" t="n">
        <f aca="false">Equalization!G11</f>
        <v>0</v>
      </c>
      <c r="F12" s="27" t="n">
        <f aca="false">C12+D12+E12</f>
        <v>8178800</v>
      </c>
      <c r="G12" s="27" t="n">
        <f aca="false">CallGrid!E10+CallGrid!H10+CallGrid!K10+CallGrid!N10+E12</f>
        <v>490000</v>
      </c>
      <c r="H12" s="27" t="n">
        <f aca="false">ROUND((Inputs!$D$24+4*Inputs!$D$25)*Inputs!$G$10/Inputs!$G$16,2)</f>
        <v>128800</v>
      </c>
      <c r="I12" s="27" t="n">
        <f aca="false">ROUND(($H$4-$H$5)*Inputs!$G$10/Inputs!$G$16,2)</f>
        <v>633920.12</v>
      </c>
      <c r="J12" s="27" t="n">
        <f aca="false">F12-G12-H12+I12</f>
        <v>8193920.12</v>
      </c>
      <c r="K12" s="27" t="n">
        <f aca="false">ROUND($H$4*Inputs!$G$10/Inputs!$G$16,2)</f>
        <v>8193920.12</v>
      </c>
      <c r="L12" s="27" t="n">
        <f aca="false">Equalization!F11</f>
        <v>-104598.67</v>
      </c>
    </row>
    <row r="13" customFormat="false" ht="15" hidden="false" customHeight="false" outlineLevel="0" collapsed="false">
      <c r="B13" s="7" t="str">
        <f aca="false">Inputs!$B$11</f>
        <v>LP06</v>
      </c>
      <c r="C13" s="27" t="n">
        <f aca="false">CallGrid!D11+CallGrid!E11+CallGrid!G11+CallGrid!H11+CallGrid!J11+CallGrid!K11+CallGrid!M11+CallGrid!N11</f>
        <v>20008541.66</v>
      </c>
      <c r="D13" s="27" t="n">
        <f aca="false">Equalization!E12</f>
        <v>-3943041.66</v>
      </c>
      <c r="E13" s="27" t="n">
        <f aca="false">Equalization!G12</f>
        <v>0</v>
      </c>
      <c r="F13" s="27" t="n">
        <f aca="false">C13+D13+E13</f>
        <v>16065500</v>
      </c>
      <c r="G13" s="27" t="n">
        <f aca="false">CallGrid!E11+CallGrid!H11+CallGrid!K11+CallGrid!N11+E13</f>
        <v>962500</v>
      </c>
      <c r="H13" s="27" t="n">
        <f aca="false">ROUND((Inputs!$D$24+4*Inputs!$D$25)*Inputs!$G$11/Inputs!$G$16,2)</f>
        <v>253000</v>
      </c>
      <c r="I13" s="27" t="n">
        <f aca="false">ROUND(($H$4-$H$5)*Inputs!$G$11/Inputs!$G$16,2)</f>
        <v>1245200.23</v>
      </c>
      <c r="J13" s="27" t="n">
        <f aca="false">F13-G13-H13+I13</f>
        <v>16095200.23</v>
      </c>
      <c r="K13" s="27" t="n">
        <f aca="false">ROUND($H$4*Inputs!$G$11/Inputs!$G$16,2)</f>
        <v>16095200.23</v>
      </c>
      <c r="L13" s="27" t="n">
        <f aca="false">Equalization!F12</f>
        <v>-205461.67</v>
      </c>
    </row>
    <row r="14" customFormat="false" ht="15" hidden="false" customHeight="false" outlineLevel="0" collapsed="false">
      <c r="B14" s="7" t="str">
        <f aca="false">Inputs!$B$12</f>
        <v>LP07</v>
      </c>
      <c r="C14" s="27" t="n">
        <f aca="false">CallGrid!D12+CallGrid!E12+CallGrid!G12+CallGrid!H12+CallGrid!J12+CallGrid!K12+CallGrid!M12+CallGrid!N12</f>
        <v>4731250</v>
      </c>
      <c r="D14" s="27" t="n">
        <f aca="false">Equalization!E13</f>
        <v>9217500</v>
      </c>
      <c r="E14" s="27" t="n">
        <f aca="false">Equalization!G13</f>
        <v>656250</v>
      </c>
      <c r="F14" s="27" t="n">
        <f aca="false">C14+D14+E14</f>
        <v>14605000</v>
      </c>
      <c r="G14" s="27" t="n">
        <f aca="false">CallGrid!E12+CallGrid!H12+CallGrid!K12+CallGrid!N12+E14</f>
        <v>875000</v>
      </c>
      <c r="H14" s="27" t="n">
        <f aca="false">ROUND((Inputs!$D$24+4*Inputs!$D$25)*Inputs!$G$12/Inputs!$G$16,2)</f>
        <v>230000</v>
      </c>
      <c r="I14" s="27" t="n">
        <f aca="false">ROUND(($H$4-$H$5)*Inputs!$G$12/Inputs!$G$16,2)</f>
        <v>1132000.21</v>
      </c>
      <c r="J14" s="27" t="n">
        <f aca="false">F14-G14-H14+I14</f>
        <v>14632000.21</v>
      </c>
      <c r="K14" s="27" t="n">
        <f aca="false">ROUND($H$4*Inputs!$G$12/Inputs!$G$16,2)</f>
        <v>14632000.21</v>
      </c>
      <c r="L14" s="27" t="n">
        <f aca="false">Equalization!F13</f>
        <v>480300</v>
      </c>
    </row>
    <row r="15" customFormat="false" ht="15" hidden="false" customHeight="false" outlineLevel="0" collapsed="false">
      <c r="B15" s="7" t="str">
        <f aca="false">Inputs!$B$13</f>
        <v>LP08</v>
      </c>
      <c r="C15" s="27" t="n">
        <f aca="false">CallGrid!D13+CallGrid!E13+CallGrid!G13+CallGrid!H13+CallGrid!J13+CallGrid!K13+CallGrid!M13+CallGrid!N13</f>
        <v>5677500</v>
      </c>
      <c r="D15" s="27" t="n">
        <f aca="false">Equalization!E14</f>
        <v>11061000</v>
      </c>
      <c r="E15" s="27" t="n">
        <f aca="false">Equalization!G14</f>
        <v>787500</v>
      </c>
      <c r="F15" s="27" t="n">
        <f aca="false">C15+D15+E15</f>
        <v>17526000</v>
      </c>
      <c r="G15" s="27" t="n">
        <f aca="false">CallGrid!E13+CallGrid!H13+CallGrid!K13+CallGrid!N13+E15</f>
        <v>1050000</v>
      </c>
      <c r="H15" s="27" t="n">
        <f aca="false">ROUND((Inputs!$D$24+4*Inputs!$D$25)*Inputs!$G$13/Inputs!$G$16,2)</f>
        <v>276000</v>
      </c>
      <c r="I15" s="27" t="n">
        <f aca="false">ROUND(($H$4-$H$5)*Inputs!$G$13/Inputs!$G$16,2)</f>
        <v>1358400.25</v>
      </c>
      <c r="J15" s="27" t="n">
        <f aca="false">F15-G15-H15+I15</f>
        <v>17558400.25</v>
      </c>
      <c r="K15" s="27" t="n">
        <f aca="false">ROUND($H$4*Inputs!$G$13/Inputs!$G$16,2)</f>
        <v>17558400.25</v>
      </c>
      <c r="L15" s="27" t="n">
        <f aca="false">Equalization!F14</f>
        <v>576360</v>
      </c>
    </row>
    <row r="16" customFormat="false" ht="15" hidden="false" customHeight="false" outlineLevel="0" collapsed="false">
      <c r="B16" s="7" t="str">
        <f aca="false">Inputs!$B$14</f>
        <v>LP09</v>
      </c>
      <c r="C16" s="27" t="n">
        <f aca="false">CallGrid!D14+CallGrid!E14+CallGrid!G14+CallGrid!H14+CallGrid!J14+CallGrid!K14+CallGrid!M14+CallGrid!N14</f>
        <v>2554875</v>
      </c>
      <c r="D16" s="27" t="n">
        <f aca="false">Equalization!E15</f>
        <v>4977450</v>
      </c>
      <c r="E16" s="27" t="n">
        <f aca="false">Equalization!G15</f>
        <v>354375</v>
      </c>
      <c r="F16" s="27" t="n">
        <f aca="false">C16+D16+E16</f>
        <v>7886700</v>
      </c>
      <c r="G16" s="27" t="n">
        <f aca="false">CallGrid!E14+CallGrid!H14+CallGrid!K14+CallGrid!N14+E16</f>
        <v>472500</v>
      </c>
      <c r="H16" s="27" t="n">
        <f aca="false">ROUND((Inputs!$D$24+4*Inputs!$D$25)*Inputs!$G$14/Inputs!$G$16,2)</f>
        <v>124200</v>
      </c>
      <c r="I16" s="27" t="n">
        <f aca="false">ROUND(($H$4-$H$5)*Inputs!$G$14/Inputs!$G$16,2)</f>
        <v>611280.11</v>
      </c>
      <c r="J16" s="27" t="n">
        <f aca="false">F16-G16-H16+I16</f>
        <v>7901280.11</v>
      </c>
      <c r="K16" s="27" t="n">
        <f aca="false">ROUND($H$4*Inputs!$G$14/Inputs!$G$16,2)</f>
        <v>7901280.11</v>
      </c>
      <c r="L16" s="27" t="n">
        <f aca="false">Equalization!F15</f>
        <v>259362</v>
      </c>
    </row>
    <row r="17" customFormat="false" ht="15" hidden="false" customHeight="false" outlineLevel="0" collapsed="false">
      <c r="B17" s="7" t="str">
        <f aca="false">Inputs!$B$15</f>
        <v>GP</v>
      </c>
      <c r="C17" s="27" t="n">
        <f aca="false">CallGrid!D15+CallGrid!E15+CallGrid!G15+CallGrid!H15+CallGrid!J15+CallGrid!K15+CallGrid!M15+CallGrid!N15</f>
        <v>2694791.68</v>
      </c>
      <c r="D17" s="27" t="n">
        <f aca="false">Equalization!E16</f>
        <v>51208.32</v>
      </c>
      <c r="E17" s="27" t="n">
        <f aca="false">Equalization!G16</f>
        <v>0</v>
      </c>
      <c r="F17" s="27" t="n">
        <f aca="false">C17+D17+E17</f>
        <v>2746000</v>
      </c>
      <c r="G17" s="27" t="n">
        <f aca="false">CallGrid!E15+CallGrid!H15+CallGrid!K15+CallGrid!N15+E17</f>
        <v>0</v>
      </c>
      <c r="H17" s="27" t="n">
        <f aca="false">ROUND((Inputs!$D$24+4*Inputs!$D$25)*Inputs!$G$15/Inputs!$G$16,2)</f>
        <v>46000</v>
      </c>
      <c r="I17" s="27" t="n">
        <f aca="false">ROUND(($H$4-$H$5)*Inputs!$G$15/Inputs!$G$16,2)</f>
        <v>226400.04</v>
      </c>
      <c r="J17" s="27" t="n">
        <f aca="false">F17-G17-H17+I17</f>
        <v>2926400.04</v>
      </c>
      <c r="K17" s="27" t="n">
        <f aca="false">ROUND($H$4*Inputs!$G$15/Inputs!$G$16,2)</f>
        <v>2926400.04</v>
      </c>
      <c r="L17" s="27" t="n">
        <f aca="false">Equalization!F16</f>
        <v>2668.33</v>
      </c>
    </row>
    <row r="18" customFormat="false" ht="15" hidden="false" customHeight="false" outlineLevel="0" collapsed="false">
      <c r="B18" s="11" t="s">
        <v>54</v>
      </c>
      <c r="C18" s="28" t="n">
        <f aca="false">SUM(C8:C17)</f>
        <v>144076875</v>
      </c>
      <c r="D18" s="28" t="n">
        <f aca="false">SUM(D8:D17)</f>
        <v>0</v>
      </c>
      <c r="E18" s="28" t="n">
        <f aca="false">SUM(E8:E17)</f>
        <v>1798125</v>
      </c>
      <c r="F18" s="28" t="n">
        <f aca="false">SUM(F8:F17)</f>
        <v>145875000</v>
      </c>
      <c r="G18" s="28" t="n">
        <f aca="false">SUM(G8:G17)</f>
        <v>8575000</v>
      </c>
      <c r="H18" s="28" t="n">
        <f aca="false">SUM(H8:H17)</f>
        <v>2300000</v>
      </c>
      <c r="I18" s="28" t="n">
        <f aca="false">SUM(I8:I17)</f>
        <v>11320002.07</v>
      </c>
      <c r="J18" s="28" t="n">
        <f aca="false">SUM(J8:J17)</f>
        <v>146320002.07</v>
      </c>
      <c r="K18" s="28" t="n">
        <f aca="false">SUM(K8:K17)</f>
        <v>146320002.07</v>
      </c>
      <c r="L18" s="28" t="n">
        <f aca="false">SUM(L8:L17)</f>
        <v>0</v>
      </c>
    </row>
    <row r="19" customFormat="false" ht="15" hidden="false" customHeight="false" outlineLevel="0" collapsed="false">
      <c r="B19" s="7" t="s">
        <v>259</v>
      </c>
      <c r="J19" s="27" t="n">
        <f aca="false">H4</f>
        <v>146320002.059616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39060"/>
    <pageSetUpPr fitToPage="false"/>
  </sheetPr>
  <dimension ref="B2:Y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25" min="3" style="0" width="12"/>
  </cols>
  <sheetData>
    <row r="2" customFormat="false" ht="17.35" hidden="false" customHeight="false" outlineLevel="0" collapsed="false">
      <c r="B2" s="4" t="s">
        <v>260</v>
      </c>
    </row>
    <row r="3" customFormat="false" ht="15" hidden="false" customHeight="false" outlineLevel="0" collapsed="false">
      <c r="B3" s="7" t="s">
        <v>261</v>
      </c>
    </row>
    <row r="5" customFormat="false" ht="15" hidden="false" customHeight="false" outlineLevel="0" collapsed="false">
      <c r="B5" s="5" t="s">
        <v>262</v>
      </c>
    </row>
    <row r="6" customFormat="false" ht="35.05" hidden="false" customHeight="false" outlineLevel="0" collapsed="false">
      <c r="B6" s="6" t="s">
        <v>98</v>
      </c>
      <c r="C6" s="6" t="s">
        <v>263</v>
      </c>
      <c r="D6" s="6" t="s">
        <v>264</v>
      </c>
      <c r="E6" s="6" t="s">
        <v>265</v>
      </c>
      <c r="F6" s="6" t="s">
        <v>266</v>
      </c>
      <c r="G6" s="6" t="s">
        <v>267</v>
      </c>
      <c r="H6" s="6" t="s">
        <v>99</v>
      </c>
      <c r="I6" s="6" t="s">
        <v>268</v>
      </c>
      <c r="J6" s="6" t="s">
        <v>269</v>
      </c>
      <c r="K6" s="6" t="s">
        <v>134</v>
      </c>
      <c r="L6" s="6" t="s">
        <v>270</v>
      </c>
      <c r="M6" s="6" t="s">
        <v>271</v>
      </c>
      <c r="N6" s="6" t="s">
        <v>272</v>
      </c>
      <c r="O6" s="6" t="s">
        <v>239</v>
      </c>
      <c r="P6" s="6" t="s">
        <v>273</v>
      </c>
      <c r="Q6" s="6" t="s">
        <v>274</v>
      </c>
      <c r="R6" s="6" t="s">
        <v>275</v>
      </c>
      <c r="S6" s="6" t="s">
        <v>276</v>
      </c>
      <c r="T6" s="6" t="s">
        <v>277</v>
      </c>
      <c r="U6" s="6" t="s">
        <v>278</v>
      </c>
      <c r="V6" s="6" t="s">
        <v>279</v>
      </c>
      <c r="W6" s="6" t="s">
        <v>280</v>
      </c>
      <c r="X6" s="6" t="s">
        <v>281</v>
      </c>
      <c r="Y6" s="6" t="s">
        <v>282</v>
      </c>
    </row>
    <row r="7" customFormat="false" ht="15" hidden="false" customHeight="false" outlineLevel="0" collapsed="false">
      <c r="B7" s="7" t="n">
        <v>1</v>
      </c>
      <c r="C7" s="24" t="n">
        <f aca="false">Inputs!$D$49</f>
        <v>108.412</v>
      </c>
      <c r="D7" s="26" t="n">
        <f aca="false">Inputs!$D$60</f>
        <v>12</v>
      </c>
      <c r="E7" s="24" t="n">
        <f aca="false">D7/C7</f>
        <v>0.110688853632439</v>
      </c>
      <c r="F7" s="24" t="n">
        <f aca="false">Inputs!$D$48+D7</f>
        <v>412</v>
      </c>
      <c r="G7" s="24" t="n">
        <f aca="false">F7+0</f>
        <v>412</v>
      </c>
      <c r="H7" s="24" t="n">
        <f aca="false">G7*Inputs!$C$60</f>
        <v>3.502</v>
      </c>
      <c r="I7" s="26" t="n">
        <f aca="false">0</f>
        <v>0</v>
      </c>
      <c r="J7" s="24" t="n">
        <f aca="false">F7*Inputs!$D$50/12</f>
        <v>0.429166666666667</v>
      </c>
      <c r="K7" s="24" t="n">
        <f aca="false">Inputs!$D$51</f>
        <v>0.085</v>
      </c>
      <c r="L7" s="24" t="n">
        <f aca="false">G7+H7-I7-J7-K7</f>
        <v>414.987833333333</v>
      </c>
      <c r="M7" s="24" t="n">
        <f aca="false">Inputs!$D$49*(1+Inputs!$D$53*1/12)</f>
        <v>108.863716666667</v>
      </c>
      <c r="N7" s="24" t="n">
        <f aca="false">MAX(0,Inputs!$D$52*(L7/(Inputs!$D$48/Inputs!$D$49+E7)-M7)*(Inputs!$D$48/Inputs!$D$49+E7))</f>
        <v>0.158895833333337</v>
      </c>
      <c r="O7" s="24" t="n">
        <f aca="false">L7-N7</f>
        <v>414.8289375</v>
      </c>
      <c r="P7" s="24" t="n">
        <f aca="false">O7/(Inputs!$D$48/Inputs!$D$49+E7)</f>
        <v>109.156395078277</v>
      </c>
      <c r="Q7" s="24" t="n">
        <f aca="false">0</f>
        <v>0</v>
      </c>
      <c r="R7" s="24" t="n">
        <f aca="false">0</f>
        <v>0</v>
      </c>
      <c r="S7" s="24" t="n">
        <f aca="false">0</f>
        <v>0</v>
      </c>
      <c r="T7" s="24" t="n">
        <f aca="false">S7/P7</f>
        <v>0</v>
      </c>
      <c r="U7" s="24" t="n">
        <f aca="false">N7*T7/(Inputs!$D$48/Inputs!$D$49+E7)</f>
        <v>0</v>
      </c>
      <c r="V7" s="24" t="n">
        <f aca="false">0</f>
        <v>0</v>
      </c>
      <c r="W7" s="24" t="n">
        <f aca="false">O7-S7</f>
        <v>414.8289375</v>
      </c>
      <c r="X7" s="24" t="n">
        <f aca="false">(Inputs!$D$48/Inputs!$D$49+E7)-T7</f>
        <v>3.80031730804708</v>
      </c>
      <c r="Y7" s="24" t="n">
        <f aca="false">N7-U7</f>
        <v>0.158895833333337</v>
      </c>
    </row>
    <row r="8" customFormat="false" ht="15" hidden="false" customHeight="false" outlineLevel="0" collapsed="false">
      <c r="B8" s="7" t="n">
        <v>2</v>
      </c>
      <c r="C8" s="24" t="n">
        <f aca="false">P7</f>
        <v>109.156395078277</v>
      </c>
      <c r="D8" s="26" t="n">
        <f aca="false">Inputs!$D$61</f>
        <v>8</v>
      </c>
      <c r="E8" s="24" t="n">
        <f aca="false">D8/C8</f>
        <v>0.0732893386068966</v>
      </c>
      <c r="F8" s="24" t="n">
        <f aca="false">W7+D8</f>
        <v>422.8289375</v>
      </c>
      <c r="G8" s="24" t="n">
        <f aca="false">F8+Y7</f>
        <v>422.987833333333</v>
      </c>
      <c r="H8" s="24" t="n">
        <f aca="false">G8*Inputs!$C$61</f>
        <v>3.38390266666667</v>
      </c>
      <c r="I8" s="26" t="n">
        <f aca="false">0</f>
        <v>0</v>
      </c>
      <c r="J8" s="24" t="n">
        <f aca="false">F8*Inputs!$D$50/12</f>
        <v>0.440446809895833</v>
      </c>
      <c r="K8" s="24" t="n">
        <f aca="false">Inputs!$D$51</f>
        <v>0.085</v>
      </c>
      <c r="L8" s="24" t="n">
        <f aca="false">G8+H8-I8-J8-K8</f>
        <v>425.846289190104</v>
      </c>
      <c r="M8" s="24" t="n">
        <f aca="false">Inputs!$D$49*(1+Inputs!$D$53*2/12)</f>
        <v>109.315433333333</v>
      </c>
      <c r="N8" s="24" t="n">
        <f aca="false">MAX(0,Inputs!$D$52*(L8/(X7+E8)-M8)*(X7+E8))</f>
        <v>0.300162506030574</v>
      </c>
      <c r="O8" s="24" t="n">
        <f aca="false">L8-N8</f>
        <v>425.546126684074</v>
      </c>
      <c r="P8" s="24" t="n">
        <f aca="false">O8/(X7+E8)</f>
        <v>109.857857418657</v>
      </c>
      <c r="Q8" s="24" t="n">
        <f aca="false">0</f>
        <v>0</v>
      </c>
      <c r="R8" s="24" t="n">
        <f aca="false">0</f>
        <v>0</v>
      </c>
      <c r="S8" s="24" t="n">
        <f aca="false">0</f>
        <v>0</v>
      </c>
      <c r="T8" s="24" t="n">
        <f aca="false">S8/P8</f>
        <v>0</v>
      </c>
      <c r="U8" s="24" t="n">
        <f aca="false">N8*T8/(X7+E8)</f>
        <v>0</v>
      </c>
      <c r="V8" s="24" t="n">
        <f aca="false">V7</f>
        <v>0</v>
      </c>
      <c r="W8" s="24" t="n">
        <f aca="false">O8-S8</f>
        <v>425.546126684074</v>
      </c>
      <c r="X8" s="24" t="n">
        <f aca="false">(X7+E8)-T8</f>
        <v>3.87360664665398</v>
      </c>
      <c r="Y8" s="24" t="n">
        <f aca="false">N8-U8</f>
        <v>0.300162506030574</v>
      </c>
    </row>
    <row r="9" customFormat="false" ht="15" hidden="false" customHeight="false" outlineLevel="0" collapsed="false">
      <c r="B9" s="7" t="n">
        <v>3</v>
      </c>
      <c r="C9" s="24" t="n">
        <f aca="false">P8</f>
        <v>109.857857418657</v>
      </c>
      <c r="D9" s="26" t="n">
        <f aca="false">Inputs!$D$62</f>
        <v>15</v>
      </c>
      <c r="E9" s="24" t="n">
        <f aca="false">D9/C9</f>
        <v>0.136540074169084</v>
      </c>
      <c r="F9" s="24" t="n">
        <f aca="false">W8+D9</f>
        <v>440.546126684074</v>
      </c>
      <c r="G9" s="24" t="n">
        <f aca="false">F9+Y8</f>
        <v>440.846289190104</v>
      </c>
      <c r="H9" s="24" t="n">
        <f aca="false">G9*Inputs!$C$62</f>
        <v>3.96761660271094</v>
      </c>
      <c r="I9" s="26" t="n">
        <f aca="false">0</f>
        <v>0</v>
      </c>
      <c r="J9" s="24" t="n">
        <f aca="false">F9*Inputs!$D$50/12</f>
        <v>0.45890221529591</v>
      </c>
      <c r="K9" s="24" t="n">
        <f aca="false">Inputs!$D$51</f>
        <v>0.085</v>
      </c>
      <c r="L9" s="24" t="n">
        <f aca="false">G9+H9-I9-J9-K9</f>
        <v>444.270003577519</v>
      </c>
      <c r="M9" s="24" t="n">
        <f aca="false">Inputs!$D$49*(1+Inputs!$D$53*3/12)</f>
        <v>109.76715</v>
      </c>
      <c r="N9" s="24" t="n">
        <f aca="false">MAX(0,Inputs!$D$52*(L9/(X8+E9)-M9)*(X8+E9))</f>
        <v>0.510953368865796</v>
      </c>
      <c r="O9" s="24" t="n">
        <f aca="false">L9-N9</f>
        <v>443.759050208654</v>
      </c>
      <c r="P9" s="24" t="n">
        <f aca="false">O9/(X8+E9)</f>
        <v>110.659055915434</v>
      </c>
      <c r="Q9" s="24" t="n">
        <f aca="false">Inputs!$E$62+V8</f>
        <v>12</v>
      </c>
      <c r="R9" s="24" t="n">
        <f aca="false">Inputs!$D$54*O9</f>
        <v>22.1879525104327</v>
      </c>
      <c r="S9" s="24" t="n">
        <f aca="false">MIN(Q9,R9)</f>
        <v>12</v>
      </c>
      <c r="T9" s="24" t="n">
        <f aca="false">S9/P9</f>
        <v>0.108441192641029</v>
      </c>
      <c r="U9" s="24" t="n">
        <f aca="false">N9*T9/(X8+E9)</f>
        <v>0.013817048741894</v>
      </c>
      <c r="V9" s="24" t="n">
        <f aca="false">Q9-S9</f>
        <v>0</v>
      </c>
      <c r="W9" s="24" t="n">
        <f aca="false">O9-S9</f>
        <v>431.759050208654</v>
      </c>
      <c r="X9" s="24" t="n">
        <f aca="false">(X8+E9)-T9</f>
        <v>3.90170552818203</v>
      </c>
      <c r="Y9" s="24" t="n">
        <f aca="false">N9-U9</f>
        <v>0.497136320123902</v>
      </c>
    </row>
    <row r="10" customFormat="false" ht="15" hidden="false" customHeight="false" outlineLevel="0" collapsed="false">
      <c r="B10" s="7" t="n">
        <v>4</v>
      </c>
      <c r="C10" s="24" t="n">
        <f aca="false">P9</f>
        <v>110.659055915434</v>
      </c>
      <c r="D10" s="26" t="n">
        <f aca="false">Inputs!$D$63</f>
        <v>6</v>
      </c>
      <c r="E10" s="24" t="n">
        <f aca="false">D10/C10</f>
        <v>0.0542205963205146</v>
      </c>
      <c r="F10" s="24" t="n">
        <f aca="false">W9+D10</f>
        <v>437.759050208654</v>
      </c>
      <c r="G10" s="24" t="n">
        <f aca="false">F10+Y9</f>
        <v>438.256186528777</v>
      </c>
      <c r="H10" s="24" t="n">
        <f aca="false">G10*Inputs!$C$63</f>
        <v>3.06779330570144</v>
      </c>
      <c r="I10" s="26" t="n">
        <f aca="false">0</f>
        <v>0</v>
      </c>
      <c r="J10" s="24" t="n">
        <f aca="false">F10*Inputs!$D$50/12</f>
        <v>0.455999010634014</v>
      </c>
      <c r="K10" s="24" t="n">
        <f aca="false">Inputs!$D$51</f>
        <v>0.085</v>
      </c>
      <c r="L10" s="24" t="n">
        <f aca="false">G10+H10-I10-J10-K10</f>
        <v>440.782980823845</v>
      </c>
      <c r="M10" s="24" t="n">
        <f aca="false">Inputs!$D$49*(1+Inputs!$D$53*4/12)</f>
        <v>110.218866666667</v>
      </c>
      <c r="N10" s="24" t="n">
        <f aca="false">MAX(0,Inputs!$D$52*(L10/(X9+E10)-M10)*(X9+E10))</f>
        <v>0.59566084551443</v>
      </c>
      <c r="O10" s="24" t="n">
        <f aca="false">L10-N10</f>
        <v>440.18731997833</v>
      </c>
      <c r="P10" s="24" t="n">
        <f aca="false">O10/(X9+E10)</f>
        <v>111.272886834732</v>
      </c>
      <c r="Q10" s="24" t="n">
        <f aca="false">0</f>
        <v>0</v>
      </c>
      <c r="R10" s="24" t="n">
        <f aca="false">0</f>
        <v>0</v>
      </c>
      <c r="S10" s="24" t="n">
        <f aca="false">0</f>
        <v>0</v>
      </c>
      <c r="T10" s="24" t="n">
        <f aca="false">S10/P10</f>
        <v>0</v>
      </c>
      <c r="U10" s="24" t="n">
        <f aca="false">N10*T10/(X9+E10)</f>
        <v>0</v>
      </c>
      <c r="V10" s="24" t="n">
        <f aca="false">V9</f>
        <v>0</v>
      </c>
      <c r="W10" s="24" t="n">
        <f aca="false">O10-S10</f>
        <v>440.18731997833</v>
      </c>
      <c r="X10" s="24" t="n">
        <f aca="false">(X9+E10)-T10</f>
        <v>3.95592612450255</v>
      </c>
      <c r="Y10" s="24" t="n">
        <f aca="false">N10-U10</f>
        <v>0.59566084551443</v>
      </c>
    </row>
    <row r="11" customFormat="false" ht="15" hidden="false" customHeight="false" outlineLevel="0" collapsed="false">
      <c r="B11" s="7" t="n">
        <v>5</v>
      </c>
      <c r="C11" s="24" t="n">
        <f aca="false">P10</f>
        <v>111.272886834732</v>
      </c>
      <c r="D11" s="26" t="n">
        <f aca="false">Inputs!$D$64</f>
        <v>10</v>
      </c>
      <c r="E11" s="24" t="n">
        <f aca="false">D11/C11</f>
        <v>0.0898691521758802</v>
      </c>
      <c r="F11" s="24" t="n">
        <f aca="false">W10+D11</f>
        <v>450.18731997833</v>
      </c>
      <c r="G11" s="24" t="n">
        <f aca="false">F11+Y10</f>
        <v>450.782980823845</v>
      </c>
      <c r="H11" s="24" t="n">
        <f aca="false">G11*Inputs!$C$64</f>
        <v>3.83165533700268</v>
      </c>
      <c r="I11" s="26" t="n">
        <f aca="false">0</f>
        <v>0</v>
      </c>
      <c r="J11" s="24" t="n">
        <f aca="false">F11*Inputs!$D$50/12</f>
        <v>0.468945124977428</v>
      </c>
      <c r="K11" s="24" t="n">
        <f aca="false">Inputs!$D$51</f>
        <v>0.085</v>
      </c>
      <c r="L11" s="24" t="n">
        <f aca="false">G11+H11-I11-J11-K11</f>
        <v>454.06069103587</v>
      </c>
      <c r="M11" s="24" t="n">
        <f aca="false">Inputs!$D$49*(1+Inputs!$D$53*5/12)</f>
        <v>110.670583333333</v>
      </c>
      <c r="N11" s="24" t="n">
        <f aca="false">MAX(0,Inputs!$D$52*(L11/(X10+E11)-M11)*(X10+E11))</f>
        <v>0.788770964828022</v>
      </c>
      <c r="O11" s="24" t="n">
        <f aca="false">L11-N11</f>
        <v>453.271920071042</v>
      </c>
      <c r="P11" s="24" t="n">
        <f aca="false">O11/(X10+E11)</f>
        <v>112.035308035452</v>
      </c>
      <c r="Q11" s="24" t="n">
        <f aca="false">0</f>
        <v>0</v>
      </c>
      <c r="R11" s="24" t="n">
        <f aca="false">0</f>
        <v>0</v>
      </c>
      <c r="S11" s="24" t="n">
        <f aca="false">0</f>
        <v>0</v>
      </c>
      <c r="T11" s="24" t="n">
        <f aca="false">S11/P11</f>
        <v>0</v>
      </c>
      <c r="U11" s="24" t="n">
        <f aca="false">N11*T11/(X10+E11)</f>
        <v>0</v>
      </c>
      <c r="V11" s="24" t="n">
        <f aca="false">V10</f>
        <v>0</v>
      </c>
      <c r="W11" s="24" t="n">
        <f aca="false">O11-S11</f>
        <v>453.271920071042</v>
      </c>
      <c r="X11" s="24" t="n">
        <f aca="false">(X10+E11)-T11</f>
        <v>4.04579527667843</v>
      </c>
      <c r="Y11" s="24" t="n">
        <f aca="false">N11-U11</f>
        <v>0.788770964828022</v>
      </c>
    </row>
    <row r="12" customFormat="false" ht="15" hidden="false" customHeight="false" outlineLevel="0" collapsed="false">
      <c r="B12" s="7" t="n">
        <v>6</v>
      </c>
      <c r="C12" s="24" t="n">
        <f aca="false">P11</f>
        <v>112.035308035452</v>
      </c>
      <c r="D12" s="26" t="n">
        <f aca="false">Inputs!$D$65</f>
        <v>9</v>
      </c>
      <c r="E12" s="24" t="n">
        <f aca="false">D12/C12</f>
        <v>0.0803318182260196</v>
      </c>
      <c r="F12" s="24" t="n">
        <f aca="false">W11+D12</f>
        <v>462.271920071042</v>
      </c>
      <c r="G12" s="24" t="n">
        <f aca="false">F12+Y11</f>
        <v>463.06069103587</v>
      </c>
      <c r="H12" s="24" t="n">
        <f aca="false">G12*Inputs!$C$65</f>
        <v>3.47295518276903</v>
      </c>
      <c r="I12" s="26" t="n">
        <f aca="false">0</f>
        <v>0</v>
      </c>
      <c r="J12" s="24" t="n">
        <f aca="false">F12*Inputs!$D$50/12</f>
        <v>0.481533250074002</v>
      </c>
      <c r="K12" s="24" t="n">
        <f aca="false">Inputs!$D$51</f>
        <v>0.085</v>
      </c>
      <c r="L12" s="24" t="n">
        <f aca="false">G12+H12-I12-J12-K12</f>
        <v>465.967112968565</v>
      </c>
      <c r="M12" s="24" t="n">
        <f aca="false">Inputs!$D$49*(1+Inputs!$D$53*6/12)</f>
        <v>111.1223</v>
      </c>
      <c r="N12" s="24" t="n">
        <f aca="false">MAX(0,Inputs!$D$52*(L12/(X11+E12)-M12)*(X11+E12))</f>
        <v>0.932797511308128</v>
      </c>
      <c r="O12" s="24" t="n">
        <f aca="false">L12-N12</f>
        <v>465.034315457257</v>
      </c>
      <c r="P12" s="24" t="n">
        <f aca="false">O12/(X11+E12)</f>
        <v>112.704796716405</v>
      </c>
      <c r="Q12" s="24" t="n">
        <f aca="false">Inputs!$E$65+V11</f>
        <v>26</v>
      </c>
      <c r="R12" s="24" t="n">
        <f aca="false">Inputs!$D$54*O12</f>
        <v>23.2517157728629</v>
      </c>
      <c r="S12" s="24" t="n">
        <f aca="false">MIN(Q12,R12)</f>
        <v>23.2517157728629</v>
      </c>
      <c r="T12" s="24" t="n">
        <f aca="false">S12/P12</f>
        <v>0.206306354745222</v>
      </c>
      <c r="U12" s="24" t="n">
        <f aca="false">N12*T12/(X11+E12)</f>
        <v>0.0466398755654064</v>
      </c>
      <c r="V12" s="24" t="n">
        <f aca="false">Q12-S12</f>
        <v>2.74828422713715</v>
      </c>
      <c r="W12" s="24" t="n">
        <f aca="false">O12-S12</f>
        <v>441.782599684394</v>
      </c>
      <c r="X12" s="24" t="n">
        <f aca="false">(X11+E12)-T12</f>
        <v>3.91982074015922</v>
      </c>
      <c r="Y12" s="24" t="n">
        <f aca="false">N12-U12</f>
        <v>0.886157635742721</v>
      </c>
    </row>
    <row r="13" customFormat="false" ht="15" hidden="false" customHeight="false" outlineLevel="0" collapsed="false">
      <c r="B13" s="7" t="n">
        <v>7</v>
      </c>
      <c r="C13" s="24" t="n">
        <f aca="false">P12</f>
        <v>112.704796716405</v>
      </c>
      <c r="D13" s="26" t="n">
        <f aca="false">Inputs!$D$66</f>
        <v>20</v>
      </c>
      <c r="E13" s="24" t="n">
        <f aca="false">D13/C13</f>
        <v>0.177454736468096</v>
      </c>
      <c r="F13" s="24" t="n">
        <f aca="false">W12+D13</f>
        <v>461.782599684394</v>
      </c>
      <c r="G13" s="24" t="n">
        <f aca="false">F13+Y12</f>
        <v>462.668757320137</v>
      </c>
      <c r="H13" s="24" t="n">
        <f aca="false">G13*Inputs!$C$66</f>
        <v>3.7013500585611</v>
      </c>
      <c r="I13" s="26" t="n">
        <f aca="false">0</f>
        <v>0</v>
      </c>
      <c r="J13" s="24" t="n">
        <f aca="false">F13*Inputs!$D$50/12</f>
        <v>0.481023541337911</v>
      </c>
      <c r="K13" s="24" t="n">
        <f aca="false">Inputs!$D$51</f>
        <v>0.085</v>
      </c>
      <c r="L13" s="24" t="n">
        <f aca="false">G13+H13-I13-J13-K13</f>
        <v>465.80408383736</v>
      </c>
      <c r="M13" s="24" t="n">
        <f aca="false">Inputs!$D$49*(1+Inputs!$D$53*7/12)</f>
        <v>111.574016666667</v>
      </c>
      <c r="N13" s="24" t="n">
        <f aca="false">MAX(0,Inputs!$D$52*(L13/(X12+E13)-M13)*(X12+E13))</f>
        <v>1.08182519002739</v>
      </c>
      <c r="O13" s="24" t="n">
        <f aca="false">L13-N13</f>
        <v>464.722258647333</v>
      </c>
      <c r="P13" s="24" t="n">
        <f aca="false">O13/(X12+E13)</f>
        <v>113.422263476868</v>
      </c>
      <c r="Q13" s="24" t="n">
        <f aca="false">0</f>
        <v>0</v>
      </c>
      <c r="R13" s="24" t="n">
        <f aca="false">0</f>
        <v>0</v>
      </c>
      <c r="S13" s="24" t="n">
        <f aca="false">0</f>
        <v>0</v>
      </c>
      <c r="T13" s="24" t="n">
        <f aca="false">S13/P13</f>
        <v>0</v>
      </c>
      <c r="U13" s="24" t="n">
        <f aca="false">N13*T13/(X12+E13)</f>
        <v>0</v>
      </c>
      <c r="V13" s="24" t="n">
        <f aca="false">V12</f>
        <v>2.74828422713715</v>
      </c>
      <c r="W13" s="24" t="n">
        <f aca="false">O13-S13</f>
        <v>464.722258647333</v>
      </c>
      <c r="X13" s="24" t="n">
        <f aca="false">(X12+E13)-T13</f>
        <v>4.09727547662732</v>
      </c>
      <c r="Y13" s="24" t="n">
        <f aca="false">N13-U13</f>
        <v>1.08182519002739</v>
      </c>
    </row>
    <row r="14" customFormat="false" ht="15" hidden="false" customHeight="false" outlineLevel="0" collapsed="false">
      <c r="B14" s="7" t="n">
        <v>8</v>
      </c>
      <c r="C14" s="24" t="n">
        <f aca="false">P13</f>
        <v>113.422263476868</v>
      </c>
      <c r="D14" s="26" t="n">
        <f aca="false">Inputs!$D$67</f>
        <v>5</v>
      </c>
      <c r="E14" s="24" t="n">
        <f aca="false">D14/C14</f>
        <v>0.0440830560661465</v>
      </c>
      <c r="F14" s="24" t="n">
        <f aca="false">W13+D14</f>
        <v>469.722258647333</v>
      </c>
      <c r="G14" s="24" t="n">
        <f aca="false">F14+Y13</f>
        <v>470.80408383736</v>
      </c>
      <c r="H14" s="24" t="n">
        <f aca="false">G14*Inputs!$C$67</f>
        <v>4.00183471261756</v>
      </c>
      <c r="I14" s="26" t="n">
        <f aca="false">0</f>
        <v>0</v>
      </c>
      <c r="J14" s="24" t="n">
        <f aca="false">F14*Inputs!$D$50/12</f>
        <v>0.489294019424305</v>
      </c>
      <c r="K14" s="24" t="n">
        <f aca="false">Inputs!$D$51</f>
        <v>0.085</v>
      </c>
      <c r="L14" s="24" t="n">
        <f aca="false">G14+H14-I14-J14-K14</f>
        <v>474.231624530553</v>
      </c>
      <c r="M14" s="24" t="n">
        <f aca="false">Inputs!$D$49*(1+Inputs!$D$53*8/12)</f>
        <v>112.025733333333</v>
      </c>
      <c r="N14" s="24" t="n">
        <f aca="false">MAX(0,Inputs!$D$52*(L14/(X13+E14)-M14)*(X13+E14))</f>
        <v>1.28661223866384</v>
      </c>
      <c r="O14" s="24" t="n">
        <f aca="false">L14-N14</f>
        <v>472.94501229189</v>
      </c>
      <c r="P14" s="24" t="n">
        <f aca="false">O14/(X13+E14)</f>
        <v>114.200451025498</v>
      </c>
      <c r="Q14" s="24" t="n">
        <f aca="false">0</f>
        <v>0</v>
      </c>
      <c r="R14" s="24" t="n">
        <f aca="false">0</f>
        <v>0</v>
      </c>
      <c r="S14" s="24" t="n">
        <f aca="false">0</f>
        <v>0</v>
      </c>
      <c r="T14" s="24" t="n">
        <f aca="false">S14/P14</f>
        <v>0</v>
      </c>
      <c r="U14" s="24" t="n">
        <f aca="false">N14*T14/(X13+E14)</f>
        <v>0</v>
      </c>
      <c r="V14" s="24" t="n">
        <f aca="false">V13</f>
        <v>2.74828422713715</v>
      </c>
      <c r="W14" s="24" t="n">
        <f aca="false">O14-S14</f>
        <v>472.94501229189</v>
      </c>
      <c r="X14" s="24" t="n">
        <f aca="false">(X13+E14)-T14</f>
        <v>4.14135853269347</v>
      </c>
      <c r="Y14" s="24" t="n">
        <f aca="false">N14-U14</f>
        <v>1.28661223866384</v>
      </c>
    </row>
    <row r="15" customFormat="false" ht="15" hidden="false" customHeight="false" outlineLevel="0" collapsed="false">
      <c r="B15" s="7" t="n">
        <v>9</v>
      </c>
      <c r="C15" s="24" t="n">
        <f aca="false">P14</f>
        <v>114.200451025498</v>
      </c>
      <c r="D15" s="26" t="n">
        <f aca="false">Inputs!$D$68</f>
        <v>7</v>
      </c>
      <c r="E15" s="24" t="n">
        <f aca="false">D15/C15</f>
        <v>0.0612957298954718</v>
      </c>
      <c r="F15" s="24" t="n">
        <f aca="false">W14+D15</f>
        <v>479.94501229189</v>
      </c>
      <c r="G15" s="24" t="n">
        <f aca="false">F15+Y14</f>
        <v>481.231624530553</v>
      </c>
      <c r="H15" s="24" t="n">
        <f aca="false">G15*Inputs!$C$68</f>
        <v>4.33108462077498</v>
      </c>
      <c r="I15" s="26" t="n">
        <f aca="false">0</f>
        <v>0</v>
      </c>
      <c r="J15" s="24" t="n">
        <f aca="false">F15*Inputs!$D$50/12</f>
        <v>0.499942721137385</v>
      </c>
      <c r="K15" s="24" t="n">
        <f aca="false">Inputs!$D$51</f>
        <v>0.085</v>
      </c>
      <c r="L15" s="24" t="n">
        <f aca="false">G15+H15-I15-J15-K15</f>
        <v>484.977766430191</v>
      </c>
      <c r="M15" s="24" t="n">
        <f aca="false">Inputs!$D$49*(1+Inputs!$D$53*9/12)</f>
        <v>112.47745</v>
      </c>
      <c r="N15" s="24" t="n">
        <f aca="false">MAX(0,Inputs!$D$52*(L15/(X14+E15)-M15)*(X14+E15))</f>
        <v>1.53424146781963</v>
      </c>
      <c r="O15" s="24" t="n">
        <f aca="false">L15-N15</f>
        <v>483.443524962371</v>
      </c>
      <c r="P15" s="24" t="n">
        <f aca="false">O15/(X14+E15)</f>
        <v>115.032904149617</v>
      </c>
      <c r="Q15" s="24" t="n">
        <f aca="false">Inputs!$E$68+V14</f>
        <v>20.7482842271371</v>
      </c>
      <c r="R15" s="24" t="n">
        <f aca="false">Inputs!$D$54*O15</f>
        <v>24.1721762481186</v>
      </c>
      <c r="S15" s="24" t="n">
        <f aca="false">MIN(Q15,R15)</f>
        <v>20.7482842271371</v>
      </c>
      <c r="T15" s="24" t="n">
        <f aca="false">S15/P15</f>
        <v>0.18036825533111</v>
      </c>
      <c r="U15" s="24" t="n">
        <f aca="false">N15*T15/(X14+E15)</f>
        <v>0.0658461152207168</v>
      </c>
      <c r="V15" s="24" t="n">
        <f aca="false">Q15-S15</f>
        <v>0</v>
      </c>
      <c r="W15" s="24" t="n">
        <f aca="false">O15-S15</f>
        <v>462.695240735234</v>
      </c>
      <c r="X15" s="24" t="n">
        <f aca="false">(X14+E15)-T15</f>
        <v>4.02228600725783</v>
      </c>
      <c r="Y15" s="24" t="n">
        <f aca="false">N15-U15</f>
        <v>1.46839535259891</v>
      </c>
    </row>
    <row r="16" customFormat="false" ht="15" hidden="false" customHeight="false" outlineLevel="0" collapsed="false">
      <c r="B16" s="7" t="n">
        <v>10</v>
      </c>
      <c r="C16" s="24" t="n">
        <f aca="false">P15</f>
        <v>115.032904149617</v>
      </c>
      <c r="D16" s="26" t="n">
        <f aca="false">Inputs!$D$69</f>
        <v>11</v>
      </c>
      <c r="E16" s="24" t="n">
        <f aca="false">D16/C16</f>
        <v>0.0956248134507056</v>
      </c>
      <c r="F16" s="24" t="n">
        <f aca="false">W15+D16</f>
        <v>473.695240735234</v>
      </c>
      <c r="G16" s="24" t="n">
        <f aca="false">F16+Y15</f>
        <v>475.163636087833</v>
      </c>
      <c r="H16" s="24" t="n">
        <f aca="false">G16*Inputs!$C$69</f>
        <v>3.56372727065875</v>
      </c>
      <c r="I16" s="26" t="n">
        <f aca="false">0</f>
        <v>0</v>
      </c>
      <c r="J16" s="24" t="n">
        <f aca="false">F16*Inputs!$D$50/12</f>
        <v>0.493432542432536</v>
      </c>
      <c r="K16" s="24" t="n">
        <f aca="false">Inputs!$D$51</f>
        <v>0.085</v>
      </c>
      <c r="L16" s="24" t="n">
        <f aca="false">G16+H16-I16-J16-K16</f>
        <v>478.14893081606</v>
      </c>
      <c r="M16" s="24" t="n">
        <f aca="false">Inputs!$D$49*(1+Inputs!$D$53*10/12)</f>
        <v>112.929166666667</v>
      </c>
      <c r="N16" s="24" t="n">
        <f aca="false">MAX(0,Inputs!$D$52*(L16/(X15+E16)-M16)*(X15+E16))</f>
        <v>1.63958667822443</v>
      </c>
      <c r="O16" s="24" t="n">
        <f aca="false">L16-N16</f>
        <v>476.509344137835</v>
      </c>
      <c r="P16" s="24" t="n">
        <f aca="false">O16/(X15+E16)</f>
        <v>115.716285486689</v>
      </c>
      <c r="Q16" s="24" t="n">
        <f aca="false">0</f>
        <v>0</v>
      </c>
      <c r="R16" s="24" t="n">
        <f aca="false">0</f>
        <v>0</v>
      </c>
      <c r="S16" s="24" t="n">
        <f aca="false">0</f>
        <v>0</v>
      </c>
      <c r="T16" s="24" t="n">
        <f aca="false">S16/P16</f>
        <v>0</v>
      </c>
      <c r="U16" s="24" t="n">
        <f aca="false">N16*T16/(X15+E16)</f>
        <v>0</v>
      </c>
      <c r="V16" s="24" t="n">
        <f aca="false">V15</f>
        <v>0</v>
      </c>
      <c r="W16" s="24" t="n">
        <f aca="false">O16-S16</f>
        <v>476.509344137835</v>
      </c>
      <c r="X16" s="24" t="n">
        <f aca="false">(X15+E16)-T16</f>
        <v>4.11791082070853</v>
      </c>
      <c r="Y16" s="24" t="n">
        <f aca="false">N16-U16</f>
        <v>1.63958667822443</v>
      </c>
    </row>
    <row r="17" customFormat="false" ht="15" hidden="false" customHeight="false" outlineLevel="0" collapsed="false">
      <c r="B17" s="7" t="n">
        <v>11</v>
      </c>
      <c r="C17" s="24" t="n">
        <f aca="false">P16</f>
        <v>115.716285486689</v>
      </c>
      <c r="D17" s="26" t="n">
        <f aca="false">Inputs!$D$70</f>
        <v>6</v>
      </c>
      <c r="E17" s="24" t="n">
        <f aca="false">D17/C17</f>
        <v>0.0518509557644778</v>
      </c>
      <c r="F17" s="24" t="n">
        <f aca="false">W16+D17</f>
        <v>482.509344137835</v>
      </c>
      <c r="G17" s="24" t="n">
        <f aca="false">F17+Y16</f>
        <v>484.14893081606</v>
      </c>
      <c r="H17" s="24" t="n">
        <f aca="false">G17*Inputs!$C$70</f>
        <v>3.87319144652848</v>
      </c>
      <c r="I17" s="26" t="n">
        <f aca="false">0</f>
        <v>0</v>
      </c>
      <c r="J17" s="24" t="n">
        <f aca="false">F17*Inputs!$D$50/12</f>
        <v>0.502613900143578</v>
      </c>
      <c r="K17" s="24" t="n">
        <f aca="false">Inputs!$D$51</f>
        <v>0.085</v>
      </c>
      <c r="L17" s="24" t="n">
        <f aca="false">G17+H17-I17-J17-K17</f>
        <v>487.434508362444</v>
      </c>
      <c r="M17" s="24" t="n">
        <f aca="false">Inputs!$D$49*(1+Inputs!$D$53*11/12)</f>
        <v>113.380883333333</v>
      </c>
      <c r="N17" s="24" t="n">
        <f aca="false">MAX(0,Inputs!$D$52*(L17/(X16+E17)-M17)*(X16+E17))</f>
        <v>1.83290435704565</v>
      </c>
      <c r="O17" s="24" t="n">
        <f aca="false">L17-N17</f>
        <v>485.601604005399</v>
      </c>
      <c r="P17" s="24" t="n">
        <f aca="false">O17/(X16+E17)</f>
        <v>116.457876981199</v>
      </c>
      <c r="Q17" s="24" t="n">
        <f aca="false">0</f>
        <v>0</v>
      </c>
      <c r="R17" s="24" t="n">
        <f aca="false">0</f>
        <v>0</v>
      </c>
      <c r="S17" s="24" t="n">
        <f aca="false">0</f>
        <v>0</v>
      </c>
      <c r="T17" s="24" t="n">
        <f aca="false">S17/P17</f>
        <v>0</v>
      </c>
      <c r="U17" s="24" t="n">
        <f aca="false">N17*T17/(X16+E17)</f>
        <v>0</v>
      </c>
      <c r="V17" s="24" t="n">
        <f aca="false">V16</f>
        <v>0</v>
      </c>
      <c r="W17" s="24" t="n">
        <f aca="false">O17-S17</f>
        <v>485.601604005399</v>
      </c>
      <c r="X17" s="24" t="n">
        <f aca="false">(X16+E17)-T17</f>
        <v>4.16976177647301</v>
      </c>
      <c r="Y17" s="24" t="n">
        <f aca="false">N17-U17</f>
        <v>1.83290435704565</v>
      </c>
    </row>
    <row r="18" customFormat="false" ht="15" hidden="false" customHeight="false" outlineLevel="0" collapsed="false">
      <c r="B18" s="7" t="n">
        <v>12</v>
      </c>
      <c r="C18" s="24" t="n">
        <f aca="false">P17</f>
        <v>116.457876981199</v>
      </c>
      <c r="D18" s="26" t="n">
        <f aca="false">Inputs!$D$71</f>
        <v>9</v>
      </c>
      <c r="E18" s="24" t="n">
        <f aca="false">D18/C18</f>
        <v>0.077281161509178</v>
      </c>
      <c r="F18" s="24" t="n">
        <f aca="false">W17+D18</f>
        <v>494.601604005399</v>
      </c>
      <c r="G18" s="24" t="n">
        <f aca="false">F18+Y17</f>
        <v>496.434508362444</v>
      </c>
      <c r="H18" s="24" t="n">
        <f aca="false">G18*Inputs!$C$71</f>
        <v>4.21969332108078</v>
      </c>
      <c r="I18" s="26" t="n">
        <f aca="false">0</f>
        <v>0</v>
      </c>
      <c r="J18" s="24" t="n">
        <f aca="false">F18*Inputs!$D$50/12</f>
        <v>0.51521000417229</v>
      </c>
      <c r="K18" s="24" t="n">
        <f aca="false">Inputs!$D$51</f>
        <v>0.085</v>
      </c>
      <c r="L18" s="24" t="n">
        <f aca="false">G18+H18-I18-J18-K18</f>
        <v>500.053991679353</v>
      </c>
      <c r="M18" s="24" t="n">
        <f aca="false">Inputs!$D$49*(1+Inputs!$D$53*12/12)</f>
        <v>113.8326</v>
      </c>
      <c r="N18" s="24" t="n">
        <f aca="false">MAX(0,Inputs!$D$52*(L18/(X17+E18)-M18)*(X17+E18))</f>
        <v>2.07525646715021</v>
      </c>
      <c r="O18" s="24" t="n">
        <f aca="false">L18-N18</f>
        <v>497.978735212203</v>
      </c>
      <c r="P18" s="24" t="n">
        <f aca="false">O18/(X17+E18)</f>
        <v>117.253049353157</v>
      </c>
      <c r="Q18" s="24" t="n">
        <f aca="false">Inputs!$E$71+V17</f>
        <v>30</v>
      </c>
      <c r="R18" s="24" t="n">
        <f aca="false">Inputs!$D$54*O18</f>
        <v>24.8989367606101</v>
      </c>
      <c r="S18" s="24" t="n">
        <f aca="false">MIN(Q18,R18)</f>
        <v>24.8989367606101</v>
      </c>
      <c r="T18" s="24" t="n">
        <f aca="false">S18/P18</f>
        <v>0.212352146899109</v>
      </c>
      <c r="U18" s="24" t="n">
        <f aca="false">N18*T18/(X17+E18)</f>
        <v>0.103762823357511</v>
      </c>
      <c r="V18" s="24" t="n">
        <f aca="false">Q18-S18</f>
        <v>5.10106323938986</v>
      </c>
      <c r="W18" s="24" t="n">
        <f aca="false">O18-S18</f>
        <v>473.079798451593</v>
      </c>
      <c r="X18" s="24" t="n">
        <f aca="false">(X17+E18)-T18</f>
        <v>4.03469079108308</v>
      </c>
      <c r="Y18" s="24" t="n">
        <f aca="false">N18-U18</f>
        <v>1.9714936437927</v>
      </c>
    </row>
    <row r="21" customFormat="false" ht="15" hidden="false" customHeight="false" outlineLevel="0" collapsed="false">
      <c r="B21" s="5" t="s">
        <v>283</v>
      </c>
    </row>
    <row r="22" customFormat="false" ht="35.05" hidden="false" customHeight="false" outlineLevel="0" collapsed="false">
      <c r="B22" s="6" t="s">
        <v>98</v>
      </c>
      <c r="C22" s="6" t="s">
        <v>263</v>
      </c>
      <c r="D22" s="6" t="s">
        <v>264</v>
      </c>
      <c r="E22" s="6" t="s">
        <v>265</v>
      </c>
      <c r="F22" s="6" t="s">
        <v>266</v>
      </c>
      <c r="G22" s="6" t="s">
        <v>267</v>
      </c>
      <c r="H22" s="6" t="s">
        <v>99</v>
      </c>
      <c r="I22" s="6" t="s">
        <v>268</v>
      </c>
      <c r="J22" s="6" t="s">
        <v>269</v>
      </c>
      <c r="K22" s="6" t="s">
        <v>134</v>
      </c>
      <c r="L22" s="6" t="s">
        <v>270</v>
      </c>
      <c r="M22" s="6" t="s">
        <v>271</v>
      </c>
      <c r="N22" s="6" t="s">
        <v>272</v>
      </c>
      <c r="O22" s="6" t="s">
        <v>239</v>
      </c>
      <c r="P22" s="6" t="s">
        <v>273</v>
      </c>
      <c r="Q22" s="6" t="s">
        <v>274</v>
      </c>
      <c r="R22" s="6" t="s">
        <v>275</v>
      </c>
      <c r="S22" s="6" t="s">
        <v>276</v>
      </c>
      <c r="T22" s="6" t="s">
        <v>277</v>
      </c>
      <c r="U22" s="6" t="s">
        <v>278</v>
      </c>
      <c r="V22" s="6" t="s">
        <v>279</v>
      </c>
      <c r="W22" s="6" t="s">
        <v>280</v>
      </c>
      <c r="X22" s="6" t="s">
        <v>281</v>
      </c>
      <c r="Y22" s="6" t="s">
        <v>282</v>
      </c>
    </row>
    <row r="23" customFormat="false" ht="15" hidden="false" customHeight="false" outlineLevel="0" collapsed="false">
      <c r="B23" s="7" t="n">
        <v>1</v>
      </c>
      <c r="C23" s="24" t="n">
        <f aca="false">Inputs!$D$49</f>
        <v>108.412</v>
      </c>
      <c r="D23" s="26" t="n">
        <f aca="false">Inputs!$D$60</f>
        <v>12</v>
      </c>
      <c r="E23" s="24" t="n">
        <f aca="false">D23/C23</f>
        <v>0.110688853632439</v>
      </c>
      <c r="F23" s="24" t="n">
        <f aca="false">Inputs!$D$48+D23</f>
        <v>412</v>
      </c>
      <c r="G23" s="24" t="n">
        <f aca="false">F23+0</f>
        <v>412</v>
      </c>
      <c r="H23" s="24" t="n">
        <f aca="false">G23*Inputs!$C$60</f>
        <v>3.502</v>
      </c>
      <c r="I23" s="26" t="n">
        <f aca="false">IF(1=Inputs!$D$56,Inputs!$D$55,0)</f>
        <v>0</v>
      </c>
      <c r="J23" s="24" t="n">
        <f aca="false">F23*Inputs!$D$50/12</f>
        <v>0.429166666666667</v>
      </c>
      <c r="K23" s="24" t="n">
        <f aca="false">Inputs!$D$51</f>
        <v>0.085</v>
      </c>
      <c r="L23" s="24" t="n">
        <f aca="false">G23+H23-I23-J23-K23</f>
        <v>414.987833333333</v>
      </c>
      <c r="M23" s="24" t="n">
        <f aca="false">Inputs!$D$49*(1+Inputs!$D$53*1/12)</f>
        <v>108.863716666667</v>
      </c>
      <c r="N23" s="24" t="n">
        <f aca="false">MAX(0,Inputs!$D$52*(L23/(Inputs!$D$48/Inputs!$D$49+E23)-M23)*(Inputs!$D$48/Inputs!$D$49+E23))</f>
        <v>0.158895833333337</v>
      </c>
      <c r="O23" s="24" t="n">
        <f aca="false">L23-N23</f>
        <v>414.8289375</v>
      </c>
      <c r="P23" s="24" t="n">
        <f aca="false">O23/(Inputs!$D$48/Inputs!$D$49+E23)</f>
        <v>109.156395078277</v>
      </c>
      <c r="Q23" s="24" t="n">
        <f aca="false">0</f>
        <v>0</v>
      </c>
      <c r="R23" s="24" t="n">
        <f aca="false">0</f>
        <v>0</v>
      </c>
      <c r="S23" s="24" t="n">
        <f aca="false">0</f>
        <v>0</v>
      </c>
      <c r="T23" s="24" t="n">
        <f aca="false">S23/P23</f>
        <v>0</v>
      </c>
      <c r="U23" s="24" t="n">
        <f aca="false">N23*T23/(Inputs!$D$48/Inputs!$D$49+E23)</f>
        <v>0</v>
      </c>
      <c r="V23" s="24" t="n">
        <f aca="false">0</f>
        <v>0</v>
      </c>
      <c r="W23" s="24" t="n">
        <f aca="false">O23-S23</f>
        <v>414.8289375</v>
      </c>
      <c r="X23" s="24" t="n">
        <f aca="false">(Inputs!$D$48/Inputs!$D$49+E23)-T23</f>
        <v>3.80031730804708</v>
      </c>
      <c r="Y23" s="24" t="n">
        <f aca="false">N23-U23</f>
        <v>0.158895833333337</v>
      </c>
    </row>
    <row r="24" customFormat="false" ht="15" hidden="false" customHeight="false" outlineLevel="0" collapsed="false">
      <c r="B24" s="7" t="n">
        <v>2</v>
      </c>
      <c r="C24" s="24" t="n">
        <f aca="false">P23</f>
        <v>109.156395078277</v>
      </c>
      <c r="D24" s="26" t="n">
        <f aca="false">Inputs!$D$61</f>
        <v>8</v>
      </c>
      <c r="E24" s="24" t="n">
        <f aca="false">D24/C24</f>
        <v>0.0732893386068966</v>
      </c>
      <c r="F24" s="24" t="n">
        <f aca="false">W23+D24</f>
        <v>422.8289375</v>
      </c>
      <c r="G24" s="24" t="n">
        <f aca="false">F24+Y23</f>
        <v>422.987833333333</v>
      </c>
      <c r="H24" s="24" t="n">
        <f aca="false">G24*Inputs!$C$61</f>
        <v>3.38390266666667</v>
      </c>
      <c r="I24" s="26" t="n">
        <f aca="false">IF(2=Inputs!$D$56,Inputs!$D$55,0)</f>
        <v>0</v>
      </c>
      <c r="J24" s="24" t="n">
        <f aca="false">F24*Inputs!$D$50/12</f>
        <v>0.440446809895833</v>
      </c>
      <c r="K24" s="24" t="n">
        <f aca="false">Inputs!$D$51</f>
        <v>0.085</v>
      </c>
      <c r="L24" s="24" t="n">
        <f aca="false">G24+H24-I24-J24-K24</f>
        <v>425.846289190104</v>
      </c>
      <c r="M24" s="24" t="n">
        <f aca="false">Inputs!$D$49*(1+Inputs!$D$53*2/12)</f>
        <v>109.315433333333</v>
      </c>
      <c r="N24" s="24" t="n">
        <f aca="false">MAX(0,Inputs!$D$52*(L24/(X23+E24)-M24)*(X23+E24))</f>
        <v>0.300162506030574</v>
      </c>
      <c r="O24" s="24" t="n">
        <f aca="false">L24-N24</f>
        <v>425.546126684074</v>
      </c>
      <c r="P24" s="24" t="n">
        <f aca="false">O24/(X23+E24)</f>
        <v>109.857857418657</v>
      </c>
      <c r="Q24" s="24" t="n">
        <f aca="false">0</f>
        <v>0</v>
      </c>
      <c r="R24" s="24" t="n">
        <f aca="false">0</f>
        <v>0</v>
      </c>
      <c r="S24" s="24" t="n">
        <f aca="false">0</f>
        <v>0</v>
      </c>
      <c r="T24" s="24" t="n">
        <f aca="false">S24/P24</f>
        <v>0</v>
      </c>
      <c r="U24" s="24" t="n">
        <f aca="false">N24*T24/(X23+E24)</f>
        <v>0</v>
      </c>
      <c r="V24" s="24" t="n">
        <f aca="false">V23</f>
        <v>0</v>
      </c>
      <c r="W24" s="24" t="n">
        <f aca="false">O24-S24</f>
        <v>425.546126684074</v>
      </c>
      <c r="X24" s="24" t="n">
        <f aca="false">(X23+E24)-T24</f>
        <v>3.87360664665398</v>
      </c>
      <c r="Y24" s="24" t="n">
        <f aca="false">N24-U24</f>
        <v>0.300162506030574</v>
      </c>
    </row>
    <row r="25" customFormat="false" ht="15" hidden="false" customHeight="false" outlineLevel="0" collapsed="false">
      <c r="B25" s="7" t="n">
        <v>3</v>
      </c>
      <c r="C25" s="24" t="n">
        <f aca="false">P24</f>
        <v>109.857857418657</v>
      </c>
      <c r="D25" s="26" t="n">
        <f aca="false">Inputs!$D$62</f>
        <v>15</v>
      </c>
      <c r="E25" s="24" t="n">
        <f aca="false">D25/C25</f>
        <v>0.136540074169084</v>
      </c>
      <c r="F25" s="24" t="n">
        <f aca="false">W24+D25</f>
        <v>440.546126684074</v>
      </c>
      <c r="G25" s="24" t="n">
        <f aca="false">F25+Y24</f>
        <v>440.846289190104</v>
      </c>
      <c r="H25" s="24" t="n">
        <f aca="false">G25*Inputs!$C$62</f>
        <v>3.96761660271094</v>
      </c>
      <c r="I25" s="26" t="n">
        <f aca="false">IF(3=Inputs!$D$56,Inputs!$D$55,0)</f>
        <v>0</v>
      </c>
      <c r="J25" s="24" t="n">
        <f aca="false">F25*Inputs!$D$50/12</f>
        <v>0.45890221529591</v>
      </c>
      <c r="K25" s="24" t="n">
        <f aca="false">Inputs!$D$51</f>
        <v>0.085</v>
      </c>
      <c r="L25" s="24" t="n">
        <f aca="false">G25+H25-I25-J25-K25</f>
        <v>444.270003577519</v>
      </c>
      <c r="M25" s="24" t="n">
        <f aca="false">Inputs!$D$49*(1+Inputs!$D$53*3/12)</f>
        <v>109.76715</v>
      </c>
      <c r="N25" s="24" t="n">
        <f aca="false">MAX(0,Inputs!$D$52*(L25/(X24+E25)-M25)*(X24+E25))</f>
        <v>0.510953368865796</v>
      </c>
      <c r="O25" s="24" t="n">
        <f aca="false">L25-N25</f>
        <v>443.759050208654</v>
      </c>
      <c r="P25" s="24" t="n">
        <f aca="false">O25/(X24+E25)</f>
        <v>110.659055915434</v>
      </c>
      <c r="Q25" s="24" t="n">
        <f aca="false">Inputs!$E$62+V24</f>
        <v>12</v>
      </c>
      <c r="R25" s="24" t="n">
        <f aca="false">Inputs!$D$54*O25</f>
        <v>22.1879525104327</v>
      </c>
      <c r="S25" s="24" t="n">
        <f aca="false">MIN(Q25,R25)</f>
        <v>12</v>
      </c>
      <c r="T25" s="24" t="n">
        <f aca="false">S25/P25</f>
        <v>0.108441192641029</v>
      </c>
      <c r="U25" s="24" t="n">
        <f aca="false">N25*T25/(X24+E25)</f>
        <v>0.013817048741894</v>
      </c>
      <c r="V25" s="24" t="n">
        <f aca="false">Q25-S25</f>
        <v>0</v>
      </c>
      <c r="W25" s="24" t="n">
        <f aca="false">O25-S25</f>
        <v>431.759050208654</v>
      </c>
      <c r="X25" s="24" t="n">
        <f aca="false">(X24+E25)-T25</f>
        <v>3.90170552818203</v>
      </c>
      <c r="Y25" s="24" t="n">
        <f aca="false">N25-U25</f>
        <v>0.497136320123902</v>
      </c>
    </row>
    <row r="26" customFormat="false" ht="15" hidden="false" customHeight="false" outlineLevel="0" collapsed="false">
      <c r="B26" s="7" t="n">
        <v>4</v>
      </c>
      <c r="C26" s="24" t="n">
        <f aca="false">P25</f>
        <v>110.659055915434</v>
      </c>
      <c r="D26" s="26" t="n">
        <f aca="false">Inputs!$D$63</f>
        <v>6</v>
      </c>
      <c r="E26" s="24" t="n">
        <f aca="false">D26/C26</f>
        <v>0.0542205963205146</v>
      </c>
      <c r="F26" s="24" t="n">
        <f aca="false">W25+D26</f>
        <v>437.759050208654</v>
      </c>
      <c r="G26" s="24" t="n">
        <f aca="false">F26+Y25</f>
        <v>438.256186528777</v>
      </c>
      <c r="H26" s="24" t="n">
        <f aca="false">G26*Inputs!$C$63</f>
        <v>3.06779330570144</v>
      </c>
      <c r="I26" s="26" t="n">
        <f aca="false">IF(4=Inputs!$D$56,Inputs!$D$55,0)</f>
        <v>0</v>
      </c>
      <c r="J26" s="24" t="n">
        <f aca="false">F26*Inputs!$D$50/12</f>
        <v>0.455999010634014</v>
      </c>
      <c r="K26" s="24" t="n">
        <f aca="false">Inputs!$D$51</f>
        <v>0.085</v>
      </c>
      <c r="L26" s="24" t="n">
        <f aca="false">G26+H26-I26-J26-K26</f>
        <v>440.782980823845</v>
      </c>
      <c r="M26" s="24" t="n">
        <f aca="false">Inputs!$D$49*(1+Inputs!$D$53*4/12)</f>
        <v>110.218866666667</v>
      </c>
      <c r="N26" s="24" t="n">
        <f aca="false">MAX(0,Inputs!$D$52*(L26/(X25+E26)-M26)*(X25+E26))</f>
        <v>0.59566084551443</v>
      </c>
      <c r="O26" s="24" t="n">
        <f aca="false">L26-N26</f>
        <v>440.18731997833</v>
      </c>
      <c r="P26" s="24" t="n">
        <f aca="false">O26/(X25+E26)</f>
        <v>111.272886834732</v>
      </c>
      <c r="Q26" s="24" t="n">
        <f aca="false">0</f>
        <v>0</v>
      </c>
      <c r="R26" s="24" t="n">
        <f aca="false">0</f>
        <v>0</v>
      </c>
      <c r="S26" s="24" t="n">
        <f aca="false">0</f>
        <v>0</v>
      </c>
      <c r="T26" s="24" t="n">
        <f aca="false">S26/P26</f>
        <v>0</v>
      </c>
      <c r="U26" s="24" t="n">
        <f aca="false">N26*T26/(X25+E26)</f>
        <v>0</v>
      </c>
      <c r="V26" s="24" t="n">
        <f aca="false">V25</f>
        <v>0</v>
      </c>
      <c r="W26" s="24" t="n">
        <f aca="false">O26-S26</f>
        <v>440.18731997833</v>
      </c>
      <c r="X26" s="24" t="n">
        <f aca="false">(X25+E26)-T26</f>
        <v>3.95592612450255</v>
      </c>
      <c r="Y26" s="24" t="n">
        <f aca="false">N26-U26</f>
        <v>0.59566084551443</v>
      </c>
    </row>
    <row r="27" customFormat="false" ht="15" hidden="false" customHeight="false" outlineLevel="0" collapsed="false">
      <c r="B27" s="7" t="n">
        <v>5</v>
      </c>
      <c r="C27" s="24" t="n">
        <f aca="false">P26</f>
        <v>111.272886834732</v>
      </c>
      <c r="D27" s="26" t="n">
        <f aca="false">Inputs!$D$64</f>
        <v>10</v>
      </c>
      <c r="E27" s="24" t="n">
        <f aca="false">D27/C27</f>
        <v>0.0898691521758802</v>
      </c>
      <c r="F27" s="24" t="n">
        <f aca="false">W26+D27</f>
        <v>450.18731997833</v>
      </c>
      <c r="G27" s="24" t="n">
        <f aca="false">F27+Y26</f>
        <v>450.782980823845</v>
      </c>
      <c r="H27" s="24" t="n">
        <f aca="false">G27*Inputs!$C$64</f>
        <v>3.83165533700268</v>
      </c>
      <c r="I27" s="26" t="n">
        <f aca="false">IF(5=Inputs!$D$56,Inputs!$D$55,0)</f>
        <v>0</v>
      </c>
      <c r="J27" s="24" t="n">
        <f aca="false">F27*Inputs!$D$50/12</f>
        <v>0.468945124977428</v>
      </c>
      <c r="K27" s="24" t="n">
        <f aca="false">Inputs!$D$51</f>
        <v>0.085</v>
      </c>
      <c r="L27" s="24" t="n">
        <f aca="false">G27+H27-I27-J27-K27</f>
        <v>454.06069103587</v>
      </c>
      <c r="M27" s="24" t="n">
        <f aca="false">Inputs!$D$49*(1+Inputs!$D$53*5/12)</f>
        <v>110.670583333333</v>
      </c>
      <c r="N27" s="24" t="n">
        <f aca="false">MAX(0,Inputs!$D$52*(L27/(X26+E27)-M27)*(X26+E27))</f>
        <v>0.788770964828022</v>
      </c>
      <c r="O27" s="24" t="n">
        <f aca="false">L27-N27</f>
        <v>453.271920071042</v>
      </c>
      <c r="P27" s="24" t="n">
        <f aca="false">O27/(X26+E27)</f>
        <v>112.035308035452</v>
      </c>
      <c r="Q27" s="24" t="n">
        <f aca="false">0</f>
        <v>0</v>
      </c>
      <c r="R27" s="24" t="n">
        <f aca="false">0</f>
        <v>0</v>
      </c>
      <c r="S27" s="24" t="n">
        <f aca="false">0</f>
        <v>0</v>
      </c>
      <c r="T27" s="24" t="n">
        <f aca="false">S27/P27</f>
        <v>0</v>
      </c>
      <c r="U27" s="24" t="n">
        <f aca="false">N27*T27/(X26+E27)</f>
        <v>0</v>
      </c>
      <c r="V27" s="24" t="n">
        <f aca="false">V26</f>
        <v>0</v>
      </c>
      <c r="W27" s="24" t="n">
        <f aca="false">O27-S27</f>
        <v>453.271920071042</v>
      </c>
      <c r="X27" s="24" t="n">
        <f aca="false">(X26+E27)-T27</f>
        <v>4.04579527667843</v>
      </c>
      <c r="Y27" s="24" t="n">
        <f aca="false">N27-U27</f>
        <v>0.788770964828022</v>
      </c>
    </row>
    <row r="28" customFormat="false" ht="15" hidden="false" customHeight="false" outlineLevel="0" collapsed="false">
      <c r="B28" s="7" t="n">
        <v>6</v>
      </c>
      <c r="C28" s="24" t="n">
        <f aca="false">P27</f>
        <v>112.035308035452</v>
      </c>
      <c r="D28" s="26" t="n">
        <f aca="false">Inputs!$D$65</f>
        <v>9</v>
      </c>
      <c r="E28" s="24" t="n">
        <f aca="false">D28/C28</f>
        <v>0.0803318182260196</v>
      </c>
      <c r="F28" s="24" t="n">
        <f aca="false">W27+D28</f>
        <v>462.271920071042</v>
      </c>
      <c r="G28" s="24" t="n">
        <f aca="false">F28+Y27</f>
        <v>463.06069103587</v>
      </c>
      <c r="H28" s="24" t="n">
        <f aca="false">G28*Inputs!$C$65</f>
        <v>3.47295518276903</v>
      </c>
      <c r="I28" s="26" t="n">
        <f aca="false">IF(6=Inputs!$D$56,Inputs!$D$55,0)</f>
        <v>4.2</v>
      </c>
      <c r="J28" s="24" t="n">
        <f aca="false">F28*Inputs!$D$50/12</f>
        <v>0.481533250074002</v>
      </c>
      <c r="K28" s="24" t="n">
        <f aca="false">Inputs!$D$51</f>
        <v>0.085</v>
      </c>
      <c r="L28" s="24" t="n">
        <f aca="false">G28+H28-I28-J28-K28</f>
        <v>461.767112968565</v>
      </c>
      <c r="M28" s="24" t="n">
        <f aca="false">Inputs!$D$49*(1+Inputs!$D$53*6/12)</f>
        <v>111.1223</v>
      </c>
      <c r="N28" s="24" t="n">
        <f aca="false">MAX(0,Inputs!$D$52*(L28/(X27+E28)-M28)*(X27+E28))</f>
        <v>0.407797511308133</v>
      </c>
      <c r="O28" s="24" t="n">
        <f aca="false">L28-N28</f>
        <v>461.359315457257</v>
      </c>
      <c r="P28" s="24" t="n">
        <f aca="false">O28/(X27+E28)</f>
        <v>111.814130986661</v>
      </c>
      <c r="Q28" s="24" t="n">
        <f aca="false">Inputs!$E$65+V27</f>
        <v>26</v>
      </c>
      <c r="R28" s="24" t="n">
        <f aca="false">Inputs!$D$54*O28</f>
        <v>23.0679657728629</v>
      </c>
      <c r="S28" s="24" t="n">
        <f aca="false">T28*P28</f>
        <v>23.0679657728629</v>
      </c>
      <c r="T28" s="24" t="n">
        <f aca="false">T12</f>
        <v>0.206306354745222</v>
      </c>
      <c r="U28" s="24" t="n">
        <f aca="false">N28*T28/(X27+E28)</f>
        <v>0.0203898755654067</v>
      </c>
      <c r="V28" s="24" t="n">
        <f aca="false">V12</f>
        <v>2.74828422713715</v>
      </c>
      <c r="W28" s="24" t="n">
        <f aca="false">O28-S28</f>
        <v>438.291349684394</v>
      </c>
      <c r="X28" s="24" t="n">
        <f aca="false">(X27+E28)-T28</f>
        <v>3.91982074015922</v>
      </c>
      <c r="Y28" s="24" t="n">
        <f aca="false">N28-U28</f>
        <v>0.387407635742726</v>
      </c>
    </row>
    <row r="29" customFormat="false" ht="15" hidden="false" customHeight="false" outlineLevel="0" collapsed="false">
      <c r="B29" s="7" t="n">
        <v>7</v>
      </c>
      <c r="C29" s="24" t="n">
        <f aca="false">P28</f>
        <v>111.814130986661</v>
      </c>
      <c r="D29" s="26" t="n">
        <f aca="false">Inputs!$D$66</f>
        <v>20</v>
      </c>
      <c r="E29" s="24" t="n">
        <f aca="false">D29/C29</f>
        <v>0.178868268469447</v>
      </c>
      <c r="F29" s="24" t="n">
        <f aca="false">W28+D29</f>
        <v>458.291349684394</v>
      </c>
      <c r="G29" s="24" t="n">
        <f aca="false">F29+Y28</f>
        <v>458.678757320137</v>
      </c>
      <c r="H29" s="24" t="n">
        <f aca="false">G29*Inputs!$C$66</f>
        <v>3.6694300585611</v>
      </c>
      <c r="I29" s="26" t="n">
        <f aca="false">IF(7=Inputs!$D$56,Inputs!$D$55,0)</f>
        <v>0</v>
      </c>
      <c r="J29" s="24" t="n">
        <f aca="false">F29*Inputs!$D$50/12</f>
        <v>0.477386822587911</v>
      </c>
      <c r="K29" s="24" t="n">
        <f aca="false">Inputs!$D$51</f>
        <v>0.085</v>
      </c>
      <c r="L29" s="24" t="n">
        <f aca="false">G29+H29-I29-J29-K29</f>
        <v>461.78580055611</v>
      </c>
      <c r="M29" s="24" t="n">
        <f aca="false">Inputs!$D$49*(1+Inputs!$D$53*7/12)</f>
        <v>111.574016666667</v>
      </c>
      <c r="N29" s="24" t="n">
        <f aca="false">MAX(0,Inputs!$D$52*(L29/(X28+E29)-M29)*(X28+E29))</f>
        <v>0.55982559948643</v>
      </c>
      <c r="O29" s="24" t="n">
        <f aca="false">L29-N29</f>
        <v>461.225974956624</v>
      </c>
      <c r="P29" s="24" t="n">
        <f aca="false">O29/(X28+E29)</f>
        <v>112.530122189226</v>
      </c>
      <c r="Q29" s="24" t="n">
        <f aca="false">0</f>
        <v>0</v>
      </c>
      <c r="R29" s="24" t="n">
        <f aca="false">0</f>
        <v>0</v>
      </c>
      <c r="S29" s="24" t="n">
        <f aca="false">0</f>
        <v>0</v>
      </c>
      <c r="T29" s="24" t="n">
        <f aca="false">S29/P29</f>
        <v>0</v>
      </c>
      <c r="U29" s="24" t="n">
        <f aca="false">N29*T29/(X28+E29)</f>
        <v>0</v>
      </c>
      <c r="V29" s="24" t="n">
        <f aca="false">V28</f>
        <v>2.74828422713715</v>
      </c>
      <c r="W29" s="24" t="n">
        <f aca="false">O29-S29</f>
        <v>461.225974956624</v>
      </c>
      <c r="X29" s="24" t="n">
        <f aca="false">(X28+E29)-T29</f>
        <v>4.09868900862867</v>
      </c>
      <c r="Y29" s="24" t="n">
        <f aca="false">N29-U29</f>
        <v>0.55982559948643</v>
      </c>
    </row>
    <row r="30" customFormat="false" ht="15" hidden="false" customHeight="false" outlineLevel="0" collapsed="false">
      <c r="B30" s="7" t="n">
        <v>8</v>
      </c>
      <c r="C30" s="24" t="n">
        <f aca="false">P29</f>
        <v>112.530122189226</v>
      </c>
      <c r="D30" s="26" t="n">
        <f aca="false">Inputs!$D$67</f>
        <v>5</v>
      </c>
      <c r="E30" s="24" t="n">
        <f aca="false">D30/C30</f>
        <v>0.0444325475057442</v>
      </c>
      <c r="F30" s="24" t="n">
        <f aca="false">W29+D30</f>
        <v>466.225974956624</v>
      </c>
      <c r="G30" s="24" t="n">
        <f aca="false">F30+Y29</f>
        <v>466.78580055611</v>
      </c>
      <c r="H30" s="24" t="n">
        <f aca="false">G30*Inputs!$C$67</f>
        <v>3.96767930472694</v>
      </c>
      <c r="I30" s="26" t="n">
        <f aca="false">IF(8=Inputs!$D$56,Inputs!$D$55,0)</f>
        <v>0</v>
      </c>
      <c r="J30" s="24" t="n">
        <f aca="false">F30*Inputs!$D$50/12</f>
        <v>0.485652057246483</v>
      </c>
      <c r="K30" s="24" t="n">
        <f aca="false">Inputs!$D$51</f>
        <v>0.085</v>
      </c>
      <c r="L30" s="24" t="n">
        <f aca="false">G30+H30-I30-J30-K30</f>
        <v>470.182827803591</v>
      </c>
      <c r="M30" s="24" t="n">
        <f aca="false">Inputs!$D$49*(1+Inputs!$D$53*8/12)</f>
        <v>112.025733333333</v>
      </c>
      <c r="N30" s="24" t="n">
        <f aca="false">MAX(0,Inputs!$D$52*(L30/(X29+E30)-M30)*(X29+E30))</f>
        <v>0.755824648561454</v>
      </c>
      <c r="O30" s="24" t="n">
        <f aca="false">L30-N30</f>
        <v>469.427003155029</v>
      </c>
      <c r="P30" s="24" t="n">
        <f aca="false">O30/(X29+E30)</f>
        <v>113.302734857003</v>
      </c>
      <c r="Q30" s="24" t="n">
        <f aca="false">0</f>
        <v>0</v>
      </c>
      <c r="R30" s="24" t="n">
        <f aca="false">0</f>
        <v>0</v>
      </c>
      <c r="S30" s="24" t="n">
        <f aca="false">0</f>
        <v>0</v>
      </c>
      <c r="T30" s="24" t="n">
        <f aca="false">S30/P30</f>
        <v>0</v>
      </c>
      <c r="U30" s="24" t="n">
        <f aca="false">N30*T30/(X29+E30)</f>
        <v>0</v>
      </c>
      <c r="V30" s="24" t="n">
        <f aca="false">V29</f>
        <v>2.74828422713715</v>
      </c>
      <c r="W30" s="24" t="n">
        <f aca="false">O30-S30</f>
        <v>469.427003155029</v>
      </c>
      <c r="X30" s="24" t="n">
        <f aca="false">(X29+E30)-T30</f>
        <v>4.14312155613441</v>
      </c>
      <c r="Y30" s="24" t="n">
        <f aca="false">N30-U30</f>
        <v>0.755824648561454</v>
      </c>
    </row>
    <row r="31" customFormat="false" ht="15" hidden="false" customHeight="false" outlineLevel="0" collapsed="false">
      <c r="B31" s="7" t="n">
        <v>9</v>
      </c>
      <c r="C31" s="24" t="n">
        <f aca="false">P30</f>
        <v>113.302734857003</v>
      </c>
      <c r="D31" s="26" t="n">
        <f aca="false">Inputs!$D$68</f>
        <v>7</v>
      </c>
      <c r="E31" s="24" t="n">
        <f aca="false">D31/C31</f>
        <v>0.0617813860259824</v>
      </c>
      <c r="F31" s="24" t="n">
        <f aca="false">W30+D31</f>
        <v>476.427003155029</v>
      </c>
      <c r="G31" s="24" t="n">
        <f aca="false">F31+Y30</f>
        <v>477.182827803591</v>
      </c>
      <c r="H31" s="24" t="n">
        <f aca="false">G31*Inputs!$C$68</f>
        <v>4.29464545023232</v>
      </c>
      <c r="I31" s="26" t="n">
        <f aca="false">IF(9=Inputs!$D$56,Inputs!$D$55,0)</f>
        <v>0</v>
      </c>
      <c r="J31" s="24" t="n">
        <f aca="false">F31*Inputs!$D$50/12</f>
        <v>0.496278128286489</v>
      </c>
      <c r="K31" s="24" t="n">
        <f aca="false">Inputs!$D$51</f>
        <v>0.085</v>
      </c>
      <c r="L31" s="24" t="n">
        <f aca="false">G31+H31-I31-J31-K31</f>
        <v>480.896195125536</v>
      </c>
      <c r="M31" s="24" t="n">
        <f aca="false">Inputs!$D$49*(1+Inputs!$D$53*9/12)</f>
        <v>112.47745</v>
      </c>
      <c r="N31" s="24" t="n">
        <f aca="false">MAX(0,Inputs!$D$52*(L31/(X30+E31)-M31)*(X30+E31))</f>
        <v>0.992429336729687</v>
      </c>
      <c r="O31" s="24" t="n">
        <f aca="false">L31-N31</f>
        <v>479.903765788807</v>
      </c>
      <c r="P31" s="24" t="n">
        <f aca="false">O31/(X30+E31)</f>
        <v>114.129570263575</v>
      </c>
      <c r="Q31" s="24" t="n">
        <f aca="false">Inputs!$E$68+V30</f>
        <v>20.7482842271371</v>
      </c>
      <c r="R31" s="24" t="n">
        <f aca="false">Inputs!$D$54*O31</f>
        <v>23.9951882894403</v>
      </c>
      <c r="S31" s="24" t="n">
        <f aca="false">MIN(Q31,R31)</f>
        <v>20.7482842271371</v>
      </c>
      <c r="T31" s="24" t="n">
        <f aca="false">S31/P31</f>
        <v>0.181795867444523</v>
      </c>
      <c r="U31" s="24" t="n">
        <f aca="false">N31*T31/(X30+E31)</f>
        <v>0.0429069480627464</v>
      </c>
      <c r="V31" s="24" t="n">
        <f aca="false">Q31-S31</f>
        <v>0</v>
      </c>
      <c r="W31" s="24" t="n">
        <f aca="false">O31-S31</f>
        <v>459.15548156167</v>
      </c>
      <c r="X31" s="24" t="n">
        <f aca="false">(X30+E31)-T31</f>
        <v>4.02310707471587</v>
      </c>
      <c r="Y31" s="24" t="n">
        <f aca="false">N31-U31</f>
        <v>0.949522388666941</v>
      </c>
    </row>
    <row r="32" customFormat="false" ht="15" hidden="false" customHeight="false" outlineLevel="0" collapsed="false">
      <c r="B32" s="7" t="n">
        <v>10</v>
      </c>
      <c r="C32" s="24" t="n">
        <f aca="false">P31</f>
        <v>114.129570263575</v>
      </c>
      <c r="D32" s="26" t="n">
        <f aca="false">Inputs!$D$69</f>
        <v>11</v>
      </c>
      <c r="E32" s="24" t="n">
        <f aca="false">D32/C32</f>
        <v>0.0963816824561438</v>
      </c>
      <c r="F32" s="24" t="n">
        <f aca="false">W31+D32</f>
        <v>470.15548156167</v>
      </c>
      <c r="G32" s="24" t="n">
        <f aca="false">F32+Y31</f>
        <v>471.105003950337</v>
      </c>
      <c r="H32" s="24" t="n">
        <f aca="false">G32*Inputs!$C$69</f>
        <v>3.53328752962752</v>
      </c>
      <c r="I32" s="26" t="n">
        <f aca="false">IF(10=Inputs!$D$56,Inputs!$D$55,0)</f>
        <v>0</v>
      </c>
      <c r="J32" s="24" t="n">
        <f aca="false">F32*Inputs!$D$50/12</f>
        <v>0.489745293293406</v>
      </c>
      <c r="K32" s="24" t="n">
        <f aca="false">Inputs!$D$51</f>
        <v>0.085</v>
      </c>
      <c r="L32" s="24" t="n">
        <f aca="false">G32+H32-I32-J32-K32</f>
        <v>474.063546186671</v>
      </c>
      <c r="M32" s="24" t="n">
        <f aca="false">Inputs!$D$49*(1+Inputs!$D$53*10/12)</f>
        <v>112.929166666667</v>
      </c>
      <c r="N32" s="24" t="n">
        <f aca="false">MAX(0,Inputs!$D$52*(L32/(X31+E32)-M32)*(X31+E32))</f>
        <v>1.10663921831653</v>
      </c>
      <c r="O32" s="24" t="n">
        <f aca="false">L32-N32</f>
        <v>472.956906968354</v>
      </c>
      <c r="P32" s="24" t="n">
        <f aca="false">O32/(X31+E32)</f>
        <v>114.809612271653</v>
      </c>
      <c r="Q32" s="24" t="n">
        <f aca="false">0</f>
        <v>0</v>
      </c>
      <c r="R32" s="24" t="n">
        <f aca="false">0</f>
        <v>0</v>
      </c>
      <c r="S32" s="24" t="n">
        <f aca="false">0</f>
        <v>0</v>
      </c>
      <c r="T32" s="24" t="n">
        <f aca="false">S32/P32</f>
        <v>0</v>
      </c>
      <c r="U32" s="24" t="n">
        <f aca="false">N32*T32/(X31+E32)</f>
        <v>0</v>
      </c>
      <c r="V32" s="24" t="n">
        <f aca="false">V31</f>
        <v>0</v>
      </c>
      <c r="W32" s="24" t="n">
        <f aca="false">O32-S32</f>
        <v>472.956906968354</v>
      </c>
      <c r="X32" s="24" t="n">
        <f aca="false">(X31+E32)-T32</f>
        <v>4.11948875717202</v>
      </c>
      <c r="Y32" s="24" t="n">
        <f aca="false">N32-U32</f>
        <v>1.10663921831653</v>
      </c>
    </row>
    <row r="33" customFormat="false" ht="15" hidden="false" customHeight="false" outlineLevel="0" collapsed="false">
      <c r="B33" s="7" t="n">
        <v>11</v>
      </c>
      <c r="C33" s="24" t="n">
        <f aca="false">P32</f>
        <v>114.809612271653</v>
      </c>
      <c r="D33" s="26" t="n">
        <f aca="false">Inputs!$D$70</f>
        <v>6</v>
      </c>
      <c r="E33" s="24" t="n">
        <f aca="false">D33/C33</f>
        <v>0.0522604325655528</v>
      </c>
      <c r="F33" s="24" t="n">
        <f aca="false">W32+D33</f>
        <v>478.956906968354</v>
      </c>
      <c r="G33" s="24" t="n">
        <f aca="false">F33+Y32</f>
        <v>480.063546186671</v>
      </c>
      <c r="H33" s="24" t="n">
        <f aca="false">G33*Inputs!$C$70</f>
        <v>3.84050836949337</v>
      </c>
      <c r="I33" s="26" t="n">
        <f aca="false">IF(11=Inputs!$D$56,Inputs!$D$55,0)</f>
        <v>0</v>
      </c>
      <c r="J33" s="24" t="n">
        <f aca="false">F33*Inputs!$D$50/12</f>
        <v>0.498913444758702</v>
      </c>
      <c r="K33" s="24" t="n">
        <f aca="false">Inputs!$D$51</f>
        <v>0.085</v>
      </c>
      <c r="L33" s="24" t="n">
        <f aca="false">G33+H33-I33-J33-K33</f>
        <v>483.320141111405</v>
      </c>
      <c r="M33" s="24" t="n">
        <f aca="false">Inputs!$D$49*(1+Inputs!$D$53*11/12)</f>
        <v>113.380883333333</v>
      </c>
      <c r="N33" s="24" t="n">
        <f aca="false">MAX(0,Inputs!$D$52*(L33/(X32+E33)-M33)*(X32+E33))</f>
        <v>1.29044161673023</v>
      </c>
      <c r="O33" s="24" t="n">
        <f aca="false">L33-N33</f>
        <v>482.029699494675</v>
      </c>
      <c r="P33" s="24" t="n">
        <f aca="false">O33/(X32+E33)</f>
        <v>115.546184003693</v>
      </c>
      <c r="Q33" s="24" t="n">
        <f aca="false">0</f>
        <v>0</v>
      </c>
      <c r="R33" s="24" t="n">
        <f aca="false">0</f>
        <v>0</v>
      </c>
      <c r="S33" s="24" t="n">
        <f aca="false">0</f>
        <v>0</v>
      </c>
      <c r="T33" s="24" t="n">
        <f aca="false">S33/P33</f>
        <v>0</v>
      </c>
      <c r="U33" s="24" t="n">
        <f aca="false">N33*T33/(X32+E33)</f>
        <v>0</v>
      </c>
      <c r="V33" s="24" t="n">
        <f aca="false">V32</f>
        <v>0</v>
      </c>
      <c r="W33" s="24" t="n">
        <f aca="false">O33-S33</f>
        <v>482.029699494675</v>
      </c>
      <c r="X33" s="24" t="n">
        <f aca="false">(X32+E33)-T33</f>
        <v>4.17174918973757</v>
      </c>
      <c r="Y33" s="24" t="n">
        <f aca="false">N33-U33</f>
        <v>1.29044161673023</v>
      </c>
    </row>
    <row r="34" customFormat="false" ht="15" hidden="false" customHeight="false" outlineLevel="0" collapsed="false">
      <c r="B34" s="7" t="n">
        <v>12</v>
      </c>
      <c r="C34" s="24" t="n">
        <f aca="false">P33</f>
        <v>115.546184003693</v>
      </c>
      <c r="D34" s="26" t="n">
        <f aca="false">Inputs!$D$71</f>
        <v>9</v>
      </c>
      <c r="E34" s="24" t="n">
        <f aca="false">D34/C34</f>
        <v>0.0778909323367385</v>
      </c>
      <c r="F34" s="24" t="n">
        <f aca="false">W33+D34</f>
        <v>491.029699494675</v>
      </c>
      <c r="G34" s="24" t="n">
        <f aca="false">F34+Y33</f>
        <v>492.320141111405</v>
      </c>
      <c r="H34" s="24" t="n">
        <f aca="false">G34*Inputs!$C$71</f>
        <v>4.18472119944695</v>
      </c>
      <c r="I34" s="26" t="n">
        <f aca="false">IF(12=Inputs!$D$56,Inputs!$D$55,0)</f>
        <v>0</v>
      </c>
      <c r="J34" s="24" t="n">
        <f aca="false">F34*Inputs!$D$50/12</f>
        <v>0.511489270306953</v>
      </c>
      <c r="K34" s="24" t="n">
        <f aca="false">Inputs!$D$51</f>
        <v>0.085</v>
      </c>
      <c r="L34" s="24" t="n">
        <f aca="false">G34+H34-I34-J34-K34</f>
        <v>495.908373040545</v>
      </c>
      <c r="M34" s="24" t="n">
        <f aca="false">Inputs!$D$49*(1+Inputs!$D$53*12/12)</f>
        <v>113.8326</v>
      </c>
      <c r="N34" s="24" t="n">
        <f aca="false">MAX(0,Inputs!$D$52*(L34/(X33+E34)-M34)*(X33+E34))</f>
        <v>1.52009861006365</v>
      </c>
      <c r="O34" s="24" t="n">
        <f aca="false">L34-N34</f>
        <v>494.388274430482</v>
      </c>
      <c r="P34" s="24" t="n">
        <f aca="false">O34/(X33+E34)</f>
        <v>116.336503851805</v>
      </c>
      <c r="Q34" s="24" t="n">
        <f aca="false">Inputs!$E$71+V33</f>
        <v>30</v>
      </c>
      <c r="R34" s="24" t="n">
        <f aca="false">Inputs!$D$54*O34</f>
        <v>24.7194137215241</v>
      </c>
      <c r="S34" s="24" t="n">
        <f aca="false">MIN(Q34,R34)</f>
        <v>24.7194137215241</v>
      </c>
      <c r="T34" s="24" t="n">
        <f aca="false">S34/P34</f>
        <v>0.212482006103715</v>
      </c>
      <c r="U34" s="24" t="n">
        <f aca="false">N34*T34/(X33+E34)</f>
        <v>0.0760049305031824</v>
      </c>
      <c r="V34" s="24" t="n">
        <f aca="false">Q34-S34</f>
        <v>5.28058627847592</v>
      </c>
      <c r="W34" s="24" t="n">
        <f aca="false">O34-S34</f>
        <v>469.668860708958</v>
      </c>
      <c r="X34" s="24" t="n">
        <f aca="false">(X33+E34)-T34</f>
        <v>4.03715811597059</v>
      </c>
      <c r="Y34" s="24" t="n">
        <f aca="false">N34-U34</f>
        <v>1.44409367956047</v>
      </c>
    </row>
    <row r="37" customFormat="false" ht="15" hidden="false" customHeight="false" outlineLevel="0" collapsed="false">
      <c r="B37" s="5" t="s">
        <v>284</v>
      </c>
    </row>
    <row r="38" customFormat="false" ht="15" hidden="false" customHeight="false" outlineLevel="0" collapsed="false">
      <c r="B38" s="7" t="s">
        <v>285</v>
      </c>
      <c r="H38" s="26" t="n">
        <f aca="false">P34</f>
        <v>116.336503851805</v>
      </c>
    </row>
    <row r="39" customFormat="false" ht="15" hidden="false" customHeight="false" outlineLevel="0" collapsed="false">
      <c r="B39" s="7" t="s">
        <v>286</v>
      </c>
      <c r="H39" s="26" t="n">
        <f aca="false">Y34</f>
        <v>1.44409367956047</v>
      </c>
    </row>
    <row r="40" customFormat="false" ht="15" hidden="false" customHeight="false" outlineLevel="0" collapsed="false">
      <c r="B40" s="7" t="s">
        <v>287</v>
      </c>
      <c r="H40" s="26" t="n">
        <f aca="false">SUM(U23:U34)</f>
        <v>0.15311880287323</v>
      </c>
    </row>
    <row r="41" customFormat="false" ht="15" hidden="false" customHeight="false" outlineLevel="0" collapsed="false">
      <c r="B41" s="7" t="s">
        <v>288</v>
      </c>
      <c r="H41" s="26" t="n">
        <f aca="false">SUM(J23:J34)</f>
        <v>5.6944580940238</v>
      </c>
    </row>
    <row r="42" customFormat="false" ht="15" hidden="false" customHeight="false" outlineLevel="0" collapsed="false">
      <c r="B42" s="7" t="s">
        <v>289</v>
      </c>
      <c r="H42" s="26" t="n">
        <f aca="false">AVERAGE(W23:W34)</f>
        <v>451.529052580984</v>
      </c>
    </row>
    <row r="43" customFormat="false" ht="15" hidden="false" customHeight="false" outlineLevel="0" collapsed="false">
      <c r="B43" s="7" t="s">
        <v>290</v>
      </c>
      <c r="H43" s="30" t="n">
        <f aca="false">S12/Q12</f>
        <v>0.894296760494725</v>
      </c>
    </row>
    <row r="44" customFormat="false" ht="15" hidden="false" customHeight="false" outlineLevel="0" collapsed="false">
      <c r="B44" s="7" t="s">
        <v>291</v>
      </c>
      <c r="H44" s="30" t="n">
        <f aca="false">S34/Q34</f>
        <v>0.823980457384136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39060"/>
    <pageSetUpPr fitToPage="false"/>
  </sheetPr>
  <dimension ref="B2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0"/>
    <col collapsed="false" customWidth="true" hidden="false" outlineLevel="0" max="3" min="3" style="0" width="18"/>
  </cols>
  <sheetData>
    <row r="2" customFormat="false" ht="17.35" hidden="false" customHeight="false" outlineLevel="0" collapsed="false">
      <c r="B2" s="4" t="s">
        <v>292</v>
      </c>
    </row>
    <row r="4" customFormat="false" ht="15" hidden="false" customHeight="false" outlineLevel="0" collapsed="false">
      <c r="B4" s="7" t="s">
        <v>293</v>
      </c>
      <c r="C4" s="24" t="n">
        <f aca="false">Evergreen!P12</f>
        <v>112.704796716405</v>
      </c>
    </row>
    <row r="5" customFormat="false" ht="15" hidden="false" customHeight="false" outlineLevel="0" collapsed="false">
      <c r="B5" s="7" t="s">
        <v>294</v>
      </c>
      <c r="C5" s="24" t="n">
        <f aca="false">Evergreen!P28</f>
        <v>111.814130986661</v>
      </c>
    </row>
    <row r="6" customFormat="false" ht="15" hidden="false" customHeight="false" outlineLevel="0" collapsed="false">
      <c r="B6" s="7" t="s">
        <v>295</v>
      </c>
      <c r="C6" s="20" t="n">
        <f aca="false">C4/C5-1</f>
        <v>0.00796559184322021</v>
      </c>
    </row>
    <row r="7" customFormat="false" ht="15" hidden="false" customHeight="false" outlineLevel="0" collapsed="false">
      <c r="B7" s="7" t="s">
        <v>296</v>
      </c>
      <c r="C7" s="24" t="n">
        <f aca="false">Evergreen!P13</f>
        <v>113.422263476868</v>
      </c>
    </row>
    <row r="8" customFormat="false" ht="15" hidden="false" customHeight="false" outlineLevel="0" collapsed="false">
      <c r="B8" s="7" t="s">
        <v>297</v>
      </c>
      <c r="C8" s="24" t="n">
        <f aca="false">Evergreen!P29</f>
        <v>112.530122189226</v>
      </c>
    </row>
    <row r="9" customFormat="false" ht="15" hidden="false" customHeight="false" outlineLevel="0" collapsed="false">
      <c r="B9" s="7" t="s">
        <v>298</v>
      </c>
      <c r="C9" s="20" t="n">
        <f aca="false">C7/C8-1</f>
        <v>0.0079280220289919</v>
      </c>
    </row>
    <row r="10" customFormat="false" ht="15" hidden="false" customHeight="false" outlineLevel="0" collapsed="false">
      <c r="B10" s="7" t="s">
        <v>299</v>
      </c>
      <c r="C10" s="7" t="str">
        <f aca="false">IF(MAX(C6,C9)&gt;Inputs!$D$57,"YES: restate dealing and compensate","NO: correct going forward")</f>
        <v>YES: restate dealing and compensate</v>
      </c>
    </row>
    <row r="11" customFormat="false" ht="15" hidden="false" customHeight="false" outlineLevel="0" collapsed="false">
      <c r="B11" s="7" t="s">
        <v>300</v>
      </c>
      <c r="C11" s="24" t="n">
        <f aca="false">Evergreen!T12</f>
        <v>0.206306354745222</v>
      </c>
    </row>
    <row r="12" customFormat="false" ht="15" hidden="false" customHeight="false" outlineLevel="0" collapsed="false">
      <c r="B12" s="7" t="s">
        <v>301</v>
      </c>
      <c r="C12" s="27" t="n">
        <f aca="false">C11*(C4-C5)*1000000</f>
        <v>183750.000000001</v>
      </c>
    </row>
    <row r="13" customFormat="false" ht="15" hidden="false" customHeight="false" outlineLevel="0" collapsed="false">
      <c r="B13" s="7" t="s">
        <v>302</v>
      </c>
      <c r="C13" s="24" t="n">
        <f aca="false">Evergreen!P30</f>
        <v>113.302734857003</v>
      </c>
    </row>
    <row r="14" customFormat="false" ht="15" hidden="false" customHeight="false" outlineLevel="0" collapsed="false">
      <c r="B14" s="7" t="s">
        <v>303</v>
      </c>
      <c r="C14" s="24" t="n">
        <f aca="false">Evergreen!E13</f>
        <v>0.177454736468096</v>
      </c>
    </row>
    <row r="15" customFormat="false" ht="15" hidden="false" customHeight="false" outlineLevel="0" collapsed="false">
      <c r="B15" s="7" t="s">
        <v>304</v>
      </c>
      <c r="C15" s="24" t="n">
        <f aca="false">Evergreen!E29</f>
        <v>0.178868268469447</v>
      </c>
    </row>
    <row r="16" customFormat="false" ht="15" hidden="false" customHeight="false" outlineLevel="0" collapsed="false">
      <c r="B16" s="7" t="s">
        <v>305</v>
      </c>
      <c r="C16" s="27" t="n">
        <f aca="false">(C15-C14)*C13*1000000</f>
        <v>160157.04156097</v>
      </c>
    </row>
    <row r="17" customFormat="false" ht="15" hidden="false" customHeight="false" outlineLevel="0" collapsed="false">
      <c r="B17" s="7" t="s">
        <v>306</v>
      </c>
      <c r="C17" s="24" t="n">
        <f aca="false">Inputs!$D$67/C7</f>
        <v>0.0440830560661465</v>
      </c>
    </row>
    <row r="18" customFormat="false" ht="15" hidden="false" customHeight="false" outlineLevel="0" collapsed="false">
      <c r="B18" s="7" t="s">
        <v>307</v>
      </c>
      <c r="C18" s="24" t="n">
        <f aca="false">Evergreen!E30</f>
        <v>0.0444325475057442</v>
      </c>
    </row>
    <row r="19" customFormat="false" ht="15" hidden="false" customHeight="false" outlineLevel="0" collapsed="false">
      <c r="B19" s="7" t="s">
        <v>308</v>
      </c>
      <c r="C19" s="27" t="n">
        <f aca="false">(C18-C17)*C13*1000000</f>
        <v>39598.3359155302</v>
      </c>
    </row>
    <row r="20" customFormat="false" ht="15" hidden="false" customHeight="false" outlineLevel="0" collapsed="false">
      <c r="B20" s="7" t="s">
        <v>309</v>
      </c>
      <c r="C20" s="27" t="n">
        <f aca="false">(Evergreen!U12-Evergreen!U28)*1000000</f>
        <v>26249.9999999998</v>
      </c>
    </row>
    <row r="21" customFormat="false" ht="15" hidden="false" customHeight="false" outlineLevel="0" collapsed="false">
      <c r="B21" s="7" t="s">
        <v>310</v>
      </c>
      <c r="C21" s="27" t="n">
        <f aca="false">(Evergreen!J13-Evergreen!J29)*1000000</f>
        <v>3636.71875000005</v>
      </c>
    </row>
    <row r="22" customFormat="false" ht="15" hidden="false" customHeight="false" outlineLevel="0" collapsed="false">
      <c r="B22" s="7" t="s">
        <v>311</v>
      </c>
      <c r="C22" s="27" t="n">
        <f aca="false">C12+C20+C21</f>
        <v>213636.718750001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39060"/>
    <pageSetUpPr fitToPage="false"/>
  </sheetPr>
  <dimension ref="B2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0"/>
    <col collapsed="false" customWidth="true" hidden="false" outlineLevel="0" max="3" min="3" style="0" width="16"/>
  </cols>
  <sheetData>
    <row r="2" customFormat="false" ht="17.35" hidden="false" customHeight="false" outlineLevel="0" collapsed="false">
      <c r="B2" s="4" t="s">
        <v>312</v>
      </c>
    </row>
    <row r="4" customFormat="false" ht="15" hidden="false" customHeight="false" outlineLevel="0" collapsed="false">
      <c r="B4" s="7" t="s">
        <v>313</v>
      </c>
      <c r="C4" s="10" t="n">
        <f aca="false">MAX(Inputs!$D$74/10000*Inputs!$G$16,Inputs!$D$75)</f>
        <v>225000</v>
      </c>
    </row>
    <row r="5" customFormat="false" ht="15" hidden="false" customHeight="false" outlineLevel="0" collapsed="false">
      <c r="B5" s="7" t="s">
        <v>314</v>
      </c>
      <c r="C5" s="10" t="n">
        <f aca="false">MAX(Inputs!$D$76/10000*Evergreen!H42*1000000,Inputs!$D$77)</f>
        <v>225764.526290492</v>
      </c>
    </row>
    <row r="6" customFormat="false" ht="15" hidden="false" customHeight="false" outlineLevel="0" collapsed="false">
      <c r="B6" s="7" t="s">
        <v>315</v>
      </c>
      <c r="C6" s="10" t="n">
        <f aca="false">Inputs!$D$78*Inputs!$D$79</f>
        <v>345000</v>
      </c>
    </row>
    <row r="7" customFormat="false" ht="15" hidden="false" customHeight="false" outlineLevel="0" collapsed="false">
      <c r="B7" s="7" t="s">
        <v>316</v>
      </c>
      <c r="C7" s="10" t="n">
        <f aca="false">SUM(C4:C6)</f>
        <v>795764.526290492</v>
      </c>
    </row>
    <row r="8" customFormat="false" ht="15" hidden="false" customHeight="false" outlineLevel="0" collapsed="false">
      <c r="B8" s="7" t="s">
        <v>317</v>
      </c>
      <c r="C8" s="10" t="n">
        <f aca="false">Inputs!$D$80+Inputs!$D$81</f>
        <v>6600</v>
      </c>
    </row>
    <row r="9" customFormat="false" ht="15" hidden="false" customHeight="false" outlineLevel="0" collapsed="false">
      <c r="B9" s="7" t="s">
        <v>318</v>
      </c>
      <c r="C9" s="10" t="n">
        <f aca="false">C8*Inputs!$D$82</f>
        <v>627000</v>
      </c>
    </row>
    <row r="10" customFormat="false" ht="15" hidden="false" customHeight="false" outlineLevel="0" collapsed="false">
      <c r="B10" s="7" t="s">
        <v>319</v>
      </c>
      <c r="C10" s="10" t="n">
        <f aca="false">C7-C9</f>
        <v>168764.526290492</v>
      </c>
    </row>
    <row r="11" customFormat="false" ht="15" hidden="false" customHeight="false" outlineLevel="0" collapsed="false">
      <c r="B11" s="7" t="s">
        <v>320</v>
      </c>
      <c r="C11" s="30" t="n">
        <f aca="false">C10/C7</f>
        <v>0.212078473863617</v>
      </c>
    </row>
    <row r="12" customFormat="false" ht="15" hidden="false" customHeight="false" outlineLevel="0" collapsed="false">
      <c r="B12" s="7" t="s">
        <v>321</v>
      </c>
      <c r="C12" s="23" t="n">
        <f aca="false">C7/C8</f>
        <v>120.570382771287</v>
      </c>
    </row>
    <row r="13" customFormat="false" ht="15" hidden="false" customHeight="false" outlineLevel="0" collapsed="false">
      <c r="B13" s="7" t="s">
        <v>322</v>
      </c>
      <c r="C13" s="10" t="n">
        <f aca="false">Inputs!$D$83*Inputs!$D$82</f>
        <v>17100</v>
      </c>
    </row>
    <row r="14" customFormat="false" ht="15" hidden="false" customHeight="false" outlineLevel="0" collapsed="false">
      <c r="B14" s="7" t="s">
        <v>323</v>
      </c>
      <c r="C14" s="10" t="n">
        <f aca="false">C10-C13</f>
        <v>151664.526290492</v>
      </c>
    </row>
    <row r="15" customFormat="false" ht="15" hidden="false" customHeight="false" outlineLevel="0" collapsed="false">
      <c r="B15" s="7" t="s">
        <v>324</v>
      </c>
      <c r="C15" s="30" t="n">
        <f aca="false">C14/C7</f>
        <v>0.190589704968989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39060"/>
    <pageSetUpPr fitToPage="false"/>
  </sheetPr>
  <dimension ref="B2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0"/>
    <col collapsed="false" customWidth="true" hidden="false" outlineLevel="0" max="4" min="3" style="0" width="14"/>
  </cols>
  <sheetData>
    <row r="2" customFormat="false" ht="17.35" hidden="false" customHeight="false" outlineLevel="0" collapsed="false">
      <c r="B2" s="4" t="s">
        <v>325</v>
      </c>
    </row>
    <row r="4" customFormat="false" ht="15" hidden="false" customHeight="false" outlineLevel="0" collapsed="false">
      <c r="B4" s="6"/>
      <c r="C4" s="6" t="s">
        <v>326</v>
      </c>
      <c r="D4" s="6" t="s">
        <v>327</v>
      </c>
    </row>
    <row r="5" customFormat="false" ht="15" hidden="false" customHeight="false" outlineLevel="0" collapsed="false">
      <c r="B5" s="7" t="s">
        <v>328</v>
      </c>
      <c r="C5" s="26" t="n">
        <f aca="false">Inputs!$D$86*((1+Inputs!$D$31)^Inputs!$D$88-1)</f>
        <v>46.9328076800001</v>
      </c>
      <c r="D5" s="26" t="n">
        <f aca="false">Inputs!$D$86*Inputs!$D$31*Inputs!$D$88</f>
        <v>40</v>
      </c>
    </row>
    <row r="6" customFormat="false" ht="15" hidden="false" customHeight="false" outlineLevel="0" collapsed="false">
      <c r="B6" s="7" t="s">
        <v>329</v>
      </c>
      <c r="C6" s="26" t="n">
        <f aca="false">Inputs!$D$87-Inputs!$D$86</f>
        <v>50</v>
      </c>
      <c r="D6" s="26" t="n">
        <f aca="false">Inputs!$D$87-Inputs!$D$86</f>
        <v>50</v>
      </c>
    </row>
    <row r="7" customFormat="false" ht="15" hidden="false" customHeight="false" outlineLevel="0" collapsed="false">
      <c r="B7" s="7" t="s">
        <v>330</v>
      </c>
      <c r="C7" s="26" t="n">
        <f aca="false">MIN(C6,C5)</f>
        <v>46.9328076800001</v>
      </c>
      <c r="D7" s="26" t="n">
        <f aca="false">MIN(D6,D5)</f>
        <v>40</v>
      </c>
    </row>
    <row r="8" customFormat="false" ht="15" hidden="false" customHeight="false" outlineLevel="0" collapsed="false">
      <c r="B8" s="7" t="s">
        <v>211</v>
      </c>
      <c r="C8" s="26" t="n">
        <f aca="false">MIN(C6-C7,C7*Inputs!$D$32/(1-Inputs!$D$32))</f>
        <v>3.06719231999995</v>
      </c>
      <c r="D8" s="26" t="n">
        <f aca="false">MIN(D6-D7,D7*Inputs!$D$32/(1-Inputs!$D$32))</f>
        <v>10</v>
      </c>
    </row>
    <row r="9" customFormat="false" ht="15" hidden="false" customHeight="false" outlineLevel="0" collapsed="false">
      <c r="B9" s="7" t="s">
        <v>331</v>
      </c>
      <c r="C9" s="26" t="n">
        <f aca="false">C6-C7-C8</f>
        <v>0</v>
      </c>
      <c r="D9" s="26" t="n">
        <f aca="false">D6-D7-D8</f>
        <v>0</v>
      </c>
    </row>
    <row r="10" customFormat="false" ht="15" hidden="false" customHeight="false" outlineLevel="0" collapsed="false">
      <c r="B10" s="7" t="s">
        <v>332</v>
      </c>
      <c r="C10" s="26" t="n">
        <f aca="false">C8+C9*Inputs!$D$32</f>
        <v>3.06719231999995</v>
      </c>
      <c r="D10" s="26" t="n">
        <f aca="false">D8+D9*Inputs!$D$32</f>
        <v>10</v>
      </c>
    </row>
    <row r="11" customFormat="false" ht="15" hidden="false" customHeight="false" outlineLevel="0" collapsed="false">
      <c r="B11" s="7" t="s">
        <v>333</v>
      </c>
      <c r="C11" s="26" t="n">
        <f aca="false">Inputs!$D$87-C10</f>
        <v>146.93280768</v>
      </c>
      <c r="D11" s="26" t="n">
        <f aca="false">Inputs!$D$87-D10</f>
        <v>140</v>
      </c>
    </row>
    <row r="12" customFormat="false" ht="15" hidden="false" customHeight="false" outlineLevel="0" collapsed="false">
      <c r="B12" s="7" t="s">
        <v>334</v>
      </c>
      <c r="C12" s="26" t="n">
        <f aca="false">D10-C10</f>
        <v>6.93280768000005</v>
      </c>
    </row>
    <row r="14" customFormat="false" ht="15" hidden="false" customHeight="false" outlineLevel="0" collapsed="false">
      <c r="B14" s="7" t="s">
        <v>335</v>
      </c>
      <c r="C14" s="26" t="n">
        <f aca="false">Inputs!$D$91*Inputs!$D$90/Inputs!$D$89</f>
        <v>1.11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3A2F"/>
    <pageSetUpPr fitToPage="false"/>
  </sheetPr>
  <dimension ref="B2:E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8"/>
    <col collapsed="false" customWidth="true" hidden="false" outlineLevel="0" max="4" min="3" style="0" width="18"/>
    <col collapsed="false" customWidth="true" hidden="false" outlineLevel="0" max="5" min="5" style="0" width="10"/>
  </cols>
  <sheetData>
    <row r="2" customFormat="false" ht="17.35" hidden="false" customHeight="false" outlineLevel="0" collapsed="false">
      <c r="B2" s="4" t="s">
        <v>336</v>
      </c>
    </row>
    <row r="3" customFormat="false" ht="15" hidden="false" customHeight="false" outlineLevel="0" collapsed="false">
      <c r="B3" s="7" t="s">
        <v>337</v>
      </c>
      <c r="C3" s="31" t="str">
        <f aca="false">IF(AND(COUNTIF(E5:E28,"OK")=24,COUNTIF(E31:E52,"OK")=22),"ALL CHECKS OK",IF(COUNTIF(E5:E28,"OK")=24,"IDENTITIES OK (inputs differ from the book)","CHECK FAILED"))</f>
        <v>ALL CHECKS OK</v>
      </c>
    </row>
    <row r="4" customFormat="false" ht="15" hidden="false" customHeight="false" outlineLevel="0" collapsed="false">
      <c r="B4" s="6" t="s">
        <v>338</v>
      </c>
      <c r="C4" s="6" t="s">
        <v>339</v>
      </c>
      <c r="D4" s="6" t="s">
        <v>340</v>
      </c>
      <c r="E4" s="6" t="s">
        <v>341</v>
      </c>
    </row>
    <row r="5" customFormat="false" ht="15" hidden="false" customHeight="false" outlineLevel="0" collapsed="false">
      <c r="B5" s="7" t="s">
        <v>342</v>
      </c>
      <c r="C5" s="26" t="n">
        <f aca="false">CallGrid!D16</f>
        <v>55925000</v>
      </c>
      <c r="D5" s="26" t="n">
        <f aca="false">CallGrid!D17</f>
        <v>55925000</v>
      </c>
      <c r="E5" s="7" t="str">
        <f aca="false">IF(ABS(C5-D5)&lt;=0.005,"OK","FAIL")</f>
        <v>OK</v>
      </c>
    </row>
    <row r="6" customFormat="false" ht="15" hidden="false" customHeight="false" outlineLevel="0" collapsed="false">
      <c r="B6" s="7" t="s">
        <v>343</v>
      </c>
      <c r="C6" s="26" t="n">
        <f aca="false">CallGrid!E16</f>
        <v>1544375</v>
      </c>
      <c r="D6" s="26" t="n">
        <f aca="false">CallGrid!E17</f>
        <v>1544375</v>
      </c>
      <c r="E6" s="7" t="str">
        <f aca="false">IF(ABS(C6-D6)&lt;=0.005,"OK","FAIL")</f>
        <v>OK</v>
      </c>
    </row>
    <row r="7" customFormat="false" ht="15" hidden="false" customHeight="false" outlineLevel="0" collapsed="false">
      <c r="B7" s="7" t="s">
        <v>344</v>
      </c>
      <c r="C7" s="26" t="n">
        <f aca="false">CallGrid!G16</f>
        <v>36125000</v>
      </c>
      <c r="D7" s="26" t="n">
        <f aca="false">CallGrid!G17</f>
        <v>36125000</v>
      </c>
      <c r="E7" s="7" t="str">
        <f aca="false">IF(ABS(C7-D7)&lt;=0.005,"OK","FAIL")</f>
        <v>OK</v>
      </c>
    </row>
    <row r="8" customFormat="false" ht="15" hidden="false" customHeight="false" outlineLevel="0" collapsed="false">
      <c r="B8" s="7" t="s">
        <v>345</v>
      </c>
      <c r="C8" s="26" t="n">
        <f aca="false">CallGrid!H16</f>
        <v>1544375</v>
      </c>
      <c r="D8" s="26" t="n">
        <f aca="false">CallGrid!H17</f>
        <v>1544375</v>
      </c>
      <c r="E8" s="7" t="str">
        <f aca="false">IF(ABS(C8-D8)&lt;=0.005,"OK","FAIL")</f>
        <v>OK</v>
      </c>
    </row>
    <row r="9" customFormat="false" ht="15" hidden="false" customHeight="false" outlineLevel="0" collapsed="false">
      <c r="B9" s="7" t="s">
        <v>346</v>
      </c>
      <c r="C9" s="26" t="n">
        <f aca="false">CallGrid!J16</f>
        <v>125000</v>
      </c>
      <c r="D9" s="26" t="n">
        <f aca="false">CallGrid!J17</f>
        <v>125000</v>
      </c>
      <c r="E9" s="7" t="str">
        <f aca="false">IF(ABS(C9-D9)&lt;=0.005,"OK","FAIL")</f>
        <v>OK</v>
      </c>
    </row>
    <row r="10" customFormat="false" ht="15" hidden="false" customHeight="false" outlineLevel="0" collapsed="false">
      <c r="B10" s="7" t="s">
        <v>347</v>
      </c>
      <c r="C10" s="26" t="n">
        <f aca="false">CallGrid!K16</f>
        <v>1544375</v>
      </c>
      <c r="D10" s="26" t="n">
        <f aca="false">CallGrid!K17</f>
        <v>1544375</v>
      </c>
      <c r="E10" s="7" t="str">
        <f aca="false">IF(ABS(C10-D10)&lt;=0.005,"OK","FAIL")</f>
        <v>OK</v>
      </c>
    </row>
    <row r="11" customFormat="false" ht="15" hidden="false" customHeight="false" outlineLevel="0" collapsed="false">
      <c r="B11" s="7" t="s">
        <v>348</v>
      </c>
      <c r="C11" s="26" t="n">
        <f aca="false">CallGrid!M16</f>
        <v>45125000</v>
      </c>
      <c r="D11" s="26" t="n">
        <f aca="false">CallGrid!M17</f>
        <v>45125000</v>
      </c>
      <c r="E11" s="7" t="str">
        <f aca="false">IF(ABS(C11-D11)&lt;=0.005,"OK","FAIL")</f>
        <v>OK</v>
      </c>
    </row>
    <row r="12" customFormat="false" ht="15" hidden="false" customHeight="false" outlineLevel="0" collapsed="false">
      <c r="B12" s="7" t="s">
        <v>349</v>
      </c>
      <c r="C12" s="26" t="n">
        <f aca="false">CallGrid!N16</f>
        <v>2143750</v>
      </c>
      <c r="D12" s="26" t="n">
        <f aca="false">CallGrid!N17</f>
        <v>2143750</v>
      </c>
      <c r="E12" s="7" t="str">
        <f aca="false">IF(ABS(C12-D12)&lt;=0.005,"OK","FAIL")</f>
        <v>OK</v>
      </c>
    </row>
    <row r="13" customFormat="false" ht="15" hidden="false" customHeight="false" outlineLevel="0" collapsed="false">
      <c r="B13" s="7" t="s">
        <v>350</v>
      </c>
      <c r="C13" s="26" t="n">
        <f aca="false">CallGrid!P16</f>
        <v>125000</v>
      </c>
      <c r="D13" s="26" t="n">
        <f aca="false">CallGrid!P17</f>
        <v>125000</v>
      </c>
      <c r="E13" s="7" t="str">
        <f aca="false">IF(ABS(C13-D13)&lt;=0.005,"OK","FAIL")</f>
        <v>OK</v>
      </c>
    </row>
    <row r="14" customFormat="false" ht="15" hidden="false" customHeight="false" outlineLevel="0" collapsed="false">
      <c r="B14" s="7" t="s">
        <v>351</v>
      </c>
      <c r="C14" s="26" t="n">
        <f aca="false">CallGrid!Q16</f>
        <v>1243750</v>
      </c>
      <c r="D14" s="26" t="n">
        <f aca="false">CallGrid!Q17</f>
        <v>1243750</v>
      </c>
      <c r="E14" s="7" t="str">
        <f aca="false">IF(ABS(C14-D14)&lt;=0.005,"OK","FAIL")</f>
        <v>OK</v>
      </c>
    </row>
    <row r="15" customFormat="false" ht="15" hidden="false" customHeight="false" outlineLevel="0" collapsed="false">
      <c r="B15" s="7" t="s">
        <v>352</v>
      </c>
      <c r="C15" s="26" t="n">
        <f aca="false">CallGrid!S16</f>
        <v>60125000</v>
      </c>
      <c r="D15" s="26" t="n">
        <f aca="false">CallGrid!S17</f>
        <v>60125000</v>
      </c>
      <c r="E15" s="7" t="str">
        <f aca="false">IF(ABS(C15-D15)&lt;=0.005,"OK","FAIL")</f>
        <v>OK</v>
      </c>
    </row>
    <row r="16" customFormat="false" ht="15" hidden="false" customHeight="false" outlineLevel="0" collapsed="false">
      <c r="B16" s="7" t="s">
        <v>353</v>
      </c>
      <c r="C16" s="26" t="n">
        <f aca="false">CallGrid!T16</f>
        <v>2143750</v>
      </c>
      <c r="D16" s="26" t="n">
        <f aca="false">CallGrid!T17</f>
        <v>2143750</v>
      </c>
      <c r="E16" s="7" t="str">
        <f aca="false">IF(ABS(C16-D16)&lt;=0.005,"OK","FAIL")</f>
        <v>OK</v>
      </c>
    </row>
    <row r="17" customFormat="false" ht="15" hidden="false" customHeight="false" outlineLevel="0" collapsed="false">
      <c r="B17" s="7" t="s">
        <v>354</v>
      </c>
      <c r="C17" s="26" t="n">
        <f aca="false">CallGrid!V16</f>
        <v>125000</v>
      </c>
      <c r="D17" s="26" t="n">
        <f aca="false">CallGrid!V17</f>
        <v>125000</v>
      </c>
      <c r="E17" s="7" t="str">
        <f aca="false">IF(ABS(C17-D17)&lt;=0.005,"OK","FAIL")</f>
        <v>OK</v>
      </c>
    </row>
    <row r="18" customFormat="false" ht="15" hidden="false" customHeight="false" outlineLevel="0" collapsed="false">
      <c r="B18" s="7" t="s">
        <v>355</v>
      </c>
      <c r="C18" s="26" t="n">
        <f aca="false">CallGrid!W16</f>
        <v>2143750</v>
      </c>
      <c r="D18" s="26" t="n">
        <f aca="false">CallGrid!W17</f>
        <v>2143750</v>
      </c>
      <c r="E18" s="7" t="str">
        <f aca="false">IF(ABS(C18-D18)&lt;=0.005,"OK","FAIL")</f>
        <v>OK</v>
      </c>
    </row>
    <row r="19" customFormat="false" ht="15" hidden="false" customHeight="false" outlineLevel="0" collapsed="false">
      <c r="B19" s="7" t="s">
        <v>356</v>
      </c>
      <c r="C19" s="26" t="n">
        <f aca="false">CallGrid!Y16</f>
        <v>55125000</v>
      </c>
      <c r="D19" s="26" t="n">
        <f aca="false">CallGrid!Y17</f>
        <v>55125000</v>
      </c>
      <c r="E19" s="7" t="str">
        <f aca="false">IF(ABS(C19-D19)&lt;=0.005,"OK","FAIL")</f>
        <v>OK</v>
      </c>
    </row>
    <row r="20" customFormat="false" ht="15" hidden="false" customHeight="false" outlineLevel="0" collapsed="false">
      <c r="B20" s="7" t="s">
        <v>357</v>
      </c>
      <c r="C20" s="26" t="n">
        <f aca="false">CallGrid!Z16</f>
        <v>2143750</v>
      </c>
      <c r="D20" s="26" t="n">
        <f aca="false">CallGrid!Z17</f>
        <v>2143750</v>
      </c>
      <c r="E20" s="7" t="str">
        <f aca="false">IF(ABS(C20-D20)&lt;=0.005,"OK","FAIL")</f>
        <v>OK</v>
      </c>
    </row>
    <row r="21" customFormat="false" ht="15" hidden="false" customHeight="false" outlineLevel="0" collapsed="false">
      <c r="B21" s="7" t="s">
        <v>358</v>
      </c>
      <c r="C21" s="26" t="n">
        <f aca="false">Calls!D35</f>
        <v>11472.33</v>
      </c>
      <c r="D21" s="26" t="n">
        <f aca="false">Calls!$D$22</f>
        <v>11472.33</v>
      </c>
      <c r="E21" s="7" t="str">
        <f aca="false">IF(ABS(C21-D21)&lt;=0.005,"OK","FAIL")</f>
        <v>OK</v>
      </c>
    </row>
    <row r="22" customFormat="false" ht="15" hidden="false" customHeight="false" outlineLevel="0" collapsed="false">
      <c r="B22" s="7" t="s">
        <v>359</v>
      </c>
      <c r="C22" s="26" t="n">
        <f aca="false">Equalization!$E$17</f>
        <v>0</v>
      </c>
      <c r="D22" s="26" t="n">
        <f aca="false">0</f>
        <v>0</v>
      </c>
      <c r="E22" s="7" t="str">
        <f aca="false">IF(ABS(C22-D22)&lt;=0.005,"OK","FAIL")</f>
        <v>OK</v>
      </c>
    </row>
    <row r="23" customFormat="false" ht="15" hidden="false" customHeight="false" outlineLevel="0" collapsed="false">
      <c r="B23" s="7" t="s">
        <v>360</v>
      </c>
      <c r="C23" s="26" t="n">
        <f aca="false">Equalization!$F$17</f>
        <v>0</v>
      </c>
      <c r="D23" s="26" t="n">
        <f aca="false">0</f>
        <v>0</v>
      </c>
      <c r="E23" s="7" t="str">
        <f aca="false">IF(ABS(C23-D23)&lt;=0.005,"OK","FAIL")</f>
        <v>OK</v>
      </c>
    </row>
    <row r="24" customFormat="false" ht="15" hidden="false" customHeight="false" outlineLevel="0" collapsed="false">
      <c r="B24" s="7" t="s">
        <v>361</v>
      </c>
      <c r="C24" s="26" t="n">
        <f aca="false">CapitalAccounts!J18</f>
        <v>146320002.07</v>
      </c>
      <c r="D24" s="26" t="n">
        <f aca="false">CapitalAccounts!J19</f>
        <v>146320002.059616</v>
      </c>
      <c r="E24" s="7" t="str">
        <f aca="false">IF(ABS(C24-D24)&lt;=1,"OK","FAIL")</f>
        <v>OK</v>
      </c>
    </row>
    <row r="25" customFormat="false" ht="15" hidden="false" customHeight="false" outlineLevel="0" collapsed="false">
      <c r="B25" s="7" t="s">
        <v>362</v>
      </c>
      <c r="C25" s="26" t="n">
        <f aca="false">MIN(Waterfall!F50,Inputs!$D$32*Waterfall!F52)</f>
        <v>81.685375</v>
      </c>
      <c r="D25" s="26" t="n">
        <f aca="false">Waterfall!F50</f>
        <v>81.685375</v>
      </c>
      <c r="E25" s="7" t="str">
        <f aca="false">IF(ABS(C25-D25)&lt;=0.0001,"OK","FAIL")</f>
        <v>OK</v>
      </c>
    </row>
    <row r="26" customFormat="false" ht="15" hidden="false" customHeight="false" outlineLevel="0" collapsed="false">
      <c r="B26" s="7" t="s">
        <v>363</v>
      </c>
      <c r="C26" s="26" t="n">
        <f aca="false">MIN(Waterfall!F51,Inputs!$D$32*Waterfall!F52)</f>
        <v>81.685375</v>
      </c>
      <c r="D26" s="26" t="n">
        <f aca="false">Waterfall!F51</f>
        <v>81.685375</v>
      </c>
      <c r="E26" s="7" t="str">
        <f aca="false">IF(ABS(C26-D26)&lt;=0.0001,"OK","FAIL")</f>
        <v>OK</v>
      </c>
    </row>
    <row r="27" customFormat="false" ht="15" hidden="false" customHeight="false" outlineLevel="0" collapsed="false">
      <c r="B27" s="7" t="s">
        <v>364</v>
      </c>
      <c r="C27" s="26" t="n">
        <f aca="false">SUM(Waterfall!G7:G46)+SUM(Waterfall!J7:J46)+SUM(Waterfall!K7:K46)+SUM(Waterfall!L7:L46)</f>
        <v>882.98</v>
      </c>
      <c r="D27" s="26" t="n">
        <f aca="false">SUM(Waterfall!F7:F46)</f>
        <v>882.98</v>
      </c>
      <c r="E27" s="7" t="str">
        <f aca="false">IF(ABS(C27-D27)&lt;=0.0001,"OK","FAIL")</f>
        <v>OK</v>
      </c>
    </row>
    <row r="28" customFormat="false" ht="15" hidden="false" customHeight="false" outlineLevel="0" collapsed="false">
      <c r="B28" s="7" t="s">
        <v>365</v>
      </c>
      <c r="C28" s="26" t="n">
        <f aca="false">Evergreen!X30</f>
        <v>4.14312155613441</v>
      </c>
      <c r="D28" s="26" t="n">
        <f aca="false">Evergreen!X13+(NAVError!C15-NAVError!C14)+NAVError!C18</f>
        <v>4.14312155613441</v>
      </c>
      <c r="E28" s="7" t="str">
        <f aca="false">IF(ABS(C28-D28)&lt;=0.000000001,"OK","FAIL")</f>
        <v>OK</v>
      </c>
    </row>
    <row r="30" customFormat="false" ht="15" hidden="false" customHeight="false" outlineLevel="0" collapsed="false">
      <c r="B30" s="5" t="s">
        <v>366</v>
      </c>
    </row>
    <row r="31" customFormat="false" ht="15" hidden="false" customHeight="false" outlineLevel="0" collapsed="false">
      <c r="B31" s="7" t="s">
        <v>367</v>
      </c>
      <c r="C31" s="26" t="n">
        <f aca="false">CallGrid!D17+CallGrid!E17</f>
        <v>57469375</v>
      </c>
      <c r="D31" s="26" t="n">
        <v>57469375</v>
      </c>
      <c r="E31" s="7" t="str">
        <f aca="false">IF(ABS(C31-D31)&lt;=0.005,"OK","DIFF")</f>
        <v>OK</v>
      </c>
    </row>
    <row r="32" customFormat="false" ht="15" hidden="false" customHeight="false" outlineLevel="0" collapsed="false">
      <c r="B32" s="7" t="s">
        <v>368</v>
      </c>
      <c r="C32" s="26" t="n">
        <f aca="false">CallGrid!D6</f>
        <v>15534722.22</v>
      </c>
      <c r="D32" s="26" t="n">
        <v>15534722.22</v>
      </c>
      <c r="E32" s="7" t="str">
        <f aca="false">IF(ABS(C32-D32)&lt;=0.005,"OK","DIFF")</f>
        <v>OK</v>
      </c>
    </row>
    <row r="33" customFormat="false" ht="15" hidden="false" customHeight="false" outlineLevel="0" collapsed="false">
      <c r="B33" s="7" t="s">
        <v>369</v>
      </c>
      <c r="C33" s="26" t="n">
        <f aca="false">Calls!$D$22</f>
        <v>11472.33</v>
      </c>
      <c r="D33" s="26" t="n">
        <v>11472.33</v>
      </c>
      <c r="E33" s="7" t="str">
        <f aca="false">IF(ABS(C33-D33)&lt;=0.005,"OK","DIFF")</f>
        <v>OK</v>
      </c>
    </row>
    <row r="34" customFormat="false" ht="15" hidden="false" customHeight="false" outlineLevel="0" collapsed="false">
      <c r="B34" s="7" t="s">
        <v>370</v>
      </c>
      <c r="C34" s="26" t="n">
        <f aca="false">Calls!$D$36</f>
        <v>-0.01</v>
      </c>
      <c r="D34" s="26" t="n">
        <v>-0.01</v>
      </c>
      <c r="E34" s="7" t="str">
        <f aca="false">IF(ABS(C34-D34)&lt;=0.005,"OK","DIFF")</f>
        <v>OK</v>
      </c>
    </row>
    <row r="35" customFormat="false" ht="15" hidden="false" customHeight="false" outlineLevel="0" collapsed="false">
      <c r="B35" s="7" t="s">
        <v>371</v>
      </c>
      <c r="C35" s="26" t="n">
        <f aca="false">Equalization!$E$20</f>
        <v>25307158.32</v>
      </c>
      <c r="D35" s="26" t="n">
        <v>25307158.32</v>
      </c>
      <c r="E35" s="7" t="str">
        <f aca="false">IF(ABS(C35-D35)&lt;=0.005,"OK","DIFF")</f>
        <v>OK</v>
      </c>
    </row>
    <row r="36" customFormat="false" ht="15" hidden="false" customHeight="false" outlineLevel="0" collapsed="false">
      <c r="B36" s="7" t="s">
        <v>372</v>
      </c>
      <c r="C36" s="26" t="n">
        <f aca="false">Equalization!$E$21</f>
        <v>1318690.33</v>
      </c>
      <c r="D36" s="26" t="n">
        <v>1318690.33</v>
      </c>
      <c r="E36" s="7" t="str">
        <f aca="false">IF(ABS(C36-D36)&lt;=0.005,"OK","DIFF")</f>
        <v>OK</v>
      </c>
    </row>
    <row r="37" customFormat="false" ht="15" hidden="false" customHeight="false" outlineLevel="0" collapsed="false">
      <c r="B37" s="7" t="s">
        <v>373</v>
      </c>
      <c r="C37" s="26" t="n">
        <f aca="false">CapitalAccounts!J8</f>
        <v>29264000.41</v>
      </c>
      <c r="D37" s="26" t="n">
        <v>29264000.41</v>
      </c>
      <c r="E37" s="7" t="str">
        <f aca="false">IF(ABS(C37-D37)&lt;=0.005,"OK","DIFF")</f>
        <v>OK</v>
      </c>
    </row>
    <row r="38" customFormat="false" ht="15" hidden="false" customHeight="false" outlineLevel="0" collapsed="false">
      <c r="B38" s="7" t="s">
        <v>374</v>
      </c>
      <c r="C38" s="26" t="n">
        <f aca="false">Flows!$G$50</f>
        <v>483.129125</v>
      </c>
      <c r="D38" s="26" t="n">
        <v>483.129125</v>
      </c>
      <c r="E38" s="7" t="str">
        <f aca="false">IF(ABS(C38-D38)&lt;=0.0001,"OK","DIFF")</f>
        <v>OK</v>
      </c>
    </row>
    <row r="39" customFormat="false" ht="15" hidden="false" customHeight="false" outlineLevel="0" collapsed="false">
      <c r="B39" s="7" t="s">
        <v>375</v>
      </c>
      <c r="C39" s="26" t="n">
        <f aca="false">Waterfall!F50</f>
        <v>81.685375</v>
      </c>
      <c r="D39" s="26" t="n">
        <v>81.685375</v>
      </c>
      <c r="E39" s="7" t="str">
        <f aca="false">IF(ABS(C39-D39)&lt;=0.0001,"OK","DIFF")</f>
        <v>OK</v>
      </c>
    </row>
    <row r="40" customFormat="false" ht="15" hidden="false" customHeight="false" outlineLevel="0" collapsed="false">
      <c r="B40" s="7" t="s">
        <v>376</v>
      </c>
      <c r="C40" s="26" t="n">
        <f aca="false">Inputs!$D$32*Waterfall!F52</f>
        <v>81.685375</v>
      </c>
      <c r="D40" s="26" t="n">
        <v>81.685375</v>
      </c>
      <c r="E40" s="7" t="str">
        <f aca="false">IF(ABS(C40-D40)&lt;=0.0001,"OK","DIFF")</f>
        <v>OK</v>
      </c>
    </row>
    <row r="41" customFormat="false" ht="15" hidden="false" customHeight="false" outlineLevel="0" collapsed="false">
      <c r="B41" s="7" t="s">
        <v>377</v>
      </c>
      <c r="C41" s="26" t="n">
        <f aca="false">Waterfall!F55</f>
        <v>17.9181487499997</v>
      </c>
      <c r="D41" s="26" t="n">
        <v>17.9181487500001</v>
      </c>
      <c r="E41" s="7" t="str">
        <f aca="false">IF(ABS(C41-D41)&lt;=0.0001,"OK","DIFF")</f>
        <v>OK</v>
      </c>
    </row>
    <row r="42" customFormat="false" ht="15" hidden="false" customHeight="false" outlineLevel="0" collapsed="false">
      <c r="B42" s="7" t="s">
        <v>378</v>
      </c>
      <c r="C42" s="26" t="n">
        <f aca="false">Waterfall!F56</f>
        <v>188.486741409638</v>
      </c>
      <c r="D42" s="26" t="n">
        <v>188.486741409638</v>
      </c>
      <c r="E42" s="7" t="str">
        <f aca="false">IF(ABS(C42-D42)&lt;=0.0001,"OK","DIFF")</f>
        <v>OK</v>
      </c>
    </row>
    <row r="43" customFormat="false" ht="15" hidden="false" customHeight="false" outlineLevel="0" collapsed="false">
      <c r="B43" s="7" t="s">
        <v>379</v>
      </c>
      <c r="C43" s="26" t="n">
        <f aca="false">Waterfall!F57</f>
        <v>129.08185125</v>
      </c>
      <c r="D43" s="26" t="n">
        <v>129.08185125</v>
      </c>
      <c r="E43" s="7" t="str">
        <f aca="false">IF(ABS(C43-D43)&lt;=0.0001,"OK","DIFF")</f>
        <v>OK</v>
      </c>
    </row>
    <row r="44" customFormat="false" ht="15" hidden="false" customHeight="false" outlineLevel="0" collapsed="false">
      <c r="B44" s="7" t="s">
        <v>380</v>
      </c>
      <c r="C44" s="26" t="n">
        <f aca="false">AccruedCarry!$J$15</f>
        <v>37.6877469369146</v>
      </c>
      <c r="D44" s="26" t="n">
        <v>37.6877469369146</v>
      </c>
      <c r="E44" s="7" t="str">
        <f aca="false">IF(ABS(C44-D44)&lt;=0.0001,"OK","DIFF")</f>
        <v>OK</v>
      </c>
    </row>
    <row r="45" customFormat="false" ht="15" hidden="false" customHeight="false" outlineLevel="0" collapsed="false">
      <c r="B45" s="7" t="s">
        <v>381</v>
      </c>
      <c r="C45" s="26" t="n">
        <f aca="false">Evergreen!H38</f>
        <v>116.336503851805</v>
      </c>
      <c r="D45" s="26" t="n">
        <v>116.336503851805</v>
      </c>
      <c r="E45" s="7" t="str">
        <f aca="false">IF(ABS(C45-D45)&lt;=0.00001,"OK","DIFF")</f>
        <v>OK</v>
      </c>
    </row>
    <row r="46" customFormat="false" ht="15" hidden="false" customHeight="false" outlineLevel="0" collapsed="false">
      <c r="B46" s="7" t="s">
        <v>382</v>
      </c>
      <c r="C46" s="26" t="n">
        <f aca="false">NAVError!C4</f>
        <v>112.704796716405</v>
      </c>
      <c r="D46" s="26" t="n">
        <v>112.704796716405</v>
      </c>
      <c r="E46" s="7" t="str">
        <f aca="false">IF(ABS(C46-D46)&lt;=0.000001,"OK","DIFF")</f>
        <v>OK</v>
      </c>
    </row>
    <row r="47" customFormat="false" ht="15" hidden="false" customHeight="false" outlineLevel="0" collapsed="false">
      <c r="B47" s="7" t="s">
        <v>383</v>
      </c>
      <c r="C47" s="26" t="n">
        <f aca="false">NAVError!C5</f>
        <v>111.814130986661</v>
      </c>
      <c r="D47" s="26" t="n">
        <v>111.814130986661</v>
      </c>
      <c r="E47" s="7" t="str">
        <f aca="false">IF(ABS(C47-D47)&lt;=0.000001,"OK","DIFF")</f>
        <v>OK</v>
      </c>
    </row>
    <row r="48" customFormat="false" ht="15" hidden="false" customHeight="false" outlineLevel="0" collapsed="false">
      <c r="B48" s="7" t="s">
        <v>384</v>
      </c>
      <c r="C48" s="26" t="n">
        <f aca="false">NAVError!C12</f>
        <v>183750.000000001</v>
      </c>
      <c r="D48" s="26" t="n">
        <v>183750.000000002</v>
      </c>
      <c r="E48" s="7" t="str">
        <f aca="false">IF(ABS(C48-D48)&lt;=0.01,"OK","DIFF")</f>
        <v>OK</v>
      </c>
    </row>
    <row r="49" customFormat="false" ht="15" hidden="false" customHeight="false" outlineLevel="0" collapsed="false">
      <c r="B49" s="7" t="s">
        <v>385</v>
      </c>
      <c r="C49" s="26" t="n">
        <f aca="false">NAVError!C16+NAVError!C19</f>
        <v>199755.3774765</v>
      </c>
      <c r="D49" s="26" t="n">
        <v>199755.3774765</v>
      </c>
      <c r="E49" s="7" t="str">
        <f aca="false">IF(ABS(C49-D49)&lt;=0.01,"OK","DIFF")</f>
        <v>OK</v>
      </c>
    </row>
    <row r="50" customFormat="false" ht="15" hidden="false" customHeight="false" outlineLevel="0" collapsed="false">
      <c r="B50" s="7" t="s">
        <v>386</v>
      </c>
      <c r="C50" s="26" t="n">
        <f aca="false">NAVError!C22</f>
        <v>213636.718750001</v>
      </c>
      <c r="D50" s="26" t="n">
        <v>213636.718750001</v>
      </c>
      <c r="E50" s="7" t="str">
        <f aca="false">IF(ABS(C50-D50)&lt;=0.01,"OK","DIFF")</f>
        <v>OK</v>
      </c>
    </row>
    <row r="51" customFormat="false" ht="15" hidden="false" customHeight="false" outlineLevel="0" collapsed="false">
      <c r="B51" s="7" t="s">
        <v>387</v>
      </c>
      <c r="C51" s="26" t="n">
        <f aca="false">Economics!C7</f>
        <v>795764.526290492</v>
      </c>
      <c r="D51" s="26" t="n">
        <v>795764.526290492</v>
      </c>
      <c r="E51" s="7" t="str">
        <f aca="false">IF(ABS(C51-D51)&lt;=0.5,"OK","DIFF")</f>
        <v>OK</v>
      </c>
    </row>
    <row r="52" customFormat="false" ht="15" hidden="false" customHeight="false" outlineLevel="0" collapsed="false">
      <c r="B52" s="7" t="s">
        <v>388</v>
      </c>
      <c r="C52" s="26" t="n">
        <f aca="false">Interview!C12</f>
        <v>6.93280768000005</v>
      </c>
      <c r="D52" s="26" t="n">
        <v>6.93280768000005</v>
      </c>
      <c r="E52" s="7" t="str">
        <f aca="false">IF(ABS(C52-D52)&lt;=0.0001,"OK","DIFF")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2026-10-07T21:59:54Z</dcterms:created>
  <dc:creator>openpyxl</dc:creator>
  <dc:description/>
  <dc:language>en-US</dc:language>
  <cp:lastModifiedBy/>
  <dcterms:modified xsi:type="dcterms:W3CDTF">2026-10-07T21:59:54Z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