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Primaries" sheetId="3" state="visible" r:id="rId3"/>
    <sheet xmlns:r="http://schemas.openxmlformats.org/officeDocument/2006/relationships" name="Secondaries" sheetId="4" state="visible" r:id="rId4"/>
    <sheet xmlns:r="http://schemas.openxmlformats.org/officeDocument/2006/relationships" name="Co-Investments" sheetId="5" state="visible" r:id="rId5"/>
    <sheet xmlns:r="http://schemas.openxmlformats.org/officeDocument/2006/relationships" name="Fund IV" sheetId="6" state="visible" r:id="rId6"/>
    <sheet xmlns:r="http://schemas.openxmlformats.org/officeDocument/2006/relationships" name="Facility" sheetId="7" state="visible" r:id="rId7"/>
    <sheet xmlns:r="http://schemas.openxmlformats.org/officeDocument/2006/relationships" name="Check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;[Red]-#,##0.0"/>
    <numFmt numFmtId="165" formatCode="0.0%"/>
    <numFmt numFmtId="166" formatCode="0.00&quot;x&quot;"/>
    <numFmt numFmtId="167" formatCode="#,##0.00;[Red]-#,##0.00"/>
    <numFmt numFmtId="168" formatCode="0.000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1F4FB4"/>
      <sz val="10"/>
    </font>
  </fonts>
  <fills count="6">
    <fill>
      <patternFill/>
    </fill>
    <fill>
      <patternFill patternType="gray125"/>
    </fill>
    <fill>
      <patternFill patternType="solid">
        <fgColor rgb="003A1222"/>
      </patternFill>
    </fill>
    <fill>
      <patternFill patternType="solid">
        <fgColor rgb="006B2C44"/>
      </patternFill>
    </fill>
    <fill>
      <patternFill patternType="solid">
        <fgColor rgb="00EEF3FB"/>
      </patternFill>
    </fill>
    <fill>
      <patternFill patternType="solid">
        <fgColor rgb="00F3E8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3" borderId="0" applyAlignment="1" pivotButton="0" quotePrefix="0" xfId="0">
      <alignment vertical="center" wrapText="1"/>
    </xf>
    <xf numFmtId="0" fontId="4" fillId="0" borderId="0" pivotButton="0" quotePrefix="0" xfId="0"/>
    <xf numFmtId="164" fontId="5" fillId="4" borderId="0" pivotButton="0" quotePrefix="0" xfId="0"/>
    <xf numFmtId="10" fontId="5" fillId="4" borderId="0" pivotButton="0" quotePrefix="0" xfId="0"/>
    <xf numFmtId="1" fontId="5" fillId="4" borderId="0" pivotButton="0" quotePrefix="0" xfId="0"/>
    <xf numFmtId="165" fontId="5" fillId="4" borderId="0" pivotButton="0" quotePrefix="0" xfId="0"/>
    <xf numFmtId="166" fontId="5" fillId="4" borderId="0" pivotButton="0" quotePrefix="0" xfId="0"/>
    <xf numFmtId="1" fontId="2" fillId="0" borderId="0" pivotButton="0" quotePrefix="0" xfId="0"/>
    <xf numFmtId="167" fontId="2" fillId="0" borderId="0" pivotButton="0" quotePrefix="0" xfId="0"/>
    <xf numFmtId="167" fontId="4" fillId="5" borderId="0" pivotButton="0" quotePrefix="0" xfId="0"/>
    <xf numFmtId="166" fontId="2" fillId="0" borderId="0" pivotButton="0" quotePrefix="0" xfId="0"/>
    <xf numFmtId="166" fontId="4" fillId="5" borderId="0" pivotButton="0" quotePrefix="0" xfId="0"/>
    <xf numFmtId="165" fontId="4" fillId="5" borderId="0" pivotButton="0" quotePrefix="0" xfId="0"/>
    <xf numFmtId="164" fontId="2" fillId="0" borderId="0" pivotButton="0" quotePrefix="0" xfId="0"/>
    <xf numFmtId="164" fontId="4" fillId="5" borderId="0" pivotButton="0" quotePrefix="0" xfId="0"/>
    <xf numFmtId="0" fontId="4" fillId="5" borderId="0" pivotButton="0" quotePrefix="0" xfId="0"/>
    <xf numFmtId="168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8" customWidth="1" min="2" max="2"/>
  </cols>
  <sheetData>
    <row r="1" ht="10" customHeight="1"/>
    <row r="2">
      <c r="B2" s="1" t="inlineStr">
        <is>
          <t>The Fund of Funds Investor: companion workbook</t>
        </is>
      </c>
    </row>
    <row r="4">
      <c r="B4" s="2" t="inlineStr">
        <is>
          <t>This workbook rebuilds the Fund IV case of The Fund of Funds Investor (Julian R. Sterling, 2026) with live formulas.</t>
        </is>
      </c>
    </row>
    <row r="5">
      <c r="B5" s="2" t="inlineStr">
        <is>
          <t>Blue cells on a light blue background are inputs. Everything else is a formula. Amounts in US$ million unless stated; annual flows at year end.</t>
        </is>
      </c>
    </row>
    <row r="6">
      <c r="B6" s="2" t="inlineStr">
        <is>
          <t>Inputs: every assumption of the case (primary fund terms and pattern, secondaries, co-investments, Fund IV terms, facility).</t>
        </is>
      </c>
    </row>
    <row r="7">
      <c r="B7" s="2" t="inlineStr">
        <is>
          <t>Primaries (Chapters 4, 10 and 12): one primary fund per $100 of commitment, its calls, fees, gross value, European waterfall, carry and net NAV; then the three vintages.</t>
        </is>
      </c>
    </row>
    <row r="8">
      <c r="B8" s="2" t="inlineStr">
        <is>
          <t>Secondaries (Chapter 8): the three purchases, discount, unfunded commitments, distributions and NAV.</t>
        </is>
      </c>
    </row>
    <row r="9">
      <c r="B9" s="2" t="inlineStr">
        <is>
          <t>Co-Investments (Chapter 9): the nine deals, the write-off, distributions and NAV.</t>
        </is>
      </c>
    </row>
    <row r="10">
      <c r="B10" s="2" t="inlineStr">
        <is>
          <t>Fund IV (Chapters 4, 10, 11 and 12): calls, distributions, fees, expenses, carry, net NAV, DPI, TVPI, gross and net IRR; the subscription facility.</t>
        </is>
      </c>
    </row>
    <row r="11">
      <c r="B11" s="2" t="inlineStr">
        <is>
          <t>Checks: the figures printed in the book beside the formulas that produce them. ALL CHECKS OK on the default inputs.</t>
        </is>
      </c>
    </row>
    <row r="12">
      <c r="B12" s="2" t="inlineStr">
        <is>
          <t>Everything in the case is fictional and illustrative; the model is annual and simplified. Nothing here is investment, legal, tax or accounting advice. No macro, no circular reference, no external link.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4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4" customWidth="1" min="2" max="2"/>
    <col width="14" customWidth="1" min="3" max="3"/>
    <col width="40" customWidth="1" min="4" max="4"/>
  </cols>
  <sheetData>
    <row r="1" ht="10" customHeight="1"/>
    <row r="2">
      <c r="B2" s="1" t="inlineStr">
        <is>
          <t>Inputs (blue cells)</t>
        </is>
      </c>
      <c r="C2" s="3" t="n"/>
      <c r="D2" s="3" t="n"/>
    </row>
    <row r="4">
      <c r="B4" s="4" t="inlineStr">
        <is>
          <t>Assumption</t>
        </is>
      </c>
      <c r="C4" s="4" t="inlineStr">
        <is>
          <t>Value</t>
        </is>
      </c>
      <c r="D4" s="4" t="inlineStr">
        <is>
          <t>Note</t>
        </is>
      </c>
    </row>
    <row r="5">
      <c r="B5" s="5" t="inlineStr">
        <is>
          <t>Fund IV</t>
        </is>
      </c>
    </row>
    <row r="6">
      <c r="B6" s="2" t="inlineStr">
        <is>
          <t>Fund IV commitments ($m)</t>
        </is>
      </c>
      <c r="C6" s="6" t="n">
        <v>600</v>
      </c>
    </row>
    <row r="7">
      <c r="B7" s="2" t="inlineStr">
        <is>
          <t>Fund IV fee on commitments, until the switch year</t>
        </is>
      </c>
      <c r="C7" s="7" t="n">
        <v>0.0075</v>
      </c>
    </row>
    <row r="8">
      <c r="B8" s="2" t="inlineStr">
        <is>
          <t>Fund IV fee on prior year-end NAV, from the switch year</t>
        </is>
      </c>
      <c r="C8" s="7" t="n">
        <v>0.006</v>
      </c>
    </row>
    <row r="9">
      <c r="B9" s="2" t="inlineStr">
        <is>
          <t>Fee switch year</t>
        </is>
      </c>
      <c r="C9" s="8" t="n">
        <v>2029</v>
      </c>
    </row>
    <row r="10">
      <c r="B10" s="2" t="inlineStr">
        <is>
          <t>Fund IV expenses a year ($m)</t>
        </is>
      </c>
      <c r="C10" s="6" t="n">
        <v>0.6</v>
      </c>
    </row>
    <row r="11">
      <c r="B11" s="2" t="inlineStr">
        <is>
          <t>Fund IV preferred return</t>
        </is>
      </c>
      <c r="C11" s="9" t="n">
        <v>0.08</v>
      </c>
    </row>
    <row r="12">
      <c r="B12" s="2" t="inlineStr">
        <is>
          <t>Fund IV carried interest</t>
        </is>
      </c>
      <c r="C12" s="9" t="n">
        <v>0.05</v>
      </c>
    </row>
    <row r="13">
      <c r="B13" s="5" t="inlineStr">
        <is>
          <t>Primary fund pattern</t>
        </is>
      </c>
    </row>
    <row r="14">
      <c r="B14" s="2" t="inlineStr">
        <is>
          <t>Investment call, fund year 1 (share of commitment)</t>
        </is>
      </c>
      <c r="C14" s="9" t="n">
        <v>0.2</v>
      </c>
    </row>
    <row r="15">
      <c r="B15" s="2" t="inlineStr">
        <is>
          <t>Investment call, fund year 2</t>
        </is>
      </c>
      <c r="C15" s="9" t="n">
        <v>0.25</v>
      </c>
    </row>
    <row r="16">
      <c r="B16" s="2" t="inlineStr">
        <is>
          <t>Investment call, fund year 3</t>
        </is>
      </c>
      <c r="C16" s="9" t="n">
        <v>0.2</v>
      </c>
    </row>
    <row r="17">
      <c r="B17" s="2" t="inlineStr">
        <is>
          <t>Investment call, fund year 4</t>
        </is>
      </c>
      <c r="C17" s="9" t="n">
        <v>0.15</v>
      </c>
    </row>
    <row r="18">
      <c r="B18" s="2" t="inlineStr">
        <is>
          <t>Investment call, fund year 5</t>
        </is>
      </c>
      <c r="C18" s="9" t="n">
        <v>0.07000000000000001</v>
      </c>
    </row>
    <row r="19">
      <c r="B19" s="2" t="inlineStr">
        <is>
          <t>Management fee, years 1 to 5 (on commitment)</t>
        </is>
      </c>
      <c r="C19" s="7" t="n">
        <v>0.0175</v>
      </c>
    </row>
    <row r="20">
      <c r="B20" s="2" t="inlineStr">
        <is>
          <t>Management fee, years 6 to 10 (on commitment)</t>
        </is>
      </c>
      <c r="C20" s="7" t="n">
        <v>0.0075</v>
      </c>
    </row>
    <row r="21">
      <c r="B21" s="2" t="inlineStr">
        <is>
          <t>Gross exit multiple of each investment</t>
        </is>
      </c>
      <c r="C21" s="10" t="n">
        <v>2</v>
      </c>
    </row>
    <row r="22">
      <c r="B22" s="2" t="inlineStr">
        <is>
          <t>Holding period (years)</t>
        </is>
      </c>
      <c r="C22" s="8" t="n">
        <v>5</v>
      </c>
    </row>
    <row r="23">
      <c r="B23" s="2" t="inlineStr">
        <is>
          <t>Underlying preferred return</t>
        </is>
      </c>
      <c r="C23" s="9" t="n">
        <v>0.08</v>
      </c>
    </row>
    <row r="24">
      <c r="B24" s="2" t="inlineStr">
        <is>
          <t>Underlying carried interest</t>
        </is>
      </c>
      <c r="C24" s="9" t="n">
        <v>0.2</v>
      </c>
    </row>
    <row r="25">
      <c r="B25" s="2" t="inlineStr">
        <is>
          <t>Primary commitments, 2024 vintage ($m)</t>
        </is>
      </c>
      <c r="C25" s="6" t="n">
        <v>120</v>
      </c>
    </row>
    <row r="26">
      <c r="B26" s="2" t="inlineStr">
        <is>
          <t>Primary commitments, 2025 vintage ($m)</t>
        </is>
      </c>
      <c r="C26" s="6" t="n">
        <v>120</v>
      </c>
    </row>
    <row r="27">
      <c r="B27" s="2" t="inlineStr">
        <is>
          <t>Primary commitments, 2026 vintage ($m)</t>
        </is>
      </c>
      <c r="C27" s="6" t="n">
        <v>120</v>
      </c>
    </row>
    <row r="28">
      <c r="B28" s="5" t="inlineStr">
        <is>
          <t>Secondaries</t>
        </is>
      </c>
    </row>
    <row r="29">
      <c r="B29" s="2" t="inlineStr">
        <is>
          <t>NAV bought at end-2024 ($m)</t>
        </is>
      </c>
      <c r="C29" s="6" t="n">
        <v>50</v>
      </c>
    </row>
    <row r="30">
      <c r="B30" s="2" t="inlineStr">
        <is>
          <t>NAV bought at end-2025 ($m)</t>
        </is>
      </c>
      <c r="C30" s="6" t="n">
        <v>55</v>
      </c>
    </row>
    <row r="31">
      <c r="B31" s="2" t="inlineStr">
        <is>
          <t>NAV bought at end-2026 ($m)</t>
        </is>
      </c>
      <c r="C31" s="6" t="n">
        <v>45</v>
      </c>
    </row>
    <row r="32">
      <c r="B32" s="2" t="inlineStr">
        <is>
          <t>Price, share of NAV</t>
        </is>
      </c>
      <c r="C32" s="9" t="n">
        <v>0.9</v>
      </c>
    </row>
    <row r="33">
      <c r="B33" s="2" t="inlineStr">
        <is>
          <t>Unfunded assumed, share of NAV (called over two years)</t>
        </is>
      </c>
      <c r="C33" s="9" t="n">
        <v>0.1</v>
      </c>
    </row>
    <row r="34">
      <c r="B34" s="2" t="inlineStr">
        <is>
          <t>NAV growth a year (net)</t>
        </is>
      </c>
      <c r="C34" s="9" t="n">
        <v>0.11</v>
      </c>
    </row>
    <row r="35">
      <c r="B35" s="2" t="inlineStr">
        <is>
          <t>Distributions, share of opening NAV</t>
        </is>
      </c>
      <c r="C35" s="9" t="n">
        <v>0.25</v>
      </c>
    </row>
    <row r="36">
      <c r="B36" s="5" t="inlineStr">
        <is>
          <t>Co-investments</t>
        </is>
      </c>
    </row>
    <row r="37">
      <c r="B37" s="2" t="inlineStr">
        <is>
          <t>Size of each deal ($m)</t>
        </is>
      </c>
      <c r="C37" s="6" t="n">
        <v>10</v>
      </c>
    </row>
    <row r="38">
      <c r="B38" s="2" t="inlineStr">
        <is>
          <t>Deals a year, 2024 to 2026</t>
        </is>
      </c>
      <c r="C38" s="8" t="n">
        <v>3</v>
      </c>
    </row>
    <row r="39">
      <c r="B39" s="2" t="inlineStr">
        <is>
          <t>Gross exit multiple of performing deals</t>
        </is>
      </c>
      <c r="C39" s="10" t="n">
        <v>2.2</v>
      </c>
    </row>
    <row r="40">
      <c r="B40" s="2" t="inlineStr">
        <is>
          <t>Mark of the failed 2025 deal after one year, share of cost</t>
        </is>
      </c>
      <c r="C40" s="9" t="n">
        <v>0.5</v>
      </c>
    </row>
    <row r="41">
      <c r="B41" s="2" t="inlineStr">
        <is>
          <t>Final value of the failed deal, share of cost</t>
        </is>
      </c>
      <c r="C41" s="9" t="n">
        <v>0</v>
      </c>
    </row>
    <row r="42">
      <c r="B42" s="5" t="inlineStr">
        <is>
          <t>Subscription facility</t>
        </is>
      </c>
    </row>
    <row r="43">
      <c r="B43" s="2" t="inlineStr">
        <is>
          <t>Share of each investor call deferred one year</t>
        </is>
      </c>
      <c r="C43" s="9" t="n">
        <v>0.4</v>
      </c>
    </row>
    <row r="44">
      <c r="B44" s="2" t="inlineStr">
        <is>
          <t>Facility interest rate</t>
        </is>
      </c>
      <c r="C44" s="7" t="n">
        <v>0.065</v>
      </c>
    </row>
    <row r="45">
      <c r="B45" s="2" t="inlineStr">
        <is>
          <t>Facility size ($m)</t>
        </is>
      </c>
      <c r="C45" s="6" t="n">
        <v>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P4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</cols>
  <sheetData>
    <row r="1" ht="10" customHeight="1"/>
    <row r="2">
      <c r="B2" s="1" t="inlineStr">
        <is>
          <t>Primaries: one fund per $100 of commitment, then the three vintages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</row>
    <row r="4">
      <c r="B4" s="4" t="inlineStr">
        <is>
          <t>Per $100 of commitment</t>
        </is>
      </c>
      <c r="C4" s="4" t="inlineStr">
        <is>
          <t>Year 1</t>
        </is>
      </c>
      <c r="D4" s="4" t="inlineStr">
        <is>
          <t>Year 2</t>
        </is>
      </c>
      <c r="E4" s="4" t="inlineStr">
        <is>
          <t>Year 3</t>
        </is>
      </c>
      <c r="F4" s="4" t="inlineStr">
        <is>
          <t>Year 4</t>
        </is>
      </c>
      <c r="G4" s="4" t="inlineStr">
        <is>
          <t>Year 5</t>
        </is>
      </c>
      <c r="H4" s="4" t="inlineStr">
        <is>
          <t>Year 6</t>
        </is>
      </c>
      <c r="I4" s="4" t="inlineStr">
        <is>
          <t>Year 7</t>
        </is>
      </c>
      <c r="J4" s="4" t="inlineStr">
        <is>
          <t>Year 8</t>
        </is>
      </c>
      <c r="K4" s="4" t="inlineStr">
        <is>
          <t>Year 9</t>
        </is>
      </c>
      <c r="L4" s="4" t="inlineStr">
        <is>
          <t>Year 10</t>
        </is>
      </c>
      <c r="M4" s="4" t="inlineStr">
        <is>
          <t>Year 11</t>
        </is>
      </c>
      <c r="N4" s="4" t="inlineStr">
        <is>
          <t>Year 12</t>
        </is>
      </c>
      <c r="O4" s="4" t="inlineStr">
        <is>
          <t>Total</t>
        </is>
      </c>
    </row>
    <row r="5">
      <c r="B5" s="2" t="inlineStr">
        <is>
          <t>Fund year</t>
        </is>
      </c>
      <c r="C5" s="11" t="n">
        <v>1</v>
      </c>
      <c r="D5" s="11" t="n">
        <v>2</v>
      </c>
      <c r="E5" s="11" t="n">
        <v>3</v>
      </c>
      <c r="F5" s="11" t="n">
        <v>4</v>
      </c>
      <c r="G5" s="11" t="n">
        <v>5</v>
      </c>
      <c r="H5" s="11" t="n">
        <v>6</v>
      </c>
      <c r="I5" s="11" t="n">
        <v>7</v>
      </c>
      <c r="J5" s="11" t="n">
        <v>8</v>
      </c>
      <c r="K5" s="11" t="n">
        <v>9</v>
      </c>
      <c r="L5" s="11" t="n">
        <v>10</v>
      </c>
      <c r="M5" s="11" t="n">
        <v>11</v>
      </c>
      <c r="N5" s="11" t="n">
        <v>12</v>
      </c>
    </row>
    <row r="6">
      <c r="B6" s="2" t="inlineStr">
        <is>
          <t>Investment call</t>
        </is>
      </c>
      <c r="C6" s="12">
        <f>Inputs!$C$14*100</f>
        <v/>
      </c>
      <c r="D6" s="12">
        <f>Inputs!$C$15*100</f>
        <v/>
      </c>
      <c r="E6" s="12">
        <f>Inputs!$C$16*100</f>
        <v/>
      </c>
      <c r="F6" s="12">
        <f>Inputs!$C$17*100</f>
        <v/>
      </c>
      <c r="G6" s="12">
        <f>Inputs!$C$18*100</f>
        <v/>
      </c>
      <c r="H6" s="12" t="n">
        <v>0</v>
      </c>
      <c r="I6" s="12" t="n">
        <v>0</v>
      </c>
      <c r="J6" s="12" t="n">
        <v>0</v>
      </c>
      <c r="K6" s="12" t="n">
        <v>0</v>
      </c>
      <c r="L6" s="12" t="n">
        <v>0</v>
      </c>
      <c r="M6" s="12" t="n">
        <v>0</v>
      </c>
      <c r="N6" s="12" t="n">
        <v>0</v>
      </c>
      <c r="O6" s="13">
        <f>SUM(C6:N6)</f>
        <v/>
      </c>
    </row>
    <row r="7">
      <c r="B7" s="2" t="inlineStr">
        <is>
          <t>Management fee</t>
        </is>
      </c>
      <c r="C7" s="12">
        <f>IF(C5&lt;=5,Inputs!$C$19,IF(C5&lt;=10,Inputs!$C$20,0))*100</f>
        <v/>
      </c>
      <c r="D7" s="12">
        <f>IF(D5&lt;=5,Inputs!$C$19,IF(D5&lt;=10,Inputs!$C$20,0))*100</f>
        <v/>
      </c>
      <c r="E7" s="12">
        <f>IF(E5&lt;=5,Inputs!$C$19,IF(E5&lt;=10,Inputs!$C$20,0))*100</f>
        <v/>
      </c>
      <c r="F7" s="12">
        <f>IF(F5&lt;=5,Inputs!$C$19,IF(F5&lt;=10,Inputs!$C$20,0))*100</f>
        <v/>
      </c>
      <c r="G7" s="12">
        <f>IF(G5&lt;=5,Inputs!$C$19,IF(G5&lt;=10,Inputs!$C$20,0))*100</f>
        <v/>
      </c>
      <c r="H7" s="12">
        <f>IF(H5&lt;=5,Inputs!$C$19,IF(H5&lt;=10,Inputs!$C$20,0))*100</f>
        <v/>
      </c>
      <c r="I7" s="12">
        <f>IF(I5&lt;=5,Inputs!$C$19,IF(I5&lt;=10,Inputs!$C$20,0))*100</f>
        <v/>
      </c>
      <c r="J7" s="12">
        <f>IF(J5&lt;=5,Inputs!$C$19,IF(J5&lt;=10,Inputs!$C$20,0))*100</f>
        <v/>
      </c>
      <c r="K7" s="12">
        <f>IF(K5&lt;=5,Inputs!$C$19,IF(K5&lt;=10,Inputs!$C$20,0))*100</f>
        <v/>
      </c>
      <c r="L7" s="12">
        <f>IF(L5&lt;=5,Inputs!$C$19,IF(L5&lt;=10,Inputs!$C$20,0))*100</f>
        <v/>
      </c>
      <c r="M7" s="12">
        <f>IF(M5&lt;=5,Inputs!$C$19,IF(M5&lt;=10,Inputs!$C$20,0))*100</f>
        <v/>
      </c>
      <c r="N7" s="12">
        <f>IF(N5&lt;=5,Inputs!$C$19,IF(N5&lt;=10,Inputs!$C$20,0))*100</f>
        <v/>
      </c>
      <c r="O7" s="13">
        <f>SUM(C7:N7)</f>
        <v/>
      </c>
    </row>
    <row r="8">
      <c r="B8" s="2" t="inlineStr">
        <is>
          <t>Called by the fund</t>
        </is>
      </c>
      <c r="C8" s="12">
        <f>C6+C7</f>
        <v/>
      </c>
      <c r="D8" s="12">
        <f>D6+D7</f>
        <v/>
      </c>
      <c r="E8" s="12">
        <f>E6+E7</f>
        <v/>
      </c>
      <c r="F8" s="12">
        <f>F6+F7</f>
        <v/>
      </c>
      <c r="G8" s="12">
        <f>G6+G7</f>
        <v/>
      </c>
      <c r="H8" s="12">
        <f>H6+H7</f>
        <v/>
      </c>
      <c r="I8" s="12">
        <f>I6+I7</f>
        <v/>
      </c>
      <c r="J8" s="12">
        <f>J6+J7</f>
        <v/>
      </c>
      <c r="K8" s="12">
        <f>K6+K7</f>
        <v/>
      </c>
      <c r="L8" s="12">
        <f>L6+L7</f>
        <v/>
      </c>
      <c r="M8" s="12">
        <f>M6+M7</f>
        <v/>
      </c>
      <c r="N8" s="12">
        <f>N6+N7</f>
        <v/>
      </c>
      <c r="O8" s="13">
        <f>SUM(C8:N8)</f>
        <v/>
      </c>
    </row>
    <row r="9">
      <c r="B9" s="2" t="inlineStr">
        <is>
          <t>Gross NAV</t>
        </is>
      </c>
      <c r="C9" s="12">
        <f>IF(AND(1-1&gt;=0,1-1&lt;Inputs!$C$22),C6*(1+(Inputs!$C$21^(1/Inputs!$C$22)-1))^(1-1),0)+IF(AND(1-2&gt;=0,1-2&lt;Inputs!$C$22),D6*(1+(Inputs!$C$21^(1/Inputs!$C$22)-1))^(1-2),0)+IF(AND(1-3&gt;=0,1-3&lt;Inputs!$C$22),E6*(1+(Inputs!$C$21^(1/Inputs!$C$22)-1))^(1-3),0)+IF(AND(1-4&gt;=0,1-4&lt;Inputs!$C$22),F6*(1+(Inputs!$C$21^(1/Inputs!$C$22)-1))^(1-4),0)+IF(AND(1-5&gt;=0,1-5&lt;Inputs!$C$22),G6*(1+(Inputs!$C$21^(1/Inputs!$C$22)-1))^(1-5),0)</f>
        <v/>
      </c>
      <c r="D9" s="12">
        <f>IF(AND(2-1&gt;=0,2-1&lt;Inputs!$C$22),C6*(1+(Inputs!$C$21^(1/Inputs!$C$22)-1))^(2-1),0)+IF(AND(2-2&gt;=0,2-2&lt;Inputs!$C$22),D6*(1+(Inputs!$C$21^(1/Inputs!$C$22)-1))^(2-2),0)+IF(AND(2-3&gt;=0,2-3&lt;Inputs!$C$22),E6*(1+(Inputs!$C$21^(1/Inputs!$C$22)-1))^(2-3),0)+IF(AND(2-4&gt;=0,2-4&lt;Inputs!$C$22),F6*(1+(Inputs!$C$21^(1/Inputs!$C$22)-1))^(2-4),0)+IF(AND(2-5&gt;=0,2-5&lt;Inputs!$C$22),G6*(1+(Inputs!$C$21^(1/Inputs!$C$22)-1))^(2-5),0)</f>
        <v/>
      </c>
      <c r="E9" s="12">
        <f>IF(AND(3-1&gt;=0,3-1&lt;Inputs!$C$22),C6*(1+(Inputs!$C$21^(1/Inputs!$C$22)-1))^(3-1),0)+IF(AND(3-2&gt;=0,3-2&lt;Inputs!$C$22),D6*(1+(Inputs!$C$21^(1/Inputs!$C$22)-1))^(3-2),0)+IF(AND(3-3&gt;=0,3-3&lt;Inputs!$C$22),E6*(1+(Inputs!$C$21^(1/Inputs!$C$22)-1))^(3-3),0)+IF(AND(3-4&gt;=0,3-4&lt;Inputs!$C$22),F6*(1+(Inputs!$C$21^(1/Inputs!$C$22)-1))^(3-4),0)+IF(AND(3-5&gt;=0,3-5&lt;Inputs!$C$22),G6*(1+(Inputs!$C$21^(1/Inputs!$C$22)-1))^(3-5),0)</f>
        <v/>
      </c>
      <c r="F9" s="12">
        <f>IF(AND(4-1&gt;=0,4-1&lt;Inputs!$C$22),C6*(1+(Inputs!$C$21^(1/Inputs!$C$22)-1))^(4-1),0)+IF(AND(4-2&gt;=0,4-2&lt;Inputs!$C$22),D6*(1+(Inputs!$C$21^(1/Inputs!$C$22)-1))^(4-2),0)+IF(AND(4-3&gt;=0,4-3&lt;Inputs!$C$22),E6*(1+(Inputs!$C$21^(1/Inputs!$C$22)-1))^(4-3),0)+IF(AND(4-4&gt;=0,4-4&lt;Inputs!$C$22),F6*(1+(Inputs!$C$21^(1/Inputs!$C$22)-1))^(4-4),0)+IF(AND(4-5&gt;=0,4-5&lt;Inputs!$C$22),G6*(1+(Inputs!$C$21^(1/Inputs!$C$22)-1))^(4-5),0)</f>
        <v/>
      </c>
      <c r="G9" s="12">
        <f>IF(AND(5-1&gt;=0,5-1&lt;Inputs!$C$22),C6*(1+(Inputs!$C$21^(1/Inputs!$C$22)-1))^(5-1),0)+IF(AND(5-2&gt;=0,5-2&lt;Inputs!$C$22),D6*(1+(Inputs!$C$21^(1/Inputs!$C$22)-1))^(5-2),0)+IF(AND(5-3&gt;=0,5-3&lt;Inputs!$C$22),E6*(1+(Inputs!$C$21^(1/Inputs!$C$22)-1))^(5-3),0)+IF(AND(5-4&gt;=0,5-4&lt;Inputs!$C$22),F6*(1+(Inputs!$C$21^(1/Inputs!$C$22)-1))^(5-4),0)+IF(AND(5-5&gt;=0,5-5&lt;Inputs!$C$22),G6*(1+(Inputs!$C$21^(1/Inputs!$C$22)-1))^(5-5),0)</f>
        <v/>
      </c>
      <c r="H9" s="12">
        <f>IF(AND(6-1&gt;=0,6-1&lt;Inputs!$C$22),C6*(1+(Inputs!$C$21^(1/Inputs!$C$22)-1))^(6-1),0)+IF(AND(6-2&gt;=0,6-2&lt;Inputs!$C$22),D6*(1+(Inputs!$C$21^(1/Inputs!$C$22)-1))^(6-2),0)+IF(AND(6-3&gt;=0,6-3&lt;Inputs!$C$22),E6*(1+(Inputs!$C$21^(1/Inputs!$C$22)-1))^(6-3),0)+IF(AND(6-4&gt;=0,6-4&lt;Inputs!$C$22),F6*(1+(Inputs!$C$21^(1/Inputs!$C$22)-1))^(6-4),0)+IF(AND(6-5&gt;=0,6-5&lt;Inputs!$C$22),G6*(1+(Inputs!$C$21^(1/Inputs!$C$22)-1))^(6-5),0)</f>
        <v/>
      </c>
      <c r="I9" s="12">
        <f>IF(AND(7-1&gt;=0,7-1&lt;Inputs!$C$22),C6*(1+(Inputs!$C$21^(1/Inputs!$C$22)-1))^(7-1),0)+IF(AND(7-2&gt;=0,7-2&lt;Inputs!$C$22),D6*(1+(Inputs!$C$21^(1/Inputs!$C$22)-1))^(7-2),0)+IF(AND(7-3&gt;=0,7-3&lt;Inputs!$C$22),E6*(1+(Inputs!$C$21^(1/Inputs!$C$22)-1))^(7-3),0)+IF(AND(7-4&gt;=0,7-4&lt;Inputs!$C$22),F6*(1+(Inputs!$C$21^(1/Inputs!$C$22)-1))^(7-4),0)+IF(AND(7-5&gt;=0,7-5&lt;Inputs!$C$22),G6*(1+(Inputs!$C$21^(1/Inputs!$C$22)-1))^(7-5),0)</f>
        <v/>
      </c>
      <c r="J9" s="12">
        <f>IF(AND(8-1&gt;=0,8-1&lt;Inputs!$C$22),C6*(1+(Inputs!$C$21^(1/Inputs!$C$22)-1))^(8-1),0)+IF(AND(8-2&gt;=0,8-2&lt;Inputs!$C$22),D6*(1+(Inputs!$C$21^(1/Inputs!$C$22)-1))^(8-2),0)+IF(AND(8-3&gt;=0,8-3&lt;Inputs!$C$22),E6*(1+(Inputs!$C$21^(1/Inputs!$C$22)-1))^(8-3),0)+IF(AND(8-4&gt;=0,8-4&lt;Inputs!$C$22),F6*(1+(Inputs!$C$21^(1/Inputs!$C$22)-1))^(8-4),0)+IF(AND(8-5&gt;=0,8-5&lt;Inputs!$C$22),G6*(1+(Inputs!$C$21^(1/Inputs!$C$22)-1))^(8-5),0)</f>
        <v/>
      </c>
      <c r="K9" s="12">
        <f>IF(AND(9-1&gt;=0,9-1&lt;Inputs!$C$22),C6*(1+(Inputs!$C$21^(1/Inputs!$C$22)-1))^(9-1),0)+IF(AND(9-2&gt;=0,9-2&lt;Inputs!$C$22),D6*(1+(Inputs!$C$21^(1/Inputs!$C$22)-1))^(9-2),0)+IF(AND(9-3&gt;=0,9-3&lt;Inputs!$C$22),E6*(1+(Inputs!$C$21^(1/Inputs!$C$22)-1))^(9-3),0)+IF(AND(9-4&gt;=0,9-4&lt;Inputs!$C$22),F6*(1+(Inputs!$C$21^(1/Inputs!$C$22)-1))^(9-4),0)+IF(AND(9-5&gt;=0,9-5&lt;Inputs!$C$22),G6*(1+(Inputs!$C$21^(1/Inputs!$C$22)-1))^(9-5),0)</f>
        <v/>
      </c>
      <c r="L9" s="12">
        <f>IF(AND(10-1&gt;=0,10-1&lt;Inputs!$C$22),C6*(1+(Inputs!$C$21^(1/Inputs!$C$22)-1))^(10-1),0)+IF(AND(10-2&gt;=0,10-2&lt;Inputs!$C$22),D6*(1+(Inputs!$C$21^(1/Inputs!$C$22)-1))^(10-2),0)+IF(AND(10-3&gt;=0,10-3&lt;Inputs!$C$22),E6*(1+(Inputs!$C$21^(1/Inputs!$C$22)-1))^(10-3),0)+IF(AND(10-4&gt;=0,10-4&lt;Inputs!$C$22),F6*(1+(Inputs!$C$21^(1/Inputs!$C$22)-1))^(10-4),0)+IF(AND(10-5&gt;=0,10-5&lt;Inputs!$C$22),G6*(1+(Inputs!$C$21^(1/Inputs!$C$22)-1))^(10-5),0)</f>
        <v/>
      </c>
      <c r="M9" s="12">
        <f>IF(AND(11-1&gt;=0,11-1&lt;Inputs!$C$22),C6*(1+(Inputs!$C$21^(1/Inputs!$C$22)-1))^(11-1),0)+IF(AND(11-2&gt;=0,11-2&lt;Inputs!$C$22),D6*(1+(Inputs!$C$21^(1/Inputs!$C$22)-1))^(11-2),0)+IF(AND(11-3&gt;=0,11-3&lt;Inputs!$C$22),E6*(1+(Inputs!$C$21^(1/Inputs!$C$22)-1))^(11-3),0)+IF(AND(11-4&gt;=0,11-4&lt;Inputs!$C$22),F6*(1+(Inputs!$C$21^(1/Inputs!$C$22)-1))^(11-4),0)+IF(AND(11-5&gt;=0,11-5&lt;Inputs!$C$22),G6*(1+(Inputs!$C$21^(1/Inputs!$C$22)-1))^(11-5),0)</f>
        <v/>
      </c>
      <c r="N9" s="12">
        <f>IF(AND(12-1&gt;=0,12-1&lt;Inputs!$C$22),C6*(1+(Inputs!$C$21^(1/Inputs!$C$22)-1))^(12-1),0)+IF(AND(12-2&gt;=0,12-2&lt;Inputs!$C$22),D6*(1+(Inputs!$C$21^(1/Inputs!$C$22)-1))^(12-2),0)+IF(AND(12-3&gt;=0,12-3&lt;Inputs!$C$22),E6*(1+(Inputs!$C$21^(1/Inputs!$C$22)-1))^(12-3),0)+IF(AND(12-4&gt;=0,12-4&lt;Inputs!$C$22),F6*(1+(Inputs!$C$21^(1/Inputs!$C$22)-1))^(12-4),0)+IF(AND(12-5&gt;=0,12-5&lt;Inputs!$C$22),G6*(1+(Inputs!$C$21^(1/Inputs!$C$22)-1))^(12-5),0)</f>
        <v/>
      </c>
    </row>
    <row r="10">
      <c r="B10" s="2" t="inlineStr">
        <is>
          <t>Gross proceeds</t>
        </is>
      </c>
      <c r="C10" s="12">
        <f>IF(1-1=Inputs!$C$22,C6*Inputs!$C$21,0)+IF(1-2=Inputs!$C$22,D6*Inputs!$C$21,0)+IF(1-3=Inputs!$C$22,E6*Inputs!$C$21,0)+IF(1-4=Inputs!$C$22,F6*Inputs!$C$21,0)+IF(1-5=Inputs!$C$22,G6*Inputs!$C$21,0)</f>
        <v/>
      </c>
      <c r="D10" s="12">
        <f>IF(2-1=Inputs!$C$22,C6*Inputs!$C$21,0)+IF(2-2=Inputs!$C$22,D6*Inputs!$C$21,0)+IF(2-3=Inputs!$C$22,E6*Inputs!$C$21,0)+IF(2-4=Inputs!$C$22,F6*Inputs!$C$21,0)+IF(2-5=Inputs!$C$22,G6*Inputs!$C$21,0)</f>
        <v/>
      </c>
      <c r="E10" s="12">
        <f>IF(3-1=Inputs!$C$22,C6*Inputs!$C$21,0)+IF(3-2=Inputs!$C$22,D6*Inputs!$C$21,0)+IF(3-3=Inputs!$C$22,E6*Inputs!$C$21,0)+IF(3-4=Inputs!$C$22,F6*Inputs!$C$21,0)+IF(3-5=Inputs!$C$22,G6*Inputs!$C$21,0)</f>
        <v/>
      </c>
      <c r="F10" s="12">
        <f>IF(4-1=Inputs!$C$22,C6*Inputs!$C$21,0)+IF(4-2=Inputs!$C$22,D6*Inputs!$C$21,0)+IF(4-3=Inputs!$C$22,E6*Inputs!$C$21,0)+IF(4-4=Inputs!$C$22,F6*Inputs!$C$21,0)+IF(4-5=Inputs!$C$22,G6*Inputs!$C$21,0)</f>
        <v/>
      </c>
      <c r="G10" s="12">
        <f>IF(5-1=Inputs!$C$22,C6*Inputs!$C$21,0)+IF(5-2=Inputs!$C$22,D6*Inputs!$C$21,0)+IF(5-3=Inputs!$C$22,E6*Inputs!$C$21,0)+IF(5-4=Inputs!$C$22,F6*Inputs!$C$21,0)+IF(5-5=Inputs!$C$22,G6*Inputs!$C$21,0)</f>
        <v/>
      </c>
      <c r="H10" s="12">
        <f>IF(6-1=Inputs!$C$22,C6*Inputs!$C$21,0)+IF(6-2=Inputs!$C$22,D6*Inputs!$C$21,0)+IF(6-3=Inputs!$C$22,E6*Inputs!$C$21,0)+IF(6-4=Inputs!$C$22,F6*Inputs!$C$21,0)+IF(6-5=Inputs!$C$22,G6*Inputs!$C$21,0)</f>
        <v/>
      </c>
      <c r="I10" s="12">
        <f>IF(7-1=Inputs!$C$22,C6*Inputs!$C$21,0)+IF(7-2=Inputs!$C$22,D6*Inputs!$C$21,0)+IF(7-3=Inputs!$C$22,E6*Inputs!$C$21,0)+IF(7-4=Inputs!$C$22,F6*Inputs!$C$21,0)+IF(7-5=Inputs!$C$22,G6*Inputs!$C$21,0)</f>
        <v/>
      </c>
      <c r="J10" s="12">
        <f>IF(8-1=Inputs!$C$22,C6*Inputs!$C$21,0)+IF(8-2=Inputs!$C$22,D6*Inputs!$C$21,0)+IF(8-3=Inputs!$C$22,E6*Inputs!$C$21,0)+IF(8-4=Inputs!$C$22,F6*Inputs!$C$21,0)+IF(8-5=Inputs!$C$22,G6*Inputs!$C$21,0)</f>
        <v/>
      </c>
      <c r="K10" s="12">
        <f>IF(9-1=Inputs!$C$22,C6*Inputs!$C$21,0)+IF(9-2=Inputs!$C$22,D6*Inputs!$C$21,0)+IF(9-3=Inputs!$C$22,E6*Inputs!$C$21,0)+IF(9-4=Inputs!$C$22,F6*Inputs!$C$21,0)+IF(9-5=Inputs!$C$22,G6*Inputs!$C$21,0)</f>
        <v/>
      </c>
      <c r="L10" s="12">
        <f>IF(10-1=Inputs!$C$22,C6*Inputs!$C$21,0)+IF(10-2=Inputs!$C$22,D6*Inputs!$C$21,0)+IF(10-3=Inputs!$C$22,E6*Inputs!$C$21,0)+IF(10-4=Inputs!$C$22,F6*Inputs!$C$21,0)+IF(10-5=Inputs!$C$22,G6*Inputs!$C$21,0)</f>
        <v/>
      </c>
      <c r="M10" s="12">
        <f>IF(11-1=Inputs!$C$22,C6*Inputs!$C$21,0)+IF(11-2=Inputs!$C$22,D6*Inputs!$C$21,0)+IF(11-3=Inputs!$C$22,E6*Inputs!$C$21,0)+IF(11-4=Inputs!$C$22,F6*Inputs!$C$21,0)+IF(11-5=Inputs!$C$22,G6*Inputs!$C$21,0)</f>
        <v/>
      </c>
      <c r="N10" s="12">
        <f>IF(12-1=Inputs!$C$22,C6*Inputs!$C$21,0)+IF(12-2=Inputs!$C$22,D6*Inputs!$C$21,0)+IF(12-3=Inputs!$C$22,E6*Inputs!$C$21,0)+IF(12-4=Inputs!$C$22,F6*Inputs!$C$21,0)+IF(12-5=Inputs!$C$22,G6*Inputs!$C$21,0)</f>
        <v/>
      </c>
      <c r="O10" s="13">
        <f>SUM(C10:N10)</f>
        <v/>
      </c>
    </row>
    <row r="11">
      <c r="B11" s="2" t="inlineStr">
        <is>
          <t>Capital account, opening</t>
        </is>
      </c>
      <c r="C11" s="12" t="n">
        <v>0</v>
      </c>
      <c r="D11" s="12">
        <f>C23</f>
        <v/>
      </c>
      <c r="E11" s="12">
        <f>D23</f>
        <v/>
      </c>
      <c r="F11" s="12">
        <f>E23</f>
        <v/>
      </c>
      <c r="G11" s="12">
        <f>F23</f>
        <v/>
      </c>
      <c r="H11" s="12">
        <f>G23</f>
        <v/>
      </c>
      <c r="I11" s="12">
        <f>H23</f>
        <v/>
      </c>
      <c r="J11" s="12">
        <f>I23</f>
        <v/>
      </c>
      <c r="K11" s="12">
        <f>J23</f>
        <v/>
      </c>
      <c r="L11" s="12">
        <f>K23</f>
        <v/>
      </c>
      <c r="M11" s="12">
        <f>L23</f>
        <v/>
      </c>
      <c r="N11" s="12">
        <f>M23</f>
        <v/>
      </c>
    </row>
    <row r="12">
      <c r="B12" s="2" t="inlineStr">
        <is>
          <t>Unpaid preferred return, opening</t>
        </is>
      </c>
      <c r="C12" s="12" t="n">
        <v>0</v>
      </c>
      <c r="D12" s="12">
        <f>C24</f>
        <v/>
      </c>
      <c r="E12" s="12">
        <f>D24</f>
        <v/>
      </c>
      <c r="F12" s="12">
        <f>E24</f>
        <v/>
      </c>
      <c r="G12" s="12">
        <f>F24</f>
        <v/>
      </c>
      <c r="H12" s="12">
        <f>G24</f>
        <v/>
      </c>
      <c r="I12" s="12">
        <f>H24</f>
        <v/>
      </c>
      <c r="J12" s="12">
        <f>I24</f>
        <v/>
      </c>
      <c r="K12" s="12">
        <f>J24</f>
        <v/>
      </c>
      <c r="L12" s="12">
        <f>K24</f>
        <v/>
      </c>
      <c r="M12" s="12">
        <f>L24</f>
        <v/>
      </c>
      <c r="N12" s="12">
        <f>M24</f>
        <v/>
      </c>
    </row>
    <row r="13">
      <c r="B13" s="2" t="inlineStr">
        <is>
          <t>Preferred return accrued</t>
        </is>
      </c>
      <c r="C13" s="12" t="n">
        <v>0</v>
      </c>
      <c r="D13" s="12">
        <f>Inputs!$C$23*(D11+D12)</f>
        <v/>
      </c>
      <c r="E13" s="12">
        <f>Inputs!$C$23*(E11+E12)</f>
        <v/>
      </c>
      <c r="F13" s="12">
        <f>Inputs!$C$23*(F11+F12)</f>
        <v/>
      </c>
      <c r="G13" s="12">
        <f>Inputs!$C$23*(G11+G12)</f>
        <v/>
      </c>
      <c r="H13" s="12">
        <f>Inputs!$C$23*(H11+H12)</f>
        <v/>
      </c>
      <c r="I13" s="12">
        <f>Inputs!$C$23*(I11+I12)</f>
        <v/>
      </c>
      <c r="J13" s="12">
        <f>Inputs!$C$23*(J11+J12)</f>
        <v/>
      </c>
      <c r="K13" s="12">
        <f>Inputs!$C$23*(K11+K12)</f>
        <v/>
      </c>
      <c r="L13" s="12">
        <f>Inputs!$C$23*(L11+L12)</f>
        <v/>
      </c>
      <c r="M13" s="12">
        <f>Inputs!$C$23*(M11+M12)</f>
        <v/>
      </c>
      <c r="N13" s="12">
        <f>Inputs!$C$23*(N11+N12)</f>
        <v/>
      </c>
    </row>
    <row r="14">
      <c r="B14" s="2" t="inlineStr">
        <is>
          <t>Capital before distribution</t>
        </is>
      </c>
      <c r="C14" s="12">
        <f>C11+C8</f>
        <v/>
      </c>
      <c r="D14" s="12">
        <f>D11+D8</f>
        <v/>
      </c>
      <c r="E14" s="12">
        <f>E11+E8</f>
        <v/>
      </c>
      <c r="F14" s="12">
        <f>F11+F8</f>
        <v/>
      </c>
      <c r="G14" s="12">
        <f>G11+G8</f>
        <v/>
      </c>
      <c r="H14" s="12">
        <f>H11+H8</f>
        <v/>
      </c>
      <c r="I14" s="12">
        <f>I11+I8</f>
        <v/>
      </c>
      <c r="J14" s="12">
        <f>J11+J8</f>
        <v/>
      </c>
      <c r="K14" s="12">
        <f>K11+K8</f>
        <v/>
      </c>
      <c r="L14" s="12">
        <f>L11+L8</f>
        <v/>
      </c>
      <c r="M14" s="12">
        <f>M11+M8</f>
        <v/>
      </c>
      <c r="N14" s="12">
        <f>N11+N8</f>
        <v/>
      </c>
    </row>
    <row r="15">
      <c r="B15" s="2" t="inlineStr">
        <is>
          <t>Preferred return before distribution</t>
        </is>
      </c>
      <c r="C15" s="12">
        <f>C12+C13</f>
        <v/>
      </c>
      <c r="D15" s="12">
        <f>D12+D13</f>
        <v/>
      </c>
      <c r="E15" s="12">
        <f>E12+E13</f>
        <v/>
      </c>
      <c r="F15" s="12">
        <f>F12+F13</f>
        <v/>
      </c>
      <c r="G15" s="12">
        <f>G12+G13</f>
        <v/>
      </c>
      <c r="H15" s="12">
        <f>H12+H13</f>
        <v/>
      </c>
      <c r="I15" s="12">
        <f>I12+I13</f>
        <v/>
      </c>
      <c r="J15" s="12">
        <f>J12+J13</f>
        <v/>
      </c>
      <c r="K15" s="12">
        <f>K12+K13</f>
        <v/>
      </c>
      <c r="L15" s="12">
        <f>L12+L13</f>
        <v/>
      </c>
      <c r="M15" s="12">
        <f>M12+M13</f>
        <v/>
      </c>
      <c r="N15" s="12">
        <f>N12+N13</f>
        <v/>
      </c>
    </row>
    <row r="16">
      <c r="B16" s="2" t="inlineStr">
        <is>
          <t>1. Return of capital</t>
        </is>
      </c>
      <c r="C16" s="12">
        <f>MIN(C10,C14)</f>
        <v/>
      </c>
      <c r="D16" s="12">
        <f>MIN(D10,D14)</f>
        <v/>
      </c>
      <c r="E16" s="12">
        <f>MIN(E10,E14)</f>
        <v/>
      </c>
      <c r="F16" s="12">
        <f>MIN(F10,F14)</f>
        <v/>
      </c>
      <c r="G16" s="12">
        <f>MIN(G10,G14)</f>
        <v/>
      </c>
      <c r="H16" s="12">
        <f>MIN(H10,H14)</f>
        <v/>
      </c>
      <c r="I16" s="12">
        <f>MIN(I10,I14)</f>
        <v/>
      </c>
      <c r="J16" s="12">
        <f>MIN(J10,J14)</f>
        <v/>
      </c>
      <c r="K16" s="12">
        <f>MIN(K10,K14)</f>
        <v/>
      </c>
      <c r="L16" s="12">
        <f>MIN(L10,L14)</f>
        <v/>
      </c>
      <c r="M16" s="12">
        <f>MIN(M10,M14)</f>
        <v/>
      </c>
      <c r="N16" s="12">
        <f>MIN(N10,N14)</f>
        <v/>
      </c>
    </row>
    <row r="17">
      <c r="B17" s="2" t="inlineStr">
        <is>
          <t>2. Preferred return</t>
        </is>
      </c>
      <c r="C17" s="12">
        <f>MIN(C10-C16,C15)</f>
        <v/>
      </c>
      <c r="D17" s="12">
        <f>MIN(D10-D16,D15)</f>
        <v/>
      </c>
      <c r="E17" s="12">
        <f>MIN(E10-E16,E15)</f>
        <v/>
      </c>
      <c r="F17" s="12">
        <f>MIN(F10-F16,F15)</f>
        <v/>
      </c>
      <c r="G17" s="12">
        <f>MIN(G10-G16,G15)</f>
        <v/>
      </c>
      <c r="H17" s="12">
        <f>MIN(H10-H16,H15)</f>
        <v/>
      </c>
      <c r="I17" s="12">
        <f>MIN(I10-I16,I15)</f>
        <v/>
      </c>
      <c r="J17" s="12">
        <f>MIN(J10-J16,J15)</f>
        <v/>
      </c>
      <c r="K17" s="12">
        <f>MIN(K10-K16,K15)</f>
        <v/>
      </c>
      <c r="L17" s="12">
        <f>MIN(L10-L16,L15)</f>
        <v/>
      </c>
      <c r="M17" s="12">
        <f>MIN(M10-M16,M15)</f>
        <v/>
      </c>
      <c r="N17" s="12">
        <f>MIN(N10-N16,N15)</f>
        <v/>
      </c>
    </row>
    <row r="18">
      <c r="B18" s="2" t="inlineStr">
        <is>
          <t>3. GP catch-up</t>
        </is>
      </c>
      <c r="C18" s="12">
        <f>MIN(C10-C16-C17,MAX(0,(Inputs!$C$24/(1-Inputs!$C$24))*(0+C17)-0))</f>
        <v/>
      </c>
      <c r="D18" s="12">
        <f>MIN(D10-D16-D17,MAX(0,(Inputs!$C$24/(1-Inputs!$C$24))*(C25+D17)-C26))</f>
        <v/>
      </c>
      <c r="E18" s="12">
        <f>MIN(E10-E16-E17,MAX(0,(Inputs!$C$24/(1-Inputs!$C$24))*(D25+E17)-D26))</f>
        <v/>
      </c>
      <c r="F18" s="12">
        <f>MIN(F10-F16-F17,MAX(0,(Inputs!$C$24/(1-Inputs!$C$24))*(E25+F17)-E26))</f>
        <v/>
      </c>
      <c r="G18" s="12">
        <f>MIN(G10-G16-G17,MAX(0,(Inputs!$C$24/(1-Inputs!$C$24))*(F25+G17)-F26))</f>
        <v/>
      </c>
      <c r="H18" s="12">
        <f>MIN(H10-H16-H17,MAX(0,(Inputs!$C$24/(1-Inputs!$C$24))*(G25+H17)-G26))</f>
        <v/>
      </c>
      <c r="I18" s="12">
        <f>MIN(I10-I16-I17,MAX(0,(Inputs!$C$24/(1-Inputs!$C$24))*(H25+I17)-H26))</f>
        <v/>
      </c>
      <c r="J18" s="12">
        <f>MIN(J10-J16-J17,MAX(0,(Inputs!$C$24/(1-Inputs!$C$24))*(I25+J17)-I26))</f>
        <v/>
      </c>
      <c r="K18" s="12">
        <f>MIN(K10-K16-K17,MAX(0,(Inputs!$C$24/(1-Inputs!$C$24))*(J25+K17)-J26))</f>
        <v/>
      </c>
      <c r="L18" s="12">
        <f>MIN(L10-L16-L17,MAX(0,(Inputs!$C$24/(1-Inputs!$C$24))*(K25+L17)-K26))</f>
        <v/>
      </c>
      <c r="M18" s="12">
        <f>MIN(M10-M16-M17,MAX(0,(Inputs!$C$24/(1-Inputs!$C$24))*(L25+M17)-L26))</f>
        <v/>
      </c>
      <c r="N18" s="12">
        <f>MIN(N10-N16-N17,MAX(0,(Inputs!$C$24/(1-Inputs!$C$24))*(M25+N17)-M26))</f>
        <v/>
      </c>
    </row>
    <row r="19">
      <c r="B19" s="2" t="inlineStr">
        <is>
          <t>4. Residual split, to GP</t>
        </is>
      </c>
      <c r="C19" s="12">
        <f>Inputs!$C$24*(C10-C16-C17-C18)</f>
        <v/>
      </c>
      <c r="D19" s="12">
        <f>Inputs!$C$24*(D10-D16-D17-D18)</f>
        <v/>
      </c>
      <c r="E19" s="12">
        <f>Inputs!$C$24*(E10-E16-E17-E18)</f>
        <v/>
      </c>
      <c r="F19" s="12">
        <f>Inputs!$C$24*(F10-F16-F17-F18)</f>
        <v/>
      </c>
      <c r="G19" s="12">
        <f>Inputs!$C$24*(G10-G16-G17-G18)</f>
        <v/>
      </c>
      <c r="H19" s="12">
        <f>Inputs!$C$24*(H10-H16-H17-H18)</f>
        <v/>
      </c>
      <c r="I19" s="12">
        <f>Inputs!$C$24*(I10-I16-I17-I18)</f>
        <v/>
      </c>
      <c r="J19" s="12">
        <f>Inputs!$C$24*(J10-J16-J17-J18)</f>
        <v/>
      </c>
      <c r="K19" s="12">
        <f>Inputs!$C$24*(K10-K16-K17-K18)</f>
        <v/>
      </c>
      <c r="L19" s="12">
        <f>Inputs!$C$24*(L10-L16-L17-L18)</f>
        <v/>
      </c>
      <c r="M19" s="12">
        <f>Inputs!$C$24*(M10-M16-M17-M18)</f>
        <v/>
      </c>
      <c r="N19" s="12">
        <f>Inputs!$C$24*(N10-N16-N17-N18)</f>
        <v/>
      </c>
    </row>
    <row r="20">
      <c r="B20" s="2" t="inlineStr">
        <is>
          <t>4. Residual split, to LP</t>
        </is>
      </c>
      <c r="C20" s="12">
        <f>(1-Inputs!$C$24)*(C10-C16-C17-C18)</f>
        <v/>
      </c>
      <c r="D20" s="12">
        <f>(1-Inputs!$C$24)*(D10-D16-D17-D18)</f>
        <v/>
      </c>
      <c r="E20" s="12">
        <f>(1-Inputs!$C$24)*(E10-E16-E17-E18)</f>
        <v/>
      </c>
      <c r="F20" s="12">
        <f>(1-Inputs!$C$24)*(F10-F16-F17-F18)</f>
        <v/>
      </c>
      <c r="G20" s="12">
        <f>(1-Inputs!$C$24)*(G10-G16-G17-G18)</f>
        <v/>
      </c>
      <c r="H20" s="12">
        <f>(1-Inputs!$C$24)*(H10-H16-H17-H18)</f>
        <v/>
      </c>
      <c r="I20" s="12">
        <f>(1-Inputs!$C$24)*(I10-I16-I17-I18)</f>
        <v/>
      </c>
      <c r="J20" s="12">
        <f>(1-Inputs!$C$24)*(J10-J16-J17-J18)</f>
        <v/>
      </c>
      <c r="K20" s="12">
        <f>(1-Inputs!$C$24)*(K10-K16-K17-K18)</f>
        <v/>
      </c>
      <c r="L20" s="12">
        <f>(1-Inputs!$C$24)*(L10-L16-L17-L18)</f>
        <v/>
      </c>
      <c r="M20" s="12">
        <f>(1-Inputs!$C$24)*(M10-M16-M17-M18)</f>
        <v/>
      </c>
      <c r="N20" s="12">
        <f>(1-Inputs!$C$24)*(N10-N16-N17-N18)</f>
        <v/>
      </c>
    </row>
    <row r="21">
      <c r="B21" s="5" t="inlineStr">
        <is>
          <t>Distributed to the LP</t>
        </is>
      </c>
      <c r="C21" s="12">
        <f>C16+C17+C20</f>
        <v/>
      </c>
      <c r="D21" s="12">
        <f>D16+D17+D20</f>
        <v/>
      </c>
      <c r="E21" s="12">
        <f>E16+E17+E20</f>
        <v/>
      </c>
      <c r="F21" s="12">
        <f>F16+F17+F20</f>
        <v/>
      </c>
      <c r="G21" s="12">
        <f>G16+G17+G20</f>
        <v/>
      </c>
      <c r="H21" s="12">
        <f>H16+H17+H20</f>
        <v/>
      </c>
      <c r="I21" s="12">
        <f>I16+I17+I20</f>
        <v/>
      </c>
      <c r="J21" s="12">
        <f>J16+J17+J20</f>
        <v/>
      </c>
      <c r="K21" s="12">
        <f>K16+K17+K20</f>
        <v/>
      </c>
      <c r="L21" s="12">
        <f>L16+L17+L20</f>
        <v/>
      </c>
      <c r="M21" s="12">
        <f>M16+M17+M20</f>
        <v/>
      </c>
      <c r="N21" s="12">
        <f>N16+N17+N20</f>
        <v/>
      </c>
      <c r="O21" s="13">
        <f>SUM(C21:N21)</f>
        <v/>
      </c>
    </row>
    <row r="22">
      <c r="B22" s="2" t="inlineStr">
        <is>
          <t>Carried interest to the GP</t>
        </is>
      </c>
      <c r="C22" s="12">
        <f>C18+C19</f>
        <v/>
      </c>
      <c r="D22" s="12">
        <f>D18+D19</f>
        <v/>
      </c>
      <c r="E22" s="12">
        <f>E18+E19</f>
        <v/>
      </c>
      <c r="F22" s="12">
        <f>F18+F19</f>
        <v/>
      </c>
      <c r="G22" s="12">
        <f>G18+G19</f>
        <v/>
      </c>
      <c r="H22" s="12">
        <f>H18+H19</f>
        <v/>
      </c>
      <c r="I22" s="12">
        <f>I18+I19</f>
        <v/>
      </c>
      <c r="J22" s="12">
        <f>J18+J19</f>
        <v/>
      </c>
      <c r="K22" s="12">
        <f>K18+K19</f>
        <v/>
      </c>
      <c r="L22" s="12">
        <f>L18+L19</f>
        <v/>
      </c>
      <c r="M22" s="12">
        <f>M18+M19</f>
        <v/>
      </c>
      <c r="N22" s="12">
        <f>N18+N19</f>
        <v/>
      </c>
      <c r="O22" s="13">
        <f>SUM(C22:N22)</f>
        <v/>
      </c>
    </row>
    <row r="23">
      <c r="B23" s="2" t="inlineStr">
        <is>
          <t>Capital account, closing</t>
        </is>
      </c>
      <c r="C23" s="12">
        <f>C14-C16</f>
        <v/>
      </c>
      <c r="D23" s="12">
        <f>D14-D16</f>
        <v/>
      </c>
      <c r="E23" s="12">
        <f>E14-E16</f>
        <v/>
      </c>
      <c r="F23" s="12">
        <f>F14-F16</f>
        <v/>
      </c>
      <c r="G23" s="12">
        <f>G14-G16</f>
        <v/>
      </c>
      <c r="H23" s="12">
        <f>H14-H16</f>
        <v/>
      </c>
      <c r="I23" s="12">
        <f>I14-I16</f>
        <v/>
      </c>
      <c r="J23" s="12">
        <f>J14-J16</f>
        <v/>
      </c>
      <c r="K23" s="12">
        <f>K14-K16</f>
        <v/>
      </c>
      <c r="L23" s="12">
        <f>L14-L16</f>
        <v/>
      </c>
      <c r="M23" s="12">
        <f>M14-M16</f>
        <v/>
      </c>
      <c r="N23" s="12">
        <f>N14-N16</f>
        <v/>
      </c>
    </row>
    <row r="24">
      <c r="B24" s="2" t="inlineStr">
        <is>
          <t>Unpaid preferred return, closing</t>
        </is>
      </c>
      <c r="C24" s="12">
        <f>C15-C17</f>
        <v/>
      </c>
      <c r="D24" s="12">
        <f>D15-D17</f>
        <v/>
      </c>
      <c r="E24" s="12">
        <f>E15-E17</f>
        <v/>
      </c>
      <c r="F24" s="12">
        <f>F15-F17</f>
        <v/>
      </c>
      <c r="G24" s="12">
        <f>G15-G17</f>
        <v/>
      </c>
      <c r="H24" s="12">
        <f>H15-H17</f>
        <v/>
      </c>
      <c r="I24" s="12">
        <f>I15-I17</f>
        <v/>
      </c>
      <c r="J24" s="12">
        <f>J15-J17</f>
        <v/>
      </c>
      <c r="K24" s="12">
        <f>K15-K17</f>
        <v/>
      </c>
      <c r="L24" s="12">
        <f>L15-L17</f>
        <v/>
      </c>
      <c r="M24" s="12">
        <f>M15-M17</f>
        <v/>
      </c>
      <c r="N24" s="12">
        <f>N15-N17</f>
        <v/>
      </c>
    </row>
    <row r="25">
      <c r="B25" s="2" t="inlineStr">
        <is>
          <t>LP profit, cumulative</t>
        </is>
      </c>
      <c r="C25" s="12">
        <f>0+C17+C20</f>
        <v/>
      </c>
      <c r="D25" s="12">
        <f>C25+D17+D20</f>
        <v/>
      </c>
      <c r="E25" s="12">
        <f>D25+E17+E20</f>
        <v/>
      </c>
      <c r="F25" s="12">
        <f>E25+F17+F20</f>
        <v/>
      </c>
      <c r="G25" s="12">
        <f>F25+G17+G20</f>
        <v/>
      </c>
      <c r="H25" s="12">
        <f>G25+H17+H20</f>
        <v/>
      </c>
      <c r="I25" s="12">
        <f>H25+I17+I20</f>
        <v/>
      </c>
      <c r="J25" s="12">
        <f>I25+J17+J20</f>
        <v/>
      </c>
      <c r="K25" s="12">
        <f>J25+K17+K20</f>
        <v/>
      </c>
      <c r="L25" s="12">
        <f>K25+L17+L20</f>
        <v/>
      </c>
      <c r="M25" s="12">
        <f>L25+M17+M20</f>
        <v/>
      </c>
      <c r="N25" s="12">
        <f>M25+N17+N20</f>
        <v/>
      </c>
    </row>
    <row r="26">
      <c r="B26" s="2" t="inlineStr">
        <is>
          <t>GP carry, cumulative</t>
        </is>
      </c>
      <c r="C26" s="12">
        <f>0+C22</f>
        <v/>
      </c>
      <c r="D26" s="12">
        <f>C26+D22</f>
        <v/>
      </c>
      <c r="E26" s="12">
        <f>D26+E22</f>
        <v/>
      </c>
      <c r="F26" s="12">
        <f>E26+F22</f>
        <v/>
      </c>
      <c r="G26" s="12">
        <f>F26+G22</f>
        <v/>
      </c>
      <c r="H26" s="12">
        <f>G26+H22</f>
        <v/>
      </c>
      <c r="I26" s="12">
        <f>H26+I22</f>
        <v/>
      </c>
      <c r="J26" s="12">
        <f>I26+J22</f>
        <v/>
      </c>
      <c r="K26" s="12">
        <f>J26+K22</f>
        <v/>
      </c>
      <c r="L26" s="12">
        <f>K26+L22</f>
        <v/>
      </c>
      <c r="M26" s="12">
        <f>L26+M22</f>
        <v/>
      </c>
      <c r="N26" s="12">
        <f>M26+N22</f>
        <v/>
      </c>
    </row>
    <row r="27">
      <c r="B27" s="2" t="inlineStr">
        <is>
          <t>Hypothetical: return of capital on NAV</t>
        </is>
      </c>
      <c r="C27" s="12">
        <f>MIN(C9,C23)</f>
        <v/>
      </c>
      <c r="D27" s="12">
        <f>MIN(D9,D23)</f>
        <v/>
      </c>
      <c r="E27" s="12">
        <f>MIN(E9,E23)</f>
        <v/>
      </c>
      <c r="F27" s="12">
        <f>MIN(F9,F23)</f>
        <v/>
      </c>
      <c r="G27" s="12">
        <f>MIN(G9,G23)</f>
        <v/>
      </c>
      <c r="H27" s="12">
        <f>MIN(H9,H23)</f>
        <v/>
      </c>
      <c r="I27" s="12">
        <f>MIN(I9,I23)</f>
        <v/>
      </c>
      <c r="J27" s="12">
        <f>MIN(J9,J23)</f>
        <v/>
      </c>
      <c r="K27" s="12">
        <f>MIN(K9,K23)</f>
        <v/>
      </c>
      <c r="L27" s="12">
        <f>MIN(L9,L23)</f>
        <v/>
      </c>
      <c r="M27" s="12">
        <f>MIN(M9,M23)</f>
        <v/>
      </c>
      <c r="N27" s="12">
        <f>MIN(N9,N23)</f>
        <v/>
      </c>
    </row>
    <row r="28">
      <c r="B28" s="2" t="inlineStr">
        <is>
          <t>Hypothetical: preferred return</t>
        </is>
      </c>
      <c r="C28" s="12">
        <f>MIN(C9-C27,C24)</f>
        <v/>
      </c>
      <c r="D28" s="12">
        <f>MIN(D9-D27,D24)</f>
        <v/>
      </c>
      <c r="E28" s="12">
        <f>MIN(E9-E27,E24)</f>
        <v/>
      </c>
      <c r="F28" s="12">
        <f>MIN(F9-F27,F24)</f>
        <v/>
      </c>
      <c r="G28" s="12">
        <f>MIN(G9-G27,G24)</f>
        <v/>
      </c>
      <c r="H28" s="12">
        <f>MIN(H9-H27,H24)</f>
        <v/>
      </c>
      <c r="I28" s="12">
        <f>MIN(I9-I27,I24)</f>
        <v/>
      </c>
      <c r="J28" s="12">
        <f>MIN(J9-J27,J24)</f>
        <v/>
      </c>
      <c r="K28" s="12">
        <f>MIN(K9-K27,K24)</f>
        <v/>
      </c>
      <c r="L28" s="12">
        <f>MIN(L9-L27,L24)</f>
        <v/>
      </c>
      <c r="M28" s="12">
        <f>MIN(M9-M27,M24)</f>
        <v/>
      </c>
      <c r="N28" s="12">
        <f>MIN(N9-N27,N24)</f>
        <v/>
      </c>
    </row>
    <row r="29">
      <c r="B29" s="2" t="inlineStr">
        <is>
          <t>Hypothetical: catch-up</t>
        </is>
      </c>
      <c r="C29" s="12">
        <f>MIN(C9-C27-C28,MAX(0,(Inputs!$C$24/(1-Inputs!$C$24))*(C25+C28)-C26))</f>
        <v/>
      </c>
      <c r="D29" s="12">
        <f>MIN(D9-D27-D28,MAX(0,(Inputs!$C$24/(1-Inputs!$C$24))*(D25+D28)-D26))</f>
        <v/>
      </c>
      <c r="E29" s="12">
        <f>MIN(E9-E27-E28,MAX(0,(Inputs!$C$24/(1-Inputs!$C$24))*(E25+E28)-E26))</f>
        <v/>
      </c>
      <c r="F29" s="12">
        <f>MIN(F9-F27-F28,MAX(0,(Inputs!$C$24/(1-Inputs!$C$24))*(F25+F28)-F26))</f>
        <v/>
      </c>
      <c r="G29" s="12">
        <f>MIN(G9-G27-G28,MAX(0,(Inputs!$C$24/(1-Inputs!$C$24))*(G25+G28)-G26))</f>
        <v/>
      </c>
      <c r="H29" s="12">
        <f>MIN(H9-H27-H28,MAX(0,(Inputs!$C$24/(1-Inputs!$C$24))*(H25+H28)-H26))</f>
        <v/>
      </c>
      <c r="I29" s="12">
        <f>MIN(I9-I27-I28,MAX(0,(Inputs!$C$24/(1-Inputs!$C$24))*(I25+I28)-I26))</f>
        <v/>
      </c>
      <c r="J29" s="12">
        <f>MIN(J9-J27-J28,MAX(0,(Inputs!$C$24/(1-Inputs!$C$24))*(J25+J28)-J26))</f>
        <v/>
      </c>
      <c r="K29" s="12">
        <f>MIN(K9-K27-K28,MAX(0,(Inputs!$C$24/(1-Inputs!$C$24))*(K25+K28)-K26))</f>
        <v/>
      </c>
      <c r="L29" s="12">
        <f>MIN(L9-L27-L28,MAX(0,(Inputs!$C$24/(1-Inputs!$C$24))*(L25+L28)-L26))</f>
        <v/>
      </c>
      <c r="M29" s="12">
        <f>MIN(M9-M27-M28,MAX(0,(Inputs!$C$24/(1-Inputs!$C$24))*(M25+M28)-M26))</f>
        <v/>
      </c>
      <c r="N29" s="12">
        <f>MIN(N9-N27-N28,MAX(0,(Inputs!$C$24/(1-Inputs!$C$24))*(N25+N28)-N26))</f>
        <v/>
      </c>
    </row>
    <row r="30">
      <c r="B30" s="2" t="inlineStr">
        <is>
          <t>Hypothetical: residual to GP</t>
        </is>
      </c>
      <c r="C30" s="12">
        <f>Inputs!$C$24*(C9-C27-C28-C29)</f>
        <v/>
      </c>
      <c r="D30" s="12">
        <f>Inputs!$C$24*(D9-D27-D28-D29)</f>
        <v/>
      </c>
      <c r="E30" s="12">
        <f>Inputs!$C$24*(E9-E27-E28-E29)</f>
        <v/>
      </c>
      <c r="F30" s="12">
        <f>Inputs!$C$24*(F9-F27-F28-F29)</f>
        <v/>
      </c>
      <c r="G30" s="12">
        <f>Inputs!$C$24*(G9-G27-G28-G29)</f>
        <v/>
      </c>
      <c r="H30" s="12">
        <f>Inputs!$C$24*(H9-H27-H28-H29)</f>
        <v/>
      </c>
      <c r="I30" s="12">
        <f>Inputs!$C$24*(I9-I27-I28-I29)</f>
        <v/>
      </c>
      <c r="J30" s="12">
        <f>Inputs!$C$24*(J9-J27-J28-J29)</f>
        <v/>
      </c>
      <c r="K30" s="12">
        <f>Inputs!$C$24*(K9-K27-K28-K29)</f>
        <v/>
      </c>
      <c r="L30" s="12">
        <f>Inputs!$C$24*(L9-L27-L28-L29)</f>
        <v/>
      </c>
      <c r="M30" s="12">
        <f>Inputs!$C$24*(M9-M27-M28-M29)</f>
        <v/>
      </c>
      <c r="N30" s="12">
        <f>Inputs!$C$24*(N9-N27-N28-N29)</f>
        <v/>
      </c>
    </row>
    <row r="31">
      <c r="B31" s="2" t="inlineStr">
        <is>
          <t>Accrued carry on NAV</t>
        </is>
      </c>
      <c r="C31" s="12">
        <f>C29+C30</f>
        <v/>
      </c>
      <c r="D31" s="12">
        <f>D29+D30</f>
        <v/>
      </c>
      <c r="E31" s="12">
        <f>E29+E30</f>
        <v/>
      </c>
      <c r="F31" s="12">
        <f>F29+F30</f>
        <v/>
      </c>
      <c r="G31" s="12">
        <f>G29+G30</f>
        <v/>
      </c>
      <c r="H31" s="12">
        <f>H29+H30</f>
        <v/>
      </c>
      <c r="I31" s="12">
        <f>I29+I30</f>
        <v/>
      </c>
      <c r="J31" s="12">
        <f>J29+J30</f>
        <v/>
      </c>
      <c r="K31" s="12">
        <f>K29+K30</f>
        <v/>
      </c>
      <c r="L31" s="12">
        <f>L29+L30</f>
        <v/>
      </c>
      <c r="M31" s="12">
        <f>M29+M30</f>
        <v/>
      </c>
      <c r="N31" s="12">
        <f>N29+N30</f>
        <v/>
      </c>
    </row>
    <row r="32">
      <c r="B32" s="5" t="inlineStr">
        <is>
          <t>Net NAV to the LP</t>
        </is>
      </c>
      <c r="C32" s="12">
        <f>C9-C31</f>
        <v/>
      </c>
      <c r="D32" s="12">
        <f>D9-D31</f>
        <v/>
      </c>
      <c r="E32" s="12">
        <f>E9-E31</f>
        <v/>
      </c>
      <c r="F32" s="12">
        <f>F9-F31</f>
        <v/>
      </c>
      <c r="G32" s="12">
        <f>G9-G31</f>
        <v/>
      </c>
      <c r="H32" s="12">
        <f>H9-H31</f>
        <v/>
      </c>
      <c r="I32" s="12">
        <f>I9-I31</f>
        <v/>
      </c>
      <c r="J32" s="12">
        <f>J9-J31</f>
        <v/>
      </c>
      <c r="K32" s="12">
        <f>K9-K31</f>
        <v/>
      </c>
      <c r="L32" s="12">
        <f>L9-L31</f>
        <v/>
      </c>
      <c r="M32" s="12">
        <f>M9-M31</f>
        <v/>
      </c>
      <c r="N32" s="12">
        <f>N9-N31</f>
        <v/>
      </c>
    </row>
    <row r="33">
      <c r="B33" s="2" t="inlineStr">
        <is>
          <t>LP net cash flow</t>
        </is>
      </c>
      <c r="C33" s="12">
        <f>C21-C8</f>
        <v/>
      </c>
      <c r="D33" s="12">
        <f>D21-D8</f>
        <v/>
      </c>
      <c r="E33" s="12">
        <f>E21-E8</f>
        <v/>
      </c>
      <c r="F33" s="12">
        <f>F21-F8</f>
        <v/>
      </c>
      <c r="G33" s="12">
        <f>G21-G8</f>
        <v/>
      </c>
      <c r="H33" s="12">
        <f>H21-H8</f>
        <v/>
      </c>
      <c r="I33" s="12">
        <f>I21-I8</f>
        <v/>
      </c>
      <c r="J33" s="12">
        <f>J21-J8</f>
        <v/>
      </c>
      <c r="K33" s="12">
        <f>K21-K8</f>
        <v/>
      </c>
      <c r="L33" s="12">
        <f>L21-L8</f>
        <v/>
      </c>
      <c r="M33" s="12">
        <f>M21-M8</f>
        <v/>
      </c>
      <c r="N33" s="12">
        <f>N21-N8</f>
        <v/>
      </c>
    </row>
    <row r="34">
      <c r="B34" s="2" t="inlineStr">
        <is>
          <t>Net TVPI to the LP</t>
        </is>
      </c>
      <c r="C34" s="14">
        <f>(SUM($C21:C21)+C32)/SUM($C8:C8)</f>
        <v/>
      </c>
      <c r="D34" s="14">
        <f>(SUM($C21:D21)+D32)/SUM($C8:D8)</f>
        <v/>
      </c>
      <c r="E34" s="14">
        <f>(SUM($C21:E21)+E32)/SUM($C8:E8)</f>
        <v/>
      </c>
      <c r="F34" s="14">
        <f>(SUM($C21:F21)+F32)/SUM($C8:F8)</f>
        <v/>
      </c>
      <c r="G34" s="14">
        <f>(SUM($C21:G21)+G32)/SUM($C8:G8)</f>
        <v/>
      </c>
      <c r="H34" s="14">
        <f>(SUM($C21:H21)+H32)/SUM($C8:H8)</f>
        <v/>
      </c>
      <c r="I34" s="14">
        <f>(SUM($C21:I21)+I32)/SUM($C8:I8)</f>
        <v/>
      </c>
      <c r="J34" s="14">
        <f>(SUM($C21:J21)+J32)/SUM($C8:J8)</f>
        <v/>
      </c>
      <c r="K34" s="14">
        <f>(SUM($C21:K21)+K32)/SUM($C8:K8)</f>
        <v/>
      </c>
      <c r="L34" s="14">
        <f>(SUM($C21:L21)+L32)/SUM($C8:L8)</f>
        <v/>
      </c>
      <c r="M34" s="14">
        <f>(SUM($C21:M21)+M32)/SUM($C8:M8)</f>
        <v/>
      </c>
      <c r="N34" s="14">
        <f>(SUM($C21:N21)+N32)/SUM($C8:N8)</f>
        <v/>
      </c>
    </row>
    <row r="36">
      <c r="B36" s="5" t="inlineStr">
        <is>
          <t>Gross multiple (proceeds / invested)</t>
        </is>
      </c>
      <c r="C36" s="15">
        <f>O10/O6</f>
        <v/>
      </c>
    </row>
    <row r="37">
      <c r="B37" s="5" t="inlineStr">
        <is>
          <t>Gross IRR (deal level)</t>
        </is>
      </c>
      <c r="C37" s="16">
        <f>IRR(C41:N41)</f>
        <v/>
      </c>
    </row>
    <row r="38">
      <c r="B38" s="5" t="inlineStr">
        <is>
          <t>Net multiple to the LP</t>
        </is>
      </c>
      <c r="C38" s="15">
        <f>O21/O8</f>
        <v/>
      </c>
    </row>
    <row r="39">
      <c r="B39" s="5" t="inlineStr">
        <is>
          <t>Net IRR to the LP</t>
        </is>
      </c>
      <c r="C39" s="16">
        <f>IRR(C33:N33)</f>
        <v/>
      </c>
    </row>
    <row r="41">
      <c r="B41" s="2" t="inlineStr">
        <is>
          <t>Gross deal cash flow (proceeds less investment)</t>
        </is>
      </c>
      <c r="C41" s="12">
        <f>C10-C6</f>
        <v/>
      </c>
      <c r="D41" s="12">
        <f>D10-D6</f>
        <v/>
      </c>
      <c r="E41" s="12">
        <f>E10-E6</f>
        <v/>
      </c>
      <c r="F41" s="12">
        <f>F10-F6</f>
        <v/>
      </c>
      <c r="G41" s="12">
        <f>G10-G6</f>
        <v/>
      </c>
      <c r="H41" s="12">
        <f>H10-H6</f>
        <v/>
      </c>
      <c r="I41" s="12">
        <f>I10-I6</f>
        <v/>
      </c>
      <c r="J41" s="12">
        <f>J10-J6</f>
        <v/>
      </c>
      <c r="K41" s="12">
        <f>K10-K6</f>
        <v/>
      </c>
      <c r="L41" s="12">
        <f>L10-L6</f>
        <v/>
      </c>
      <c r="M41" s="12">
        <f>M10-M6</f>
        <v/>
      </c>
      <c r="N41" s="12">
        <f>N10-N6</f>
        <v/>
      </c>
    </row>
    <row r="44">
      <c r="B44" s="4" t="inlineStr">
        <is>
          <t>Fund IV primaries by calendar year ($m)</t>
        </is>
      </c>
      <c r="C44" s="4" t="inlineStr">
        <is>
          <t>2024</t>
        </is>
      </c>
      <c r="D44" s="4" t="inlineStr">
        <is>
          <t>2025</t>
        </is>
      </c>
      <c r="E44" s="4" t="inlineStr">
        <is>
          <t>2026</t>
        </is>
      </c>
      <c r="F44" s="4" t="inlineStr">
        <is>
          <t>2027</t>
        </is>
      </c>
      <c r="G44" s="4" t="inlineStr">
        <is>
          <t>2028</t>
        </is>
      </c>
      <c r="H44" s="4" t="inlineStr">
        <is>
          <t>2029</t>
        </is>
      </c>
      <c r="I44" s="4" t="inlineStr">
        <is>
          <t>2030</t>
        </is>
      </c>
      <c r="J44" s="4" t="inlineStr">
        <is>
          <t>2031</t>
        </is>
      </c>
      <c r="K44" s="4" t="inlineStr">
        <is>
          <t>2032</t>
        </is>
      </c>
      <c r="L44" s="4" t="inlineStr">
        <is>
          <t>2033</t>
        </is>
      </c>
      <c r="M44" s="4" t="inlineStr">
        <is>
          <t>2034</t>
        </is>
      </c>
      <c r="N44" s="4" t="inlineStr">
        <is>
          <t>2035</t>
        </is>
      </c>
      <c r="O44" s="4" t="inlineStr">
        <is>
          <t>2036</t>
        </is>
      </c>
      <c r="P44" s="4" t="inlineStr">
        <is>
          <t>2037</t>
        </is>
      </c>
    </row>
    <row r="45">
      <c r="B45" s="5" t="inlineStr">
        <is>
          <t>Primaries: called</t>
        </is>
      </c>
      <c r="C45" s="17">
        <f>IF(AND(2024-2024+1&gt;=1,2024-2024+1&lt;=12),Inputs!$C$25/100*INDEX($C$8:$N$8,2024-2024+1),0)+IF(AND(2024-2025+1&gt;=1,2024-2025+1&lt;=12),Inputs!$C$26/100*INDEX($C$8:$N$8,2024-2025+1),0)+IF(AND(2024-2026+1&gt;=1,2024-2026+1&lt;=12),Inputs!$C$27/100*INDEX($C$8:$N$8,2024-2026+1),0)</f>
        <v/>
      </c>
      <c r="D45" s="17">
        <f>IF(AND(2025-2024+1&gt;=1,2025-2024+1&lt;=12),Inputs!$C$25/100*INDEX($C$8:$N$8,2025-2024+1),0)+IF(AND(2025-2025+1&gt;=1,2025-2025+1&lt;=12),Inputs!$C$26/100*INDEX($C$8:$N$8,2025-2025+1),0)+IF(AND(2025-2026+1&gt;=1,2025-2026+1&lt;=12),Inputs!$C$27/100*INDEX($C$8:$N$8,2025-2026+1),0)</f>
        <v/>
      </c>
      <c r="E45" s="17">
        <f>IF(AND(2026-2024+1&gt;=1,2026-2024+1&lt;=12),Inputs!$C$25/100*INDEX($C$8:$N$8,2026-2024+1),0)+IF(AND(2026-2025+1&gt;=1,2026-2025+1&lt;=12),Inputs!$C$26/100*INDEX($C$8:$N$8,2026-2025+1),0)+IF(AND(2026-2026+1&gt;=1,2026-2026+1&lt;=12),Inputs!$C$27/100*INDEX($C$8:$N$8,2026-2026+1),0)</f>
        <v/>
      </c>
      <c r="F45" s="17">
        <f>IF(AND(2027-2024+1&gt;=1,2027-2024+1&lt;=12),Inputs!$C$25/100*INDEX($C$8:$N$8,2027-2024+1),0)+IF(AND(2027-2025+1&gt;=1,2027-2025+1&lt;=12),Inputs!$C$26/100*INDEX($C$8:$N$8,2027-2025+1),0)+IF(AND(2027-2026+1&gt;=1,2027-2026+1&lt;=12),Inputs!$C$27/100*INDEX($C$8:$N$8,2027-2026+1),0)</f>
        <v/>
      </c>
      <c r="G45" s="17">
        <f>IF(AND(2028-2024+1&gt;=1,2028-2024+1&lt;=12),Inputs!$C$25/100*INDEX($C$8:$N$8,2028-2024+1),0)+IF(AND(2028-2025+1&gt;=1,2028-2025+1&lt;=12),Inputs!$C$26/100*INDEX($C$8:$N$8,2028-2025+1),0)+IF(AND(2028-2026+1&gt;=1,2028-2026+1&lt;=12),Inputs!$C$27/100*INDEX($C$8:$N$8,2028-2026+1),0)</f>
        <v/>
      </c>
      <c r="H45" s="17">
        <f>IF(AND(2029-2024+1&gt;=1,2029-2024+1&lt;=12),Inputs!$C$25/100*INDEX($C$8:$N$8,2029-2024+1),0)+IF(AND(2029-2025+1&gt;=1,2029-2025+1&lt;=12),Inputs!$C$26/100*INDEX($C$8:$N$8,2029-2025+1),0)+IF(AND(2029-2026+1&gt;=1,2029-2026+1&lt;=12),Inputs!$C$27/100*INDEX($C$8:$N$8,2029-2026+1),0)</f>
        <v/>
      </c>
      <c r="I45" s="17">
        <f>IF(AND(2030-2024+1&gt;=1,2030-2024+1&lt;=12),Inputs!$C$25/100*INDEX($C$8:$N$8,2030-2024+1),0)+IF(AND(2030-2025+1&gt;=1,2030-2025+1&lt;=12),Inputs!$C$26/100*INDEX($C$8:$N$8,2030-2025+1),0)+IF(AND(2030-2026+1&gt;=1,2030-2026+1&lt;=12),Inputs!$C$27/100*INDEX($C$8:$N$8,2030-2026+1),0)</f>
        <v/>
      </c>
      <c r="J45" s="17">
        <f>IF(AND(2031-2024+1&gt;=1,2031-2024+1&lt;=12),Inputs!$C$25/100*INDEX($C$8:$N$8,2031-2024+1),0)+IF(AND(2031-2025+1&gt;=1,2031-2025+1&lt;=12),Inputs!$C$26/100*INDEX($C$8:$N$8,2031-2025+1),0)+IF(AND(2031-2026+1&gt;=1,2031-2026+1&lt;=12),Inputs!$C$27/100*INDEX($C$8:$N$8,2031-2026+1),0)</f>
        <v/>
      </c>
      <c r="K45" s="17">
        <f>IF(AND(2032-2024+1&gt;=1,2032-2024+1&lt;=12),Inputs!$C$25/100*INDEX($C$8:$N$8,2032-2024+1),0)+IF(AND(2032-2025+1&gt;=1,2032-2025+1&lt;=12),Inputs!$C$26/100*INDEX($C$8:$N$8,2032-2025+1),0)+IF(AND(2032-2026+1&gt;=1,2032-2026+1&lt;=12),Inputs!$C$27/100*INDEX($C$8:$N$8,2032-2026+1),0)</f>
        <v/>
      </c>
      <c r="L45" s="17">
        <f>IF(AND(2033-2024+1&gt;=1,2033-2024+1&lt;=12),Inputs!$C$25/100*INDEX($C$8:$N$8,2033-2024+1),0)+IF(AND(2033-2025+1&gt;=1,2033-2025+1&lt;=12),Inputs!$C$26/100*INDEX($C$8:$N$8,2033-2025+1),0)+IF(AND(2033-2026+1&gt;=1,2033-2026+1&lt;=12),Inputs!$C$27/100*INDEX($C$8:$N$8,2033-2026+1),0)</f>
        <v/>
      </c>
      <c r="M45" s="17">
        <f>IF(AND(2034-2024+1&gt;=1,2034-2024+1&lt;=12),Inputs!$C$25/100*INDEX($C$8:$N$8,2034-2024+1),0)+IF(AND(2034-2025+1&gt;=1,2034-2025+1&lt;=12),Inputs!$C$26/100*INDEX($C$8:$N$8,2034-2025+1),0)+IF(AND(2034-2026+1&gt;=1,2034-2026+1&lt;=12),Inputs!$C$27/100*INDEX($C$8:$N$8,2034-2026+1),0)</f>
        <v/>
      </c>
      <c r="N45" s="17">
        <f>IF(AND(2035-2024+1&gt;=1,2035-2024+1&lt;=12),Inputs!$C$25/100*INDEX($C$8:$N$8,2035-2024+1),0)+IF(AND(2035-2025+1&gt;=1,2035-2025+1&lt;=12),Inputs!$C$26/100*INDEX($C$8:$N$8,2035-2025+1),0)+IF(AND(2035-2026+1&gt;=1,2035-2026+1&lt;=12),Inputs!$C$27/100*INDEX($C$8:$N$8,2035-2026+1),0)</f>
        <v/>
      </c>
      <c r="O45" s="17">
        <f>IF(AND(2036-2024+1&gt;=1,2036-2024+1&lt;=12),Inputs!$C$25/100*INDEX($C$8:$N$8,2036-2024+1),0)+IF(AND(2036-2025+1&gt;=1,2036-2025+1&lt;=12),Inputs!$C$26/100*INDEX($C$8:$N$8,2036-2025+1),0)+IF(AND(2036-2026+1&gt;=1,2036-2026+1&lt;=12),Inputs!$C$27/100*INDEX($C$8:$N$8,2036-2026+1),0)</f>
        <v/>
      </c>
      <c r="P45" s="17">
        <f>IF(AND(2037-2024+1&gt;=1,2037-2024+1&lt;=12),Inputs!$C$25/100*INDEX($C$8:$N$8,2037-2024+1),0)+IF(AND(2037-2025+1&gt;=1,2037-2025+1&lt;=12),Inputs!$C$26/100*INDEX($C$8:$N$8,2037-2025+1),0)+IF(AND(2037-2026+1&gt;=1,2037-2026+1&lt;=12),Inputs!$C$27/100*INDEX($C$8:$N$8,2037-2026+1),0)</f>
        <v/>
      </c>
    </row>
    <row r="46">
      <c r="B46" s="5" t="inlineStr">
        <is>
          <t>Primaries: distributed</t>
        </is>
      </c>
      <c r="C46" s="17">
        <f>IF(AND(2024-2024+1&gt;=1,2024-2024+1&lt;=12),Inputs!$C$25/100*INDEX($C$21:$N$21,2024-2024+1),0)+IF(AND(2024-2025+1&gt;=1,2024-2025+1&lt;=12),Inputs!$C$26/100*INDEX($C$21:$N$21,2024-2025+1),0)+IF(AND(2024-2026+1&gt;=1,2024-2026+1&lt;=12),Inputs!$C$27/100*INDEX($C$21:$N$21,2024-2026+1),0)</f>
        <v/>
      </c>
      <c r="D46" s="17">
        <f>IF(AND(2025-2024+1&gt;=1,2025-2024+1&lt;=12),Inputs!$C$25/100*INDEX($C$21:$N$21,2025-2024+1),0)+IF(AND(2025-2025+1&gt;=1,2025-2025+1&lt;=12),Inputs!$C$26/100*INDEX($C$21:$N$21,2025-2025+1),0)+IF(AND(2025-2026+1&gt;=1,2025-2026+1&lt;=12),Inputs!$C$27/100*INDEX($C$21:$N$21,2025-2026+1),0)</f>
        <v/>
      </c>
      <c r="E46" s="17">
        <f>IF(AND(2026-2024+1&gt;=1,2026-2024+1&lt;=12),Inputs!$C$25/100*INDEX($C$21:$N$21,2026-2024+1),0)+IF(AND(2026-2025+1&gt;=1,2026-2025+1&lt;=12),Inputs!$C$26/100*INDEX($C$21:$N$21,2026-2025+1),0)+IF(AND(2026-2026+1&gt;=1,2026-2026+1&lt;=12),Inputs!$C$27/100*INDEX($C$21:$N$21,2026-2026+1),0)</f>
        <v/>
      </c>
      <c r="F46" s="17">
        <f>IF(AND(2027-2024+1&gt;=1,2027-2024+1&lt;=12),Inputs!$C$25/100*INDEX($C$21:$N$21,2027-2024+1),0)+IF(AND(2027-2025+1&gt;=1,2027-2025+1&lt;=12),Inputs!$C$26/100*INDEX($C$21:$N$21,2027-2025+1),0)+IF(AND(2027-2026+1&gt;=1,2027-2026+1&lt;=12),Inputs!$C$27/100*INDEX($C$21:$N$21,2027-2026+1),0)</f>
        <v/>
      </c>
      <c r="G46" s="17">
        <f>IF(AND(2028-2024+1&gt;=1,2028-2024+1&lt;=12),Inputs!$C$25/100*INDEX($C$21:$N$21,2028-2024+1),0)+IF(AND(2028-2025+1&gt;=1,2028-2025+1&lt;=12),Inputs!$C$26/100*INDEX($C$21:$N$21,2028-2025+1),0)+IF(AND(2028-2026+1&gt;=1,2028-2026+1&lt;=12),Inputs!$C$27/100*INDEX($C$21:$N$21,2028-2026+1),0)</f>
        <v/>
      </c>
      <c r="H46" s="17">
        <f>IF(AND(2029-2024+1&gt;=1,2029-2024+1&lt;=12),Inputs!$C$25/100*INDEX($C$21:$N$21,2029-2024+1),0)+IF(AND(2029-2025+1&gt;=1,2029-2025+1&lt;=12),Inputs!$C$26/100*INDEX($C$21:$N$21,2029-2025+1),0)+IF(AND(2029-2026+1&gt;=1,2029-2026+1&lt;=12),Inputs!$C$27/100*INDEX($C$21:$N$21,2029-2026+1),0)</f>
        <v/>
      </c>
      <c r="I46" s="17">
        <f>IF(AND(2030-2024+1&gt;=1,2030-2024+1&lt;=12),Inputs!$C$25/100*INDEX($C$21:$N$21,2030-2024+1),0)+IF(AND(2030-2025+1&gt;=1,2030-2025+1&lt;=12),Inputs!$C$26/100*INDEX($C$21:$N$21,2030-2025+1),0)+IF(AND(2030-2026+1&gt;=1,2030-2026+1&lt;=12),Inputs!$C$27/100*INDEX($C$21:$N$21,2030-2026+1),0)</f>
        <v/>
      </c>
      <c r="J46" s="17">
        <f>IF(AND(2031-2024+1&gt;=1,2031-2024+1&lt;=12),Inputs!$C$25/100*INDEX($C$21:$N$21,2031-2024+1),0)+IF(AND(2031-2025+1&gt;=1,2031-2025+1&lt;=12),Inputs!$C$26/100*INDEX($C$21:$N$21,2031-2025+1),0)+IF(AND(2031-2026+1&gt;=1,2031-2026+1&lt;=12),Inputs!$C$27/100*INDEX($C$21:$N$21,2031-2026+1),0)</f>
        <v/>
      </c>
      <c r="K46" s="17">
        <f>IF(AND(2032-2024+1&gt;=1,2032-2024+1&lt;=12),Inputs!$C$25/100*INDEX($C$21:$N$21,2032-2024+1),0)+IF(AND(2032-2025+1&gt;=1,2032-2025+1&lt;=12),Inputs!$C$26/100*INDEX($C$21:$N$21,2032-2025+1),0)+IF(AND(2032-2026+1&gt;=1,2032-2026+1&lt;=12),Inputs!$C$27/100*INDEX($C$21:$N$21,2032-2026+1),0)</f>
        <v/>
      </c>
      <c r="L46" s="17">
        <f>IF(AND(2033-2024+1&gt;=1,2033-2024+1&lt;=12),Inputs!$C$25/100*INDEX($C$21:$N$21,2033-2024+1),0)+IF(AND(2033-2025+1&gt;=1,2033-2025+1&lt;=12),Inputs!$C$26/100*INDEX($C$21:$N$21,2033-2025+1),0)+IF(AND(2033-2026+1&gt;=1,2033-2026+1&lt;=12),Inputs!$C$27/100*INDEX($C$21:$N$21,2033-2026+1),0)</f>
        <v/>
      </c>
      <c r="M46" s="17">
        <f>IF(AND(2034-2024+1&gt;=1,2034-2024+1&lt;=12),Inputs!$C$25/100*INDEX($C$21:$N$21,2034-2024+1),0)+IF(AND(2034-2025+1&gt;=1,2034-2025+1&lt;=12),Inputs!$C$26/100*INDEX($C$21:$N$21,2034-2025+1),0)+IF(AND(2034-2026+1&gt;=1,2034-2026+1&lt;=12),Inputs!$C$27/100*INDEX($C$21:$N$21,2034-2026+1),0)</f>
        <v/>
      </c>
      <c r="N46" s="17">
        <f>IF(AND(2035-2024+1&gt;=1,2035-2024+1&lt;=12),Inputs!$C$25/100*INDEX($C$21:$N$21,2035-2024+1),0)+IF(AND(2035-2025+1&gt;=1,2035-2025+1&lt;=12),Inputs!$C$26/100*INDEX($C$21:$N$21,2035-2025+1),0)+IF(AND(2035-2026+1&gt;=1,2035-2026+1&lt;=12),Inputs!$C$27/100*INDEX($C$21:$N$21,2035-2026+1),0)</f>
        <v/>
      </c>
      <c r="O46" s="17">
        <f>IF(AND(2036-2024+1&gt;=1,2036-2024+1&lt;=12),Inputs!$C$25/100*INDEX($C$21:$N$21,2036-2024+1),0)+IF(AND(2036-2025+1&gt;=1,2036-2025+1&lt;=12),Inputs!$C$26/100*INDEX($C$21:$N$21,2036-2025+1),0)+IF(AND(2036-2026+1&gt;=1,2036-2026+1&lt;=12),Inputs!$C$27/100*INDEX($C$21:$N$21,2036-2026+1),0)</f>
        <v/>
      </c>
      <c r="P46" s="17">
        <f>IF(AND(2037-2024+1&gt;=1,2037-2024+1&lt;=12),Inputs!$C$25/100*INDEX($C$21:$N$21,2037-2024+1),0)+IF(AND(2037-2025+1&gt;=1,2037-2025+1&lt;=12),Inputs!$C$26/100*INDEX($C$21:$N$21,2037-2025+1),0)+IF(AND(2037-2026+1&gt;=1,2037-2026+1&lt;=12),Inputs!$C$27/100*INDEX($C$21:$N$21,2037-2026+1),0)</f>
        <v/>
      </c>
    </row>
    <row r="47">
      <c r="B47" s="5" t="inlineStr">
        <is>
          <t>Primaries: net nav</t>
        </is>
      </c>
      <c r="C47" s="17">
        <f>IF(AND(2024-2024+1&gt;=1,2024-2024+1&lt;=12),Inputs!$C$25/100*INDEX($C$32:$N$32,2024-2024+1),0)+IF(AND(2024-2025+1&gt;=1,2024-2025+1&lt;=12),Inputs!$C$26/100*INDEX($C$32:$N$32,2024-2025+1),0)+IF(AND(2024-2026+1&gt;=1,2024-2026+1&lt;=12),Inputs!$C$27/100*INDEX($C$32:$N$32,2024-2026+1),0)</f>
        <v/>
      </c>
      <c r="D47" s="17">
        <f>IF(AND(2025-2024+1&gt;=1,2025-2024+1&lt;=12),Inputs!$C$25/100*INDEX($C$32:$N$32,2025-2024+1),0)+IF(AND(2025-2025+1&gt;=1,2025-2025+1&lt;=12),Inputs!$C$26/100*INDEX($C$32:$N$32,2025-2025+1),0)+IF(AND(2025-2026+1&gt;=1,2025-2026+1&lt;=12),Inputs!$C$27/100*INDEX($C$32:$N$32,2025-2026+1),0)</f>
        <v/>
      </c>
      <c r="E47" s="17">
        <f>IF(AND(2026-2024+1&gt;=1,2026-2024+1&lt;=12),Inputs!$C$25/100*INDEX($C$32:$N$32,2026-2024+1),0)+IF(AND(2026-2025+1&gt;=1,2026-2025+1&lt;=12),Inputs!$C$26/100*INDEX($C$32:$N$32,2026-2025+1),0)+IF(AND(2026-2026+1&gt;=1,2026-2026+1&lt;=12),Inputs!$C$27/100*INDEX($C$32:$N$32,2026-2026+1),0)</f>
        <v/>
      </c>
      <c r="F47" s="17">
        <f>IF(AND(2027-2024+1&gt;=1,2027-2024+1&lt;=12),Inputs!$C$25/100*INDEX($C$32:$N$32,2027-2024+1),0)+IF(AND(2027-2025+1&gt;=1,2027-2025+1&lt;=12),Inputs!$C$26/100*INDEX($C$32:$N$32,2027-2025+1),0)+IF(AND(2027-2026+1&gt;=1,2027-2026+1&lt;=12),Inputs!$C$27/100*INDEX($C$32:$N$32,2027-2026+1),0)</f>
        <v/>
      </c>
      <c r="G47" s="17">
        <f>IF(AND(2028-2024+1&gt;=1,2028-2024+1&lt;=12),Inputs!$C$25/100*INDEX($C$32:$N$32,2028-2024+1),0)+IF(AND(2028-2025+1&gt;=1,2028-2025+1&lt;=12),Inputs!$C$26/100*INDEX($C$32:$N$32,2028-2025+1),0)+IF(AND(2028-2026+1&gt;=1,2028-2026+1&lt;=12),Inputs!$C$27/100*INDEX($C$32:$N$32,2028-2026+1),0)</f>
        <v/>
      </c>
      <c r="H47" s="17">
        <f>IF(AND(2029-2024+1&gt;=1,2029-2024+1&lt;=12),Inputs!$C$25/100*INDEX($C$32:$N$32,2029-2024+1),0)+IF(AND(2029-2025+1&gt;=1,2029-2025+1&lt;=12),Inputs!$C$26/100*INDEX($C$32:$N$32,2029-2025+1),0)+IF(AND(2029-2026+1&gt;=1,2029-2026+1&lt;=12),Inputs!$C$27/100*INDEX($C$32:$N$32,2029-2026+1),0)</f>
        <v/>
      </c>
      <c r="I47" s="17">
        <f>IF(AND(2030-2024+1&gt;=1,2030-2024+1&lt;=12),Inputs!$C$25/100*INDEX($C$32:$N$32,2030-2024+1),0)+IF(AND(2030-2025+1&gt;=1,2030-2025+1&lt;=12),Inputs!$C$26/100*INDEX($C$32:$N$32,2030-2025+1),0)+IF(AND(2030-2026+1&gt;=1,2030-2026+1&lt;=12),Inputs!$C$27/100*INDEX($C$32:$N$32,2030-2026+1),0)</f>
        <v/>
      </c>
      <c r="J47" s="17">
        <f>IF(AND(2031-2024+1&gt;=1,2031-2024+1&lt;=12),Inputs!$C$25/100*INDEX($C$32:$N$32,2031-2024+1),0)+IF(AND(2031-2025+1&gt;=1,2031-2025+1&lt;=12),Inputs!$C$26/100*INDEX($C$32:$N$32,2031-2025+1),0)+IF(AND(2031-2026+1&gt;=1,2031-2026+1&lt;=12),Inputs!$C$27/100*INDEX($C$32:$N$32,2031-2026+1),0)</f>
        <v/>
      </c>
      <c r="K47" s="17">
        <f>IF(AND(2032-2024+1&gt;=1,2032-2024+1&lt;=12),Inputs!$C$25/100*INDEX($C$32:$N$32,2032-2024+1),0)+IF(AND(2032-2025+1&gt;=1,2032-2025+1&lt;=12),Inputs!$C$26/100*INDEX($C$32:$N$32,2032-2025+1),0)+IF(AND(2032-2026+1&gt;=1,2032-2026+1&lt;=12),Inputs!$C$27/100*INDEX($C$32:$N$32,2032-2026+1),0)</f>
        <v/>
      </c>
      <c r="L47" s="17">
        <f>IF(AND(2033-2024+1&gt;=1,2033-2024+1&lt;=12),Inputs!$C$25/100*INDEX($C$32:$N$32,2033-2024+1),0)+IF(AND(2033-2025+1&gt;=1,2033-2025+1&lt;=12),Inputs!$C$26/100*INDEX($C$32:$N$32,2033-2025+1),0)+IF(AND(2033-2026+1&gt;=1,2033-2026+1&lt;=12),Inputs!$C$27/100*INDEX($C$32:$N$32,2033-2026+1),0)</f>
        <v/>
      </c>
      <c r="M47" s="17">
        <f>IF(AND(2034-2024+1&gt;=1,2034-2024+1&lt;=12),Inputs!$C$25/100*INDEX($C$32:$N$32,2034-2024+1),0)+IF(AND(2034-2025+1&gt;=1,2034-2025+1&lt;=12),Inputs!$C$26/100*INDEX($C$32:$N$32,2034-2025+1),0)+IF(AND(2034-2026+1&gt;=1,2034-2026+1&lt;=12),Inputs!$C$27/100*INDEX($C$32:$N$32,2034-2026+1),0)</f>
        <v/>
      </c>
      <c r="N47" s="17">
        <f>IF(AND(2035-2024+1&gt;=1,2035-2024+1&lt;=12),Inputs!$C$25/100*INDEX($C$32:$N$32,2035-2024+1),0)+IF(AND(2035-2025+1&gt;=1,2035-2025+1&lt;=12),Inputs!$C$26/100*INDEX($C$32:$N$32,2035-2025+1),0)+IF(AND(2035-2026+1&gt;=1,2035-2026+1&lt;=12),Inputs!$C$27/100*INDEX($C$32:$N$32,2035-2026+1),0)</f>
        <v/>
      </c>
      <c r="O47" s="17">
        <f>IF(AND(2036-2024+1&gt;=1,2036-2024+1&lt;=12),Inputs!$C$25/100*INDEX($C$32:$N$32,2036-2024+1),0)+IF(AND(2036-2025+1&gt;=1,2036-2025+1&lt;=12),Inputs!$C$26/100*INDEX($C$32:$N$32,2036-2025+1),0)+IF(AND(2036-2026+1&gt;=1,2036-2026+1&lt;=12),Inputs!$C$27/100*INDEX($C$32:$N$32,2036-2026+1),0)</f>
        <v/>
      </c>
      <c r="P47" s="17">
        <f>IF(AND(2037-2024+1&gt;=1,2037-2024+1&lt;=12),Inputs!$C$25/100*INDEX($C$32:$N$32,2037-2024+1),0)+IF(AND(2037-2025+1&gt;=1,2037-2025+1&lt;=12),Inputs!$C$26/100*INDEX($C$32:$N$32,2037-2025+1),0)+IF(AND(2037-2026+1&gt;=1,2037-2026+1&lt;=12),Inputs!$C$27/100*INDEX($C$32:$N$32,2037-2026+1),0)</f>
        <v/>
      </c>
    </row>
    <row r="48">
      <c r="B48" s="5" t="inlineStr">
        <is>
          <t>Primaries: management fees</t>
        </is>
      </c>
      <c r="C48" s="17">
        <f>IF(AND(2024-2024+1&gt;=1,2024-2024+1&lt;=12),Inputs!$C$25/100*INDEX($C$7:$N$7,2024-2024+1),0)+IF(AND(2024-2025+1&gt;=1,2024-2025+1&lt;=12),Inputs!$C$26/100*INDEX($C$7:$N$7,2024-2025+1),0)+IF(AND(2024-2026+1&gt;=1,2024-2026+1&lt;=12),Inputs!$C$27/100*INDEX($C$7:$N$7,2024-2026+1),0)</f>
        <v/>
      </c>
      <c r="D48" s="17">
        <f>IF(AND(2025-2024+1&gt;=1,2025-2024+1&lt;=12),Inputs!$C$25/100*INDEX($C$7:$N$7,2025-2024+1),0)+IF(AND(2025-2025+1&gt;=1,2025-2025+1&lt;=12),Inputs!$C$26/100*INDEX($C$7:$N$7,2025-2025+1),0)+IF(AND(2025-2026+1&gt;=1,2025-2026+1&lt;=12),Inputs!$C$27/100*INDEX($C$7:$N$7,2025-2026+1),0)</f>
        <v/>
      </c>
      <c r="E48" s="17">
        <f>IF(AND(2026-2024+1&gt;=1,2026-2024+1&lt;=12),Inputs!$C$25/100*INDEX($C$7:$N$7,2026-2024+1),0)+IF(AND(2026-2025+1&gt;=1,2026-2025+1&lt;=12),Inputs!$C$26/100*INDEX($C$7:$N$7,2026-2025+1),0)+IF(AND(2026-2026+1&gt;=1,2026-2026+1&lt;=12),Inputs!$C$27/100*INDEX($C$7:$N$7,2026-2026+1),0)</f>
        <v/>
      </c>
      <c r="F48" s="17">
        <f>IF(AND(2027-2024+1&gt;=1,2027-2024+1&lt;=12),Inputs!$C$25/100*INDEX($C$7:$N$7,2027-2024+1),0)+IF(AND(2027-2025+1&gt;=1,2027-2025+1&lt;=12),Inputs!$C$26/100*INDEX($C$7:$N$7,2027-2025+1),0)+IF(AND(2027-2026+1&gt;=1,2027-2026+1&lt;=12),Inputs!$C$27/100*INDEX($C$7:$N$7,2027-2026+1),0)</f>
        <v/>
      </c>
      <c r="G48" s="17">
        <f>IF(AND(2028-2024+1&gt;=1,2028-2024+1&lt;=12),Inputs!$C$25/100*INDEX($C$7:$N$7,2028-2024+1),0)+IF(AND(2028-2025+1&gt;=1,2028-2025+1&lt;=12),Inputs!$C$26/100*INDEX($C$7:$N$7,2028-2025+1),0)+IF(AND(2028-2026+1&gt;=1,2028-2026+1&lt;=12),Inputs!$C$27/100*INDEX($C$7:$N$7,2028-2026+1),0)</f>
        <v/>
      </c>
      <c r="H48" s="17">
        <f>IF(AND(2029-2024+1&gt;=1,2029-2024+1&lt;=12),Inputs!$C$25/100*INDEX($C$7:$N$7,2029-2024+1),0)+IF(AND(2029-2025+1&gt;=1,2029-2025+1&lt;=12),Inputs!$C$26/100*INDEX($C$7:$N$7,2029-2025+1),0)+IF(AND(2029-2026+1&gt;=1,2029-2026+1&lt;=12),Inputs!$C$27/100*INDEX($C$7:$N$7,2029-2026+1),0)</f>
        <v/>
      </c>
      <c r="I48" s="17">
        <f>IF(AND(2030-2024+1&gt;=1,2030-2024+1&lt;=12),Inputs!$C$25/100*INDEX($C$7:$N$7,2030-2024+1),0)+IF(AND(2030-2025+1&gt;=1,2030-2025+1&lt;=12),Inputs!$C$26/100*INDEX($C$7:$N$7,2030-2025+1),0)+IF(AND(2030-2026+1&gt;=1,2030-2026+1&lt;=12),Inputs!$C$27/100*INDEX($C$7:$N$7,2030-2026+1),0)</f>
        <v/>
      </c>
      <c r="J48" s="17">
        <f>IF(AND(2031-2024+1&gt;=1,2031-2024+1&lt;=12),Inputs!$C$25/100*INDEX($C$7:$N$7,2031-2024+1),0)+IF(AND(2031-2025+1&gt;=1,2031-2025+1&lt;=12),Inputs!$C$26/100*INDEX($C$7:$N$7,2031-2025+1),0)+IF(AND(2031-2026+1&gt;=1,2031-2026+1&lt;=12),Inputs!$C$27/100*INDEX($C$7:$N$7,2031-2026+1),0)</f>
        <v/>
      </c>
      <c r="K48" s="17">
        <f>IF(AND(2032-2024+1&gt;=1,2032-2024+1&lt;=12),Inputs!$C$25/100*INDEX($C$7:$N$7,2032-2024+1),0)+IF(AND(2032-2025+1&gt;=1,2032-2025+1&lt;=12),Inputs!$C$26/100*INDEX($C$7:$N$7,2032-2025+1),0)+IF(AND(2032-2026+1&gt;=1,2032-2026+1&lt;=12),Inputs!$C$27/100*INDEX($C$7:$N$7,2032-2026+1),0)</f>
        <v/>
      </c>
      <c r="L48" s="17">
        <f>IF(AND(2033-2024+1&gt;=1,2033-2024+1&lt;=12),Inputs!$C$25/100*INDEX($C$7:$N$7,2033-2024+1),0)+IF(AND(2033-2025+1&gt;=1,2033-2025+1&lt;=12),Inputs!$C$26/100*INDEX($C$7:$N$7,2033-2025+1),0)+IF(AND(2033-2026+1&gt;=1,2033-2026+1&lt;=12),Inputs!$C$27/100*INDEX($C$7:$N$7,2033-2026+1),0)</f>
        <v/>
      </c>
      <c r="M48" s="17">
        <f>IF(AND(2034-2024+1&gt;=1,2034-2024+1&lt;=12),Inputs!$C$25/100*INDEX($C$7:$N$7,2034-2024+1),0)+IF(AND(2034-2025+1&gt;=1,2034-2025+1&lt;=12),Inputs!$C$26/100*INDEX($C$7:$N$7,2034-2025+1),0)+IF(AND(2034-2026+1&gt;=1,2034-2026+1&lt;=12),Inputs!$C$27/100*INDEX($C$7:$N$7,2034-2026+1),0)</f>
        <v/>
      </c>
      <c r="N48" s="17">
        <f>IF(AND(2035-2024+1&gt;=1,2035-2024+1&lt;=12),Inputs!$C$25/100*INDEX($C$7:$N$7,2035-2024+1),0)+IF(AND(2035-2025+1&gt;=1,2035-2025+1&lt;=12),Inputs!$C$26/100*INDEX($C$7:$N$7,2035-2025+1),0)+IF(AND(2035-2026+1&gt;=1,2035-2026+1&lt;=12),Inputs!$C$27/100*INDEX($C$7:$N$7,2035-2026+1),0)</f>
        <v/>
      </c>
      <c r="O48" s="17">
        <f>IF(AND(2036-2024+1&gt;=1,2036-2024+1&lt;=12),Inputs!$C$25/100*INDEX($C$7:$N$7,2036-2024+1),0)+IF(AND(2036-2025+1&gt;=1,2036-2025+1&lt;=12),Inputs!$C$26/100*INDEX($C$7:$N$7,2036-2025+1),0)+IF(AND(2036-2026+1&gt;=1,2036-2026+1&lt;=12),Inputs!$C$27/100*INDEX($C$7:$N$7,2036-2026+1),0)</f>
        <v/>
      </c>
      <c r="P48" s="17">
        <f>IF(AND(2037-2024+1&gt;=1,2037-2024+1&lt;=12),Inputs!$C$25/100*INDEX($C$7:$N$7,2037-2024+1),0)+IF(AND(2037-2025+1&gt;=1,2037-2025+1&lt;=12),Inputs!$C$26/100*INDEX($C$7:$N$7,2037-2025+1),0)+IF(AND(2037-2026+1&gt;=1,2037-2026+1&lt;=12),Inputs!$C$27/100*INDEX($C$7:$N$7,2037-2026+1),0)</f>
        <v/>
      </c>
    </row>
    <row r="49">
      <c r="B49" s="5" t="inlineStr">
        <is>
          <t>Primaries: carry</t>
        </is>
      </c>
      <c r="C49" s="17">
        <f>IF(AND(2024-2024+1&gt;=1,2024-2024+1&lt;=12),Inputs!$C$25/100*INDEX($C$22:$N$22,2024-2024+1),0)+IF(AND(2024-2025+1&gt;=1,2024-2025+1&lt;=12),Inputs!$C$26/100*INDEX($C$22:$N$22,2024-2025+1),0)+IF(AND(2024-2026+1&gt;=1,2024-2026+1&lt;=12),Inputs!$C$27/100*INDEX($C$22:$N$22,2024-2026+1),0)</f>
        <v/>
      </c>
      <c r="D49" s="17">
        <f>IF(AND(2025-2024+1&gt;=1,2025-2024+1&lt;=12),Inputs!$C$25/100*INDEX($C$22:$N$22,2025-2024+1),0)+IF(AND(2025-2025+1&gt;=1,2025-2025+1&lt;=12),Inputs!$C$26/100*INDEX($C$22:$N$22,2025-2025+1),0)+IF(AND(2025-2026+1&gt;=1,2025-2026+1&lt;=12),Inputs!$C$27/100*INDEX($C$22:$N$22,2025-2026+1),0)</f>
        <v/>
      </c>
      <c r="E49" s="17">
        <f>IF(AND(2026-2024+1&gt;=1,2026-2024+1&lt;=12),Inputs!$C$25/100*INDEX($C$22:$N$22,2026-2024+1),0)+IF(AND(2026-2025+1&gt;=1,2026-2025+1&lt;=12),Inputs!$C$26/100*INDEX($C$22:$N$22,2026-2025+1),0)+IF(AND(2026-2026+1&gt;=1,2026-2026+1&lt;=12),Inputs!$C$27/100*INDEX($C$22:$N$22,2026-2026+1),0)</f>
        <v/>
      </c>
      <c r="F49" s="17">
        <f>IF(AND(2027-2024+1&gt;=1,2027-2024+1&lt;=12),Inputs!$C$25/100*INDEX($C$22:$N$22,2027-2024+1),0)+IF(AND(2027-2025+1&gt;=1,2027-2025+1&lt;=12),Inputs!$C$26/100*INDEX($C$22:$N$22,2027-2025+1),0)+IF(AND(2027-2026+1&gt;=1,2027-2026+1&lt;=12),Inputs!$C$27/100*INDEX($C$22:$N$22,2027-2026+1),0)</f>
        <v/>
      </c>
      <c r="G49" s="17">
        <f>IF(AND(2028-2024+1&gt;=1,2028-2024+1&lt;=12),Inputs!$C$25/100*INDEX($C$22:$N$22,2028-2024+1),0)+IF(AND(2028-2025+1&gt;=1,2028-2025+1&lt;=12),Inputs!$C$26/100*INDEX($C$22:$N$22,2028-2025+1),0)+IF(AND(2028-2026+1&gt;=1,2028-2026+1&lt;=12),Inputs!$C$27/100*INDEX($C$22:$N$22,2028-2026+1),0)</f>
        <v/>
      </c>
      <c r="H49" s="17">
        <f>IF(AND(2029-2024+1&gt;=1,2029-2024+1&lt;=12),Inputs!$C$25/100*INDEX($C$22:$N$22,2029-2024+1),0)+IF(AND(2029-2025+1&gt;=1,2029-2025+1&lt;=12),Inputs!$C$26/100*INDEX($C$22:$N$22,2029-2025+1),0)+IF(AND(2029-2026+1&gt;=1,2029-2026+1&lt;=12),Inputs!$C$27/100*INDEX($C$22:$N$22,2029-2026+1),0)</f>
        <v/>
      </c>
      <c r="I49" s="17">
        <f>IF(AND(2030-2024+1&gt;=1,2030-2024+1&lt;=12),Inputs!$C$25/100*INDEX($C$22:$N$22,2030-2024+1),0)+IF(AND(2030-2025+1&gt;=1,2030-2025+1&lt;=12),Inputs!$C$26/100*INDEX($C$22:$N$22,2030-2025+1),0)+IF(AND(2030-2026+1&gt;=1,2030-2026+1&lt;=12),Inputs!$C$27/100*INDEX($C$22:$N$22,2030-2026+1),0)</f>
        <v/>
      </c>
      <c r="J49" s="17">
        <f>IF(AND(2031-2024+1&gt;=1,2031-2024+1&lt;=12),Inputs!$C$25/100*INDEX($C$22:$N$22,2031-2024+1),0)+IF(AND(2031-2025+1&gt;=1,2031-2025+1&lt;=12),Inputs!$C$26/100*INDEX($C$22:$N$22,2031-2025+1),0)+IF(AND(2031-2026+1&gt;=1,2031-2026+1&lt;=12),Inputs!$C$27/100*INDEX($C$22:$N$22,2031-2026+1),0)</f>
        <v/>
      </c>
      <c r="K49" s="17">
        <f>IF(AND(2032-2024+1&gt;=1,2032-2024+1&lt;=12),Inputs!$C$25/100*INDEX($C$22:$N$22,2032-2024+1),0)+IF(AND(2032-2025+1&gt;=1,2032-2025+1&lt;=12),Inputs!$C$26/100*INDEX($C$22:$N$22,2032-2025+1),0)+IF(AND(2032-2026+1&gt;=1,2032-2026+1&lt;=12),Inputs!$C$27/100*INDEX($C$22:$N$22,2032-2026+1),0)</f>
        <v/>
      </c>
      <c r="L49" s="17">
        <f>IF(AND(2033-2024+1&gt;=1,2033-2024+1&lt;=12),Inputs!$C$25/100*INDEX($C$22:$N$22,2033-2024+1),0)+IF(AND(2033-2025+1&gt;=1,2033-2025+1&lt;=12),Inputs!$C$26/100*INDEX($C$22:$N$22,2033-2025+1),0)+IF(AND(2033-2026+1&gt;=1,2033-2026+1&lt;=12),Inputs!$C$27/100*INDEX($C$22:$N$22,2033-2026+1),0)</f>
        <v/>
      </c>
      <c r="M49" s="17">
        <f>IF(AND(2034-2024+1&gt;=1,2034-2024+1&lt;=12),Inputs!$C$25/100*INDEX($C$22:$N$22,2034-2024+1),0)+IF(AND(2034-2025+1&gt;=1,2034-2025+1&lt;=12),Inputs!$C$26/100*INDEX($C$22:$N$22,2034-2025+1),0)+IF(AND(2034-2026+1&gt;=1,2034-2026+1&lt;=12),Inputs!$C$27/100*INDEX($C$22:$N$22,2034-2026+1),0)</f>
        <v/>
      </c>
      <c r="N49" s="17">
        <f>IF(AND(2035-2024+1&gt;=1,2035-2024+1&lt;=12),Inputs!$C$25/100*INDEX($C$22:$N$22,2035-2024+1),0)+IF(AND(2035-2025+1&gt;=1,2035-2025+1&lt;=12),Inputs!$C$26/100*INDEX($C$22:$N$22,2035-2025+1),0)+IF(AND(2035-2026+1&gt;=1,2035-2026+1&lt;=12),Inputs!$C$27/100*INDEX($C$22:$N$22,2035-2026+1),0)</f>
        <v/>
      </c>
      <c r="O49" s="17">
        <f>IF(AND(2036-2024+1&gt;=1,2036-2024+1&lt;=12),Inputs!$C$25/100*INDEX($C$22:$N$22,2036-2024+1),0)+IF(AND(2036-2025+1&gt;=1,2036-2025+1&lt;=12),Inputs!$C$26/100*INDEX($C$22:$N$22,2036-2025+1),0)+IF(AND(2036-2026+1&gt;=1,2036-2026+1&lt;=12),Inputs!$C$27/100*INDEX($C$22:$N$22,2036-2026+1),0)</f>
        <v/>
      </c>
      <c r="P49" s="17">
        <f>IF(AND(2037-2024+1&gt;=1,2037-2024+1&lt;=12),Inputs!$C$25/100*INDEX($C$22:$N$22,2037-2024+1),0)+IF(AND(2037-2025+1&gt;=1,2037-2025+1&lt;=12),Inputs!$C$26/100*INDEX($C$22:$N$22,2037-2025+1),0)+IF(AND(2037-2026+1&gt;=1,2037-2026+1&lt;=12),Inputs!$C$27/100*INDEX($C$22:$N$22,2037-2026+1),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P3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 ht="10" customHeight="1"/>
    <row r="2">
      <c r="B2" s="1" t="inlineStr">
        <is>
          <t>Secondaries: three purchases of LP interests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</row>
    <row r="4">
      <c r="B4" s="4" t="inlineStr">
        <is>
          <t>$ million</t>
        </is>
      </c>
      <c r="C4" s="4" t="inlineStr">
        <is>
          <t>2024</t>
        </is>
      </c>
      <c r="D4" s="4" t="inlineStr">
        <is>
          <t>2025</t>
        </is>
      </c>
      <c r="E4" s="4" t="inlineStr">
        <is>
          <t>2026</t>
        </is>
      </c>
      <c r="F4" s="4" t="inlineStr">
        <is>
          <t>2027</t>
        </is>
      </c>
      <c r="G4" s="4" t="inlineStr">
        <is>
          <t>2028</t>
        </is>
      </c>
      <c r="H4" s="4" t="inlineStr">
        <is>
          <t>2029</t>
        </is>
      </c>
      <c r="I4" s="4" t="inlineStr">
        <is>
          <t>2030</t>
        </is>
      </c>
      <c r="J4" s="4" t="inlineStr">
        <is>
          <t>2031</t>
        </is>
      </c>
      <c r="K4" s="4" t="inlineStr">
        <is>
          <t>2032</t>
        </is>
      </c>
      <c r="L4" s="4" t="inlineStr">
        <is>
          <t>2033</t>
        </is>
      </c>
      <c r="M4" s="4" t="inlineStr">
        <is>
          <t>2034</t>
        </is>
      </c>
      <c r="N4" s="4" t="inlineStr">
        <is>
          <t>2035</t>
        </is>
      </c>
      <c r="O4" s="4" t="inlineStr">
        <is>
          <t>2036</t>
        </is>
      </c>
      <c r="P4" s="4" t="inlineStr">
        <is>
          <t>2037</t>
        </is>
      </c>
    </row>
    <row r="5">
      <c r="B5" s="5" t="inlineStr">
        <is>
          <t>Purchase at end-2024</t>
        </is>
      </c>
    </row>
    <row r="6">
      <c r="B6" s="2" t="inlineStr">
        <is>
          <t>NAV, opening</t>
        </is>
      </c>
      <c r="C6" s="17" t="n">
        <v>0</v>
      </c>
      <c r="D6" s="17">
        <f>C10</f>
        <v/>
      </c>
      <c r="E6" s="17">
        <f>D10</f>
        <v/>
      </c>
      <c r="F6" s="17">
        <f>E10</f>
        <v/>
      </c>
      <c r="G6" s="17">
        <f>F10</f>
        <v/>
      </c>
      <c r="H6" s="17">
        <f>G10</f>
        <v/>
      </c>
      <c r="I6" s="17">
        <f>H10</f>
        <v/>
      </c>
      <c r="J6" s="17">
        <f>I10</f>
        <v/>
      </c>
      <c r="K6" s="17">
        <f>J10</f>
        <v/>
      </c>
      <c r="L6" s="17">
        <f>K10</f>
        <v/>
      </c>
      <c r="M6" s="17">
        <f>L10</f>
        <v/>
      </c>
      <c r="N6" s="17">
        <f>M10</f>
        <v/>
      </c>
      <c r="O6" s="17">
        <f>N10</f>
        <v/>
      </c>
      <c r="P6" s="17">
        <f>O10</f>
        <v/>
      </c>
    </row>
    <row r="7">
      <c r="B7" s="2" t="inlineStr">
        <is>
          <t>Distribution</t>
        </is>
      </c>
      <c r="C7" s="17" t="n">
        <v>0</v>
      </c>
      <c r="D7" s="17">
        <f>Inputs!$C$35*D6</f>
        <v/>
      </c>
      <c r="E7" s="17">
        <f>Inputs!$C$35*E6</f>
        <v/>
      </c>
      <c r="F7" s="17">
        <f>Inputs!$C$35*F6</f>
        <v/>
      </c>
      <c r="G7" s="17">
        <f>Inputs!$C$35*G6</f>
        <v/>
      </c>
      <c r="H7" s="17">
        <f>Inputs!$C$35*H6</f>
        <v/>
      </c>
      <c r="I7" s="17">
        <f>Inputs!$C$35*I6</f>
        <v/>
      </c>
      <c r="J7" s="17">
        <f>Inputs!$C$35*J6</f>
        <v/>
      </c>
      <c r="K7" s="17">
        <f>Inputs!$C$35*K6</f>
        <v/>
      </c>
      <c r="L7" s="17">
        <f>Inputs!$C$35*L6</f>
        <v/>
      </c>
      <c r="M7" s="17">
        <f>Inputs!$C$35*M6</f>
        <v/>
      </c>
      <c r="N7" s="17">
        <f>Inputs!$C$35*N6</f>
        <v/>
      </c>
      <c r="O7" s="17">
        <f>Inputs!$C$35*O6</f>
        <v/>
      </c>
      <c r="P7" s="17">
        <f>Inputs!$C$35*P6</f>
        <v/>
      </c>
    </row>
    <row r="8">
      <c r="B8" s="2" t="inlineStr">
        <is>
          <t>Unfunded called</t>
        </is>
      </c>
      <c r="C8" s="17" t="n">
        <v>0</v>
      </c>
      <c r="D8" s="17">
        <f>IF(OR(2025=2024+1,2025=2024+2),Inputs!$C$29*Inputs!$C$33/2,0)</f>
        <v/>
      </c>
      <c r="E8" s="17">
        <f>IF(OR(2026=2024+1,2026=2024+2),Inputs!$C$29*Inputs!$C$33/2,0)</f>
        <v/>
      </c>
      <c r="F8" s="17">
        <f>IF(OR(2027=2024+1,2027=2024+2),Inputs!$C$29*Inputs!$C$33/2,0)</f>
        <v/>
      </c>
      <c r="G8" s="17">
        <f>IF(OR(2028=2024+1,2028=2024+2),Inputs!$C$29*Inputs!$C$33/2,0)</f>
        <v/>
      </c>
      <c r="H8" s="17">
        <f>IF(OR(2029=2024+1,2029=2024+2),Inputs!$C$29*Inputs!$C$33/2,0)</f>
        <v/>
      </c>
      <c r="I8" s="17">
        <f>IF(OR(2030=2024+1,2030=2024+2),Inputs!$C$29*Inputs!$C$33/2,0)</f>
        <v/>
      </c>
      <c r="J8" s="17">
        <f>IF(OR(2031=2024+1,2031=2024+2),Inputs!$C$29*Inputs!$C$33/2,0)</f>
        <v/>
      </c>
      <c r="K8" s="17">
        <f>IF(OR(2032=2024+1,2032=2024+2),Inputs!$C$29*Inputs!$C$33/2,0)</f>
        <v/>
      </c>
      <c r="L8" s="17">
        <f>IF(OR(2033=2024+1,2033=2024+2),Inputs!$C$29*Inputs!$C$33/2,0)</f>
        <v/>
      </c>
      <c r="M8" s="17">
        <f>IF(OR(2034=2024+1,2034=2024+2),Inputs!$C$29*Inputs!$C$33/2,0)</f>
        <v/>
      </c>
      <c r="N8" s="17">
        <f>IF(OR(2035=2024+1,2035=2024+2),Inputs!$C$29*Inputs!$C$33/2,0)</f>
        <v/>
      </c>
      <c r="O8" s="17">
        <f>IF(OR(2036=2024+1,2036=2024+2),Inputs!$C$29*Inputs!$C$33/2,0)</f>
        <v/>
      </c>
      <c r="P8" s="17">
        <f>IF(OR(2037=2024+1,2037=2024+2),Inputs!$C$29*Inputs!$C$33/2,0)</f>
        <v/>
      </c>
    </row>
    <row r="9">
      <c r="B9" s="2" t="inlineStr">
        <is>
          <t>Purchase price paid</t>
        </is>
      </c>
      <c r="C9" s="17">
        <f>Inputs!$C$29*Inputs!$C$32</f>
        <v/>
      </c>
      <c r="D9" s="17" t="n">
        <v>0</v>
      </c>
      <c r="E9" s="17" t="n">
        <v>0</v>
      </c>
      <c r="F9" s="17" t="n">
        <v>0</v>
      </c>
      <c r="G9" s="17" t="n">
        <v>0</v>
      </c>
      <c r="H9" s="17" t="n">
        <v>0</v>
      </c>
      <c r="I9" s="17" t="n">
        <v>0</v>
      </c>
      <c r="J9" s="17" t="n">
        <v>0</v>
      </c>
      <c r="K9" s="17" t="n">
        <v>0</v>
      </c>
      <c r="L9" s="17" t="n">
        <v>0</v>
      </c>
      <c r="M9" s="17" t="n">
        <v>0</v>
      </c>
      <c r="N9" s="17" t="n">
        <v>0</v>
      </c>
      <c r="O9" s="17" t="n">
        <v>0</v>
      </c>
      <c r="P9" s="17" t="n">
        <v>0</v>
      </c>
    </row>
    <row r="10">
      <c r="B10" s="2" t="inlineStr">
        <is>
          <t>NAV, closing</t>
        </is>
      </c>
      <c r="C10" s="17">
        <f>Inputs!$C$29</f>
        <v/>
      </c>
      <c r="D10" s="17">
        <f>D6*(1+Inputs!$C$34)-D7+D8</f>
        <v/>
      </c>
      <c r="E10" s="17">
        <f>E6*(1+Inputs!$C$34)-E7+E8</f>
        <v/>
      </c>
      <c r="F10" s="17">
        <f>F6*(1+Inputs!$C$34)-F7+F8</f>
        <v/>
      </c>
      <c r="G10" s="17">
        <f>G6*(1+Inputs!$C$34)-G7+G8</f>
        <v/>
      </c>
      <c r="H10" s="17">
        <f>H6*(1+Inputs!$C$34)-H7+H8</f>
        <v/>
      </c>
      <c r="I10" s="17">
        <f>I6*(1+Inputs!$C$34)-I7+I8</f>
        <v/>
      </c>
      <c r="J10" s="17">
        <f>J6*(1+Inputs!$C$34)-J7+J8</f>
        <v/>
      </c>
      <c r="K10" s="17">
        <f>K6*(1+Inputs!$C$34)-K7+K8</f>
        <v/>
      </c>
      <c r="L10" s="17">
        <f>L6*(1+Inputs!$C$34)-L7+L8</f>
        <v/>
      </c>
      <c r="M10" s="17">
        <f>M6*(1+Inputs!$C$34)-M7+M8</f>
        <v/>
      </c>
      <c r="N10" s="17">
        <f>N6*(1+Inputs!$C$34)-N7+N8</f>
        <v/>
      </c>
      <c r="O10" s="17">
        <f>O6*(1+Inputs!$C$34)-O7+O8</f>
        <v/>
      </c>
      <c r="P10" s="17">
        <f>P6*(1+Inputs!$C$34)-P7+P8</f>
        <v/>
      </c>
    </row>
    <row r="12">
      <c r="B12" s="5" t="inlineStr">
        <is>
          <t>Purchase at end-2025</t>
        </is>
      </c>
    </row>
    <row r="13">
      <c r="B13" s="2" t="inlineStr">
        <is>
          <t>NAV, opening</t>
        </is>
      </c>
      <c r="C13" s="17" t="n">
        <v>0</v>
      </c>
      <c r="D13" s="17" t="n">
        <v>0</v>
      </c>
      <c r="E13" s="17">
        <f>D17</f>
        <v/>
      </c>
      <c r="F13" s="17">
        <f>E17</f>
        <v/>
      </c>
      <c r="G13" s="17">
        <f>F17</f>
        <v/>
      </c>
      <c r="H13" s="17">
        <f>G17</f>
        <v/>
      </c>
      <c r="I13" s="17">
        <f>H17</f>
        <v/>
      </c>
      <c r="J13" s="17">
        <f>I17</f>
        <v/>
      </c>
      <c r="K13" s="17">
        <f>J17</f>
        <v/>
      </c>
      <c r="L13" s="17">
        <f>K17</f>
        <v/>
      </c>
      <c r="M13" s="17">
        <f>L17</f>
        <v/>
      </c>
      <c r="N13" s="17">
        <f>M17</f>
        <v/>
      </c>
      <c r="O13" s="17">
        <f>N17</f>
        <v/>
      </c>
      <c r="P13" s="17">
        <f>O17</f>
        <v/>
      </c>
    </row>
    <row r="14">
      <c r="B14" s="2" t="inlineStr">
        <is>
          <t>Distribution</t>
        </is>
      </c>
      <c r="C14" s="17" t="n">
        <v>0</v>
      </c>
      <c r="D14" s="17" t="n">
        <v>0</v>
      </c>
      <c r="E14" s="17">
        <f>Inputs!$C$35*E13</f>
        <v/>
      </c>
      <c r="F14" s="17">
        <f>Inputs!$C$35*F13</f>
        <v/>
      </c>
      <c r="G14" s="17">
        <f>Inputs!$C$35*G13</f>
        <v/>
      </c>
      <c r="H14" s="17">
        <f>Inputs!$C$35*H13</f>
        <v/>
      </c>
      <c r="I14" s="17">
        <f>Inputs!$C$35*I13</f>
        <v/>
      </c>
      <c r="J14" s="17">
        <f>Inputs!$C$35*J13</f>
        <v/>
      </c>
      <c r="K14" s="17">
        <f>Inputs!$C$35*K13</f>
        <v/>
      </c>
      <c r="L14" s="17">
        <f>Inputs!$C$35*L13</f>
        <v/>
      </c>
      <c r="M14" s="17">
        <f>Inputs!$C$35*M13</f>
        <v/>
      </c>
      <c r="N14" s="17">
        <f>Inputs!$C$35*N13</f>
        <v/>
      </c>
      <c r="O14" s="17">
        <f>Inputs!$C$35*O13</f>
        <v/>
      </c>
      <c r="P14" s="17">
        <f>Inputs!$C$35*P13</f>
        <v/>
      </c>
    </row>
    <row r="15">
      <c r="B15" s="2" t="inlineStr">
        <is>
          <t>Unfunded called</t>
        </is>
      </c>
      <c r="C15" s="17" t="n">
        <v>0</v>
      </c>
      <c r="D15" s="17" t="n">
        <v>0</v>
      </c>
      <c r="E15" s="17">
        <f>IF(OR(2026=2025+1,2026=2025+2),Inputs!$C$30*Inputs!$C$33/2,0)</f>
        <v/>
      </c>
      <c r="F15" s="17">
        <f>IF(OR(2027=2025+1,2027=2025+2),Inputs!$C$30*Inputs!$C$33/2,0)</f>
        <v/>
      </c>
      <c r="G15" s="17">
        <f>IF(OR(2028=2025+1,2028=2025+2),Inputs!$C$30*Inputs!$C$33/2,0)</f>
        <v/>
      </c>
      <c r="H15" s="17">
        <f>IF(OR(2029=2025+1,2029=2025+2),Inputs!$C$30*Inputs!$C$33/2,0)</f>
        <v/>
      </c>
      <c r="I15" s="17">
        <f>IF(OR(2030=2025+1,2030=2025+2),Inputs!$C$30*Inputs!$C$33/2,0)</f>
        <v/>
      </c>
      <c r="J15" s="17">
        <f>IF(OR(2031=2025+1,2031=2025+2),Inputs!$C$30*Inputs!$C$33/2,0)</f>
        <v/>
      </c>
      <c r="K15" s="17">
        <f>IF(OR(2032=2025+1,2032=2025+2),Inputs!$C$30*Inputs!$C$33/2,0)</f>
        <v/>
      </c>
      <c r="L15" s="17">
        <f>IF(OR(2033=2025+1,2033=2025+2),Inputs!$C$30*Inputs!$C$33/2,0)</f>
        <v/>
      </c>
      <c r="M15" s="17">
        <f>IF(OR(2034=2025+1,2034=2025+2),Inputs!$C$30*Inputs!$C$33/2,0)</f>
        <v/>
      </c>
      <c r="N15" s="17">
        <f>IF(OR(2035=2025+1,2035=2025+2),Inputs!$C$30*Inputs!$C$33/2,0)</f>
        <v/>
      </c>
      <c r="O15" s="17">
        <f>IF(OR(2036=2025+1,2036=2025+2),Inputs!$C$30*Inputs!$C$33/2,0)</f>
        <v/>
      </c>
      <c r="P15" s="17">
        <f>IF(OR(2037=2025+1,2037=2025+2),Inputs!$C$30*Inputs!$C$33/2,0)</f>
        <v/>
      </c>
    </row>
    <row r="16">
      <c r="B16" s="2" t="inlineStr">
        <is>
          <t>Purchase price paid</t>
        </is>
      </c>
      <c r="C16" s="17" t="n">
        <v>0</v>
      </c>
      <c r="D16" s="17">
        <f>Inputs!$C$30*Inputs!$C$32</f>
        <v/>
      </c>
      <c r="E16" s="17" t="n">
        <v>0</v>
      </c>
      <c r="F16" s="17" t="n">
        <v>0</v>
      </c>
      <c r="G16" s="17" t="n">
        <v>0</v>
      </c>
      <c r="H16" s="17" t="n">
        <v>0</v>
      </c>
      <c r="I16" s="17" t="n">
        <v>0</v>
      </c>
      <c r="J16" s="17" t="n">
        <v>0</v>
      </c>
      <c r="K16" s="17" t="n">
        <v>0</v>
      </c>
      <c r="L16" s="17" t="n">
        <v>0</v>
      </c>
      <c r="M16" s="17" t="n">
        <v>0</v>
      </c>
      <c r="N16" s="17" t="n">
        <v>0</v>
      </c>
      <c r="O16" s="17" t="n">
        <v>0</v>
      </c>
      <c r="P16" s="17" t="n">
        <v>0</v>
      </c>
    </row>
    <row r="17">
      <c r="B17" s="2" t="inlineStr">
        <is>
          <t>NAV, closing</t>
        </is>
      </c>
      <c r="C17" s="17" t="n">
        <v>0</v>
      </c>
      <c r="D17" s="17">
        <f>Inputs!$C$30</f>
        <v/>
      </c>
      <c r="E17" s="17">
        <f>E13*(1+Inputs!$C$34)-E14+E15</f>
        <v/>
      </c>
      <c r="F17" s="17">
        <f>F13*(1+Inputs!$C$34)-F14+F15</f>
        <v/>
      </c>
      <c r="G17" s="17">
        <f>G13*(1+Inputs!$C$34)-G14+G15</f>
        <v/>
      </c>
      <c r="H17" s="17">
        <f>H13*(1+Inputs!$C$34)-H14+H15</f>
        <v/>
      </c>
      <c r="I17" s="17">
        <f>I13*(1+Inputs!$C$34)-I14+I15</f>
        <v/>
      </c>
      <c r="J17" s="17">
        <f>J13*(1+Inputs!$C$34)-J14+J15</f>
        <v/>
      </c>
      <c r="K17" s="17">
        <f>K13*(1+Inputs!$C$34)-K14+K15</f>
        <v/>
      </c>
      <c r="L17" s="17">
        <f>L13*(1+Inputs!$C$34)-L14+L15</f>
        <v/>
      </c>
      <c r="M17" s="17">
        <f>M13*(1+Inputs!$C$34)-M14+M15</f>
        <v/>
      </c>
      <c r="N17" s="17">
        <f>N13*(1+Inputs!$C$34)-N14+N15</f>
        <v/>
      </c>
      <c r="O17" s="17">
        <f>O13*(1+Inputs!$C$34)-O14+O15</f>
        <v/>
      </c>
      <c r="P17" s="17">
        <f>P13*(1+Inputs!$C$34)-P14+P15</f>
        <v/>
      </c>
    </row>
    <row r="19">
      <c r="B19" s="5" t="inlineStr">
        <is>
          <t>Purchase at end-2026</t>
        </is>
      </c>
    </row>
    <row r="20">
      <c r="B20" s="2" t="inlineStr">
        <is>
          <t>NAV, opening</t>
        </is>
      </c>
      <c r="C20" s="17" t="n">
        <v>0</v>
      </c>
      <c r="D20" s="17" t="n">
        <v>0</v>
      </c>
      <c r="E20" s="17" t="n">
        <v>0</v>
      </c>
      <c r="F20" s="17">
        <f>E24</f>
        <v/>
      </c>
      <c r="G20" s="17">
        <f>F24</f>
        <v/>
      </c>
      <c r="H20" s="17">
        <f>G24</f>
        <v/>
      </c>
      <c r="I20" s="17">
        <f>H24</f>
        <v/>
      </c>
      <c r="J20" s="17">
        <f>I24</f>
        <v/>
      </c>
      <c r="K20" s="17">
        <f>J24</f>
        <v/>
      </c>
      <c r="L20" s="17">
        <f>K24</f>
        <v/>
      </c>
      <c r="M20" s="17">
        <f>L24</f>
        <v/>
      </c>
      <c r="N20" s="17">
        <f>M24</f>
        <v/>
      </c>
      <c r="O20" s="17">
        <f>N24</f>
        <v/>
      </c>
      <c r="P20" s="17">
        <f>O24</f>
        <v/>
      </c>
    </row>
    <row r="21">
      <c r="B21" s="2" t="inlineStr">
        <is>
          <t>Distribution</t>
        </is>
      </c>
      <c r="C21" s="17" t="n">
        <v>0</v>
      </c>
      <c r="D21" s="17" t="n">
        <v>0</v>
      </c>
      <c r="E21" s="17" t="n">
        <v>0</v>
      </c>
      <c r="F21" s="17">
        <f>Inputs!$C$35*F20</f>
        <v/>
      </c>
      <c r="G21" s="17">
        <f>Inputs!$C$35*G20</f>
        <v/>
      </c>
      <c r="H21" s="17">
        <f>Inputs!$C$35*H20</f>
        <v/>
      </c>
      <c r="I21" s="17">
        <f>Inputs!$C$35*I20</f>
        <v/>
      </c>
      <c r="J21" s="17">
        <f>Inputs!$C$35*J20</f>
        <v/>
      </c>
      <c r="K21" s="17">
        <f>Inputs!$C$35*K20</f>
        <v/>
      </c>
      <c r="L21" s="17">
        <f>Inputs!$C$35*L20</f>
        <v/>
      </c>
      <c r="M21" s="17">
        <f>Inputs!$C$35*M20</f>
        <v/>
      </c>
      <c r="N21" s="17">
        <f>Inputs!$C$35*N20</f>
        <v/>
      </c>
      <c r="O21" s="17">
        <f>Inputs!$C$35*O20</f>
        <v/>
      </c>
      <c r="P21" s="17">
        <f>Inputs!$C$35*P20</f>
        <v/>
      </c>
    </row>
    <row r="22">
      <c r="B22" s="2" t="inlineStr">
        <is>
          <t>Unfunded called</t>
        </is>
      </c>
      <c r="C22" s="17" t="n">
        <v>0</v>
      </c>
      <c r="D22" s="17" t="n">
        <v>0</v>
      </c>
      <c r="E22" s="17" t="n">
        <v>0</v>
      </c>
      <c r="F22" s="17">
        <f>IF(OR(2027=2026+1,2027=2026+2),Inputs!$C$31*Inputs!$C$33/2,0)</f>
        <v/>
      </c>
      <c r="G22" s="17">
        <f>IF(OR(2028=2026+1,2028=2026+2),Inputs!$C$31*Inputs!$C$33/2,0)</f>
        <v/>
      </c>
      <c r="H22" s="17">
        <f>IF(OR(2029=2026+1,2029=2026+2),Inputs!$C$31*Inputs!$C$33/2,0)</f>
        <v/>
      </c>
      <c r="I22" s="17">
        <f>IF(OR(2030=2026+1,2030=2026+2),Inputs!$C$31*Inputs!$C$33/2,0)</f>
        <v/>
      </c>
      <c r="J22" s="17">
        <f>IF(OR(2031=2026+1,2031=2026+2),Inputs!$C$31*Inputs!$C$33/2,0)</f>
        <v/>
      </c>
      <c r="K22" s="17">
        <f>IF(OR(2032=2026+1,2032=2026+2),Inputs!$C$31*Inputs!$C$33/2,0)</f>
        <v/>
      </c>
      <c r="L22" s="17">
        <f>IF(OR(2033=2026+1,2033=2026+2),Inputs!$C$31*Inputs!$C$33/2,0)</f>
        <v/>
      </c>
      <c r="M22" s="17">
        <f>IF(OR(2034=2026+1,2034=2026+2),Inputs!$C$31*Inputs!$C$33/2,0)</f>
        <v/>
      </c>
      <c r="N22" s="17">
        <f>IF(OR(2035=2026+1,2035=2026+2),Inputs!$C$31*Inputs!$C$33/2,0)</f>
        <v/>
      </c>
      <c r="O22" s="17">
        <f>IF(OR(2036=2026+1,2036=2026+2),Inputs!$C$31*Inputs!$C$33/2,0)</f>
        <v/>
      </c>
      <c r="P22" s="17">
        <f>IF(OR(2037=2026+1,2037=2026+2),Inputs!$C$31*Inputs!$C$33/2,0)</f>
        <v/>
      </c>
    </row>
    <row r="23">
      <c r="B23" s="2" t="inlineStr">
        <is>
          <t>Purchase price paid</t>
        </is>
      </c>
      <c r="C23" s="17" t="n">
        <v>0</v>
      </c>
      <c r="D23" s="17" t="n">
        <v>0</v>
      </c>
      <c r="E23" s="17">
        <f>Inputs!$C$31*Inputs!$C$32</f>
        <v/>
      </c>
      <c r="F23" s="17" t="n">
        <v>0</v>
      </c>
      <c r="G23" s="17" t="n">
        <v>0</v>
      </c>
      <c r="H23" s="17" t="n">
        <v>0</v>
      </c>
      <c r="I23" s="17" t="n">
        <v>0</v>
      </c>
      <c r="J23" s="17" t="n">
        <v>0</v>
      </c>
      <c r="K23" s="17" t="n">
        <v>0</v>
      </c>
      <c r="L23" s="17" t="n">
        <v>0</v>
      </c>
      <c r="M23" s="17" t="n">
        <v>0</v>
      </c>
      <c r="N23" s="17" t="n">
        <v>0</v>
      </c>
      <c r="O23" s="17" t="n">
        <v>0</v>
      </c>
      <c r="P23" s="17" t="n">
        <v>0</v>
      </c>
    </row>
    <row r="24">
      <c r="B24" s="2" t="inlineStr">
        <is>
          <t>NAV, closing</t>
        </is>
      </c>
      <c r="C24" s="17" t="n">
        <v>0</v>
      </c>
      <c r="D24" s="17" t="n">
        <v>0</v>
      </c>
      <c r="E24" s="17">
        <f>Inputs!$C$31</f>
        <v/>
      </c>
      <c r="F24" s="17">
        <f>F20*(1+Inputs!$C$34)-F21+F22</f>
        <v/>
      </c>
      <c r="G24" s="17">
        <f>G20*(1+Inputs!$C$34)-G21+G22</f>
        <v/>
      </c>
      <c r="H24" s="17">
        <f>H20*(1+Inputs!$C$34)-H21+H22</f>
        <v/>
      </c>
      <c r="I24" s="17">
        <f>I20*(1+Inputs!$C$34)-I21+I22</f>
        <v/>
      </c>
      <c r="J24" s="17">
        <f>J20*(1+Inputs!$C$34)-J21+J22</f>
        <v/>
      </c>
      <c r="K24" s="17">
        <f>K20*(1+Inputs!$C$34)-K21+K22</f>
        <v/>
      </c>
      <c r="L24" s="17">
        <f>L20*(1+Inputs!$C$34)-L21+L22</f>
        <v/>
      </c>
      <c r="M24" s="17">
        <f>M20*(1+Inputs!$C$34)-M21+M22</f>
        <v/>
      </c>
      <c r="N24" s="17">
        <f>N20*(1+Inputs!$C$34)-N21+N22</f>
        <v/>
      </c>
      <c r="O24" s="17">
        <f>O20*(1+Inputs!$C$34)-O21+O22</f>
        <v/>
      </c>
      <c r="P24" s="17">
        <f>P20*(1+Inputs!$C$34)-P21+P22</f>
        <v/>
      </c>
    </row>
    <row r="26">
      <c r="B26" s="4" t="inlineStr">
        <is>
          <t>Secondaries sleeve ($m)</t>
        </is>
      </c>
      <c r="C26" s="4" t="inlineStr">
        <is>
          <t>2024</t>
        </is>
      </c>
      <c r="D26" s="4" t="inlineStr">
        <is>
          <t>2025</t>
        </is>
      </c>
      <c r="E26" s="4" t="inlineStr">
        <is>
          <t>2026</t>
        </is>
      </c>
      <c r="F26" s="4" t="inlineStr">
        <is>
          <t>2027</t>
        </is>
      </c>
      <c r="G26" s="4" t="inlineStr">
        <is>
          <t>2028</t>
        </is>
      </c>
      <c r="H26" s="4" t="inlineStr">
        <is>
          <t>2029</t>
        </is>
      </c>
      <c r="I26" s="4" t="inlineStr">
        <is>
          <t>2030</t>
        </is>
      </c>
      <c r="J26" s="4" t="inlineStr">
        <is>
          <t>2031</t>
        </is>
      </c>
      <c r="K26" s="4" t="inlineStr">
        <is>
          <t>2032</t>
        </is>
      </c>
      <c r="L26" s="4" t="inlineStr">
        <is>
          <t>2033</t>
        </is>
      </c>
      <c r="M26" s="4" t="inlineStr">
        <is>
          <t>2034</t>
        </is>
      </c>
      <c r="N26" s="4" t="inlineStr">
        <is>
          <t>2035</t>
        </is>
      </c>
      <c r="O26" s="4" t="inlineStr">
        <is>
          <t>2036</t>
        </is>
      </c>
      <c r="P26" s="4" t="inlineStr">
        <is>
          <t>2037</t>
        </is>
      </c>
    </row>
    <row r="27">
      <c r="B27" s="5" t="inlineStr">
        <is>
          <t>Called (price and unfunded)</t>
        </is>
      </c>
      <c r="C27" s="17">
        <f>C9+C8+C16+C15+C23+C22</f>
        <v/>
      </c>
      <c r="D27" s="17">
        <f>D9+D8+D16+D15+D23+D22</f>
        <v/>
      </c>
      <c r="E27" s="17">
        <f>E9+E8+E16+E15+E23+E22</f>
        <v/>
      </c>
      <c r="F27" s="17">
        <f>F9+F8+F16+F15+F23+F22</f>
        <v/>
      </c>
      <c r="G27" s="17">
        <f>G9+G8+G16+G15+G23+G22</f>
        <v/>
      </c>
      <c r="H27" s="17">
        <f>H9+H8+H16+H15+H23+H22</f>
        <v/>
      </c>
      <c r="I27" s="17">
        <f>I9+I8+I16+I15+I23+I22</f>
        <v/>
      </c>
      <c r="J27" s="17">
        <f>J9+J8+J16+J15+J23+J22</f>
        <v/>
      </c>
      <c r="K27" s="17">
        <f>K9+K8+K16+K15+K23+K22</f>
        <v/>
      </c>
      <c r="L27" s="17">
        <f>L9+L8+L16+L15+L23+L22</f>
        <v/>
      </c>
      <c r="M27" s="17">
        <f>M9+M8+M16+M15+M23+M22</f>
        <v/>
      </c>
      <c r="N27" s="17">
        <f>N9+N8+N16+N15+N23+N22</f>
        <v/>
      </c>
      <c r="O27" s="17">
        <f>O9+O8+O16+O15+O23+O22</f>
        <v/>
      </c>
      <c r="P27" s="17">
        <f>P9+P8+P16+P15+P23+P22</f>
        <v/>
      </c>
    </row>
    <row r="28">
      <c r="B28" s="5" t="inlineStr">
        <is>
          <t>Distributed (with 2037 liquidation)</t>
        </is>
      </c>
      <c r="C28" s="17">
        <f>C7+C14+C21</f>
        <v/>
      </c>
      <c r="D28" s="17">
        <f>D7+D14+D21</f>
        <v/>
      </c>
      <c r="E28" s="17">
        <f>E7+E14+E21</f>
        <v/>
      </c>
      <c r="F28" s="17">
        <f>F7+F14+F21</f>
        <v/>
      </c>
      <c r="G28" s="17">
        <f>G7+G14+G21</f>
        <v/>
      </c>
      <c r="H28" s="17">
        <f>H7+H14+H21</f>
        <v/>
      </c>
      <c r="I28" s="17">
        <f>I7+I14+I21</f>
        <v/>
      </c>
      <c r="J28" s="17">
        <f>J7+J14+J21</f>
        <v/>
      </c>
      <c r="K28" s="17">
        <f>K7+K14+K21</f>
        <v/>
      </c>
      <c r="L28" s="17">
        <f>L7+L14+L21</f>
        <v/>
      </c>
      <c r="M28" s="17">
        <f>M7+M14+M21</f>
        <v/>
      </c>
      <c r="N28" s="17">
        <f>N7+N14+N21</f>
        <v/>
      </c>
      <c r="O28" s="17">
        <f>O7+O14+O21</f>
        <v/>
      </c>
      <c r="P28" s="17">
        <f>P7+P14+P21+P10+P17+P24</f>
        <v/>
      </c>
    </row>
    <row r="29">
      <c r="B29" s="5" t="inlineStr">
        <is>
          <t>NAV (after liquidation)</t>
        </is>
      </c>
      <c r="C29" s="17">
        <f>C10+C17+C24</f>
        <v/>
      </c>
      <c r="D29" s="17">
        <f>D10+D17+D24</f>
        <v/>
      </c>
      <c r="E29" s="17">
        <f>E10+E17+E24</f>
        <v/>
      </c>
      <c r="F29" s="17">
        <f>F10+F17+F24</f>
        <v/>
      </c>
      <c r="G29" s="17">
        <f>G10+G17+G24</f>
        <v/>
      </c>
      <c r="H29" s="17">
        <f>H10+H17+H24</f>
        <v/>
      </c>
      <c r="I29" s="17">
        <f>I10+I17+I24</f>
        <v/>
      </c>
      <c r="J29" s="17">
        <f>J10+J17+J24</f>
        <v/>
      </c>
      <c r="K29" s="17">
        <f>K10+K17+K24</f>
        <v/>
      </c>
      <c r="L29" s="17">
        <f>L10+L17+L24</f>
        <v/>
      </c>
      <c r="M29" s="17">
        <f>M10+M17+M24</f>
        <v/>
      </c>
      <c r="N29" s="17">
        <f>N10+N17+N24</f>
        <v/>
      </c>
      <c r="O29" s="17">
        <f>O10+O17+O24</f>
        <v/>
      </c>
      <c r="P29" s="17" t="n">
        <v>0</v>
      </c>
    </row>
    <row r="31">
      <c r="B31" s="5" t="inlineStr">
        <is>
          <t>Day-one gain (NAV bought less price)</t>
        </is>
      </c>
      <c r="C31" s="18">
        <f>Inputs!$C$29*(1-Inputs!$C$32)+Inputs!$C$30*(1-Inputs!$C$32)+Inputs!$C$31*(1-Inputs!$C$32)</f>
        <v/>
      </c>
    </row>
    <row r="32">
      <c r="B32" s="5" t="inlineStr">
        <is>
          <t>Sleeve multiple (distributed / called)</t>
        </is>
      </c>
      <c r="C32" s="15">
        <f>SUM(C28:P28)/SUM(C27:P27)</f>
        <v/>
      </c>
    </row>
    <row r="33">
      <c r="B33" s="2" t="inlineStr">
        <is>
          <t>Sleeve net cash flow</t>
        </is>
      </c>
      <c r="C33" s="17">
        <f>C28-C27</f>
        <v/>
      </c>
      <c r="D33" s="17">
        <f>D28-D27</f>
        <v/>
      </c>
      <c r="E33" s="17">
        <f>E28-E27</f>
        <v/>
      </c>
      <c r="F33" s="17">
        <f>F28-F27</f>
        <v/>
      </c>
      <c r="G33" s="17">
        <f>G28-G27</f>
        <v/>
      </c>
      <c r="H33" s="17">
        <f>H28-H27</f>
        <v/>
      </c>
      <c r="I33" s="17">
        <f>I28-I27</f>
        <v/>
      </c>
      <c r="J33" s="17">
        <f>J28-J27</f>
        <v/>
      </c>
      <c r="K33" s="17">
        <f>K28-K27</f>
        <v/>
      </c>
      <c r="L33" s="17">
        <f>L28-L27</f>
        <v/>
      </c>
      <c r="M33" s="17">
        <f>M28-M27</f>
        <v/>
      </c>
      <c r="N33" s="17">
        <f>N28-N27</f>
        <v/>
      </c>
      <c r="O33" s="17">
        <f>O28-O27</f>
        <v/>
      </c>
      <c r="P33" s="17">
        <f>P28-P27</f>
        <v/>
      </c>
    </row>
    <row r="34">
      <c r="B34" s="5" t="inlineStr">
        <is>
          <t>Sleeve IRR</t>
        </is>
      </c>
      <c r="C34" s="16">
        <f>IRR(C33:P33)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P2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 ht="10" customHeight="1"/>
    <row r="2">
      <c r="B2" s="1" t="inlineStr">
        <is>
          <t>Co-investments: nine deals, one write-off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</row>
    <row r="4">
      <c r="B4" s="4" t="inlineStr">
        <is>
          <t>$ million</t>
        </is>
      </c>
      <c r="C4" s="4" t="inlineStr">
        <is>
          <t>2024</t>
        </is>
      </c>
      <c r="D4" s="4" t="inlineStr">
        <is>
          <t>2025</t>
        </is>
      </c>
      <c r="E4" s="4" t="inlineStr">
        <is>
          <t>2026</t>
        </is>
      </c>
      <c r="F4" s="4" t="inlineStr">
        <is>
          <t>2027</t>
        </is>
      </c>
      <c r="G4" s="4" t="inlineStr">
        <is>
          <t>2028</t>
        </is>
      </c>
      <c r="H4" s="4" t="inlineStr">
        <is>
          <t>2029</t>
        </is>
      </c>
      <c r="I4" s="4" t="inlineStr">
        <is>
          <t>2030</t>
        </is>
      </c>
      <c r="J4" s="4" t="inlineStr">
        <is>
          <t>2031</t>
        </is>
      </c>
      <c r="K4" s="4" t="inlineStr">
        <is>
          <t>2032</t>
        </is>
      </c>
      <c r="L4" s="4" t="inlineStr">
        <is>
          <t>2033</t>
        </is>
      </c>
      <c r="M4" s="4" t="inlineStr">
        <is>
          <t>2034</t>
        </is>
      </c>
      <c r="N4" s="4" t="inlineStr">
        <is>
          <t>2035</t>
        </is>
      </c>
      <c r="O4" s="4" t="inlineStr">
        <is>
          <t>2036</t>
        </is>
      </c>
      <c r="P4" s="4" t="inlineStr">
        <is>
          <t>2037</t>
        </is>
      </c>
    </row>
    <row r="5">
      <c r="B5" s="2" t="inlineStr">
        <is>
          <t>Performing deals of 2024: called</t>
        </is>
      </c>
      <c r="C5" s="17">
        <f>IF(0=0,(Inputs!$C$38-IF(2024=2025,1,0))*Inputs!$C$37,0)</f>
        <v/>
      </c>
      <c r="D5" s="17">
        <f>IF(1=0,(Inputs!$C$38-IF(2024=2025,1,0))*Inputs!$C$37,0)</f>
        <v/>
      </c>
      <c r="E5" s="17">
        <f>IF(2=0,(Inputs!$C$38-IF(2024=2025,1,0))*Inputs!$C$37,0)</f>
        <v/>
      </c>
      <c r="F5" s="17">
        <f>IF(3=0,(Inputs!$C$38-IF(2024=2025,1,0))*Inputs!$C$37,0)</f>
        <v/>
      </c>
      <c r="G5" s="17">
        <f>IF(4=0,(Inputs!$C$38-IF(2024=2025,1,0))*Inputs!$C$37,0)</f>
        <v/>
      </c>
      <c r="H5" s="17">
        <f>IF(5=0,(Inputs!$C$38-IF(2024=2025,1,0))*Inputs!$C$37,0)</f>
        <v/>
      </c>
      <c r="I5" s="17">
        <f>IF(6=0,(Inputs!$C$38-IF(2024=2025,1,0))*Inputs!$C$37,0)</f>
        <v/>
      </c>
      <c r="J5" s="17">
        <f>IF(7=0,(Inputs!$C$38-IF(2024=2025,1,0))*Inputs!$C$37,0)</f>
        <v/>
      </c>
      <c r="K5" s="17">
        <f>IF(8=0,(Inputs!$C$38-IF(2024=2025,1,0))*Inputs!$C$37,0)</f>
        <v/>
      </c>
      <c r="L5" s="17">
        <f>IF(9=0,(Inputs!$C$38-IF(2024=2025,1,0))*Inputs!$C$37,0)</f>
        <v/>
      </c>
      <c r="M5" s="17">
        <f>IF(10=0,(Inputs!$C$38-IF(2024=2025,1,0))*Inputs!$C$37,0)</f>
        <v/>
      </c>
      <c r="N5" s="17">
        <f>IF(11=0,(Inputs!$C$38-IF(2024=2025,1,0))*Inputs!$C$37,0)</f>
        <v/>
      </c>
      <c r="O5" s="17">
        <f>IF(12=0,(Inputs!$C$38-IF(2024=2025,1,0))*Inputs!$C$37,0)</f>
        <v/>
      </c>
      <c r="P5" s="17">
        <f>IF(13=0,(Inputs!$C$38-IF(2024=2025,1,0))*Inputs!$C$37,0)</f>
        <v/>
      </c>
    </row>
    <row r="6">
      <c r="B6" s="2" t="inlineStr">
        <is>
          <t>Performing deals of 2024: NAV</t>
        </is>
      </c>
      <c r="C6" s="17">
        <f>IF(AND(0&gt;=0,0&lt;Inputs!$C$22),(Inputs!$C$38-IF(2024=2025,1,0))*Inputs!$C$37*(1+(Inputs!$C$39^(1/Inputs!$C$22)-1))^0,0)</f>
        <v/>
      </c>
      <c r="D6" s="17">
        <f>IF(AND(1&gt;=0,1&lt;Inputs!$C$22),(Inputs!$C$38-IF(2024=2025,1,0))*Inputs!$C$37*(1+(Inputs!$C$39^(1/Inputs!$C$22)-1))^1,0)</f>
        <v/>
      </c>
      <c r="E6" s="17">
        <f>IF(AND(2&gt;=0,2&lt;Inputs!$C$22),(Inputs!$C$38-IF(2024=2025,1,0))*Inputs!$C$37*(1+(Inputs!$C$39^(1/Inputs!$C$22)-1))^2,0)</f>
        <v/>
      </c>
      <c r="F6" s="17">
        <f>IF(AND(3&gt;=0,3&lt;Inputs!$C$22),(Inputs!$C$38-IF(2024=2025,1,0))*Inputs!$C$37*(1+(Inputs!$C$39^(1/Inputs!$C$22)-1))^3,0)</f>
        <v/>
      </c>
      <c r="G6" s="17">
        <f>IF(AND(4&gt;=0,4&lt;Inputs!$C$22),(Inputs!$C$38-IF(2024=2025,1,0))*Inputs!$C$37*(1+(Inputs!$C$39^(1/Inputs!$C$22)-1))^4,0)</f>
        <v/>
      </c>
      <c r="H6" s="17">
        <f>IF(AND(5&gt;=0,5&lt;Inputs!$C$22),(Inputs!$C$38-IF(2024=2025,1,0))*Inputs!$C$37*(1+(Inputs!$C$39^(1/Inputs!$C$22)-1))^5,0)</f>
        <v/>
      </c>
      <c r="I6" s="17">
        <f>IF(AND(6&gt;=0,6&lt;Inputs!$C$22),(Inputs!$C$38-IF(2024=2025,1,0))*Inputs!$C$37*(1+(Inputs!$C$39^(1/Inputs!$C$22)-1))^6,0)</f>
        <v/>
      </c>
      <c r="J6" s="17">
        <f>IF(AND(7&gt;=0,7&lt;Inputs!$C$22),(Inputs!$C$38-IF(2024=2025,1,0))*Inputs!$C$37*(1+(Inputs!$C$39^(1/Inputs!$C$22)-1))^7,0)</f>
        <v/>
      </c>
      <c r="K6" s="17">
        <f>IF(AND(8&gt;=0,8&lt;Inputs!$C$22),(Inputs!$C$38-IF(2024=2025,1,0))*Inputs!$C$37*(1+(Inputs!$C$39^(1/Inputs!$C$22)-1))^8,0)</f>
        <v/>
      </c>
      <c r="L6" s="17">
        <f>IF(AND(9&gt;=0,9&lt;Inputs!$C$22),(Inputs!$C$38-IF(2024=2025,1,0))*Inputs!$C$37*(1+(Inputs!$C$39^(1/Inputs!$C$22)-1))^9,0)</f>
        <v/>
      </c>
      <c r="M6" s="17">
        <f>IF(AND(10&gt;=0,10&lt;Inputs!$C$22),(Inputs!$C$38-IF(2024=2025,1,0))*Inputs!$C$37*(1+(Inputs!$C$39^(1/Inputs!$C$22)-1))^10,0)</f>
        <v/>
      </c>
      <c r="N6" s="17">
        <f>IF(AND(11&gt;=0,11&lt;Inputs!$C$22),(Inputs!$C$38-IF(2024=2025,1,0))*Inputs!$C$37*(1+(Inputs!$C$39^(1/Inputs!$C$22)-1))^11,0)</f>
        <v/>
      </c>
      <c r="O6" s="17">
        <f>IF(AND(12&gt;=0,12&lt;Inputs!$C$22),(Inputs!$C$38-IF(2024=2025,1,0))*Inputs!$C$37*(1+(Inputs!$C$39^(1/Inputs!$C$22)-1))^12,0)</f>
        <v/>
      </c>
      <c r="P6" s="17">
        <f>IF(AND(13&gt;=0,13&lt;Inputs!$C$22),(Inputs!$C$38-IF(2024=2025,1,0))*Inputs!$C$37*(1+(Inputs!$C$39^(1/Inputs!$C$22)-1))^13,0)</f>
        <v/>
      </c>
    </row>
    <row r="7">
      <c r="B7" s="2" t="inlineStr">
        <is>
          <t>Performing deals of 2024: distributed</t>
        </is>
      </c>
      <c r="C7" s="17">
        <f>IF(0=Inputs!$C$22,(Inputs!$C$38-IF(2024=2025,1,0))*Inputs!$C$37*Inputs!$C$39,0)</f>
        <v/>
      </c>
      <c r="D7" s="17">
        <f>IF(1=Inputs!$C$22,(Inputs!$C$38-IF(2024=2025,1,0))*Inputs!$C$37*Inputs!$C$39,0)</f>
        <v/>
      </c>
      <c r="E7" s="17">
        <f>IF(2=Inputs!$C$22,(Inputs!$C$38-IF(2024=2025,1,0))*Inputs!$C$37*Inputs!$C$39,0)</f>
        <v/>
      </c>
      <c r="F7" s="17">
        <f>IF(3=Inputs!$C$22,(Inputs!$C$38-IF(2024=2025,1,0))*Inputs!$C$37*Inputs!$C$39,0)</f>
        <v/>
      </c>
      <c r="G7" s="17">
        <f>IF(4=Inputs!$C$22,(Inputs!$C$38-IF(2024=2025,1,0))*Inputs!$C$37*Inputs!$C$39,0)</f>
        <v/>
      </c>
      <c r="H7" s="17">
        <f>IF(5=Inputs!$C$22,(Inputs!$C$38-IF(2024=2025,1,0))*Inputs!$C$37*Inputs!$C$39,0)</f>
        <v/>
      </c>
      <c r="I7" s="17">
        <f>IF(6=Inputs!$C$22,(Inputs!$C$38-IF(2024=2025,1,0))*Inputs!$C$37*Inputs!$C$39,0)</f>
        <v/>
      </c>
      <c r="J7" s="17">
        <f>IF(7=Inputs!$C$22,(Inputs!$C$38-IF(2024=2025,1,0))*Inputs!$C$37*Inputs!$C$39,0)</f>
        <v/>
      </c>
      <c r="K7" s="17">
        <f>IF(8=Inputs!$C$22,(Inputs!$C$38-IF(2024=2025,1,0))*Inputs!$C$37*Inputs!$C$39,0)</f>
        <v/>
      </c>
      <c r="L7" s="17">
        <f>IF(9=Inputs!$C$22,(Inputs!$C$38-IF(2024=2025,1,0))*Inputs!$C$37*Inputs!$C$39,0)</f>
        <v/>
      </c>
      <c r="M7" s="17">
        <f>IF(10=Inputs!$C$22,(Inputs!$C$38-IF(2024=2025,1,0))*Inputs!$C$37*Inputs!$C$39,0)</f>
        <v/>
      </c>
      <c r="N7" s="17">
        <f>IF(11=Inputs!$C$22,(Inputs!$C$38-IF(2024=2025,1,0))*Inputs!$C$37*Inputs!$C$39,0)</f>
        <v/>
      </c>
      <c r="O7" s="17">
        <f>IF(12=Inputs!$C$22,(Inputs!$C$38-IF(2024=2025,1,0))*Inputs!$C$37*Inputs!$C$39,0)</f>
        <v/>
      </c>
      <c r="P7" s="17">
        <f>IF(13=Inputs!$C$22,(Inputs!$C$38-IF(2024=2025,1,0))*Inputs!$C$37*Inputs!$C$39,0)</f>
        <v/>
      </c>
    </row>
    <row r="8">
      <c r="B8" s="2" t="inlineStr">
        <is>
          <t>Performing deals of 2025: called</t>
        </is>
      </c>
      <c r="C8" s="17">
        <f>IF(-1=0,(Inputs!$C$38-IF(2025=2025,1,0))*Inputs!$C$37,0)</f>
        <v/>
      </c>
      <c r="D8" s="17">
        <f>IF(0=0,(Inputs!$C$38-IF(2025=2025,1,0))*Inputs!$C$37,0)</f>
        <v/>
      </c>
      <c r="E8" s="17">
        <f>IF(1=0,(Inputs!$C$38-IF(2025=2025,1,0))*Inputs!$C$37,0)</f>
        <v/>
      </c>
      <c r="F8" s="17">
        <f>IF(2=0,(Inputs!$C$38-IF(2025=2025,1,0))*Inputs!$C$37,0)</f>
        <v/>
      </c>
      <c r="G8" s="17">
        <f>IF(3=0,(Inputs!$C$38-IF(2025=2025,1,0))*Inputs!$C$37,0)</f>
        <v/>
      </c>
      <c r="H8" s="17">
        <f>IF(4=0,(Inputs!$C$38-IF(2025=2025,1,0))*Inputs!$C$37,0)</f>
        <v/>
      </c>
      <c r="I8" s="17">
        <f>IF(5=0,(Inputs!$C$38-IF(2025=2025,1,0))*Inputs!$C$37,0)</f>
        <v/>
      </c>
      <c r="J8" s="17">
        <f>IF(6=0,(Inputs!$C$38-IF(2025=2025,1,0))*Inputs!$C$37,0)</f>
        <v/>
      </c>
      <c r="K8" s="17">
        <f>IF(7=0,(Inputs!$C$38-IF(2025=2025,1,0))*Inputs!$C$37,0)</f>
        <v/>
      </c>
      <c r="L8" s="17">
        <f>IF(8=0,(Inputs!$C$38-IF(2025=2025,1,0))*Inputs!$C$37,0)</f>
        <v/>
      </c>
      <c r="M8" s="17">
        <f>IF(9=0,(Inputs!$C$38-IF(2025=2025,1,0))*Inputs!$C$37,0)</f>
        <v/>
      </c>
      <c r="N8" s="17">
        <f>IF(10=0,(Inputs!$C$38-IF(2025=2025,1,0))*Inputs!$C$37,0)</f>
        <v/>
      </c>
      <c r="O8" s="17">
        <f>IF(11=0,(Inputs!$C$38-IF(2025=2025,1,0))*Inputs!$C$37,0)</f>
        <v/>
      </c>
      <c r="P8" s="17">
        <f>IF(12=0,(Inputs!$C$38-IF(2025=2025,1,0))*Inputs!$C$37,0)</f>
        <v/>
      </c>
    </row>
    <row r="9">
      <c r="B9" s="2" t="inlineStr">
        <is>
          <t>Performing deals of 2025: NAV</t>
        </is>
      </c>
      <c r="C9" s="17" t="n">
        <v>0</v>
      </c>
      <c r="D9" s="17">
        <f>IF(AND(0&gt;=0,0&lt;Inputs!$C$22),(Inputs!$C$38-IF(2025=2025,1,0))*Inputs!$C$37*(1+(Inputs!$C$39^(1/Inputs!$C$22)-1))^0,0)</f>
        <v/>
      </c>
      <c r="E9" s="17">
        <f>IF(AND(1&gt;=0,1&lt;Inputs!$C$22),(Inputs!$C$38-IF(2025=2025,1,0))*Inputs!$C$37*(1+(Inputs!$C$39^(1/Inputs!$C$22)-1))^1,0)</f>
        <v/>
      </c>
      <c r="F9" s="17">
        <f>IF(AND(2&gt;=0,2&lt;Inputs!$C$22),(Inputs!$C$38-IF(2025=2025,1,0))*Inputs!$C$37*(1+(Inputs!$C$39^(1/Inputs!$C$22)-1))^2,0)</f>
        <v/>
      </c>
      <c r="G9" s="17">
        <f>IF(AND(3&gt;=0,3&lt;Inputs!$C$22),(Inputs!$C$38-IF(2025=2025,1,0))*Inputs!$C$37*(1+(Inputs!$C$39^(1/Inputs!$C$22)-1))^3,0)</f>
        <v/>
      </c>
      <c r="H9" s="17">
        <f>IF(AND(4&gt;=0,4&lt;Inputs!$C$22),(Inputs!$C$38-IF(2025=2025,1,0))*Inputs!$C$37*(1+(Inputs!$C$39^(1/Inputs!$C$22)-1))^4,0)</f>
        <v/>
      </c>
      <c r="I9" s="17">
        <f>IF(AND(5&gt;=0,5&lt;Inputs!$C$22),(Inputs!$C$38-IF(2025=2025,1,0))*Inputs!$C$37*(1+(Inputs!$C$39^(1/Inputs!$C$22)-1))^5,0)</f>
        <v/>
      </c>
      <c r="J9" s="17">
        <f>IF(AND(6&gt;=0,6&lt;Inputs!$C$22),(Inputs!$C$38-IF(2025=2025,1,0))*Inputs!$C$37*(1+(Inputs!$C$39^(1/Inputs!$C$22)-1))^6,0)</f>
        <v/>
      </c>
      <c r="K9" s="17">
        <f>IF(AND(7&gt;=0,7&lt;Inputs!$C$22),(Inputs!$C$38-IF(2025=2025,1,0))*Inputs!$C$37*(1+(Inputs!$C$39^(1/Inputs!$C$22)-1))^7,0)</f>
        <v/>
      </c>
      <c r="L9" s="17">
        <f>IF(AND(8&gt;=0,8&lt;Inputs!$C$22),(Inputs!$C$38-IF(2025=2025,1,0))*Inputs!$C$37*(1+(Inputs!$C$39^(1/Inputs!$C$22)-1))^8,0)</f>
        <v/>
      </c>
      <c r="M9" s="17">
        <f>IF(AND(9&gt;=0,9&lt;Inputs!$C$22),(Inputs!$C$38-IF(2025=2025,1,0))*Inputs!$C$37*(1+(Inputs!$C$39^(1/Inputs!$C$22)-1))^9,0)</f>
        <v/>
      </c>
      <c r="N9" s="17">
        <f>IF(AND(10&gt;=0,10&lt;Inputs!$C$22),(Inputs!$C$38-IF(2025=2025,1,0))*Inputs!$C$37*(1+(Inputs!$C$39^(1/Inputs!$C$22)-1))^10,0)</f>
        <v/>
      </c>
      <c r="O9" s="17">
        <f>IF(AND(11&gt;=0,11&lt;Inputs!$C$22),(Inputs!$C$38-IF(2025=2025,1,0))*Inputs!$C$37*(1+(Inputs!$C$39^(1/Inputs!$C$22)-1))^11,0)</f>
        <v/>
      </c>
      <c r="P9" s="17">
        <f>IF(AND(12&gt;=0,12&lt;Inputs!$C$22),(Inputs!$C$38-IF(2025=2025,1,0))*Inputs!$C$37*(1+(Inputs!$C$39^(1/Inputs!$C$22)-1))^12,0)</f>
        <v/>
      </c>
    </row>
    <row r="10">
      <c r="B10" s="2" t="inlineStr">
        <is>
          <t>Performing deals of 2025: distributed</t>
        </is>
      </c>
      <c r="C10" s="17">
        <f>IF(-1=Inputs!$C$22,(Inputs!$C$38-IF(2025=2025,1,0))*Inputs!$C$37*Inputs!$C$39,0)</f>
        <v/>
      </c>
      <c r="D10" s="17">
        <f>IF(0=Inputs!$C$22,(Inputs!$C$38-IF(2025=2025,1,0))*Inputs!$C$37*Inputs!$C$39,0)</f>
        <v/>
      </c>
      <c r="E10" s="17">
        <f>IF(1=Inputs!$C$22,(Inputs!$C$38-IF(2025=2025,1,0))*Inputs!$C$37*Inputs!$C$39,0)</f>
        <v/>
      </c>
      <c r="F10" s="17">
        <f>IF(2=Inputs!$C$22,(Inputs!$C$38-IF(2025=2025,1,0))*Inputs!$C$37*Inputs!$C$39,0)</f>
        <v/>
      </c>
      <c r="G10" s="17">
        <f>IF(3=Inputs!$C$22,(Inputs!$C$38-IF(2025=2025,1,0))*Inputs!$C$37*Inputs!$C$39,0)</f>
        <v/>
      </c>
      <c r="H10" s="17">
        <f>IF(4=Inputs!$C$22,(Inputs!$C$38-IF(2025=2025,1,0))*Inputs!$C$37*Inputs!$C$39,0)</f>
        <v/>
      </c>
      <c r="I10" s="17">
        <f>IF(5=Inputs!$C$22,(Inputs!$C$38-IF(2025=2025,1,0))*Inputs!$C$37*Inputs!$C$39,0)</f>
        <v/>
      </c>
      <c r="J10" s="17">
        <f>IF(6=Inputs!$C$22,(Inputs!$C$38-IF(2025=2025,1,0))*Inputs!$C$37*Inputs!$C$39,0)</f>
        <v/>
      </c>
      <c r="K10" s="17">
        <f>IF(7=Inputs!$C$22,(Inputs!$C$38-IF(2025=2025,1,0))*Inputs!$C$37*Inputs!$C$39,0)</f>
        <v/>
      </c>
      <c r="L10" s="17">
        <f>IF(8=Inputs!$C$22,(Inputs!$C$38-IF(2025=2025,1,0))*Inputs!$C$37*Inputs!$C$39,0)</f>
        <v/>
      </c>
      <c r="M10" s="17">
        <f>IF(9=Inputs!$C$22,(Inputs!$C$38-IF(2025=2025,1,0))*Inputs!$C$37*Inputs!$C$39,0)</f>
        <v/>
      </c>
      <c r="N10" s="17">
        <f>IF(10=Inputs!$C$22,(Inputs!$C$38-IF(2025=2025,1,0))*Inputs!$C$37*Inputs!$C$39,0)</f>
        <v/>
      </c>
      <c r="O10" s="17">
        <f>IF(11=Inputs!$C$22,(Inputs!$C$38-IF(2025=2025,1,0))*Inputs!$C$37*Inputs!$C$39,0)</f>
        <v/>
      </c>
      <c r="P10" s="17">
        <f>IF(12=Inputs!$C$22,(Inputs!$C$38-IF(2025=2025,1,0))*Inputs!$C$37*Inputs!$C$39,0)</f>
        <v/>
      </c>
    </row>
    <row r="11">
      <c r="B11" s="2" t="inlineStr">
        <is>
          <t>Performing deals of 2026: called</t>
        </is>
      </c>
      <c r="C11" s="17">
        <f>IF(-2=0,(Inputs!$C$38-IF(2026=2025,1,0))*Inputs!$C$37,0)</f>
        <v/>
      </c>
      <c r="D11" s="17">
        <f>IF(-1=0,(Inputs!$C$38-IF(2026=2025,1,0))*Inputs!$C$37,0)</f>
        <v/>
      </c>
      <c r="E11" s="17">
        <f>IF(0=0,(Inputs!$C$38-IF(2026=2025,1,0))*Inputs!$C$37,0)</f>
        <v/>
      </c>
      <c r="F11" s="17">
        <f>IF(1=0,(Inputs!$C$38-IF(2026=2025,1,0))*Inputs!$C$37,0)</f>
        <v/>
      </c>
      <c r="G11" s="17">
        <f>IF(2=0,(Inputs!$C$38-IF(2026=2025,1,0))*Inputs!$C$37,0)</f>
        <v/>
      </c>
      <c r="H11" s="17">
        <f>IF(3=0,(Inputs!$C$38-IF(2026=2025,1,0))*Inputs!$C$37,0)</f>
        <v/>
      </c>
      <c r="I11" s="17">
        <f>IF(4=0,(Inputs!$C$38-IF(2026=2025,1,0))*Inputs!$C$37,0)</f>
        <v/>
      </c>
      <c r="J11" s="17">
        <f>IF(5=0,(Inputs!$C$38-IF(2026=2025,1,0))*Inputs!$C$37,0)</f>
        <v/>
      </c>
      <c r="K11" s="17">
        <f>IF(6=0,(Inputs!$C$38-IF(2026=2025,1,0))*Inputs!$C$37,0)</f>
        <v/>
      </c>
      <c r="L11" s="17">
        <f>IF(7=0,(Inputs!$C$38-IF(2026=2025,1,0))*Inputs!$C$37,0)</f>
        <v/>
      </c>
      <c r="M11" s="17">
        <f>IF(8=0,(Inputs!$C$38-IF(2026=2025,1,0))*Inputs!$C$37,0)</f>
        <v/>
      </c>
      <c r="N11" s="17">
        <f>IF(9=0,(Inputs!$C$38-IF(2026=2025,1,0))*Inputs!$C$37,0)</f>
        <v/>
      </c>
      <c r="O11" s="17">
        <f>IF(10=0,(Inputs!$C$38-IF(2026=2025,1,0))*Inputs!$C$37,0)</f>
        <v/>
      </c>
      <c r="P11" s="17">
        <f>IF(11=0,(Inputs!$C$38-IF(2026=2025,1,0))*Inputs!$C$37,0)</f>
        <v/>
      </c>
    </row>
    <row r="12">
      <c r="B12" s="2" t="inlineStr">
        <is>
          <t>Performing deals of 2026: NAV</t>
        </is>
      </c>
      <c r="C12" s="17" t="n">
        <v>0</v>
      </c>
      <c r="D12" s="17" t="n">
        <v>0</v>
      </c>
      <c r="E12" s="17">
        <f>IF(AND(0&gt;=0,0&lt;Inputs!$C$22),(Inputs!$C$38-IF(2026=2025,1,0))*Inputs!$C$37*(1+(Inputs!$C$39^(1/Inputs!$C$22)-1))^0,0)</f>
        <v/>
      </c>
      <c r="F12" s="17">
        <f>IF(AND(1&gt;=0,1&lt;Inputs!$C$22),(Inputs!$C$38-IF(2026=2025,1,0))*Inputs!$C$37*(1+(Inputs!$C$39^(1/Inputs!$C$22)-1))^1,0)</f>
        <v/>
      </c>
      <c r="G12" s="17">
        <f>IF(AND(2&gt;=0,2&lt;Inputs!$C$22),(Inputs!$C$38-IF(2026=2025,1,0))*Inputs!$C$37*(1+(Inputs!$C$39^(1/Inputs!$C$22)-1))^2,0)</f>
        <v/>
      </c>
      <c r="H12" s="17">
        <f>IF(AND(3&gt;=0,3&lt;Inputs!$C$22),(Inputs!$C$38-IF(2026=2025,1,0))*Inputs!$C$37*(1+(Inputs!$C$39^(1/Inputs!$C$22)-1))^3,0)</f>
        <v/>
      </c>
      <c r="I12" s="17">
        <f>IF(AND(4&gt;=0,4&lt;Inputs!$C$22),(Inputs!$C$38-IF(2026=2025,1,0))*Inputs!$C$37*(1+(Inputs!$C$39^(1/Inputs!$C$22)-1))^4,0)</f>
        <v/>
      </c>
      <c r="J12" s="17">
        <f>IF(AND(5&gt;=0,5&lt;Inputs!$C$22),(Inputs!$C$38-IF(2026=2025,1,0))*Inputs!$C$37*(1+(Inputs!$C$39^(1/Inputs!$C$22)-1))^5,0)</f>
        <v/>
      </c>
      <c r="K12" s="17">
        <f>IF(AND(6&gt;=0,6&lt;Inputs!$C$22),(Inputs!$C$38-IF(2026=2025,1,0))*Inputs!$C$37*(1+(Inputs!$C$39^(1/Inputs!$C$22)-1))^6,0)</f>
        <v/>
      </c>
      <c r="L12" s="17">
        <f>IF(AND(7&gt;=0,7&lt;Inputs!$C$22),(Inputs!$C$38-IF(2026=2025,1,0))*Inputs!$C$37*(1+(Inputs!$C$39^(1/Inputs!$C$22)-1))^7,0)</f>
        <v/>
      </c>
      <c r="M12" s="17">
        <f>IF(AND(8&gt;=0,8&lt;Inputs!$C$22),(Inputs!$C$38-IF(2026=2025,1,0))*Inputs!$C$37*(1+(Inputs!$C$39^(1/Inputs!$C$22)-1))^8,0)</f>
        <v/>
      </c>
      <c r="N12" s="17">
        <f>IF(AND(9&gt;=0,9&lt;Inputs!$C$22),(Inputs!$C$38-IF(2026=2025,1,0))*Inputs!$C$37*(1+(Inputs!$C$39^(1/Inputs!$C$22)-1))^9,0)</f>
        <v/>
      </c>
      <c r="O12" s="17">
        <f>IF(AND(10&gt;=0,10&lt;Inputs!$C$22),(Inputs!$C$38-IF(2026=2025,1,0))*Inputs!$C$37*(1+(Inputs!$C$39^(1/Inputs!$C$22)-1))^10,0)</f>
        <v/>
      </c>
      <c r="P12" s="17">
        <f>IF(AND(11&gt;=0,11&lt;Inputs!$C$22),(Inputs!$C$38-IF(2026=2025,1,0))*Inputs!$C$37*(1+(Inputs!$C$39^(1/Inputs!$C$22)-1))^11,0)</f>
        <v/>
      </c>
    </row>
    <row r="13">
      <c r="B13" s="2" t="inlineStr">
        <is>
          <t>Performing deals of 2026: distributed</t>
        </is>
      </c>
      <c r="C13" s="17">
        <f>IF(-2=Inputs!$C$22,(Inputs!$C$38-IF(2026=2025,1,0))*Inputs!$C$37*Inputs!$C$39,0)</f>
        <v/>
      </c>
      <c r="D13" s="17">
        <f>IF(-1=Inputs!$C$22,(Inputs!$C$38-IF(2026=2025,1,0))*Inputs!$C$37*Inputs!$C$39,0)</f>
        <v/>
      </c>
      <c r="E13" s="17">
        <f>IF(0=Inputs!$C$22,(Inputs!$C$38-IF(2026=2025,1,0))*Inputs!$C$37*Inputs!$C$39,0)</f>
        <v/>
      </c>
      <c r="F13" s="17">
        <f>IF(1=Inputs!$C$22,(Inputs!$C$38-IF(2026=2025,1,0))*Inputs!$C$37*Inputs!$C$39,0)</f>
        <v/>
      </c>
      <c r="G13" s="17">
        <f>IF(2=Inputs!$C$22,(Inputs!$C$38-IF(2026=2025,1,0))*Inputs!$C$37*Inputs!$C$39,0)</f>
        <v/>
      </c>
      <c r="H13" s="17">
        <f>IF(3=Inputs!$C$22,(Inputs!$C$38-IF(2026=2025,1,0))*Inputs!$C$37*Inputs!$C$39,0)</f>
        <v/>
      </c>
      <c r="I13" s="17">
        <f>IF(4=Inputs!$C$22,(Inputs!$C$38-IF(2026=2025,1,0))*Inputs!$C$37*Inputs!$C$39,0)</f>
        <v/>
      </c>
      <c r="J13" s="17">
        <f>IF(5=Inputs!$C$22,(Inputs!$C$38-IF(2026=2025,1,0))*Inputs!$C$37*Inputs!$C$39,0)</f>
        <v/>
      </c>
      <c r="K13" s="17">
        <f>IF(6=Inputs!$C$22,(Inputs!$C$38-IF(2026=2025,1,0))*Inputs!$C$37*Inputs!$C$39,0)</f>
        <v/>
      </c>
      <c r="L13" s="17">
        <f>IF(7=Inputs!$C$22,(Inputs!$C$38-IF(2026=2025,1,0))*Inputs!$C$37*Inputs!$C$39,0)</f>
        <v/>
      </c>
      <c r="M13" s="17">
        <f>IF(8=Inputs!$C$22,(Inputs!$C$38-IF(2026=2025,1,0))*Inputs!$C$37*Inputs!$C$39,0)</f>
        <v/>
      </c>
      <c r="N13" s="17">
        <f>IF(9=Inputs!$C$22,(Inputs!$C$38-IF(2026=2025,1,0))*Inputs!$C$37*Inputs!$C$39,0)</f>
        <v/>
      </c>
      <c r="O13" s="17">
        <f>IF(10=Inputs!$C$22,(Inputs!$C$38-IF(2026=2025,1,0))*Inputs!$C$37*Inputs!$C$39,0)</f>
        <v/>
      </c>
      <c r="P13" s="17">
        <f>IF(11=Inputs!$C$22,(Inputs!$C$38-IF(2026=2025,1,0))*Inputs!$C$37*Inputs!$C$39,0)</f>
        <v/>
      </c>
    </row>
    <row r="14">
      <c r="B14" s="2" t="inlineStr">
        <is>
          <t>Failed 2025 deal: called</t>
        </is>
      </c>
      <c r="C14" s="17">
        <f>IF(-1=0,Inputs!$C$37,0)</f>
        <v/>
      </c>
      <c r="D14" s="17">
        <f>IF(0=0,Inputs!$C$37,0)</f>
        <v/>
      </c>
      <c r="E14" s="17">
        <f>IF(1=0,Inputs!$C$37,0)</f>
        <v/>
      </c>
      <c r="F14" s="17">
        <f>IF(2=0,Inputs!$C$37,0)</f>
        <v/>
      </c>
      <c r="G14" s="17">
        <f>IF(3=0,Inputs!$C$37,0)</f>
        <v/>
      </c>
      <c r="H14" s="17">
        <f>IF(4=0,Inputs!$C$37,0)</f>
        <v/>
      </c>
      <c r="I14" s="17">
        <f>IF(5=0,Inputs!$C$37,0)</f>
        <v/>
      </c>
      <c r="J14" s="17">
        <f>IF(6=0,Inputs!$C$37,0)</f>
        <v/>
      </c>
      <c r="K14" s="17">
        <f>IF(7=0,Inputs!$C$37,0)</f>
        <v/>
      </c>
      <c r="L14" s="17">
        <f>IF(8=0,Inputs!$C$37,0)</f>
        <v/>
      </c>
      <c r="M14" s="17">
        <f>IF(9=0,Inputs!$C$37,0)</f>
        <v/>
      </c>
      <c r="N14" s="17">
        <f>IF(10=0,Inputs!$C$37,0)</f>
        <v/>
      </c>
      <c r="O14" s="17">
        <f>IF(11=0,Inputs!$C$37,0)</f>
        <v/>
      </c>
      <c r="P14" s="17">
        <f>IF(12=0,Inputs!$C$37,0)</f>
        <v/>
      </c>
    </row>
    <row r="15">
      <c r="B15" s="2" t="inlineStr">
        <is>
          <t>Failed 2025 deal: NAV</t>
        </is>
      </c>
      <c r="C15" s="17" t="n">
        <v>0</v>
      </c>
      <c r="D15" s="17">
        <f>Inputs!$C$37</f>
        <v/>
      </c>
      <c r="E15" s="17">
        <f>Inputs!$C$37*Inputs!$C$40</f>
        <v/>
      </c>
      <c r="F15" s="17">
        <f>Inputs!$C$37*Inputs!$C$41</f>
        <v/>
      </c>
      <c r="G15" s="17">
        <f>Inputs!$C$37*Inputs!$C$41</f>
        <v/>
      </c>
      <c r="H15" s="17">
        <f>Inputs!$C$37*Inputs!$C$41</f>
        <v/>
      </c>
      <c r="I15" s="17">
        <f>Inputs!$C$37*Inputs!$C$41</f>
        <v/>
      </c>
      <c r="J15" s="17">
        <f>Inputs!$C$37*Inputs!$C$41</f>
        <v/>
      </c>
      <c r="K15" s="17">
        <f>Inputs!$C$37*Inputs!$C$41</f>
        <v/>
      </c>
      <c r="L15" s="17">
        <f>Inputs!$C$37*Inputs!$C$41</f>
        <v/>
      </c>
      <c r="M15" s="17">
        <f>Inputs!$C$37*Inputs!$C$41</f>
        <v/>
      </c>
      <c r="N15" s="17">
        <f>Inputs!$C$37*Inputs!$C$41</f>
        <v/>
      </c>
      <c r="O15" s="17">
        <f>Inputs!$C$37*Inputs!$C$41</f>
        <v/>
      </c>
      <c r="P15" s="17">
        <f>Inputs!$C$37*Inputs!$C$41</f>
        <v/>
      </c>
    </row>
    <row r="17">
      <c r="B17" s="4" t="inlineStr">
        <is>
          <t>Co-investment sleeve ($m)</t>
        </is>
      </c>
      <c r="C17" s="4" t="inlineStr">
        <is>
          <t>2024</t>
        </is>
      </c>
      <c r="D17" s="4" t="inlineStr">
        <is>
          <t>2025</t>
        </is>
      </c>
      <c r="E17" s="4" t="inlineStr">
        <is>
          <t>2026</t>
        </is>
      </c>
      <c r="F17" s="4" t="inlineStr">
        <is>
          <t>2027</t>
        </is>
      </c>
      <c r="G17" s="4" t="inlineStr">
        <is>
          <t>2028</t>
        </is>
      </c>
      <c r="H17" s="4" t="inlineStr">
        <is>
          <t>2029</t>
        </is>
      </c>
      <c r="I17" s="4" t="inlineStr">
        <is>
          <t>2030</t>
        </is>
      </c>
      <c r="J17" s="4" t="inlineStr">
        <is>
          <t>2031</t>
        </is>
      </c>
      <c r="K17" s="4" t="inlineStr">
        <is>
          <t>2032</t>
        </is>
      </c>
      <c r="L17" s="4" t="inlineStr">
        <is>
          <t>2033</t>
        </is>
      </c>
      <c r="M17" s="4" t="inlineStr">
        <is>
          <t>2034</t>
        </is>
      </c>
      <c r="N17" s="4" t="inlineStr">
        <is>
          <t>2035</t>
        </is>
      </c>
      <c r="O17" s="4" t="inlineStr">
        <is>
          <t>2036</t>
        </is>
      </c>
      <c r="P17" s="4" t="inlineStr">
        <is>
          <t>2037</t>
        </is>
      </c>
    </row>
    <row r="18">
      <c r="B18" s="5" t="inlineStr">
        <is>
          <t>Called</t>
        </is>
      </c>
      <c r="C18" s="17">
        <f>C5+C8+C11+C14</f>
        <v/>
      </c>
      <c r="D18" s="17">
        <f>D5+D8+D11+D14</f>
        <v/>
      </c>
      <c r="E18" s="17">
        <f>E5+E8+E11+E14</f>
        <v/>
      </c>
      <c r="F18" s="17">
        <f>F5+F8+F11+F14</f>
        <v/>
      </c>
      <c r="G18" s="17">
        <f>G5+G8+G11+G14</f>
        <v/>
      </c>
      <c r="H18" s="17">
        <f>H5+H8+H11+H14</f>
        <v/>
      </c>
      <c r="I18" s="17">
        <f>I5+I8+I11+I14</f>
        <v/>
      </c>
      <c r="J18" s="17">
        <f>J5+J8+J11+J14</f>
        <v/>
      </c>
      <c r="K18" s="17">
        <f>K5+K8+K11+K14</f>
        <v/>
      </c>
      <c r="L18" s="17">
        <f>L5+L8+L11+L14</f>
        <v/>
      </c>
      <c r="M18" s="17">
        <f>M5+M8+M11+M14</f>
        <v/>
      </c>
      <c r="N18" s="17">
        <f>N5+N8+N11+N14</f>
        <v/>
      </c>
      <c r="O18" s="17">
        <f>O5+O8+O11+O14</f>
        <v/>
      </c>
      <c r="P18" s="17">
        <f>P5+P8+P11+P14</f>
        <v/>
      </c>
    </row>
    <row r="19">
      <c r="B19" s="5" t="inlineStr">
        <is>
          <t>Distributed (with 2037 liquidation)</t>
        </is>
      </c>
      <c r="C19" s="17">
        <f>C7+C10+C13</f>
        <v/>
      </c>
      <c r="D19" s="17">
        <f>D7+D10+D13</f>
        <v/>
      </c>
      <c r="E19" s="17">
        <f>E7+E10+E13</f>
        <v/>
      </c>
      <c r="F19" s="17">
        <f>F7+F10+F13</f>
        <v/>
      </c>
      <c r="G19" s="17">
        <f>G7+G10+G13</f>
        <v/>
      </c>
      <c r="H19" s="17">
        <f>H7+H10+H13</f>
        <v/>
      </c>
      <c r="I19" s="17">
        <f>I7+I10+I13</f>
        <v/>
      </c>
      <c r="J19" s="17">
        <f>J7+J10+J13</f>
        <v/>
      </c>
      <c r="K19" s="17">
        <f>K7+K10+K13</f>
        <v/>
      </c>
      <c r="L19" s="17">
        <f>L7+L10+L13</f>
        <v/>
      </c>
      <c r="M19" s="17">
        <f>M7+M10+M13</f>
        <v/>
      </c>
      <c r="N19" s="17">
        <f>N7+N10+N13</f>
        <v/>
      </c>
      <c r="O19" s="17">
        <f>O7+O10+O13</f>
        <v/>
      </c>
      <c r="P19" s="17">
        <f>P7+P10+P13+P6+P9+P12+P15</f>
        <v/>
      </c>
    </row>
    <row r="20">
      <c r="B20" s="5" t="inlineStr">
        <is>
          <t>NAV (after liquidation)</t>
        </is>
      </c>
      <c r="C20" s="17">
        <f>C6+C9+C12+C15</f>
        <v/>
      </c>
      <c r="D20" s="17">
        <f>D6+D9+D12+D15</f>
        <v/>
      </c>
      <c r="E20" s="17">
        <f>E6+E9+E12+E15</f>
        <v/>
      </c>
      <c r="F20" s="17">
        <f>F6+F9+F12+F15</f>
        <v/>
      </c>
      <c r="G20" s="17">
        <f>G6+G9+G12+G15</f>
        <v/>
      </c>
      <c r="H20" s="17">
        <f>H6+H9+H12+H15</f>
        <v/>
      </c>
      <c r="I20" s="17">
        <f>I6+I9+I12+I15</f>
        <v/>
      </c>
      <c r="J20" s="17">
        <f>J6+J9+J12+J15</f>
        <v/>
      </c>
      <c r="K20" s="17">
        <f>K6+K9+K12+K15</f>
        <v/>
      </c>
      <c r="L20" s="17">
        <f>L6+L9+L12+L15</f>
        <v/>
      </c>
      <c r="M20" s="17">
        <f>M6+M9+M12+M15</f>
        <v/>
      </c>
      <c r="N20" s="17">
        <f>N6+N9+N12+N15</f>
        <v/>
      </c>
      <c r="O20" s="17">
        <f>O6+O9+O12+O15</f>
        <v/>
      </c>
      <c r="P20" s="17" t="n">
        <v>0</v>
      </c>
    </row>
    <row r="22">
      <c r="B22" s="5" t="inlineStr">
        <is>
          <t>Sleeve multiple (distributed / called)</t>
        </is>
      </c>
      <c r="C22" s="15">
        <f>SUM(C19:P19)/SUM(C18:P18)</f>
        <v/>
      </c>
    </row>
    <row r="23">
      <c r="B23" s="2" t="inlineStr">
        <is>
          <t>Sleeve net cash flow</t>
        </is>
      </c>
      <c r="C23" s="17">
        <f>C19-C18</f>
        <v/>
      </c>
      <c r="D23" s="17">
        <f>D19-D18</f>
        <v/>
      </c>
      <c r="E23" s="17">
        <f>E19-E18</f>
        <v/>
      </c>
      <c r="F23" s="17">
        <f>F19-F18</f>
        <v/>
      </c>
      <c r="G23" s="17">
        <f>G19-G18</f>
        <v/>
      </c>
      <c r="H23" s="17">
        <f>H19-H18</f>
        <v/>
      </c>
      <c r="I23" s="17">
        <f>I19-I18</f>
        <v/>
      </c>
      <c r="J23" s="17">
        <f>J19-J18</f>
        <v/>
      </c>
      <c r="K23" s="17">
        <f>K19-K18</f>
        <v/>
      </c>
      <c r="L23" s="17">
        <f>L19-L18</f>
        <v/>
      </c>
      <c r="M23" s="17">
        <f>M19-M18</f>
        <v/>
      </c>
      <c r="N23" s="17">
        <f>N19-N18</f>
        <v/>
      </c>
      <c r="O23" s="17">
        <f>O19-O18</f>
        <v/>
      </c>
      <c r="P23" s="17">
        <f>P19-P18</f>
        <v/>
      </c>
    </row>
    <row r="24">
      <c r="B24" s="5" t="inlineStr">
        <is>
          <t>Sleeve IRR</t>
        </is>
      </c>
      <c r="C24" s="16">
        <f>IRR(C23:P23)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Q6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</cols>
  <sheetData>
    <row r="1" ht="10" customHeight="1"/>
    <row r="2">
      <c r="B2" s="1" t="inlineStr">
        <is>
          <t>Fund IV: the investors' view, with the second layer of fees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</row>
    <row r="4">
      <c r="B4" s="4" t="inlineStr">
        <is>
          <t>$ million</t>
        </is>
      </c>
      <c r="C4" s="4" t="inlineStr">
        <is>
          <t>2024</t>
        </is>
      </c>
      <c r="D4" s="4" t="inlineStr">
        <is>
          <t>2025</t>
        </is>
      </c>
      <c r="E4" s="4" t="inlineStr">
        <is>
          <t>2026</t>
        </is>
      </c>
      <c r="F4" s="4" t="inlineStr">
        <is>
          <t>2027</t>
        </is>
      </c>
      <c r="G4" s="4" t="inlineStr">
        <is>
          <t>2028</t>
        </is>
      </c>
      <c r="H4" s="4" t="inlineStr">
        <is>
          <t>2029</t>
        </is>
      </c>
      <c r="I4" s="4" t="inlineStr">
        <is>
          <t>2030</t>
        </is>
      </c>
      <c r="J4" s="4" t="inlineStr">
        <is>
          <t>2031</t>
        </is>
      </c>
      <c r="K4" s="4" t="inlineStr">
        <is>
          <t>2032</t>
        </is>
      </c>
      <c r="L4" s="4" t="inlineStr">
        <is>
          <t>2033</t>
        </is>
      </c>
      <c r="M4" s="4" t="inlineStr">
        <is>
          <t>2034</t>
        </is>
      </c>
      <c r="N4" s="4" t="inlineStr">
        <is>
          <t>2035</t>
        </is>
      </c>
      <c r="O4" s="4" t="inlineStr">
        <is>
          <t>2036</t>
        </is>
      </c>
      <c r="P4" s="4" t="inlineStr">
        <is>
          <t>2037</t>
        </is>
      </c>
      <c r="Q4" s="4" t="inlineStr">
        <is>
          <t>2038</t>
        </is>
      </c>
    </row>
    <row r="5">
      <c r="B5" s="2" t="inlineStr">
        <is>
          <t>Underlying calls</t>
        </is>
      </c>
      <c r="C5" s="17">
        <f>Primaries!C45+Secondaries!C27+'Co-Investments'!C18</f>
        <v/>
      </c>
      <c r="D5" s="17">
        <f>Primaries!D45+Secondaries!D27+'Co-Investments'!D18</f>
        <v/>
      </c>
      <c r="E5" s="17">
        <f>Primaries!E45+Secondaries!E27+'Co-Investments'!E18</f>
        <v/>
      </c>
      <c r="F5" s="17">
        <f>Primaries!F45+Secondaries!F27+'Co-Investments'!F18</f>
        <v/>
      </c>
      <c r="G5" s="17">
        <f>Primaries!G45+Secondaries!G27+'Co-Investments'!G18</f>
        <v/>
      </c>
      <c r="H5" s="17">
        <f>Primaries!H45+Secondaries!H27+'Co-Investments'!H18</f>
        <v/>
      </c>
      <c r="I5" s="17">
        <f>Primaries!I45+Secondaries!I27+'Co-Investments'!I18</f>
        <v/>
      </c>
      <c r="J5" s="17">
        <f>Primaries!J45+Secondaries!J27+'Co-Investments'!J18</f>
        <v/>
      </c>
      <c r="K5" s="17">
        <f>Primaries!K45+Secondaries!K27+'Co-Investments'!K18</f>
        <v/>
      </c>
      <c r="L5" s="17">
        <f>Primaries!L45+Secondaries!L27+'Co-Investments'!L18</f>
        <v/>
      </c>
      <c r="M5" s="17">
        <f>Primaries!M45+Secondaries!M27+'Co-Investments'!M18</f>
        <v/>
      </c>
      <c r="N5" s="17">
        <f>Primaries!N45+Secondaries!N27+'Co-Investments'!N18</f>
        <v/>
      </c>
      <c r="O5" s="17">
        <f>Primaries!O45+Secondaries!O27+'Co-Investments'!O18</f>
        <v/>
      </c>
      <c r="P5" s="17">
        <f>Primaries!P45+Secondaries!P27+'Co-Investments'!P18</f>
        <v/>
      </c>
    </row>
    <row r="6">
      <c r="B6" s="2" t="inlineStr">
        <is>
          <t>Underlying distributions</t>
        </is>
      </c>
      <c r="C6" s="17">
        <f>Primaries!C46+Secondaries!C28+'Co-Investments'!C19</f>
        <v/>
      </c>
      <c r="D6" s="17">
        <f>Primaries!D46+Secondaries!D28+'Co-Investments'!D19</f>
        <v/>
      </c>
      <c r="E6" s="17">
        <f>Primaries!E46+Secondaries!E28+'Co-Investments'!E19</f>
        <v/>
      </c>
      <c r="F6" s="17">
        <f>Primaries!F46+Secondaries!F28+'Co-Investments'!F19</f>
        <v/>
      </c>
      <c r="G6" s="17">
        <f>Primaries!G46+Secondaries!G28+'Co-Investments'!G19</f>
        <v/>
      </c>
      <c r="H6" s="17">
        <f>Primaries!H46+Secondaries!H28+'Co-Investments'!H19</f>
        <v/>
      </c>
      <c r="I6" s="17">
        <f>Primaries!I46+Secondaries!I28+'Co-Investments'!I19</f>
        <v/>
      </c>
      <c r="J6" s="17">
        <f>Primaries!J46+Secondaries!J28+'Co-Investments'!J19</f>
        <v/>
      </c>
      <c r="K6" s="17">
        <f>Primaries!K46+Secondaries!K28+'Co-Investments'!K19</f>
        <v/>
      </c>
      <c r="L6" s="17">
        <f>Primaries!L46+Secondaries!L28+'Co-Investments'!L19</f>
        <v/>
      </c>
      <c r="M6" s="17">
        <f>Primaries!M46+Secondaries!M28+'Co-Investments'!M19</f>
        <v/>
      </c>
      <c r="N6" s="17">
        <f>Primaries!N46+Secondaries!N28+'Co-Investments'!N19</f>
        <v/>
      </c>
      <c r="O6" s="17">
        <f>Primaries!O46+Secondaries!O28+'Co-Investments'!O19</f>
        <v/>
      </c>
      <c r="P6" s="17">
        <f>Primaries!P46+Secondaries!P28+'Co-Investments'!P19+Primaries!P47</f>
        <v/>
      </c>
    </row>
    <row r="7">
      <c r="B7" s="2" t="inlineStr">
        <is>
          <t>Portfolio NAV</t>
        </is>
      </c>
      <c r="C7" s="17">
        <f>Primaries!C47+Secondaries!C29+'Co-Investments'!C20</f>
        <v/>
      </c>
      <c r="D7" s="17">
        <f>Primaries!D47+Secondaries!D29+'Co-Investments'!D20</f>
        <v/>
      </c>
      <c r="E7" s="17">
        <f>Primaries!E47+Secondaries!E29+'Co-Investments'!E20</f>
        <v/>
      </c>
      <c r="F7" s="17">
        <f>Primaries!F47+Secondaries!F29+'Co-Investments'!F20</f>
        <v/>
      </c>
      <c r="G7" s="17">
        <f>Primaries!G47+Secondaries!G29+'Co-Investments'!G20</f>
        <v/>
      </c>
      <c r="H7" s="17">
        <f>Primaries!H47+Secondaries!H29+'Co-Investments'!H20</f>
        <v/>
      </c>
      <c r="I7" s="17">
        <f>Primaries!I47+Secondaries!I29+'Co-Investments'!I20</f>
        <v/>
      </c>
      <c r="J7" s="17">
        <f>Primaries!J47+Secondaries!J29+'Co-Investments'!J20</f>
        <v/>
      </c>
      <c r="K7" s="17">
        <f>Primaries!K47+Secondaries!K29+'Co-Investments'!K20</f>
        <v/>
      </c>
      <c r="L7" s="17">
        <f>Primaries!L47+Secondaries!L29+'Co-Investments'!L20</f>
        <v/>
      </c>
      <c r="M7" s="17">
        <f>Primaries!M47+Secondaries!M29+'Co-Investments'!M20</f>
        <v/>
      </c>
      <c r="N7" s="17">
        <f>Primaries!N47+Secondaries!N29+'Co-Investments'!N20</f>
        <v/>
      </c>
      <c r="O7" s="17">
        <f>Primaries!O47+Secondaries!O29+'Co-Investments'!O20</f>
        <v/>
      </c>
      <c r="P7" s="17" t="inlineStr">
        <is>
          <t>0</t>
        </is>
      </c>
    </row>
    <row r="8">
      <c r="B8" s="2" t="inlineStr">
        <is>
          <t>Fund IV management fee</t>
        </is>
      </c>
      <c r="C8" s="17">
        <f>IF(2024&lt;Inputs!$C$9,Inputs!$C$6*Inputs!$C$7,Inputs!$C$8*0)</f>
        <v/>
      </c>
      <c r="D8" s="17">
        <f>IF(2025&lt;Inputs!$C$9,Inputs!$C$6*Inputs!$C$7,Inputs!$C$8*C7)</f>
        <v/>
      </c>
      <c r="E8" s="17">
        <f>IF(2026&lt;Inputs!$C$9,Inputs!$C$6*Inputs!$C$7,Inputs!$C$8*D7)</f>
        <v/>
      </c>
      <c r="F8" s="17">
        <f>IF(2027&lt;Inputs!$C$9,Inputs!$C$6*Inputs!$C$7,Inputs!$C$8*E7)</f>
        <v/>
      </c>
      <c r="G8" s="17">
        <f>IF(2028&lt;Inputs!$C$9,Inputs!$C$6*Inputs!$C$7,Inputs!$C$8*F7)</f>
        <v/>
      </c>
      <c r="H8" s="17">
        <f>IF(2029&lt;Inputs!$C$9,Inputs!$C$6*Inputs!$C$7,Inputs!$C$8*G7)</f>
        <v/>
      </c>
      <c r="I8" s="17">
        <f>IF(2030&lt;Inputs!$C$9,Inputs!$C$6*Inputs!$C$7,Inputs!$C$8*H7)</f>
        <v/>
      </c>
      <c r="J8" s="17">
        <f>IF(2031&lt;Inputs!$C$9,Inputs!$C$6*Inputs!$C$7,Inputs!$C$8*I7)</f>
        <v/>
      </c>
      <c r="K8" s="17">
        <f>IF(2032&lt;Inputs!$C$9,Inputs!$C$6*Inputs!$C$7,Inputs!$C$8*J7)</f>
        <v/>
      </c>
      <c r="L8" s="17">
        <f>IF(2033&lt;Inputs!$C$9,Inputs!$C$6*Inputs!$C$7,Inputs!$C$8*K7)</f>
        <v/>
      </c>
      <c r="M8" s="17">
        <f>IF(2034&lt;Inputs!$C$9,Inputs!$C$6*Inputs!$C$7,Inputs!$C$8*L7)</f>
        <v/>
      </c>
      <c r="N8" s="17">
        <f>IF(2035&lt;Inputs!$C$9,Inputs!$C$6*Inputs!$C$7,Inputs!$C$8*M7)</f>
        <v/>
      </c>
      <c r="O8" s="17">
        <f>IF(2036&lt;Inputs!$C$9,Inputs!$C$6*Inputs!$C$7,Inputs!$C$8*N7)</f>
        <v/>
      </c>
      <c r="P8" s="17">
        <f>IF(2037&lt;Inputs!$C$9,Inputs!$C$6*Inputs!$C$7,Inputs!$C$8*O7)</f>
        <v/>
      </c>
    </row>
    <row r="9">
      <c r="B9" s="2" t="inlineStr">
        <is>
          <t>Fund IV expenses</t>
        </is>
      </c>
      <c r="C9" s="17">
        <f>Inputs!$C$10</f>
        <v/>
      </c>
      <c r="D9" s="17">
        <f>Inputs!$C$10</f>
        <v/>
      </c>
      <c r="E9" s="17">
        <f>Inputs!$C$10</f>
        <v/>
      </c>
      <c r="F9" s="17">
        <f>Inputs!$C$10</f>
        <v/>
      </c>
      <c r="G9" s="17">
        <f>Inputs!$C$10</f>
        <v/>
      </c>
      <c r="H9" s="17">
        <f>Inputs!$C$10</f>
        <v/>
      </c>
      <c r="I9" s="17">
        <f>Inputs!$C$10</f>
        <v/>
      </c>
      <c r="J9" s="17">
        <f>Inputs!$C$10</f>
        <v/>
      </c>
      <c r="K9" s="17">
        <f>Inputs!$C$10</f>
        <v/>
      </c>
      <c r="L9" s="17">
        <f>Inputs!$C$10</f>
        <v/>
      </c>
      <c r="M9" s="17">
        <f>Inputs!$C$10</f>
        <v/>
      </c>
      <c r="N9" s="17">
        <f>Inputs!$C$10</f>
        <v/>
      </c>
      <c r="O9" s="17">
        <f>Inputs!$C$10</f>
        <v/>
      </c>
      <c r="P9" s="17">
        <f>Inputs!$C$10</f>
        <v/>
      </c>
    </row>
    <row r="10">
      <c r="B10" s="2" t="inlineStr">
        <is>
          <t>Net cash (distributions less calls, fees, expenses)</t>
        </is>
      </c>
      <c r="C10" s="17">
        <f>C6-C5-C8-C9</f>
        <v/>
      </c>
      <c r="D10" s="17">
        <f>D6-D5-D8-D9</f>
        <v/>
      </c>
      <c r="E10" s="17">
        <f>E6-E5-E8-E9</f>
        <v/>
      </c>
      <c r="F10" s="17">
        <f>F6-F5-F8-F9</f>
        <v/>
      </c>
      <c r="G10" s="17">
        <f>G6-G5-G8-G9</f>
        <v/>
      </c>
      <c r="H10" s="17">
        <f>H6-H5-H8-H9</f>
        <v/>
      </c>
      <c r="I10" s="17">
        <f>I6-I5-I8-I9</f>
        <v/>
      </c>
      <c r="J10" s="17">
        <f>J6-J5-J8-J9</f>
        <v/>
      </c>
      <c r="K10" s="17">
        <f>K6-K5-K8-K9</f>
        <v/>
      </c>
      <c r="L10" s="17">
        <f>L6-L5-L8-L9</f>
        <v/>
      </c>
      <c r="M10" s="17">
        <f>M6-M5-M8-M9</f>
        <v/>
      </c>
      <c r="N10" s="17">
        <f>N6-N5-N8-N9</f>
        <v/>
      </c>
      <c r="O10" s="17">
        <f>O6-O5-O8-O9</f>
        <v/>
      </c>
      <c r="P10" s="17">
        <f>P6-P5-P8-P9</f>
        <v/>
      </c>
    </row>
    <row r="11">
      <c r="B11" s="5" t="inlineStr">
        <is>
          <t>Investor call</t>
        </is>
      </c>
      <c r="C11" s="17">
        <f>MAX(0,-C10)</f>
        <v/>
      </c>
      <c r="D11" s="17">
        <f>MAX(0,-D10)</f>
        <v/>
      </c>
      <c r="E11" s="17">
        <f>MAX(0,-E10)</f>
        <v/>
      </c>
      <c r="F11" s="17">
        <f>MAX(0,-F10)</f>
        <v/>
      </c>
      <c r="G11" s="17">
        <f>MAX(0,-G10)</f>
        <v/>
      </c>
      <c r="H11" s="17">
        <f>MAX(0,-H10)</f>
        <v/>
      </c>
      <c r="I11" s="17">
        <f>MAX(0,-I10)</f>
        <v/>
      </c>
      <c r="J11" s="17">
        <f>MAX(0,-J10)</f>
        <v/>
      </c>
      <c r="K11" s="17">
        <f>MAX(0,-K10)</f>
        <v/>
      </c>
      <c r="L11" s="17">
        <f>MAX(0,-L10)</f>
        <v/>
      </c>
      <c r="M11" s="17">
        <f>MAX(0,-M10)</f>
        <v/>
      </c>
      <c r="N11" s="17">
        <f>MAX(0,-N10)</f>
        <v/>
      </c>
      <c r="O11" s="17">
        <f>MAX(0,-O10)</f>
        <v/>
      </c>
      <c r="P11" s="17">
        <f>MAX(0,-P10)</f>
        <v/>
      </c>
    </row>
    <row r="12">
      <c r="B12" s="2" t="inlineStr">
        <is>
          <t>Distributable</t>
        </is>
      </c>
      <c r="C12" s="17">
        <f>MAX(0,C10)</f>
        <v/>
      </c>
      <c r="D12" s="17">
        <f>MAX(0,D10)</f>
        <v/>
      </c>
      <c r="E12" s="17">
        <f>MAX(0,E10)</f>
        <v/>
      </c>
      <c r="F12" s="17">
        <f>MAX(0,F10)</f>
        <v/>
      </c>
      <c r="G12" s="17">
        <f>MAX(0,G10)</f>
        <v/>
      </c>
      <c r="H12" s="17">
        <f>MAX(0,H10)</f>
        <v/>
      </c>
      <c r="I12" s="17">
        <f>MAX(0,I10)</f>
        <v/>
      </c>
      <c r="J12" s="17">
        <f>MAX(0,J10)</f>
        <v/>
      </c>
      <c r="K12" s="17">
        <f>MAX(0,K10)</f>
        <v/>
      </c>
      <c r="L12" s="17">
        <f>MAX(0,L10)</f>
        <v/>
      </c>
      <c r="M12" s="17">
        <f>MAX(0,M10)</f>
        <v/>
      </c>
      <c r="N12" s="17">
        <f>MAX(0,N10)</f>
        <v/>
      </c>
      <c r="O12" s="17">
        <f>MAX(0,O10)</f>
        <v/>
      </c>
      <c r="P12" s="17">
        <f>MAX(0,P10)</f>
        <v/>
      </c>
    </row>
    <row r="13">
      <c r="B13" s="2" t="inlineStr">
        <is>
          <t>Capital account, opening</t>
        </is>
      </c>
      <c r="C13" s="17" t="n">
        <v>0</v>
      </c>
      <c r="D13" s="17">
        <f>C25</f>
        <v/>
      </c>
      <c r="E13" s="17">
        <f>D25</f>
        <v/>
      </c>
      <c r="F13" s="17">
        <f>E25</f>
        <v/>
      </c>
      <c r="G13" s="17">
        <f>F25</f>
        <v/>
      </c>
      <c r="H13" s="17">
        <f>G25</f>
        <v/>
      </c>
      <c r="I13" s="17">
        <f>H25</f>
        <v/>
      </c>
      <c r="J13" s="17">
        <f>I25</f>
        <v/>
      </c>
      <c r="K13" s="17">
        <f>J25</f>
        <v/>
      </c>
      <c r="L13" s="17">
        <f>K25</f>
        <v/>
      </c>
      <c r="M13" s="17">
        <f>L25</f>
        <v/>
      </c>
      <c r="N13" s="17">
        <f>M25</f>
        <v/>
      </c>
      <c r="O13" s="17">
        <f>N25</f>
        <v/>
      </c>
      <c r="P13" s="17">
        <f>O25</f>
        <v/>
      </c>
    </row>
    <row r="14">
      <c r="B14" s="2" t="inlineStr">
        <is>
          <t>Unpaid preferred return, opening</t>
        </is>
      </c>
      <c r="C14" s="17" t="n">
        <v>0</v>
      </c>
      <c r="D14" s="17">
        <f>C26</f>
        <v/>
      </c>
      <c r="E14" s="17">
        <f>D26</f>
        <v/>
      </c>
      <c r="F14" s="17">
        <f>E26</f>
        <v/>
      </c>
      <c r="G14" s="17">
        <f>F26</f>
        <v/>
      </c>
      <c r="H14" s="17">
        <f>G26</f>
        <v/>
      </c>
      <c r="I14" s="17">
        <f>H26</f>
        <v/>
      </c>
      <c r="J14" s="17">
        <f>I26</f>
        <v/>
      </c>
      <c r="K14" s="17">
        <f>J26</f>
        <v/>
      </c>
      <c r="L14" s="17">
        <f>K26</f>
        <v/>
      </c>
      <c r="M14" s="17">
        <f>L26</f>
        <v/>
      </c>
      <c r="N14" s="17">
        <f>M26</f>
        <v/>
      </c>
      <c r="O14" s="17">
        <f>N26</f>
        <v/>
      </c>
      <c r="P14" s="17">
        <f>O26</f>
        <v/>
      </c>
    </row>
    <row r="15">
      <c r="B15" s="2" t="inlineStr">
        <is>
          <t>Preferred return accrued</t>
        </is>
      </c>
      <c r="C15" s="17" t="n">
        <v>0</v>
      </c>
      <c r="D15" s="17">
        <f>Inputs!$C$11*(D13+D14)</f>
        <v/>
      </c>
      <c r="E15" s="17">
        <f>Inputs!$C$11*(E13+E14)</f>
        <v/>
      </c>
      <c r="F15" s="17">
        <f>Inputs!$C$11*(F13+F14)</f>
        <v/>
      </c>
      <c r="G15" s="17">
        <f>Inputs!$C$11*(G13+G14)</f>
        <v/>
      </c>
      <c r="H15" s="17">
        <f>Inputs!$C$11*(H13+H14)</f>
        <v/>
      </c>
      <c r="I15" s="17">
        <f>Inputs!$C$11*(I13+I14)</f>
        <v/>
      </c>
      <c r="J15" s="17">
        <f>Inputs!$C$11*(J13+J14)</f>
        <v/>
      </c>
      <c r="K15" s="17">
        <f>Inputs!$C$11*(K13+K14)</f>
        <v/>
      </c>
      <c r="L15" s="17">
        <f>Inputs!$C$11*(L13+L14)</f>
        <v/>
      </c>
      <c r="M15" s="17">
        <f>Inputs!$C$11*(M13+M14)</f>
        <v/>
      </c>
      <c r="N15" s="17">
        <f>Inputs!$C$11*(N13+N14)</f>
        <v/>
      </c>
      <c r="O15" s="17">
        <f>Inputs!$C$11*(O13+O14)</f>
        <v/>
      </c>
      <c r="P15" s="17">
        <f>Inputs!$C$11*(P13+P14)</f>
        <v/>
      </c>
    </row>
    <row r="16">
      <c r="B16" s="2" t="inlineStr">
        <is>
          <t>Capital before distribution</t>
        </is>
      </c>
      <c r="C16" s="17">
        <f>C13+C11</f>
        <v/>
      </c>
      <c r="D16" s="17">
        <f>D13+D11</f>
        <v/>
      </c>
      <c r="E16" s="17">
        <f>E13+E11</f>
        <v/>
      </c>
      <c r="F16" s="17">
        <f>F13+F11</f>
        <v/>
      </c>
      <c r="G16" s="17">
        <f>G13+G11</f>
        <v/>
      </c>
      <c r="H16" s="17">
        <f>H13+H11</f>
        <v/>
      </c>
      <c r="I16" s="17">
        <f>I13+I11</f>
        <v/>
      </c>
      <c r="J16" s="17">
        <f>J13+J11</f>
        <v/>
      </c>
      <c r="K16" s="17">
        <f>K13+K11</f>
        <v/>
      </c>
      <c r="L16" s="17">
        <f>L13+L11</f>
        <v/>
      </c>
      <c r="M16" s="17">
        <f>M13+M11</f>
        <v/>
      </c>
      <c r="N16" s="17">
        <f>N13+N11</f>
        <v/>
      </c>
      <c r="O16" s="17">
        <f>O13+O11</f>
        <v/>
      </c>
      <c r="P16" s="17">
        <f>P13+P11</f>
        <v/>
      </c>
    </row>
    <row r="17">
      <c r="B17" s="2" t="inlineStr">
        <is>
          <t>Preferred return before distribution</t>
        </is>
      </c>
      <c r="C17" s="17">
        <f>C14+C15</f>
        <v/>
      </c>
      <c r="D17" s="17">
        <f>D14+D15</f>
        <v/>
      </c>
      <c r="E17" s="17">
        <f>E14+E15</f>
        <v/>
      </c>
      <c r="F17" s="17">
        <f>F14+F15</f>
        <v/>
      </c>
      <c r="G17" s="17">
        <f>G14+G15</f>
        <v/>
      </c>
      <c r="H17" s="17">
        <f>H14+H15</f>
        <v/>
      </c>
      <c r="I17" s="17">
        <f>I14+I15</f>
        <v/>
      </c>
      <c r="J17" s="17">
        <f>J14+J15</f>
        <v/>
      </c>
      <c r="K17" s="17">
        <f>K14+K15</f>
        <v/>
      </c>
      <c r="L17" s="17">
        <f>L14+L15</f>
        <v/>
      </c>
      <c r="M17" s="17">
        <f>M14+M15</f>
        <v/>
      </c>
      <c r="N17" s="17">
        <f>N14+N15</f>
        <v/>
      </c>
      <c r="O17" s="17">
        <f>O14+O15</f>
        <v/>
      </c>
      <c r="P17" s="17">
        <f>P14+P15</f>
        <v/>
      </c>
    </row>
    <row r="18">
      <c r="B18" s="2" t="inlineStr">
        <is>
          <t>1. Return of capital</t>
        </is>
      </c>
      <c r="C18" s="17">
        <f>MIN(C12,C16)</f>
        <v/>
      </c>
      <c r="D18" s="17">
        <f>MIN(D12,D16)</f>
        <v/>
      </c>
      <c r="E18" s="17">
        <f>MIN(E12,E16)</f>
        <v/>
      </c>
      <c r="F18" s="17">
        <f>MIN(F12,F16)</f>
        <v/>
      </c>
      <c r="G18" s="17">
        <f>MIN(G12,G16)</f>
        <v/>
      </c>
      <c r="H18" s="17">
        <f>MIN(H12,H16)</f>
        <v/>
      </c>
      <c r="I18" s="17">
        <f>MIN(I12,I16)</f>
        <v/>
      </c>
      <c r="J18" s="17">
        <f>MIN(J12,J16)</f>
        <v/>
      </c>
      <c r="K18" s="17">
        <f>MIN(K12,K16)</f>
        <v/>
      </c>
      <c r="L18" s="17">
        <f>MIN(L12,L16)</f>
        <v/>
      </c>
      <c r="M18" s="17">
        <f>MIN(M12,M16)</f>
        <v/>
      </c>
      <c r="N18" s="17">
        <f>MIN(N12,N16)</f>
        <v/>
      </c>
      <c r="O18" s="17">
        <f>MIN(O12,O16)</f>
        <v/>
      </c>
      <c r="P18" s="17">
        <f>MIN(P12,P16)</f>
        <v/>
      </c>
    </row>
    <row r="19">
      <c r="B19" s="2" t="inlineStr">
        <is>
          <t>2. Preferred return</t>
        </is>
      </c>
      <c r="C19" s="17">
        <f>MIN(C12-C18,C17)</f>
        <v/>
      </c>
      <c r="D19" s="17">
        <f>MIN(D12-D18,D17)</f>
        <v/>
      </c>
      <c r="E19" s="17">
        <f>MIN(E12-E18,E17)</f>
        <v/>
      </c>
      <c r="F19" s="17">
        <f>MIN(F12-F18,F17)</f>
        <v/>
      </c>
      <c r="G19" s="17">
        <f>MIN(G12-G18,G17)</f>
        <v/>
      </c>
      <c r="H19" s="17">
        <f>MIN(H12-H18,H17)</f>
        <v/>
      </c>
      <c r="I19" s="17">
        <f>MIN(I12-I18,I17)</f>
        <v/>
      </c>
      <c r="J19" s="17">
        <f>MIN(J12-J18,J17)</f>
        <v/>
      </c>
      <c r="K19" s="17">
        <f>MIN(K12-K18,K17)</f>
        <v/>
      </c>
      <c r="L19" s="17">
        <f>MIN(L12-L18,L17)</f>
        <v/>
      </c>
      <c r="M19" s="17">
        <f>MIN(M12-M18,M17)</f>
        <v/>
      </c>
      <c r="N19" s="17">
        <f>MIN(N12-N18,N17)</f>
        <v/>
      </c>
      <c r="O19" s="17">
        <f>MIN(O12-O18,O17)</f>
        <v/>
      </c>
      <c r="P19" s="17">
        <f>MIN(P12-P18,P17)</f>
        <v/>
      </c>
    </row>
    <row r="20">
      <c r="B20" s="2" t="inlineStr">
        <is>
          <t>3. Larkspur catch-up</t>
        </is>
      </c>
      <c r="C20" s="17">
        <f>MIN(C12-C18-C19,MAX(0,(Inputs!$C$12/(1-Inputs!$C$12))*(0+C19)-0))</f>
        <v/>
      </c>
      <c r="D20" s="17">
        <f>MIN(D12-D18-D19,MAX(0,(Inputs!$C$12/(1-Inputs!$C$12))*(C27+D19)-C28))</f>
        <v/>
      </c>
      <c r="E20" s="17">
        <f>MIN(E12-E18-E19,MAX(0,(Inputs!$C$12/(1-Inputs!$C$12))*(D27+E19)-D28))</f>
        <v/>
      </c>
      <c r="F20" s="17">
        <f>MIN(F12-F18-F19,MAX(0,(Inputs!$C$12/(1-Inputs!$C$12))*(E27+F19)-E28))</f>
        <v/>
      </c>
      <c r="G20" s="17">
        <f>MIN(G12-G18-G19,MAX(0,(Inputs!$C$12/(1-Inputs!$C$12))*(F27+G19)-F28))</f>
        <v/>
      </c>
      <c r="H20" s="17">
        <f>MIN(H12-H18-H19,MAX(0,(Inputs!$C$12/(1-Inputs!$C$12))*(G27+H19)-G28))</f>
        <v/>
      </c>
      <c r="I20" s="17">
        <f>MIN(I12-I18-I19,MAX(0,(Inputs!$C$12/(1-Inputs!$C$12))*(H27+I19)-H28))</f>
        <v/>
      </c>
      <c r="J20" s="17">
        <f>MIN(J12-J18-J19,MAX(0,(Inputs!$C$12/(1-Inputs!$C$12))*(I27+J19)-I28))</f>
        <v/>
      </c>
      <c r="K20" s="17">
        <f>MIN(K12-K18-K19,MAX(0,(Inputs!$C$12/(1-Inputs!$C$12))*(J27+K19)-J28))</f>
        <v/>
      </c>
      <c r="L20" s="17">
        <f>MIN(L12-L18-L19,MAX(0,(Inputs!$C$12/(1-Inputs!$C$12))*(K27+L19)-K28))</f>
        <v/>
      </c>
      <c r="M20" s="17">
        <f>MIN(M12-M18-M19,MAX(0,(Inputs!$C$12/(1-Inputs!$C$12))*(L27+M19)-L28))</f>
        <v/>
      </c>
      <c r="N20" s="17">
        <f>MIN(N12-N18-N19,MAX(0,(Inputs!$C$12/(1-Inputs!$C$12))*(M27+N19)-M28))</f>
        <v/>
      </c>
      <c r="O20" s="17">
        <f>MIN(O12-O18-O19,MAX(0,(Inputs!$C$12/(1-Inputs!$C$12))*(N27+O19)-N28))</f>
        <v/>
      </c>
      <c r="P20" s="17">
        <f>MIN(P12-P18-P19,MAX(0,(Inputs!$C$12/(1-Inputs!$C$12))*(O27+P19)-O28))</f>
        <v/>
      </c>
    </row>
    <row r="21">
      <c r="B21" s="2" t="inlineStr">
        <is>
          <t>4. Residual, to Larkspur</t>
        </is>
      </c>
      <c r="C21" s="17">
        <f>Inputs!$C$12*(C12-C18-C19-C20)</f>
        <v/>
      </c>
      <c r="D21" s="17">
        <f>Inputs!$C$12*(D12-D18-D19-D20)</f>
        <v/>
      </c>
      <c r="E21" s="17">
        <f>Inputs!$C$12*(E12-E18-E19-E20)</f>
        <v/>
      </c>
      <c r="F21" s="17">
        <f>Inputs!$C$12*(F12-F18-F19-F20)</f>
        <v/>
      </c>
      <c r="G21" s="17">
        <f>Inputs!$C$12*(G12-G18-G19-G20)</f>
        <v/>
      </c>
      <c r="H21" s="17">
        <f>Inputs!$C$12*(H12-H18-H19-H20)</f>
        <v/>
      </c>
      <c r="I21" s="17">
        <f>Inputs!$C$12*(I12-I18-I19-I20)</f>
        <v/>
      </c>
      <c r="J21" s="17">
        <f>Inputs!$C$12*(J12-J18-J19-J20)</f>
        <v/>
      </c>
      <c r="K21" s="17">
        <f>Inputs!$C$12*(K12-K18-K19-K20)</f>
        <v/>
      </c>
      <c r="L21" s="17">
        <f>Inputs!$C$12*(L12-L18-L19-L20)</f>
        <v/>
      </c>
      <c r="M21" s="17">
        <f>Inputs!$C$12*(M12-M18-M19-M20)</f>
        <v/>
      </c>
      <c r="N21" s="17">
        <f>Inputs!$C$12*(N12-N18-N19-N20)</f>
        <v/>
      </c>
      <c r="O21" s="17">
        <f>Inputs!$C$12*(O12-O18-O19-O20)</f>
        <v/>
      </c>
      <c r="P21" s="17">
        <f>Inputs!$C$12*(P12-P18-P19-P20)</f>
        <v/>
      </c>
    </row>
    <row r="22">
      <c r="B22" s="2" t="inlineStr">
        <is>
          <t>4. Residual, to investors</t>
        </is>
      </c>
      <c r="C22" s="17">
        <f>(1-Inputs!$C$12)*(C12-C18-C19-C20)</f>
        <v/>
      </c>
      <c r="D22" s="17">
        <f>(1-Inputs!$C$12)*(D12-D18-D19-D20)</f>
        <v/>
      </c>
      <c r="E22" s="17">
        <f>(1-Inputs!$C$12)*(E12-E18-E19-E20)</f>
        <v/>
      </c>
      <c r="F22" s="17">
        <f>(1-Inputs!$C$12)*(F12-F18-F19-F20)</f>
        <v/>
      </c>
      <c r="G22" s="17">
        <f>(1-Inputs!$C$12)*(G12-G18-G19-G20)</f>
        <v/>
      </c>
      <c r="H22" s="17">
        <f>(1-Inputs!$C$12)*(H12-H18-H19-H20)</f>
        <v/>
      </c>
      <c r="I22" s="17">
        <f>(1-Inputs!$C$12)*(I12-I18-I19-I20)</f>
        <v/>
      </c>
      <c r="J22" s="17">
        <f>(1-Inputs!$C$12)*(J12-J18-J19-J20)</f>
        <v/>
      </c>
      <c r="K22" s="17">
        <f>(1-Inputs!$C$12)*(K12-K18-K19-K20)</f>
        <v/>
      </c>
      <c r="L22" s="17">
        <f>(1-Inputs!$C$12)*(L12-L18-L19-L20)</f>
        <v/>
      </c>
      <c r="M22" s="17">
        <f>(1-Inputs!$C$12)*(M12-M18-M19-M20)</f>
        <v/>
      </c>
      <c r="N22" s="17">
        <f>(1-Inputs!$C$12)*(N12-N18-N19-N20)</f>
        <v/>
      </c>
      <c r="O22" s="17">
        <f>(1-Inputs!$C$12)*(O12-O18-O19-O20)</f>
        <v/>
      </c>
      <c r="P22" s="17">
        <f>(1-Inputs!$C$12)*(P12-P18-P19-P20)</f>
        <v/>
      </c>
    </row>
    <row r="23">
      <c r="B23" s="5" t="inlineStr">
        <is>
          <t>Investor distribution</t>
        </is>
      </c>
      <c r="C23" s="17">
        <f>C18+C19+C22</f>
        <v/>
      </c>
      <c r="D23" s="17">
        <f>D18+D19+D22</f>
        <v/>
      </c>
      <c r="E23" s="17">
        <f>E18+E19+E22</f>
        <v/>
      </c>
      <c r="F23" s="17">
        <f>F18+F19+F22</f>
        <v/>
      </c>
      <c r="G23" s="17">
        <f>G18+G19+G22</f>
        <v/>
      </c>
      <c r="H23" s="17">
        <f>H18+H19+H22</f>
        <v/>
      </c>
      <c r="I23" s="17">
        <f>I18+I19+I22</f>
        <v/>
      </c>
      <c r="J23" s="17">
        <f>J18+J19+J22</f>
        <v/>
      </c>
      <c r="K23" s="17">
        <f>K18+K19+K22</f>
        <v/>
      </c>
      <c r="L23" s="17">
        <f>L18+L19+L22</f>
        <v/>
      </c>
      <c r="M23" s="17">
        <f>M18+M19+M22</f>
        <v/>
      </c>
      <c r="N23" s="17">
        <f>N18+N19+N22</f>
        <v/>
      </c>
      <c r="O23" s="17">
        <f>O18+O19+O22</f>
        <v/>
      </c>
      <c r="P23" s="17">
        <f>P18+P19+P22</f>
        <v/>
      </c>
    </row>
    <row r="24">
      <c r="B24" s="2" t="inlineStr">
        <is>
          <t>Larkspur carry paid</t>
        </is>
      </c>
      <c r="C24" s="17">
        <f>C20+C21</f>
        <v/>
      </c>
      <c r="D24" s="17">
        <f>D20+D21</f>
        <v/>
      </c>
      <c r="E24" s="17">
        <f>E20+E21</f>
        <v/>
      </c>
      <c r="F24" s="17">
        <f>F20+F21</f>
        <v/>
      </c>
      <c r="G24" s="17">
        <f>G20+G21</f>
        <v/>
      </c>
      <c r="H24" s="17">
        <f>H20+H21</f>
        <v/>
      </c>
      <c r="I24" s="17">
        <f>I20+I21</f>
        <v/>
      </c>
      <c r="J24" s="17">
        <f>J20+J21</f>
        <v/>
      </c>
      <c r="K24" s="17">
        <f>K20+K21</f>
        <v/>
      </c>
      <c r="L24" s="17">
        <f>L20+L21</f>
        <v/>
      </c>
      <c r="M24" s="17">
        <f>M20+M21</f>
        <v/>
      </c>
      <c r="N24" s="17">
        <f>N20+N21</f>
        <v/>
      </c>
      <c r="O24" s="17">
        <f>O20+O21</f>
        <v/>
      </c>
      <c r="P24" s="17">
        <f>P20+P21</f>
        <v/>
      </c>
    </row>
    <row r="25">
      <c r="B25" s="2" t="inlineStr">
        <is>
          <t>Capital account, closing</t>
        </is>
      </c>
      <c r="C25" s="17">
        <f>C16-C18</f>
        <v/>
      </c>
      <c r="D25" s="17">
        <f>D16-D18</f>
        <v/>
      </c>
      <c r="E25" s="17">
        <f>E16-E18</f>
        <v/>
      </c>
      <c r="F25" s="17">
        <f>F16-F18</f>
        <v/>
      </c>
      <c r="G25" s="17">
        <f>G16-G18</f>
        <v/>
      </c>
      <c r="H25" s="17">
        <f>H16-H18</f>
        <v/>
      </c>
      <c r="I25" s="17">
        <f>I16-I18</f>
        <v/>
      </c>
      <c r="J25" s="17">
        <f>J16-J18</f>
        <v/>
      </c>
      <c r="K25" s="17">
        <f>K16-K18</f>
        <v/>
      </c>
      <c r="L25" s="17">
        <f>L16-L18</f>
        <v/>
      </c>
      <c r="M25" s="17">
        <f>M16-M18</f>
        <v/>
      </c>
      <c r="N25" s="17">
        <f>N16-N18</f>
        <v/>
      </c>
      <c r="O25" s="17">
        <f>O16-O18</f>
        <v/>
      </c>
      <c r="P25" s="17">
        <f>P16-P18</f>
        <v/>
      </c>
    </row>
    <row r="26">
      <c r="B26" s="2" t="inlineStr">
        <is>
          <t>Unpaid preferred return, closing</t>
        </is>
      </c>
      <c r="C26" s="17">
        <f>C17-C19</f>
        <v/>
      </c>
      <c r="D26" s="17">
        <f>D17-D19</f>
        <v/>
      </c>
      <c r="E26" s="17">
        <f>E17-E19</f>
        <v/>
      </c>
      <c r="F26" s="17">
        <f>F17-F19</f>
        <v/>
      </c>
      <c r="G26" s="17">
        <f>G17-G19</f>
        <v/>
      </c>
      <c r="H26" s="17">
        <f>H17-H19</f>
        <v/>
      </c>
      <c r="I26" s="17">
        <f>I17-I19</f>
        <v/>
      </c>
      <c r="J26" s="17">
        <f>J17-J19</f>
        <v/>
      </c>
      <c r="K26" s="17">
        <f>K17-K19</f>
        <v/>
      </c>
      <c r="L26" s="17">
        <f>L17-L19</f>
        <v/>
      </c>
      <c r="M26" s="17">
        <f>M17-M19</f>
        <v/>
      </c>
      <c r="N26" s="17">
        <f>N17-N19</f>
        <v/>
      </c>
      <c r="O26" s="17">
        <f>O17-O19</f>
        <v/>
      </c>
      <c r="P26" s="17">
        <f>P17-P19</f>
        <v/>
      </c>
    </row>
    <row r="27">
      <c r="B27" s="2" t="inlineStr">
        <is>
          <t>Investor profit, cumulative</t>
        </is>
      </c>
      <c r="C27" s="17">
        <f>0+C19+C22</f>
        <v/>
      </c>
      <c r="D27" s="17">
        <f>C27+D19+D22</f>
        <v/>
      </c>
      <c r="E27" s="17">
        <f>D27+E19+E22</f>
        <v/>
      </c>
      <c r="F27" s="17">
        <f>E27+F19+F22</f>
        <v/>
      </c>
      <c r="G27" s="17">
        <f>F27+G19+G22</f>
        <v/>
      </c>
      <c r="H27" s="17">
        <f>G27+H19+H22</f>
        <v/>
      </c>
      <c r="I27" s="17">
        <f>H27+I19+I22</f>
        <v/>
      </c>
      <c r="J27" s="17">
        <f>I27+J19+J22</f>
        <v/>
      </c>
      <c r="K27" s="17">
        <f>J27+K19+K22</f>
        <v/>
      </c>
      <c r="L27" s="17">
        <f>K27+L19+L22</f>
        <v/>
      </c>
      <c r="M27" s="17">
        <f>L27+M19+M22</f>
        <v/>
      </c>
      <c r="N27" s="17">
        <f>M27+N19+N22</f>
        <v/>
      </c>
      <c r="O27" s="17">
        <f>N27+O19+O22</f>
        <v/>
      </c>
      <c r="P27" s="17">
        <f>O27+P19+P22</f>
        <v/>
      </c>
    </row>
    <row r="28">
      <c r="B28" s="2" t="inlineStr">
        <is>
          <t>Larkspur carry, cumulative</t>
        </is>
      </c>
      <c r="C28" s="17">
        <f>0+C24</f>
        <v/>
      </c>
      <c r="D28" s="17">
        <f>C28+D24</f>
        <v/>
      </c>
      <c r="E28" s="17">
        <f>D28+E24</f>
        <v/>
      </c>
      <c r="F28" s="17">
        <f>E28+F24</f>
        <v/>
      </c>
      <c r="G28" s="17">
        <f>F28+G24</f>
        <v/>
      </c>
      <c r="H28" s="17">
        <f>G28+H24</f>
        <v/>
      </c>
      <c r="I28" s="17">
        <f>H28+I24</f>
        <v/>
      </c>
      <c r="J28" s="17">
        <f>I28+J24</f>
        <v/>
      </c>
      <c r="K28" s="17">
        <f>J28+K24</f>
        <v/>
      </c>
      <c r="L28" s="17">
        <f>K28+L24</f>
        <v/>
      </c>
      <c r="M28" s="17">
        <f>L28+M24</f>
        <v/>
      </c>
      <c r="N28" s="17">
        <f>M28+N24</f>
        <v/>
      </c>
      <c r="O28" s="17">
        <f>N28+O24</f>
        <v/>
      </c>
      <c r="P28" s="17">
        <f>O28+P24</f>
        <v/>
      </c>
    </row>
    <row r="29">
      <c r="B29" s="2" t="inlineStr">
        <is>
          <t>Hypothetical: capital</t>
        </is>
      </c>
      <c r="C29" s="17">
        <f>MIN(C7,C25)</f>
        <v/>
      </c>
      <c r="D29" s="17">
        <f>MIN(D7,D25)</f>
        <v/>
      </c>
      <c r="E29" s="17">
        <f>MIN(E7,E25)</f>
        <v/>
      </c>
      <c r="F29" s="17">
        <f>MIN(F7,F25)</f>
        <v/>
      </c>
      <c r="G29" s="17">
        <f>MIN(G7,G25)</f>
        <v/>
      </c>
      <c r="H29" s="17">
        <f>MIN(H7,H25)</f>
        <v/>
      </c>
      <c r="I29" s="17">
        <f>MIN(I7,I25)</f>
        <v/>
      </c>
      <c r="J29" s="17">
        <f>MIN(J7,J25)</f>
        <v/>
      </c>
      <c r="K29" s="17">
        <f>MIN(K7,K25)</f>
        <v/>
      </c>
      <c r="L29" s="17">
        <f>MIN(L7,L25)</f>
        <v/>
      </c>
      <c r="M29" s="17">
        <f>MIN(M7,M25)</f>
        <v/>
      </c>
      <c r="N29" s="17">
        <f>MIN(N7,N25)</f>
        <v/>
      </c>
      <c r="O29" s="17">
        <f>MIN(O7,O25)</f>
        <v/>
      </c>
      <c r="P29" s="17">
        <f>MIN(P7,P25)</f>
        <v/>
      </c>
    </row>
    <row r="30">
      <c r="B30" s="2" t="inlineStr">
        <is>
          <t>Hypothetical: preferred return</t>
        </is>
      </c>
      <c r="C30" s="17">
        <f>MIN(C7-C29,C26)</f>
        <v/>
      </c>
      <c r="D30" s="17">
        <f>MIN(D7-D29,D26)</f>
        <v/>
      </c>
      <c r="E30" s="17">
        <f>MIN(E7-E29,E26)</f>
        <v/>
      </c>
      <c r="F30" s="17">
        <f>MIN(F7-F29,F26)</f>
        <v/>
      </c>
      <c r="G30" s="17">
        <f>MIN(G7-G29,G26)</f>
        <v/>
      </c>
      <c r="H30" s="17">
        <f>MIN(H7-H29,H26)</f>
        <v/>
      </c>
      <c r="I30" s="17">
        <f>MIN(I7-I29,I26)</f>
        <v/>
      </c>
      <c r="J30" s="17">
        <f>MIN(J7-J29,J26)</f>
        <v/>
      </c>
      <c r="K30" s="17">
        <f>MIN(K7-K29,K26)</f>
        <v/>
      </c>
      <c r="L30" s="17">
        <f>MIN(L7-L29,L26)</f>
        <v/>
      </c>
      <c r="M30" s="17">
        <f>MIN(M7-M29,M26)</f>
        <v/>
      </c>
      <c r="N30" s="17">
        <f>MIN(N7-N29,N26)</f>
        <v/>
      </c>
      <c r="O30" s="17">
        <f>MIN(O7-O29,O26)</f>
        <v/>
      </c>
      <c r="P30" s="17">
        <f>MIN(P7-P29,P26)</f>
        <v/>
      </c>
    </row>
    <row r="31">
      <c r="B31" s="2" t="inlineStr">
        <is>
          <t>Hypothetical: catch-up</t>
        </is>
      </c>
      <c r="C31" s="17">
        <f>MIN(C7-C29-C30,MAX(0,(Inputs!$C$12/(1-Inputs!$C$12))*(C27+C30)-C28))</f>
        <v/>
      </c>
      <c r="D31" s="17">
        <f>MIN(D7-D29-D30,MAX(0,(Inputs!$C$12/(1-Inputs!$C$12))*(D27+D30)-D28))</f>
        <v/>
      </c>
      <c r="E31" s="17">
        <f>MIN(E7-E29-E30,MAX(0,(Inputs!$C$12/(1-Inputs!$C$12))*(E27+E30)-E28))</f>
        <v/>
      </c>
      <c r="F31" s="17">
        <f>MIN(F7-F29-F30,MAX(0,(Inputs!$C$12/(1-Inputs!$C$12))*(F27+F30)-F28))</f>
        <v/>
      </c>
      <c r="G31" s="17">
        <f>MIN(G7-G29-G30,MAX(0,(Inputs!$C$12/(1-Inputs!$C$12))*(G27+G30)-G28))</f>
        <v/>
      </c>
      <c r="H31" s="17">
        <f>MIN(H7-H29-H30,MAX(0,(Inputs!$C$12/(1-Inputs!$C$12))*(H27+H30)-H28))</f>
        <v/>
      </c>
      <c r="I31" s="17">
        <f>MIN(I7-I29-I30,MAX(0,(Inputs!$C$12/(1-Inputs!$C$12))*(I27+I30)-I28))</f>
        <v/>
      </c>
      <c r="J31" s="17">
        <f>MIN(J7-J29-J30,MAX(0,(Inputs!$C$12/(1-Inputs!$C$12))*(J27+J30)-J28))</f>
        <v/>
      </c>
      <c r="K31" s="17">
        <f>MIN(K7-K29-K30,MAX(0,(Inputs!$C$12/(1-Inputs!$C$12))*(K27+K30)-K28))</f>
        <v/>
      </c>
      <c r="L31" s="17">
        <f>MIN(L7-L29-L30,MAX(0,(Inputs!$C$12/(1-Inputs!$C$12))*(L27+L30)-L28))</f>
        <v/>
      </c>
      <c r="M31" s="17">
        <f>MIN(M7-M29-M30,MAX(0,(Inputs!$C$12/(1-Inputs!$C$12))*(M27+M30)-M28))</f>
        <v/>
      </c>
      <c r="N31" s="17">
        <f>MIN(N7-N29-N30,MAX(0,(Inputs!$C$12/(1-Inputs!$C$12))*(N27+N30)-N28))</f>
        <v/>
      </c>
      <c r="O31" s="17">
        <f>MIN(O7-O29-O30,MAX(0,(Inputs!$C$12/(1-Inputs!$C$12))*(O27+O30)-O28))</f>
        <v/>
      </c>
      <c r="P31" s="17">
        <f>MIN(P7-P29-P30,MAX(0,(Inputs!$C$12/(1-Inputs!$C$12))*(P27+P30)-P28))</f>
        <v/>
      </c>
    </row>
    <row r="32">
      <c r="B32" s="2" t="inlineStr">
        <is>
          <t>Hypothetical: residual to Larkspur</t>
        </is>
      </c>
      <c r="C32" s="17">
        <f>Inputs!$C$12*(C7-C29-C30-C31)</f>
        <v/>
      </c>
      <c r="D32" s="17">
        <f>Inputs!$C$12*(D7-D29-D30-D31)</f>
        <v/>
      </c>
      <c r="E32" s="17">
        <f>Inputs!$C$12*(E7-E29-E30-E31)</f>
        <v/>
      </c>
      <c r="F32" s="17">
        <f>Inputs!$C$12*(F7-F29-F30-F31)</f>
        <v/>
      </c>
      <c r="G32" s="17">
        <f>Inputs!$C$12*(G7-G29-G30-G31)</f>
        <v/>
      </c>
      <c r="H32" s="17">
        <f>Inputs!$C$12*(H7-H29-H30-H31)</f>
        <v/>
      </c>
      <c r="I32" s="17">
        <f>Inputs!$C$12*(I7-I29-I30-I31)</f>
        <v/>
      </c>
      <c r="J32" s="17">
        <f>Inputs!$C$12*(J7-J29-J30-J31)</f>
        <v/>
      </c>
      <c r="K32" s="17">
        <f>Inputs!$C$12*(K7-K29-K30-K31)</f>
        <v/>
      </c>
      <c r="L32" s="17">
        <f>Inputs!$C$12*(L7-L29-L30-L31)</f>
        <v/>
      </c>
      <c r="M32" s="17">
        <f>Inputs!$C$12*(M7-M29-M30-M31)</f>
        <v/>
      </c>
      <c r="N32" s="17">
        <f>Inputs!$C$12*(N7-N29-N30-N31)</f>
        <v/>
      </c>
      <c r="O32" s="17">
        <f>Inputs!$C$12*(O7-O29-O30-O31)</f>
        <v/>
      </c>
      <c r="P32" s="17">
        <f>Inputs!$C$12*(P7-P29-P30-P31)</f>
        <v/>
      </c>
    </row>
    <row r="33">
      <c r="B33" s="2" t="inlineStr">
        <is>
          <t>Accrued carry on NAV</t>
        </is>
      </c>
      <c r="C33" s="17">
        <f>C31+C32</f>
        <v/>
      </c>
      <c r="D33" s="17">
        <f>D31+D32</f>
        <v/>
      </c>
      <c r="E33" s="17">
        <f>E31+E32</f>
        <v/>
      </c>
      <c r="F33" s="17">
        <f>F31+F32</f>
        <v/>
      </c>
      <c r="G33" s="17">
        <f>G31+G32</f>
        <v/>
      </c>
      <c r="H33" s="17">
        <f>H31+H32</f>
        <v/>
      </c>
      <c r="I33" s="17">
        <f>I31+I32</f>
        <v/>
      </c>
      <c r="J33" s="17">
        <f>J31+J32</f>
        <v/>
      </c>
      <c r="K33" s="17">
        <f>K31+K32</f>
        <v/>
      </c>
      <c r="L33" s="17">
        <f>L31+L32</f>
        <v/>
      </c>
      <c r="M33" s="17">
        <f>M31+M32</f>
        <v/>
      </c>
      <c r="N33" s="17">
        <f>N31+N32</f>
        <v/>
      </c>
      <c r="O33" s="17">
        <f>O31+O32</f>
        <v/>
      </c>
      <c r="P33" s="17">
        <f>P31+P32</f>
        <v/>
      </c>
    </row>
    <row r="34">
      <c r="B34" s="5" t="inlineStr">
        <is>
          <t>Net NAV to investors</t>
        </is>
      </c>
      <c r="C34" s="17">
        <f>C7-C33</f>
        <v/>
      </c>
      <c r="D34" s="17">
        <f>D7-D33</f>
        <v/>
      </c>
      <c r="E34" s="17">
        <f>E7-E33</f>
        <v/>
      </c>
      <c r="F34" s="17">
        <f>F7-F33</f>
        <v/>
      </c>
      <c r="G34" s="17">
        <f>G7-G33</f>
        <v/>
      </c>
      <c r="H34" s="17">
        <f>H7-H33</f>
        <v/>
      </c>
      <c r="I34" s="17">
        <f>I7-I33</f>
        <v/>
      </c>
      <c r="J34" s="17">
        <f>J7-J33</f>
        <v/>
      </c>
      <c r="K34" s="17">
        <f>K7-K33</f>
        <v/>
      </c>
      <c r="L34" s="17">
        <f>L7-L33</f>
        <v/>
      </c>
      <c r="M34" s="17">
        <f>M7-M33</f>
        <v/>
      </c>
      <c r="N34" s="17">
        <f>N7-N33</f>
        <v/>
      </c>
      <c r="O34" s="17">
        <f>O7-O33</f>
        <v/>
      </c>
      <c r="P34" s="17">
        <f>P7-P33</f>
        <v/>
      </c>
    </row>
    <row r="35">
      <c r="B35" s="2" t="inlineStr">
        <is>
          <t>Investor net cash flow</t>
        </is>
      </c>
      <c r="C35" s="17">
        <f>C23-C11</f>
        <v/>
      </c>
      <c r="D35" s="17">
        <f>D23-D11</f>
        <v/>
      </c>
      <c r="E35" s="17">
        <f>E23-E11</f>
        <v/>
      </c>
      <c r="F35" s="17">
        <f>F23-F11</f>
        <v/>
      </c>
      <c r="G35" s="17">
        <f>G23-G11</f>
        <v/>
      </c>
      <c r="H35" s="17">
        <f>H23-H11</f>
        <v/>
      </c>
      <c r="I35" s="17">
        <f>I23-I11</f>
        <v/>
      </c>
      <c r="J35" s="17">
        <f>J23-J11</f>
        <v/>
      </c>
      <c r="K35" s="17">
        <f>K23-K11</f>
        <v/>
      </c>
      <c r="L35" s="17">
        <f>L23-L11</f>
        <v/>
      </c>
      <c r="M35" s="17">
        <f>M23-M11</f>
        <v/>
      </c>
      <c r="N35" s="17">
        <f>N23-N11</f>
        <v/>
      </c>
      <c r="O35" s="17">
        <f>O23-O11</f>
        <v/>
      </c>
      <c r="P35" s="17">
        <f>P23-P11</f>
        <v/>
      </c>
    </row>
    <row r="36">
      <c r="B36" s="2" t="inlineStr">
        <is>
          <t>Cumulative net cash flow</t>
        </is>
      </c>
      <c r="C36" s="17">
        <f>SUM($C35:C35)</f>
        <v/>
      </c>
      <c r="D36" s="17">
        <f>SUM($C35:D35)</f>
        <v/>
      </c>
      <c r="E36" s="17">
        <f>SUM($C35:E35)</f>
        <v/>
      </c>
      <c r="F36" s="17">
        <f>SUM($C35:F35)</f>
        <v/>
      </c>
      <c r="G36" s="17">
        <f>SUM($C35:G35)</f>
        <v/>
      </c>
      <c r="H36" s="17">
        <f>SUM($C35:H35)</f>
        <v/>
      </c>
      <c r="I36" s="17">
        <f>SUM($C35:I35)</f>
        <v/>
      </c>
      <c r="J36" s="17">
        <f>SUM($C35:J35)</f>
        <v/>
      </c>
      <c r="K36" s="17">
        <f>SUM($C35:K35)</f>
        <v/>
      </c>
      <c r="L36" s="17">
        <f>SUM($C35:L35)</f>
        <v/>
      </c>
      <c r="M36" s="17">
        <f>SUM($C35:M35)</f>
        <v/>
      </c>
      <c r="N36" s="17">
        <f>SUM($C35:N35)</f>
        <v/>
      </c>
      <c r="O36" s="17">
        <f>SUM($C35:O35)</f>
        <v/>
      </c>
      <c r="P36" s="17">
        <f>SUM($C35:P35)</f>
        <v/>
      </c>
    </row>
    <row r="37">
      <c r="B37" s="2" t="inlineStr">
        <is>
          <t>Paid in, cumulative</t>
        </is>
      </c>
      <c r="C37" s="17">
        <f>SUM($C11:C11)</f>
        <v/>
      </c>
      <c r="D37" s="17">
        <f>SUM($C11:D11)</f>
        <v/>
      </c>
      <c r="E37" s="17">
        <f>SUM($C11:E11)</f>
        <v/>
      </c>
      <c r="F37" s="17">
        <f>SUM($C11:F11)</f>
        <v/>
      </c>
      <c r="G37" s="17">
        <f>SUM($C11:G11)</f>
        <v/>
      </c>
      <c r="H37" s="17">
        <f>SUM($C11:H11)</f>
        <v/>
      </c>
      <c r="I37" s="17">
        <f>SUM($C11:I11)</f>
        <v/>
      </c>
      <c r="J37" s="17">
        <f>SUM($C11:J11)</f>
        <v/>
      </c>
      <c r="K37" s="17">
        <f>SUM($C11:K11)</f>
        <v/>
      </c>
      <c r="L37" s="17">
        <f>SUM($C11:L11)</f>
        <v/>
      </c>
      <c r="M37" s="17">
        <f>SUM($C11:M11)</f>
        <v/>
      </c>
      <c r="N37" s="17">
        <f>SUM($C11:N11)</f>
        <v/>
      </c>
      <c r="O37" s="17">
        <f>SUM($C11:O11)</f>
        <v/>
      </c>
      <c r="P37" s="17">
        <f>SUM($C11:P11)</f>
        <v/>
      </c>
    </row>
    <row r="38">
      <c r="B38" s="2" t="inlineStr">
        <is>
          <t>Distributed, cumulative</t>
        </is>
      </c>
      <c r="C38" s="17">
        <f>SUM($C23:C23)</f>
        <v/>
      </c>
      <c r="D38" s="17">
        <f>SUM($C23:D23)</f>
        <v/>
      </c>
      <c r="E38" s="17">
        <f>SUM($C23:E23)</f>
        <v/>
      </c>
      <c r="F38" s="17">
        <f>SUM($C23:F23)</f>
        <v/>
      </c>
      <c r="G38" s="17">
        <f>SUM($C23:G23)</f>
        <v/>
      </c>
      <c r="H38" s="17">
        <f>SUM($C23:H23)</f>
        <v/>
      </c>
      <c r="I38" s="17">
        <f>SUM($C23:I23)</f>
        <v/>
      </c>
      <c r="J38" s="17">
        <f>SUM($C23:J23)</f>
        <v/>
      </c>
      <c r="K38" s="17">
        <f>SUM($C23:K23)</f>
        <v/>
      </c>
      <c r="L38" s="17">
        <f>SUM($C23:L23)</f>
        <v/>
      </c>
      <c r="M38" s="17">
        <f>SUM($C23:M23)</f>
        <v/>
      </c>
      <c r="N38" s="17">
        <f>SUM($C23:N23)</f>
        <v/>
      </c>
      <c r="O38" s="17">
        <f>SUM($C23:O23)</f>
        <v/>
      </c>
      <c r="P38" s="17">
        <f>SUM($C23:P23)</f>
        <v/>
      </c>
    </row>
    <row r="39">
      <c r="B39" s="5" t="inlineStr">
        <is>
          <t>DPI</t>
        </is>
      </c>
      <c r="C39" s="14">
        <f>C38/C37</f>
        <v/>
      </c>
      <c r="D39" s="14">
        <f>D38/D37</f>
        <v/>
      </c>
      <c r="E39" s="14">
        <f>E38/E37</f>
        <v/>
      </c>
      <c r="F39" s="14">
        <f>F38/F37</f>
        <v/>
      </c>
      <c r="G39" s="14">
        <f>G38/G37</f>
        <v/>
      </c>
      <c r="H39" s="14">
        <f>H38/H37</f>
        <v/>
      </c>
      <c r="I39" s="14">
        <f>I38/I37</f>
        <v/>
      </c>
      <c r="J39" s="14">
        <f>J38/J37</f>
        <v/>
      </c>
      <c r="K39" s="14">
        <f>K38/K37</f>
        <v/>
      </c>
      <c r="L39" s="14">
        <f>L38/L37</f>
        <v/>
      </c>
      <c r="M39" s="14">
        <f>M38/M37</f>
        <v/>
      </c>
      <c r="N39" s="14">
        <f>N38/N37</f>
        <v/>
      </c>
      <c r="O39" s="14">
        <f>O38/O37</f>
        <v/>
      </c>
      <c r="P39" s="14">
        <f>P38/P37</f>
        <v/>
      </c>
    </row>
    <row r="40">
      <c r="B40" s="5" t="inlineStr">
        <is>
          <t>Net TVPI</t>
        </is>
      </c>
      <c r="C40" s="14">
        <f>(C38+C34)/C37</f>
        <v/>
      </c>
      <c r="D40" s="14">
        <f>(D38+D34)/D37</f>
        <v/>
      </c>
      <c r="E40" s="14">
        <f>(E38+E34)/E37</f>
        <v/>
      </c>
      <c r="F40" s="14">
        <f>(F38+F34)/F37</f>
        <v/>
      </c>
      <c r="G40" s="14">
        <f>(G38+G34)/G37</f>
        <v/>
      </c>
      <c r="H40" s="14">
        <f>(H38+H34)/H37</f>
        <v/>
      </c>
      <c r="I40" s="14">
        <f>(I38+I34)/I37</f>
        <v/>
      </c>
      <c r="J40" s="14">
        <f>(J38+J34)/J37</f>
        <v/>
      </c>
      <c r="K40" s="14">
        <f>(K38+K34)/K37</f>
        <v/>
      </c>
      <c r="L40" s="14">
        <f>(L38+L34)/L37</f>
        <v/>
      </c>
      <c r="M40" s="14">
        <f>(M38+M34)/M37</f>
        <v/>
      </c>
      <c r="N40" s="14">
        <f>(N38+N34)/N37</f>
        <v/>
      </c>
      <c r="O40" s="14">
        <f>(O38+O34)/O37</f>
        <v/>
      </c>
      <c r="P40" s="14">
        <f>(P38+P34)/P37</f>
        <v/>
      </c>
    </row>
    <row r="41">
      <c r="B41" s="2" t="inlineStr">
        <is>
          <t>Gross cash flow (before Fund IV fees, expenses, carry)</t>
        </is>
      </c>
      <c r="C41" s="17">
        <f>C6-C5</f>
        <v/>
      </c>
      <c r="D41" s="17">
        <f>D6-D5</f>
        <v/>
      </c>
      <c r="E41" s="17">
        <f>E6-E5</f>
        <v/>
      </c>
      <c r="F41" s="17">
        <f>F6-F5</f>
        <v/>
      </c>
      <c r="G41" s="17">
        <f>G6-G5</f>
        <v/>
      </c>
      <c r="H41" s="17">
        <f>H6-H5</f>
        <v/>
      </c>
      <c r="I41" s="17">
        <f>I6-I5</f>
        <v/>
      </c>
      <c r="J41" s="17">
        <f>J6-J5</f>
        <v/>
      </c>
      <c r="K41" s="17">
        <f>K6-K5</f>
        <v/>
      </c>
      <c r="L41" s="17">
        <f>L6-L5</f>
        <v/>
      </c>
      <c r="M41" s="17">
        <f>M6-M5</f>
        <v/>
      </c>
      <c r="N41" s="17">
        <f>N6-N5</f>
        <v/>
      </c>
      <c r="O41" s="17">
        <f>O6-O5</f>
        <v/>
      </c>
      <c r="P41" s="17">
        <f>P6-P5</f>
        <v/>
      </c>
    </row>
    <row r="42">
      <c r="B42" s="2" t="inlineStr">
        <is>
          <t>Facility: investor cash flow with the line</t>
        </is>
      </c>
      <c r="C42" s="17">
        <f>C23-(1-Inputs!$C$43)*C11-Inputs!$C$43*0*(1+Inputs!$C$44)</f>
        <v/>
      </c>
      <c r="D42" s="17">
        <f>D23-(1-Inputs!$C$43)*D11-Inputs!$C$43*C11*(1+Inputs!$C$44)</f>
        <v/>
      </c>
      <c r="E42" s="17">
        <f>E23-(1-Inputs!$C$43)*E11-Inputs!$C$43*D11*(1+Inputs!$C$44)</f>
        <v/>
      </c>
      <c r="F42" s="17">
        <f>F23-(1-Inputs!$C$43)*F11-Inputs!$C$43*E11*(1+Inputs!$C$44)</f>
        <v/>
      </c>
      <c r="G42" s="17">
        <f>G23-(1-Inputs!$C$43)*G11-Inputs!$C$43*F11*(1+Inputs!$C$44)</f>
        <v/>
      </c>
      <c r="H42" s="17">
        <f>H23-(1-Inputs!$C$43)*H11-Inputs!$C$43*G11*(1+Inputs!$C$44)</f>
        <v/>
      </c>
      <c r="I42" s="17">
        <f>I23-(1-Inputs!$C$43)*I11-Inputs!$C$43*H11*(1+Inputs!$C$44)</f>
        <v/>
      </c>
      <c r="J42" s="17">
        <f>J23-(1-Inputs!$C$43)*J11-Inputs!$C$43*I11*(1+Inputs!$C$44)</f>
        <v/>
      </c>
      <c r="K42" s="17">
        <f>K23-(1-Inputs!$C$43)*K11-Inputs!$C$43*J11*(1+Inputs!$C$44)</f>
        <v/>
      </c>
      <c r="L42" s="17">
        <f>L23-(1-Inputs!$C$43)*L11-Inputs!$C$43*K11*(1+Inputs!$C$44)</f>
        <v/>
      </c>
      <c r="M42" s="17">
        <f>M23-(1-Inputs!$C$43)*M11-Inputs!$C$43*L11*(1+Inputs!$C$44)</f>
        <v/>
      </c>
      <c r="N42" s="17">
        <f>N23-(1-Inputs!$C$43)*N11-Inputs!$C$43*M11*(1+Inputs!$C$44)</f>
        <v/>
      </c>
      <c r="O42" s="17">
        <f>O23-(1-Inputs!$C$43)*O11-Inputs!$C$43*N11*(1+Inputs!$C$44)</f>
        <v/>
      </c>
      <c r="P42" s="17">
        <f>P23-(1-Inputs!$C$43)*P11-Inputs!$C$43*O11*(1+Inputs!$C$44)</f>
        <v/>
      </c>
      <c r="Q42" s="17">
        <f>-Inputs!$C$43*P11*(1+Inputs!$C$44)</f>
        <v/>
      </c>
    </row>
    <row r="44">
      <c r="B44" s="5" t="inlineStr">
        <is>
          <t>Paid in by investors</t>
        </is>
      </c>
      <c r="C44" s="18">
        <f>SUM(C11:P11)</f>
        <v/>
      </c>
    </row>
    <row r="45">
      <c r="B45" s="5" t="inlineStr">
        <is>
          <t>Distributed to investors</t>
        </is>
      </c>
      <c r="C45" s="18">
        <f>SUM(C23:P23)</f>
        <v/>
      </c>
    </row>
    <row r="46">
      <c r="B46" s="5" t="inlineStr">
        <is>
          <t>Net TVPI (life)</t>
        </is>
      </c>
      <c r="C46" s="15">
        <f>C45/C44</f>
        <v/>
      </c>
    </row>
    <row r="47">
      <c r="B47" s="5" t="inlineStr">
        <is>
          <t>Net IRR</t>
        </is>
      </c>
      <c r="C47" s="16">
        <f>IRR(C35:P35)</f>
        <v/>
      </c>
    </row>
    <row r="48">
      <c r="B48" s="5" t="inlineStr">
        <is>
          <t>Gross IRR (before Fund IV fees, expenses and carry)</t>
        </is>
      </c>
      <c r="C48" s="16">
        <f>IRR(C41:P41)</f>
        <v/>
      </c>
    </row>
    <row r="49">
      <c r="B49" s="5" t="inlineStr">
        <is>
          <t>Fund IV management fees (life)</t>
        </is>
      </c>
      <c r="C49" s="18">
        <f>SUM(C8:P8)</f>
        <v/>
      </c>
    </row>
    <row r="50">
      <c r="B50" s="5" t="inlineStr">
        <is>
          <t>Fund IV expenses (life)</t>
        </is>
      </c>
      <c r="C50" s="18">
        <f>SUM(C9:P9)</f>
        <v/>
      </c>
    </row>
    <row r="51">
      <c r="B51" s="5" t="inlineStr">
        <is>
          <t>Larkspur carry (life)</t>
        </is>
      </c>
      <c r="C51" s="18">
        <f>SUM(C24:P24)</f>
        <v/>
      </c>
    </row>
    <row r="52">
      <c r="B52" s="5" t="inlineStr">
        <is>
          <t>Gross multiple for the same capital</t>
        </is>
      </c>
      <c r="C52" s="15">
        <f>('Fund IV'!$C$45+'Fund IV'!$C$49+'Fund IV'!$C$50+'Fund IV'!$C$51)/'Fund IV'!$C$44</f>
        <v/>
      </c>
    </row>
    <row r="53">
      <c r="B53" s="5" t="inlineStr">
        <is>
          <t>Portfolio multiple (underlying distributions / underlying calls)</t>
        </is>
      </c>
      <c r="C53" s="15">
        <f>SUM(C6:P6)/SUM(C5:P5)</f>
        <v/>
      </c>
    </row>
    <row r="54">
      <c r="B54" s="5" t="inlineStr">
        <is>
          <t>Trough of cumulative net cash flow</t>
        </is>
      </c>
      <c r="C54" s="18">
        <f>MIN(C36:P36)</f>
        <v/>
      </c>
    </row>
    <row r="55">
      <c r="B55" s="5" t="inlineStr">
        <is>
          <t>Underlying primary fees (life)</t>
        </is>
      </c>
      <c r="C55" s="18">
        <f>SUM(Primaries!C48:P48)</f>
        <v/>
      </c>
    </row>
    <row r="56">
      <c r="B56" s="5" t="inlineStr">
        <is>
          <t>Underlying primary carry (life)</t>
        </is>
      </c>
      <c r="C56" s="18">
        <f>SUM(Primaries!C49:P49)</f>
        <v/>
      </c>
    </row>
    <row r="57">
      <c r="B57" s="5" t="inlineStr">
        <is>
          <t>Net IRR with the facility</t>
        </is>
      </c>
      <c r="C57" s="16">
        <f>IRR(C42:Q42)</f>
        <v/>
      </c>
    </row>
    <row r="58">
      <c r="B58" s="5" t="inlineStr">
        <is>
          <t>Net TVPI with the facility</t>
        </is>
      </c>
      <c r="C58" s="15">
        <f>SUMIF(C42:Q42,"&gt;0")/-SUMIF(C42:Q42,"&lt;0")</f>
        <v/>
      </c>
    </row>
    <row r="59">
      <c r="B59" s="5" t="inlineStr">
        <is>
          <t>Peak facility drawing</t>
        </is>
      </c>
      <c r="C59" s="18">
        <f>Inputs!$C$43*MAX(C11:P11)</f>
        <v/>
      </c>
    </row>
    <row r="60">
      <c r="B60" s="5" t="inlineStr">
        <is>
          <t>Facility interest (life)</t>
        </is>
      </c>
      <c r="C60" s="18">
        <f>Inputs!$C$43*Inputs!$C$44*SUM(C11:P11)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Q2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</cols>
  <sheetData>
    <row r="1" ht="10" customHeight="1"/>
    <row r="2">
      <c r="B2" s="1" t="inlineStr">
        <is>
          <t>Subscription facility: performance with and without the line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</row>
    <row r="4">
      <c r="B4" s="4" t="inlineStr">
        <is>
          <t>$ million</t>
        </is>
      </c>
      <c r="C4" s="4" t="inlineStr">
        <is>
          <t>2024</t>
        </is>
      </c>
      <c r="D4" s="4" t="inlineStr">
        <is>
          <t>2025</t>
        </is>
      </c>
      <c r="E4" s="4" t="inlineStr">
        <is>
          <t>2026</t>
        </is>
      </c>
      <c r="F4" s="4" t="inlineStr">
        <is>
          <t>2027</t>
        </is>
      </c>
      <c r="G4" s="4" t="inlineStr">
        <is>
          <t>2028</t>
        </is>
      </c>
      <c r="H4" s="4" t="inlineStr">
        <is>
          <t>2029</t>
        </is>
      </c>
      <c r="I4" s="4" t="inlineStr">
        <is>
          <t>2030</t>
        </is>
      </c>
      <c r="J4" s="4" t="inlineStr">
        <is>
          <t>2031</t>
        </is>
      </c>
      <c r="K4" s="4" t="inlineStr">
        <is>
          <t>2032</t>
        </is>
      </c>
      <c r="L4" s="4" t="inlineStr">
        <is>
          <t>2033</t>
        </is>
      </c>
      <c r="M4" s="4" t="inlineStr">
        <is>
          <t>2034</t>
        </is>
      </c>
      <c r="N4" s="4" t="inlineStr">
        <is>
          <t>2035</t>
        </is>
      </c>
      <c r="O4" s="4" t="inlineStr">
        <is>
          <t>2036</t>
        </is>
      </c>
      <c r="P4" s="4" t="inlineStr">
        <is>
          <t>2037</t>
        </is>
      </c>
      <c r="Q4" s="4" t="inlineStr">
        <is>
          <t>2038</t>
        </is>
      </c>
    </row>
    <row r="5">
      <c r="B5" s="2" t="inlineStr">
        <is>
          <t>Investor call without the line</t>
        </is>
      </c>
      <c r="C5" s="17">
        <f>'Fund IV'!C11</f>
        <v/>
      </c>
      <c r="D5" s="17">
        <f>'Fund IV'!D11</f>
        <v/>
      </c>
      <c r="E5" s="17">
        <f>'Fund IV'!E11</f>
        <v/>
      </c>
      <c r="F5" s="17">
        <f>'Fund IV'!F11</f>
        <v/>
      </c>
      <c r="G5" s="17">
        <f>'Fund IV'!G11</f>
        <v/>
      </c>
      <c r="H5" s="17">
        <f>'Fund IV'!H11</f>
        <v/>
      </c>
      <c r="I5" s="17">
        <f>'Fund IV'!I11</f>
        <v/>
      </c>
      <c r="J5" s="17">
        <f>'Fund IV'!J11</f>
        <v/>
      </c>
      <c r="K5" s="17">
        <f>'Fund IV'!K11</f>
        <v/>
      </c>
      <c r="L5" s="17">
        <f>'Fund IV'!L11</f>
        <v/>
      </c>
      <c r="M5" s="17">
        <f>'Fund IV'!M11</f>
        <v/>
      </c>
      <c r="N5" s="17">
        <f>'Fund IV'!N11</f>
        <v/>
      </c>
      <c r="O5" s="17">
        <f>'Fund IV'!O11</f>
        <v/>
      </c>
      <c r="P5" s="17">
        <f>'Fund IV'!P11</f>
        <v/>
      </c>
      <c r="Q5" s="17">
        <f>0</f>
        <v/>
      </c>
    </row>
    <row r="6">
      <c r="B6" s="2" t="inlineStr">
        <is>
          <t>Deferred to next year (drawn on the line)</t>
        </is>
      </c>
      <c r="C6" s="17">
        <f>Inputs!$C$43*C5</f>
        <v/>
      </c>
      <c r="D6" s="17">
        <f>Inputs!$C$43*D5</f>
        <v/>
      </c>
      <c r="E6" s="17">
        <f>Inputs!$C$43*E5</f>
        <v/>
      </c>
      <c r="F6" s="17">
        <f>Inputs!$C$43*F5</f>
        <v/>
      </c>
      <c r="G6" s="17">
        <f>Inputs!$C$43*G5</f>
        <v/>
      </c>
      <c r="H6" s="17">
        <f>Inputs!$C$43*H5</f>
        <v/>
      </c>
      <c r="I6" s="17">
        <f>Inputs!$C$43*I5</f>
        <v/>
      </c>
      <c r="J6" s="17">
        <f>Inputs!$C$43*J5</f>
        <v/>
      </c>
      <c r="K6" s="17">
        <f>Inputs!$C$43*K5</f>
        <v/>
      </c>
      <c r="L6" s="17">
        <f>Inputs!$C$43*L5</f>
        <v/>
      </c>
      <c r="M6" s="17">
        <f>Inputs!$C$43*M5</f>
        <v/>
      </c>
      <c r="N6" s="17">
        <f>Inputs!$C$43*N5</f>
        <v/>
      </c>
      <c r="O6" s="17">
        <f>Inputs!$C$43*O5</f>
        <v/>
      </c>
      <c r="P6" s="17">
        <f>Inputs!$C$43*P5</f>
        <v/>
      </c>
      <c r="Q6" s="17">
        <f>Inputs!$C$43*Q5</f>
        <v/>
      </c>
    </row>
    <row r="7">
      <c r="B7" s="2" t="inlineStr">
        <is>
          <t>Repaid with interest</t>
        </is>
      </c>
      <c r="C7" s="17" t="n">
        <v>0</v>
      </c>
      <c r="D7" s="17">
        <f>C6*(1+Inputs!$C$44)</f>
        <v/>
      </c>
      <c r="E7" s="17">
        <f>D6*(1+Inputs!$C$44)</f>
        <v/>
      </c>
      <c r="F7" s="17">
        <f>E6*(1+Inputs!$C$44)</f>
        <v/>
      </c>
      <c r="G7" s="17">
        <f>F6*(1+Inputs!$C$44)</f>
        <v/>
      </c>
      <c r="H7" s="17">
        <f>G6*(1+Inputs!$C$44)</f>
        <v/>
      </c>
      <c r="I7" s="17">
        <f>H6*(1+Inputs!$C$44)</f>
        <v/>
      </c>
      <c r="J7" s="17">
        <f>I6*(1+Inputs!$C$44)</f>
        <v/>
      </c>
      <c r="K7" s="17">
        <f>J6*(1+Inputs!$C$44)</f>
        <v/>
      </c>
      <c r="L7" s="17">
        <f>K6*(1+Inputs!$C$44)</f>
        <v/>
      </c>
      <c r="M7" s="17">
        <f>L6*(1+Inputs!$C$44)</f>
        <v/>
      </c>
      <c r="N7" s="17">
        <f>M6*(1+Inputs!$C$44)</f>
        <v/>
      </c>
      <c r="O7" s="17">
        <f>N6*(1+Inputs!$C$44)</f>
        <v/>
      </c>
      <c r="P7" s="17">
        <f>O6*(1+Inputs!$C$44)</f>
        <v/>
      </c>
      <c r="Q7" s="17">
        <f>P6*(1+Inputs!$C$44)</f>
        <v/>
      </c>
    </row>
    <row r="8">
      <c r="B8" s="2" t="inlineStr">
        <is>
          <t>Facility balance at year end</t>
        </is>
      </c>
      <c r="C8" s="17">
        <f>C6</f>
        <v/>
      </c>
      <c r="D8" s="17">
        <f>D6</f>
        <v/>
      </c>
      <c r="E8" s="17">
        <f>E6</f>
        <v/>
      </c>
      <c r="F8" s="17">
        <f>F6</f>
        <v/>
      </c>
      <c r="G8" s="17">
        <f>G6</f>
        <v/>
      </c>
      <c r="H8" s="17">
        <f>H6</f>
        <v/>
      </c>
      <c r="I8" s="17">
        <f>I6</f>
        <v/>
      </c>
      <c r="J8" s="17">
        <f>J6</f>
        <v/>
      </c>
      <c r="K8" s="17">
        <f>K6</f>
        <v/>
      </c>
      <c r="L8" s="17">
        <f>L6</f>
        <v/>
      </c>
      <c r="M8" s="17">
        <f>M6</f>
        <v/>
      </c>
      <c r="N8" s="17">
        <f>N6</f>
        <v/>
      </c>
      <c r="O8" s="17">
        <f>O6</f>
        <v/>
      </c>
      <c r="P8" s="17">
        <f>P6</f>
        <v/>
      </c>
      <c r="Q8" s="17">
        <f>Q6</f>
        <v/>
      </c>
    </row>
    <row r="9">
      <c r="B9" s="2" t="inlineStr">
        <is>
          <t>Investor distribution</t>
        </is>
      </c>
      <c r="C9" s="17">
        <f>'Fund IV'!C23</f>
        <v/>
      </c>
      <c r="D9" s="17">
        <f>'Fund IV'!D23</f>
        <v/>
      </c>
      <c r="E9" s="17">
        <f>'Fund IV'!E23</f>
        <v/>
      </c>
      <c r="F9" s="17">
        <f>'Fund IV'!F23</f>
        <v/>
      </c>
      <c r="G9" s="17">
        <f>'Fund IV'!G23</f>
        <v/>
      </c>
      <c r="H9" s="17">
        <f>'Fund IV'!H23</f>
        <v/>
      </c>
      <c r="I9" s="17">
        <f>'Fund IV'!I23</f>
        <v/>
      </c>
      <c r="J9" s="17">
        <f>'Fund IV'!J23</f>
        <v/>
      </c>
      <c r="K9" s="17">
        <f>'Fund IV'!K23</f>
        <v/>
      </c>
      <c r="L9" s="17">
        <f>'Fund IV'!L23</f>
        <v/>
      </c>
      <c r="M9" s="17">
        <f>'Fund IV'!M23</f>
        <v/>
      </c>
      <c r="N9" s="17">
        <f>'Fund IV'!N23</f>
        <v/>
      </c>
      <c r="O9" s="17">
        <f>'Fund IV'!O23</f>
        <v/>
      </c>
      <c r="P9" s="17">
        <f>'Fund IV'!P23</f>
        <v/>
      </c>
      <c r="Q9" s="17">
        <f>0</f>
        <v/>
      </c>
    </row>
    <row r="10">
      <c r="B10" s="5" t="inlineStr">
        <is>
          <t>Investor cash flow without the line</t>
        </is>
      </c>
      <c r="C10" s="17">
        <f>C9-C5</f>
        <v/>
      </c>
      <c r="D10" s="17">
        <f>D9-D5</f>
        <v/>
      </c>
      <c r="E10" s="17">
        <f>E9-E5</f>
        <v/>
      </c>
      <c r="F10" s="17">
        <f>F9-F5</f>
        <v/>
      </c>
      <c r="G10" s="17">
        <f>G9-G5</f>
        <v/>
      </c>
      <c r="H10" s="17">
        <f>H9-H5</f>
        <v/>
      </c>
      <c r="I10" s="17">
        <f>I9-I5</f>
        <v/>
      </c>
      <c r="J10" s="17">
        <f>J9-J5</f>
        <v/>
      </c>
      <c r="K10" s="17">
        <f>K9-K5</f>
        <v/>
      </c>
      <c r="L10" s="17">
        <f>L9-L5</f>
        <v/>
      </c>
      <c r="M10" s="17">
        <f>M9-M5</f>
        <v/>
      </c>
      <c r="N10" s="17">
        <f>N9-N5</f>
        <v/>
      </c>
      <c r="O10" s="17">
        <f>O9-O5</f>
        <v/>
      </c>
      <c r="P10" s="17">
        <f>P9-P5</f>
        <v/>
      </c>
      <c r="Q10" s="17">
        <f>Q9-Q5</f>
        <v/>
      </c>
    </row>
    <row r="11">
      <c r="B11" s="5" t="inlineStr">
        <is>
          <t>Investor cash flow with the line</t>
        </is>
      </c>
      <c r="C11" s="17">
        <f>C9-C5+C6-C7</f>
        <v/>
      </c>
      <c r="D11" s="17">
        <f>D9-D5+D6-D7</f>
        <v/>
      </c>
      <c r="E11" s="17">
        <f>E9-E5+E6-E7</f>
        <v/>
      </c>
      <c r="F11" s="17">
        <f>F9-F5+F6-F7</f>
        <v/>
      </c>
      <c r="G11" s="17">
        <f>G9-G5+G6-G7</f>
        <v/>
      </c>
      <c r="H11" s="17">
        <f>H9-H5+H6-H7</f>
        <v/>
      </c>
      <c r="I11" s="17">
        <f>I9-I5+I6-I7</f>
        <v/>
      </c>
      <c r="J11" s="17">
        <f>J9-J5+J6-J7</f>
        <v/>
      </c>
      <c r="K11" s="17">
        <f>K9-K5+K6-K7</f>
        <v/>
      </c>
      <c r="L11" s="17">
        <f>L9-L5+L6-L7</f>
        <v/>
      </c>
      <c r="M11" s="17">
        <f>M9-M5+M6-M7</f>
        <v/>
      </c>
      <c r="N11" s="17">
        <f>N9-N5+N6-N7</f>
        <v/>
      </c>
      <c r="O11" s="17">
        <f>O9-O5+O6-O7</f>
        <v/>
      </c>
      <c r="P11" s="17">
        <f>P9-P5+P6-P7</f>
        <v/>
      </c>
      <c r="Q11" s="17">
        <f>Q9-Q5+Q6-Q7</f>
        <v/>
      </c>
    </row>
    <row r="13">
      <c r="B13" s="5" t="inlineStr">
        <is>
          <t>Facility size ($m)</t>
        </is>
      </c>
      <c r="C13" s="18">
        <f>Inputs!$C$45</f>
        <v/>
      </c>
    </row>
    <row r="14">
      <c r="B14" s="5" t="inlineStr">
        <is>
          <t>Peak drawing ($m)</t>
        </is>
      </c>
      <c r="C14" s="18">
        <f>'Fund IV'!$C$59</f>
        <v/>
      </c>
    </row>
    <row r="15">
      <c r="B15" s="5" t="inlineStr">
        <is>
          <t>Within the facility size?</t>
        </is>
      </c>
      <c r="C15" s="19">
        <f>IF('Fund IV'!$C$59&lt;=Inputs!$C$45,"YES","NO: RESIZE")</f>
        <v/>
      </c>
    </row>
    <row r="16">
      <c r="B16" s="5" t="inlineStr">
        <is>
          <t>Interest over the life ($m)</t>
        </is>
      </c>
      <c r="C16" s="18">
        <f>'Fund IV'!$C$60</f>
        <v/>
      </c>
    </row>
    <row r="17">
      <c r="B17" s="5" t="inlineStr">
        <is>
          <t>Net IRR without the line</t>
        </is>
      </c>
      <c r="C17" s="16">
        <f>'Fund IV'!$C$47</f>
        <v/>
      </c>
    </row>
    <row r="18">
      <c r="B18" s="5" t="inlineStr">
        <is>
          <t>Net IRR with the line</t>
        </is>
      </c>
      <c r="C18" s="16">
        <f>'Fund IV'!$C$57</f>
        <v/>
      </c>
    </row>
    <row r="19">
      <c r="B19" s="5" t="inlineStr">
        <is>
          <t>Net TVPI without the line</t>
        </is>
      </c>
      <c r="C19" s="15">
        <f>'Fund IV'!$C$46</f>
        <v/>
      </c>
    </row>
    <row r="20">
      <c r="B20" s="5" t="inlineStr">
        <is>
          <t>Net TVPI with the line</t>
        </is>
      </c>
      <c r="C20" s="15">
        <f>'Fund IV'!$C$58</f>
        <v/>
      </c>
    </row>
    <row r="22">
      <c r="B22" s="2" t="inlineStr">
        <is>
          <t>Simplification: the line does not change Larkspur's carry in the case.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E3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2" customWidth="1" min="2" max="2"/>
    <col width="14" customWidth="1" min="3" max="3"/>
    <col width="14" customWidth="1" min="4" max="4"/>
    <col width="10" customWidth="1" min="5" max="5"/>
  </cols>
  <sheetData>
    <row r="1" ht="10" customHeight="1"/>
    <row r="2">
      <c r="B2" s="1" t="inlineStr">
        <is>
          <t>Checks: the book's figures against the workbook</t>
        </is>
      </c>
      <c r="C2" s="3" t="n"/>
      <c r="D2" s="3" t="n"/>
      <c r="E2" s="3" t="n"/>
    </row>
    <row r="4">
      <c r="B4" s="4" t="inlineStr">
        <is>
          <t>Figure printed in the book</t>
        </is>
      </c>
      <c r="C4" s="4" t="inlineStr">
        <is>
          <t>Book</t>
        </is>
      </c>
      <c r="D4" s="4" t="inlineStr">
        <is>
          <t>Workbook</t>
        </is>
      </c>
      <c r="E4" s="4" t="inlineStr">
        <is>
          <t>Check</t>
        </is>
      </c>
    </row>
    <row r="5">
      <c r="B5" s="2" t="inlineStr">
        <is>
          <t>One primary fund: gross multiple</t>
        </is>
      </c>
      <c r="C5" s="20" t="n">
        <v>2</v>
      </c>
      <c r="D5" s="20">
        <f>Primaries!$C$36</f>
        <v/>
      </c>
      <c r="E5" s="2">
        <f>IF(ABS(D5-C5)&lt;=0.005,"OK","CHECK")</f>
        <v/>
      </c>
    </row>
    <row r="6">
      <c r="B6" s="2" t="inlineStr">
        <is>
          <t>One primary fund: gross IRR</t>
        </is>
      </c>
      <c r="C6" s="20" t="n">
        <v>0.149</v>
      </c>
      <c r="D6" s="20">
        <f>Primaries!$C$37</f>
        <v/>
      </c>
      <c r="E6" s="2">
        <f>IF(ABS(D6-C6)&lt;=0.0005,"OK","CHECK")</f>
        <v/>
      </c>
    </row>
    <row r="7">
      <c r="B7" s="2" t="inlineStr">
        <is>
          <t>One primary fund: net multiple to the LP</t>
        </is>
      </c>
      <c r="C7" s="20" t="n">
        <v>1.6</v>
      </c>
      <c r="D7" s="20">
        <f>Primaries!$C$38</f>
        <v/>
      </c>
      <c r="E7" s="2">
        <f>IF(ABS(D7-C7)&lt;=0.005,"OK","CHECK")</f>
        <v/>
      </c>
    </row>
    <row r="8">
      <c r="B8" s="2" t="inlineStr">
        <is>
          <t>One primary fund: net IRR to the LP</t>
        </is>
      </c>
      <c r="C8" s="20" t="n">
        <v>0.106</v>
      </c>
      <c r="D8" s="20">
        <f>Primaries!$C$39</f>
        <v/>
      </c>
      <c r="E8" s="2">
        <f>IF(ABS(D8-C8)&lt;=0.0005,"OK","CHECK")</f>
        <v/>
      </c>
    </row>
    <row r="9">
      <c r="B9" s="2" t="inlineStr">
        <is>
          <t>Secondaries day-one gain ($m)</t>
        </is>
      </c>
      <c r="C9" s="20" t="n">
        <v>15</v>
      </c>
      <c r="D9" s="20">
        <f>Secondaries!$C$31</f>
        <v/>
      </c>
      <c r="E9" s="2">
        <f>IF(ABS(D9-C9)&lt;=0.05,"OK","CHECK")</f>
        <v/>
      </c>
    </row>
    <row r="10">
      <c r="B10" s="2" t="inlineStr">
        <is>
          <t>Secondaries sleeve multiple</t>
        </is>
      </c>
      <c r="C10" s="20" t="n">
        <v>1.82</v>
      </c>
      <c r="D10" s="20">
        <f>Secondaries!$C$32</f>
        <v/>
      </c>
      <c r="E10" s="2">
        <f>IF(ABS(D10-C10)&lt;=0.005,"OK","CHECK")</f>
        <v/>
      </c>
    </row>
    <row r="11">
      <c r="B11" s="2" t="inlineStr">
        <is>
          <t>Secondaries sleeve IRR</t>
        </is>
      </c>
      <c r="C11" s="20" t="n">
        <v>0.137</v>
      </c>
      <c r="D11" s="20">
        <f>Secondaries!$C$34</f>
        <v/>
      </c>
      <c r="E11" s="2">
        <f>IF(ABS(D11-C11)&lt;=0.0005,"OK","CHECK")</f>
        <v/>
      </c>
    </row>
    <row r="12">
      <c r="B12" s="2" t="inlineStr">
        <is>
          <t>Co-investment sleeve multiple</t>
        </is>
      </c>
      <c r="C12" s="20" t="n">
        <v>1.96</v>
      </c>
      <c r="D12" s="20">
        <f>'Co-Investments'!$C$22</f>
        <v/>
      </c>
      <c r="E12" s="2">
        <f>IF(ABS(D12-C12)&lt;=0.005,"OK","CHECK")</f>
        <v/>
      </c>
    </row>
    <row r="13">
      <c r="B13" s="2" t="inlineStr">
        <is>
          <t>Co-investment sleeve IRR</t>
        </is>
      </c>
      <c r="C13" s="20" t="n">
        <v>0.144</v>
      </c>
      <c r="D13" s="20">
        <f>'Co-Investments'!$C$24</f>
        <v/>
      </c>
      <c r="E13" s="2">
        <f>IF(ABS(D13-C13)&lt;=0.0005,"OK","CHECK")</f>
        <v/>
      </c>
    </row>
    <row r="14">
      <c r="B14" s="2" t="inlineStr">
        <is>
          <t>Paid in by investors ($m)</t>
        </is>
      </c>
      <c r="C14" s="20" t="n">
        <v>467</v>
      </c>
      <c r="D14" s="20">
        <f>'Fund IV'!$C$44</f>
        <v/>
      </c>
      <c r="E14" s="2">
        <f>IF(ABS(D14-C14)&lt;=0.5,"OK","CHECK")</f>
        <v/>
      </c>
    </row>
    <row r="15">
      <c r="B15" s="2" t="inlineStr">
        <is>
          <t>Distributed to investors ($m)</t>
        </is>
      </c>
      <c r="C15" s="20" t="n">
        <v>827</v>
      </c>
      <c r="D15" s="20">
        <f>'Fund IV'!$C$45</f>
        <v/>
      </c>
      <c r="E15" s="2">
        <f>IF(ABS(D15-C15)&lt;=0.5,"OK","CHECK")</f>
        <v/>
      </c>
    </row>
    <row r="16">
      <c r="B16" s="2" t="inlineStr">
        <is>
          <t>Net TVPI</t>
        </is>
      </c>
      <c r="C16" s="20" t="n">
        <v>1.77</v>
      </c>
      <c r="D16" s="20">
        <f>'Fund IV'!$C$46</f>
        <v/>
      </c>
      <c r="E16" s="2">
        <f>IF(ABS(D16-C16)&lt;=0.005,"OK","CHECK")</f>
        <v/>
      </c>
    </row>
    <row r="17">
      <c r="B17" s="2" t="inlineStr">
        <is>
          <t>Net IRR</t>
        </is>
      </c>
      <c r="C17" s="20" t="n">
        <v>0.103</v>
      </c>
      <c r="D17" s="20">
        <f>'Fund IV'!$C$47</f>
        <v/>
      </c>
      <c r="E17" s="2">
        <f>IF(ABS(D17-C17)&lt;=0.0005,"OK","CHECK")</f>
        <v/>
      </c>
    </row>
    <row r="18">
      <c r="B18" s="2" t="inlineStr">
        <is>
          <t>Gross multiple, investor basis</t>
        </is>
      </c>
      <c r="C18" s="20" t="n">
        <v>1.91</v>
      </c>
      <c r="D18" s="20">
        <f>'Fund IV'!$C$52</f>
        <v/>
      </c>
      <c r="E18" s="2">
        <f>IF(ABS(D18-C18)&lt;=0.005,"OK","CHECK")</f>
        <v/>
      </c>
    </row>
    <row r="19">
      <c r="B19" s="2" t="inlineStr">
        <is>
          <t>Portfolio multiple (underlying distributions / calls)</t>
        </is>
      </c>
      <c r="C19" s="20" t="n">
        <v>1.71</v>
      </c>
      <c r="D19" s="20">
        <f>'Fund IV'!$C$53</f>
        <v/>
      </c>
      <c r="E19" s="2">
        <f>IF(ABS(D19-C19)&lt;=0.005,"OK","CHECK")</f>
        <v/>
      </c>
    </row>
    <row r="20">
      <c r="B20" s="2" t="inlineStr">
        <is>
          <t>Gross IRR</t>
        </is>
      </c>
      <c r="C20" s="20" t="n">
        <v>0.121</v>
      </c>
      <c r="D20" s="20">
        <f>'Fund IV'!$C$48</f>
        <v/>
      </c>
      <c r="E20" s="2">
        <f>IF(ABS(D20-C20)&lt;=0.0005,"OK","CHECK")</f>
        <v/>
      </c>
    </row>
    <row r="21">
      <c r="B21" s="2" t="inlineStr">
        <is>
          <t>Fund IV management fees ($m)</t>
        </is>
      </c>
      <c r="C21" s="20" t="n">
        <v>36</v>
      </c>
      <c r="D21" s="20">
        <f>'Fund IV'!$C$49</f>
        <v/>
      </c>
      <c r="E21" s="2">
        <f>IF(ABS(D21-C21)&lt;=0.05,"OK","CHECK")</f>
        <v/>
      </c>
    </row>
    <row r="22">
      <c r="B22" s="2" t="inlineStr">
        <is>
          <t>Larkspur carry ($m)</t>
        </is>
      </c>
      <c r="C22" s="20" t="n">
        <v>19</v>
      </c>
      <c r="D22" s="20">
        <f>'Fund IV'!$C$51</f>
        <v/>
      </c>
      <c r="E22" s="2">
        <f>IF(ABS(D22-C22)&lt;=0.05,"OK","CHECK")</f>
        <v/>
      </c>
    </row>
    <row r="23">
      <c r="B23" s="2" t="inlineStr">
        <is>
          <t>Underlying primary fees ($m)</t>
        </is>
      </c>
      <c r="C23" s="20" t="n">
        <v>45</v>
      </c>
      <c r="D23" s="20">
        <f>'Fund IV'!$C$55</f>
        <v/>
      </c>
      <c r="E23" s="2">
        <f>IF(ABS(D23-C23)&lt;=0.05,"OK","CHECK")</f>
        <v/>
      </c>
    </row>
    <row r="24">
      <c r="B24" s="2" t="inlineStr">
        <is>
          <t>Underlying primary carry ($m)</t>
        </is>
      </c>
      <c r="C24" s="20" t="n">
        <v>53.6</v>
      </c>
      <c r="D24" s="20">
        <f>'Fund IV'!$C$56</f>
        <v/>
      </c>
      <c r="E24" s="2">
        <f>IF(ABS(D24-C24)&lt;=0.05,"OK","CHECK")</f>
        <v/>
      </c>
    </row>
    <row r="25">
      <c r="B25" s="2" t="inlineStr">
        <is>
          <t>Trough of cumulative net cash flow ($m)</t>
        </is>
      </c>
      <c r="C25" s="20" t="n">
        <v>-467</v>
      </c>
      <c r="D25" s="20">
        <f>'Fund IV'!$C$54</f>
        <v/>
      </c>
      <c r="E25" s="2">
        <f>IF(ABS(D25-C25)&lt;=0.5,"OK","CHECK")</f>
        <v/>
      </c>
    </row>
    <row r="26">
      <c r="B26" s="2" t="inlineStr">
        <is>
          <t>Net TVPI end-2024</t>
        </is>
      </c>
      <c r="C26" s="20" t="n">
        <v>0.98</v>
      </c>
      <c r="D26" s="20">
        <f>'Fund IV'!C40</f>
        <v/>
      </c>
      <c r="E26" s="2">
        <f>IF(ABS(D26-C26)&lt;=0.005,"OK","CHECK")</f>
        <v/>
      </c>
    </row>
    <row r="27">
      <c r="B27" s="2" t="inlineStr">
        <is>
          <t>Net TVPI end-2026</t>
        </is>
      </c>
      <c r="C27" s="20" t="n">
        <v>1.07</v>
      </c>
      <c r="D27" s="20">
        <f>'Fund IV'!E40</f>
        <v/>
      </c>
      <c r="E27" s="2">
        <f>IF(ABS(D27-C27)&lt;=0.005,"OK","CHECK")</f>
        <v/>
      </c>
    </row>
    <row r="28">
      <c r="B28" s="2" t="inlineStr">
        <is>
          <t>First distribution, 2029 ($m)</t>
        </is>
      </c>
      <c r="C28" s="20" t="n">
        <v>105</v>
      </c>
      <c r="D28" s="20">
        <f>'Fund IV'!H23</f>
        <v/>
      </c>
      <c r="E28" s="2">
        <f>IF(ABS(D28-C28)&lt;=0.5,"OK","CHECK")</f>
        <v/>
      </c>
    </row>
    <row r="29">
      <c r="B29" s="2" t="inlineStr">
        <is>
          <t>DPI end-2031</t>
        </is>
      </c>
      <c r="C29" s="20" t="n">
        <v>1.07</v>
      </c>
      <c r="D29" s="20">
        <f>'Fund IV'!J39</f>
        <v/>
      </c>
      <c r="E29" s="2">
        <f>IF(ABS(D29-C29)&lt;=0.005,"OK","CHECK")</f>
        <v/>
      </c>
    </row>
    <row r="30">
      <c r="B30" s="2" t="inlineStr">
        <is>
          <t>Net IRR with the facility</t>
        </is>
      </c>
      <c r="C30" s="20" t="n">
        <v>0.106</v>
      </c>
      <c r="D30" s="20">
        <f>'Fund IV'!$C$57</f>
        <v/>
      </c>
      <c r="E30" s="2">
        <f>IF(ABS(D30-C30)&lt;=0.0005,"OK","CHECK")</f>
        <v/>
      </c>
    </row>
    <row r="31">
      <c r="B31" s="2" t="inlineStr">
        <is>
          <t>Net TVPI with the facility</t>
        </is>
      </c>
      <c r="C31" s="20" t="n">
        <v>1.75</v>
      </c>
      <c r="D31" s="20">
        <f>'Fund IV'!$C$58</f>
        <v/>
      </c>
      <c r="E31" s="2">
        <f>IF(ABS(D31-C31)&lt;=0.005,"OK","CHECK")</f>
        <v/>
      </c>
    </row>
    <row r="32">
      <c r="B32" s="2" t="inlineStr">
        <is>
          <t>Peak facility drawing ($m)</t>
        </is>
      </c>
      <c r="C32" s="20" t="n">
        <v>56</v>
      </c>
      <c r="D32" s="20">
        <f>'Fund IV'!$C$59</f>
        <v/>
      </c>
      <c r="E32" s="2">
        <f>IF(ABS(D32-C32)&lt;=0.05,"OK","CHECK")</f>
        <v/>
      </c>
    </row>
    <row r="34">
      <c r="B34" s="19" t="inlineStr">
        <is>
          <t>Result</t>
        </is>
      </c>
      <c r="D34" s="19">
        <f>IF(COUNTIF(E5:E32,"OK")=28,"ALL CHECKS OK","SOME CHECKS FAIL")</f>
        <v/>
      </c>
    </row>
    <row r="35">
      <c r="B35" s="2" t="inlineStr">
        <is>
          <t>The checks hold on the default inputs. Change an input and the Book column stays as printed, so the check flags what moved.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2026-10-10T03:12:55Z</dcterms:created>
  <dcterms:modified xmlns:dcterms="http://purl.org/dc/terms/" xmlns:xsi="http://www.w3.org/2001/XMLSchema-instance" xsi:type="dcterms:W3CDTF">2026-10-10T03:12:55Z</dcterms:modified>
</cp:coreProperties>
</file>