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rror Switches" sheetId="1" state="visible" r:id="rId3"/>
    <sheet name="Audit Register" sheetId="2" state="visible" r:id="rId4"/>
    <sheet name="Guide" sheetId="3" state="visible" r:id="rId5"/>
    <sheet name="Summary" sheetId="4" state="visible" r:id="rId6"/>
    <sheet name="Assumptions" sheetId="5" state="visible" r:id="rId7"/>
    <sheet name="Historical" sheetId="6" state="visible" r:id="rId8"/>
    <sheet name="Scenarios" sheetId="7" state="visible" r:id="rId9"/>
    <sheet name="Operations" sheetId="8" state="visible" r:id="rId10"/>
    <sheet name="Working Capital" sheetId="9" state="visible" r:id="rId11"/>
    <sheet name="Fixed Assets" sheetId="10" state="visible" r:id="rId12"/>
    <sheet name="Debt" sheetId="11" state="visible" r:id="rId13"/>
    <sheet name="Statements" sheetId="12" state="visible" r:id="rId14"/>
    <sheet name="DCF" sheetId="13" state="visible" r:id="rId15"/>
    <sheet name="LBO" sheetId="14" state="visible" r:id="rId16"/>
    <sheet name="LBO Debt" sheetId="15" state="visible" r:id="rId17"/>
    <sheet name="Checks" sheetId="16" state="visible" r:id="rId18"/>
  </sheet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<sst xmlns="http://schemas.openxmlformats.org/spreadsheetml/2006/main" count="412" uniqueCount="322">
  <si>
    <t xml:space="preserve">Error Switches</t>
  </si>
  <si>
    <t xml:space="preserve">Set ONE switch to 1, look at Checks and Summary, record the finding in the Audit Register, then set it back to 0.</t>
  </si>
  <si>
    <t xml:space="preserve">#</t>
  </si>
  <si>
    <t xml:space="preserve">Defect</t>
  </si>
  <si>
    <t xml:space="preserve">Switch</t>
  </si>
  <si>
    <t xml:space="preserve">Where it lives</t>
  </si>
  <si>
    <t xml:space="preserve">Change in working capital added to free cash flow instead of subtracted</t>
  </si>
  <si>
    <t xml:space="preserve">DCF row 11 (unlevered free cash flow)</t>
  </si>
  <si>
    <t xml:space="preserve">Depreciation left out of the fixed-asset roll-forward</t>
  </si>
  <si>
    <t xml:space="preserve">Fixed Assets row 9 (ending net PP&amp;E)</t>
  </si>
  <si>
    <t xml:space="preserve">Balance-sheet cash typed as 5,000,000 in every year</t>
  </si>
  <si>
    <t xml:space="preserve">Statements row 18 (cash)</t>
  </si>
  <si>
    <t xml:space="preserve">Cash sweep ignores the minimum cash balance</t>
  </si>
  <si>
    <t xml:space="preserve">Debt row 14 (optional term repayment)</t>
  </si>
  <si>
    <t xml:space="preserve">Capital expenditure deducted twice in free cash flow</t>
  </si>
  <si>
    <t xml:space="preserve">DCF tax computed on EBITDA instead of EBIT</t>
  </si>
  <si>
    <t xml:space="preserve">DCF row 7 (NOPAT)</t>
  </si>
  <si>
    <t xml:space="preserve">Terminal value grown twice</t>
  </si>
  <si>
    <t xml:space="preserve">DCF row 18 (terminal value)</t>
  </si>
  <si>
    <t xml:space="preserve">LBO exit net debt taken from the pre-deal debt schedule</t>
  </si>
  <si>
    <t xml:space="preserve">LBO row 17 (exit net debt)</t>
  </si>
  <si>
    <t xml:space="preserve">Switches on (should be 0 or 1 when practising)</t>
  </si>
  <si>
    <t xml:space="preserve">Audit Register</t>
  </si>
  <si>
    <t xml:space="preserve">Record evidence and decision impact before applying a correction</t>
  </si>
  <si>
    <t xml:space="preserve">Priority</t>
  </si>
  <si>
    <t xml:space="preserve">Issue</t>
  </si>
  <si>
    <t xml:space="preserve">Evidence (cell, check, difference)</t>
  </si>
  <si>
    <t xml:space="preserve">Impact on the decision</t>
  </si>
  <si>
    <t xml:space="preserve">Correction</t>
  </si>
  <si>
    <t xml:space="preserve">Retest result</t>
  </si>
  <si>
    <t xml:space="preserve">Expected Detection</t>
  </si>
  <si>
    <t xml:space="preserve">Open after your own review. Clean model: EV 230.6m, equity 209.4m, MOIC 2.35x, IRR 18.7%.</t>
  </si>
  <si>
    <t xml:space="preserve">First signal in Checks</t>
  </si>
  <si>
    <t xml:space="preserve">EV</t>
  </si>
  <si>
    <t xml:space="preserve">Equity value</t>
  </si>
  <si>
    <t xml:space="preserve">MOIC</t>
  </si>
  <si>
    <t xml:space="preserve">IRR</t>
  </si>
  <si>
    <t xml:space="preserve">Decision effect</t>
  </si>
  <si>
    <t xml:space="preserve">Balance sheet (8516357); Cash-flow statement ties to balance sheet (2294933)</t>
  </si>
  <si>
    <t xml:space="preserve">Cash and value overstated; the balance sheet no longer ties</t>
  </si>
  <si>
    <t xml:space="preserve">Balance sheet (34993353); Fixed assets (7671886)</t>
  </si>
  <si>
    <t xml:space="preserve">Assets and equity overstated; depreciation still reduces profit</t>
  </si>
  <si>
    <t xml:space="preserve">Balance sheet (51574828); Cash-flow statement ties to balance sheet (51574828)</t>
  </si>
  <si>
    <t xml:space="preserve">Cash stops accumulating from 2029; the funding picture is false</t>
  </si>
  <si>
    <t xml:space="preserve">Minimum cash (5000000)</t>
  </si>
  <si>
    <t xml:space="preserve">Cash falls to zero; debt paydown overstated</t>
  </si>
  <si>
    <t xml:space="preserve">Balance sheet (52809127); Cash-flow statement ties to balance sheet (9821114)</t>
  </si>
  <si>
    <t xml:space="preserve">Free cash flow understated by a full year of capex; value roughly halves and the LBO needs a revolver</t>
  </si>
  <si>
    <t xml:space="preserve">Balance sheet (7387603); Cash-flow statement ties to balance sheet (1442351)</t>
  </si>
  <si>
    <t xml:space="preserve">Tax base overstated; value and cash understated</t>
  </si>
  <si>
    <t xml:space="preserve">DCF sensitivity grid ties to live value (4286581)</t>
  </si>
  <si>
    <t xml:space="preserve">Terminal value overstated by one year of growth; no roll-forward or balance check fails, only the independent sensitivity-grid tie</t>
  </si>
  <si>
    <t xml:space="preserve">No structural check fails: only review and the stored scenario comparison catch it</t>
  </si>
  <si>
    <t xml:space="preserve">Returns computed on a debt balance the deal does not have: MOIC 3.10x instead of 2.35x; only the stored scenario comparison notices</t>
  </si>
  <si>
    <t xml:space="preserve">Alder Ridge Error Lab</t>
  </si>
  <si>
    <t xml:space="preserve">A full copy of the complete model with eight controlled defects (see Error Switches)</t>
  </si>
  <si>
    <t xml:space="preserve">Decision output</t>
  </si>
  <si>
    <t xml:space="preserve">2026 Revenue</t>
  </si>
  <si>
    <t xml:space="preserve">2026 EBITDA</t>
  </si>
  <si>
    <t xml:space="preserve">2031 Revenue</t>
  </si>
  <si>
    <t xml:space="preserve">2031 EBITDA</t>
  </si>
  <si>
    <t xml:space="preserve">Pre-deal net debt at 31 Dec 2026</t>
  </si>
  <si>
    <t xml:space="preserve">DCF Enterprise Value</t>
  </si>
  <si>
    <t xml:space="preserve">DCF Equity Value</t>
  </si>
  <si>
    <t xml:space="preserve">LBO MOIC</t>
  </si>
  <si>
    <t xml:space="preserve">LBO IRR</t>
  </si>
  <si>
    <t xml:space="preserve">LBO net debt / EBITDA at close</t>
  </si>
  <si>
    <t xml:space="preserve">LBO debt at exit</t>
  </si>
  <si>
    <t xml:space="preserve">Model status</t>
  </si>
  <si>
    <t xml:space="preserve">Assumptions</t>
  </si>
  <si>
    <t xml:space="preserve">Active assumptions: base inputs and scenario adjustments are entered on Scenarios</t>
  </si>
  <si>
    <t xml:space="preserve">Line item</t>
  </si>
  <si>
    <t xml:space="preserve">Control module unit growth</t>
  </si>
  <si>
    <t xml:space="preserve">Control module price growth</t>
  </si>
  <si>
    <t xml:space="preserve">Sensing array unit growth</t>
  </si>
  <si>
    <t xml:space="preserve">Sensing array price growth</t>
  </si>
  <si>
    <t xml:space="preserve">Service job growth</t>
  </si>
  <si>
    <t xml:space="preserve">Service price growth</t>
  </si>
  <si>
    <t xml:space="preserve">Control module COGS %</t>
  </si>
  <si>
    <t xml:space="preserve">Sensing array COGS %</t>
  </si>
  <si>
    <t xml:space="preserve">Service COGS %</t>
  </si>
  <si>
    <t xml:space="preserve">Operating expense growth</t>
  </si>
  <si>
    <t xml:space="preserve">DSO</t>
  </si>
  <si>
    <t xml:space="preserve">Inventory days</t>
  </si>
  <si>
    <t xml:space="preserve">DPO</t>
  </si>
  <si>
    <t xml:space="preserve">Capital expenditure % of revenue</t>
  </si>
  <si>
    <t xml:space="preserve">Depreciation rate (on opening PP&amp;E plus half of the year's capex)</t>
  </si>
  <si>
    <t xml:space="preserve">Tax rate</t>
  </si>
  <si>
    <t xml:space="preserve">Term loan interest rate</t>
  </si>
  <si>
    <t xml:space="preserve">Minimum cash</t>
  </si>
  <si>
    <t xml:space="preserve">Term loan mandatory amortization</t>
  </si>
  <si>
    <t xml:space="preserve">Historical Statements</t>
  </si>
  <si>
    <t xml:space="preserve">Reported facts, normalizations, and the opening balance sheet the forecast starts from</t>
  </si>
  <si>
    <t xml:space="preserve">2024A</t>
  </si>
  <si>
    <t xml:space="preserve">2025A</t>
  </si>
  <si>
    <t xml:space="preserve">2026 base year</t>
  </si>
  <si>
    <t xml:space="preserve">Source / note</t>
  </si>
  <si>
    <t xml:space="preserve">Reported revenue</t>
  </si>
  <si>
    <t xml:space="preserve">Audited income statement</t>
  </si>
  <si>
    <t xml:space="preserve">Reported COGS</t>
  </si>
  <si>
    <t xml:space="preserve">Reported operating expenses</t>
  </si>
  <si>
    <t xml:space="preserve">Includes 2025 one-off item below</t>
  </si>
  <si>
    <t xml:space="preserve">Reported EBITDA</t>
  </si>
  <si>
    <t xml:space="preserve">One-off: plant consolidation cost (add back)</t>
  </si>
  <si>
    <t xml:space="preserve">Board minute, March 2025; non-recurring</t>
  </si>
  <si>
    <t xml:space="preserve">Normalized EBITDA</t>
  </si>
  <si>
    <t xml:space="preserve">Reported EBITDA plus visible add-back</t>
  </si>
  <si>
    <t xml:space="preserve">Normalized EBITDA margin</t>
  </si>
  <si>
    <t xml:space="preserve">Revenue growth</t>
  </si>
  <si>
    <t xml:space="preserve">Opening balance sheet (31 December 2025)</t>
  </si>
  <si>
    <t xml:space="preserve">Cash</t>
  </si>
  <si>
    <t xml:space="preserve">Bank statement</t>
  </si>
  <si>
    <t xml:space="preserve">Receivables</t>
  </si>
  <si>
    <t xml:space="preserve">Aged debtor listing</t>
  </si>
  <si>
    <t xml:space="preserve">Inventory</t>
  </si>
  <si>
    <t xml:space="preserve">Stock count</t>
  </si>
  <si>
    <t xml:space="preserve">Other assets</t>
  </si>
  <si>
    <t xml:space="preserve">Held flat in the forecast</t>
  </si>
  <si>
    <t xml:space="preserve">Net PP&amp;E</t>
  </si>
  <si>
    <t xml:space="preserve">Fixed-asset register</t>
  </si>
  <si>
    <t xml:space="preserve">Total assets</t>
  </si>
  <si>
    <t xml:space="preserve">Payables</t>
  </si>
  <si>
    <t xml:space="preserve">Creditor listing</t>
  </si>
  <si>
    <t xml:space="preserve">Other liabilities</t>
  </si>
  <si>
    <t xml:space="preserve">Term debt</t>
  </si>
  <si>
    <t xml:space="preserve">Facility agreement</t>
  </si>
  <si>
    <t xml:space="preserve">Equity</t>
  </si>
  <si>
    <t xml:space="preserve">Reported equity; the only balancing figure in the workbook</t>
  </si>
  <si>
    <t xml:space="preserve">Opening balance check</t>
  </si>
  <si>
    <t xml:space="preserve">Opening net working capital</t>
  </si>
  <si>
    <t xml:space="preserve">2026 change in NWC on Working Capital row 12 starts from this balance</t>
  </si>
  <si>
    <t xml:space="preserve">Link checks</t>
  </si>
  <si>
    <t xml:space="preserve">Opening PP&amp;E ties to fixed-asset schedule</t>
  </si>
  <si>
    <t xml:space="preserve">Opening debt ties to debt schedule</t>
  </si>
  <si>
    <t xml:space="preserve">Opening cash ties to debt schedule</t>
  </si>
  <si>
    <t xml:space="preserve">Scenarios</t>
  </si>
  <si>
    <t xml:space="preserve">One engine, three economic states. Change the selector; every schedule reads the active row on Assumptions.</t>
  </si>
  <si>
    <t xml:space="preserve">Active scenario (1 = Base, 2 = Downside, 3 = Upside)</t>
  </si>
  <si>
    <t xml:space="preserve">Adjustment applied to every forecast year (2027-2031)</t>
  </si>
  <si>
    <t xml:space="preserve">Base</t>
  </si>
  <si>
    <t xml:space="preserve">Downside</t>
  </si>
  <si>
    <t xml:space="preserve">Upside</t>
  </si>
  <si>
    <t xml:space="preserve">Active</t>
  </si>
  <si>
    <t xml:space="preserve">Unit and job growth (percentage points)</t>
  </si>
  <si>
    <t xml:space="preserve">Price growth (percentage points)</t>
  </si>
  <si>
    <t xml:space="preserve">COGS % of revenue (percentage points)</t>
  </si>
  <si>
    <t xml:space="preserve">DSO (days)</t>
  </si>
  <si>
    <t xml:space="preserve">Inventory days (days)</t>
  </si>
  <si>
    <t xml:space="preserve">Capital expenditure % of revenue (percentage points)</t>
  </si>
  <si>
    <t xml:space="preserve">LBO exit multiple (x EBITDA)</t>
  </si>
  <si>
    <t xml:space="preserve">Base-case inputs (edit here; Assumptions shows the active values)</t>
  </si>
  <si>
    <t xml:space="preserve">Scenario comparison (stored results; the Active column is live)</t>
  </si>
  <si>
    <t xml:space="preserve">Active (live)</t>
  </si>
  <si>
    <t xml:space="preserve">Stored = live?</t>
  </si>
  <si>
    <t xml:space="preserve">2031 revenue</t>
  </si>
  <si>
    <t xml:space="preserve">Five-year unlevered FCF (2027-2031)</t>
  </si>
  <si>
    <t xml:space="preserve">Pre-deal term debt and revolver at end-2028</t>
  </si>
  <si>
    <t xml:space="preserve">Minimum LBO cash before sweep and revolver</t>
  </si>
  <si>
    <t xml:space="preserve">Peak LBO revolver balance</t>
  </si>
  <si>
    <t xml:space="preserve">DCF enterprise value</t>
  </si>
  <si>
    <t xml:space="preserve">DCF equity value</t>
  </si>
  <si>
    <t xml:space="preserve">LBO exit equity value</t>
  </si>
  <si>
    <t xml:space="preserve">How to refresh: set the selector to 1, 2 and 3 in turn and paste the Active column as values under each scenario.</t>
  </si>
  <si>
    <t xml:space="preserve">Operating Model</t>
  </si>
  <si>
    <t xml:space="preserve">Product volume, price, cost, and EBITDA</t>
  </si>
  <si>
    <t xml:space="preserve">Control module units</t>
  </si>
  <si>
    <t xml:space="preserve">Control module price</t>
  </si>
  <si>
    <t xml:space="preserve">Control module revenue</t>
  </si>
  <si>
    <t xml:space="preserve">Sensing array units</t>
  </si>
  <si>
    <t xml:space="preserve">Sensing array price</t>
  </si>
  <si>
    <t xml:space="preserve">Sensing array revenue</t>
  </si>
  <si>
    <t xml:space="preserve">Service jobs</t>
  </si>
  <si>
    <t xml:space="preserve">Service price</t>
  </si>
  <si>
    <t xml:space="preserve">Service revenue</t>
  </si>
  <si>
    <t xml:space="preserve">Total revenue</t>
  </si>
  <si>
    <t xml:space="preserve">Control module COGS</t>
  </si>
  <si>
    <t xml:space="preserve">Sensing array COGS</t>
  </si>
  <si>
    <t xml:space="preserve">Service COGS</t>
  </si>
  <si>
    <t xml:space="preserve">Total COGS</t>
  </si>
  <si>
    <t xml:space="preserve">Gross profit</t>
  </si>
  <si>
    <t xml:space="preserve">Operating expenses</t>
  </si>
  <si>
    <t xml:space="preserve">EBITDA</t>
  </si>
  <si>
    <t xml:space="preserve">EBITDA margin</t>
  </si>
  <si>
    <t xml:space="preserve">Depreciation</t>
  </si>
  <si>
    <t xml:space="preserve">EBIT</t>
  </si>
  <si>
    <t xml:space="preserve">Working Capital</t>
  </si>
  <si>
    <t xml:space="preserve">Days-based operating balances and cash movement</t>
  </si>
  <si>
    <t xml:space="preserve">Net working capital</t>
  </si>
  <si>
    <t xml:space="preserve">Change in NWC</t>
  </si>
  <si>
    <t xml:space="preserve">NWC check</t>
  </si>
  <si>
    <t xml:space="preserve">Status</t>
  </si>
  <si>
    <t xml:space="preserve">Fixed Assets</t>
  </si>
  <si>
    <t xml:space="preserve">Capital expenditure and depreciation roll-forward</t>
  </si>
  <si>
    <t xml:space="preserve">Opening net PP&amp;E</t>
  </si>
  <si>
    <t xml:space="preserve">Capital expenditure</t>
  </si>
  <si>
    <t xml:space="preserve">Depreciation rate</t>
  </si>
  <si>
    <t xml:space="preserve">Ending net PP&amp;E</t>
  </si>
  <si>
    <t xml:space="preserve">Roll-forward check</t>
  </si>
  <si>
    <t xml:space="preserve">Debt and Cash</t>
  </si>
  <si>
    <t xml:space="preserve">Minimum cash, mandatory amortization, optional sweep, and revolver</t>
  </si>
  <si>
    <t xml:space="preserve">Opening term debt</t>
  </si>
  <si>
    <t xml:space="preserve">Mandatory term amortization</t>
  </si>
  <si>
    <t xml:space="preserve">Interest rate</t>
  </si>
  <si>
    <t xml:space="preserve">Interest expense (term and revolver, on opening balances)</t>
  </si>
  <si>
    <t xml:space="preserve">Opening cash</t>
  </si>
  <si>
    <t xml:space="preserve">UFCF</t>
  </si>
  <si>
    <t xml:space="preserve">After-tax interest</t>
  </si>
  <si>
    <t xml:space="preserve">Cash before financing</t>
  </si>
  <si>
    <t xml:space="preserve">Revolver draw / (repayment)</t>
  </si>
  <si>
    <t xml:space="preserve">Optional term repayment</t>
  </si>
  <si>
    <t xml:space="preserve">Ending term debt</t>
  </si>
  <si>
    <t xml:space="preserve">Ending revolver</t>
  </si>
  <si>
    <t xml:space="preserve">Ending cash</t>
  </si>
  <si>
    <t xml:space="preserve">Net debt</t>
  </si>
  <si>
    <t xml:space="preserve">Integrated Statements</t>
  </si>
  <si>
    <t xml:space="preserve">Income statement, cash flow, and balance sheet</t>
  </si>
  <si>
    <t xml:space="preserve">Income statement</t>
  </si>
  <si>
    <t xml:space="preserve">Revenue</t>
  </si>
  <si>
    <t xml:space="preserve">COGS</t>
  </si>
  <si>
    <t xml:space="preserve">Interest</t>
  </si>
  <si>
    <t xml:space="preserve">Taxes</t>
  </si>
  <si>
    <t xml:space="preserve">Net income</t>
  </si>
  <si>
    <t xml:space="preserve">Balance sheet</t>
  </si>
  <si>
    <t xml:space="preserve">Debt</t>
  </si>
  <si>
    <t xml:space="preserve">Total liabilities and equity</t>
  </si>
  <si>
    <t xml:space="preserve">Balance check</t>
  </si>
  <si>
    <t xml:space="preserve">Cash-flow statement (indirect)</t>
  </si>
  <si>
    <t xml:space="preserve">Add back depreciation</t>
  </si>
  <si>
    <t xml:space="preserve">Less increase in net working capital</t>
  </si>
  <si>
    <t xml:space="preserve">Cash from operations</t>
  </si>
  <si>
    <t xml:space="preserve">Cash from investing</t>
  </si>
  <si>
    <t xml:space="preserve">Term debt repayment</t>
  </si>
  <si>
    <t xml:space="preserve">Cash from financing</t>
  </si>
  <si>
    <t xml:space="preserve">Net change in cash</t>
  </si>
  <si>
    <t xml:space="preserve">Ending cash (cash-flow statement)</t>
  </si>
  <si>
    <t xml:space="preserve">Cash check (vs balance sheet)</t>
  </si>
  <si>
    <t xml:space="preserve">Discounted Cash Flow</t>
  </si>
  <si>
    <t xml:space="preserve">Unlevered free cash flow and terminal value</t>
  </si>
  <si>
    <t xml:space="preserve">NOPAT</t>
  </si>
  <si>
    <t xml:space="preserve">Unlevered free cash flow</t>
  </si>
  <si>
    <t xml:space="preserve">Discount factor</t>
  </si>
  <si>
    <t xml:space="preserve">Discount period (years from valuation date)</t>
  </si>
  <si>
    <t xml:space="preserve">WACC</t>
  </si>
  <si>
    <t xml:space="preserve">Terminal growth</t>
  </si>
  <si>
    <t xml:space="preserve">PV explicit FCF</t>
  </si>
  <si>
    <t xml:space="preserve">Terminal value</t>
  </si>
  <si>
    <t xml:space="preserve">PV terminal value</t>
  </si>
  <si>
    <t xml:space="preserve">Enterprise value</t>
  </si>
  <si>
    <t xml:space="preserve">Less net debt at valuation date</t>
  </si>
  <si>
    <t xml:space="preserve">Terminal value share</t>
  </si>
  <si>
    <t xml:space="preserve">Growth below WACC check</t>
  </si>
  <si>
    <t xml:space="preserve">Valuation check</t>
  </si>
  <si>
    <t xml:space="preserve">Terminal value cross-check</t>
  </si>
  <si>
    <t xml:space="preserve">Exit-multiple terminal value (2031 EBITDA x LBO exit multiple)</t>
  </si>
  <si>
    <t xml:space="preserve">PV of exit-multiple terminal value</t>
  </si>
  <si>
    <t xml:space="preserve">Enterprise value, exit-multiple method</t>
  </si>
  <si>
    <t xml:space="preserve">Implied EBITDA multiple of the perpetuity terminal value</t>
  </si>
  <si>
    <t xml:space="preserve">Implied perpetual growth of the exit-multiple terminal value</t>
  </si>
  <si>
    <t xml:space="preserve">Gap between methods (exit-multiple EV less perpetuity EV)</t>
  </si>
  <si>
    <t xml:space="preserve">Enterprise value sensitivity (perpetuity method): WACC down, terminal growth across</t>
  </si>
  <si>
    <t xml:space="preserve">WACC \ growth</t>
  </si>
  <si>
    <t xml:space="preserve">Sensitivity check (grid at base WACC and growth less live EV)</t>
  </si>
  <si>
    <t xml:space="preserve">LBO Returns</t>
  </si>
  <si>
    <t xml:space="preserve">Sources and uses, exit bridge, MOIC, and IRR</t>
  </si>
  <si>
    <t xml:space="preserve">Entry and sources</t>
  </si>
  <si>
    <t xml:space="preserve">Amount</t>
  </si>
  <si>
    <t xml:space="preserve">Entry EBITDA</t>
  </si>
  <si>
    <t xml:space="preserve">Entry multiple</t>
  </si>
  <si>
    <t xml:space="preserve">Purchase enterprise value</t>
  </si>
  <si>
    <t xml:space="preserve">Transaction fees</t>
  </si>
  <si>
    <t xml:space="preserve">Minimum cash funded</t>
  </si>
  <si>
    <t xml:space="preserve">Total uses</t>
  </si>
  <si>
    <t xml:space="preserve">New debt</t>
  </si>
  <si>
    <t xml:space="preserve">Sponsor equity</t>
  </si>
  <si>
    <t xml:space="preserve">Sources and uses check</t>
  </si>
  <si>
    <t xml:space="preserve">Exit EBITDA</t>
  </si>
  <si>
    <t xml:space="preserve">Exit multiple</t>
  </si>
  <si>
    <t xml:space="preserve">Exit enterprise value</t>
  </si>
  <si>
    <t xml:space="preserve">Less exit net debt (LBO capital structure)</t>
  </si>
  <si>
    <t xml:space="preserve">Exit equity value</t>
  </si>
  <si>
    <t xml:space="preserve">LBO inputs</t>
  </si>
  <si>
    <t xml:space="preserve">Entry multiple (x 2026 EBITDA)</t>
  </si>
  <si>
    <t xml:space="preserve">Transaction fees (% of purchase EV)</t>
  </si>
  <si>
    <t xml:space="preserve">Entry leverage (x 2026 EBITDA)</t>
  </si>
  <si>
    <t xml:space="preserve">LBO debt interest rate</t>
  </si>
  <si>
    <t xml:space="preserve">Mandatory amortization (% of original debt)</t>
  </si>
  <si>
    <t xml:space="preserve">LBO returns bridge</t>
  </si>
  <si>
    <t xml:space="preserve">Sponsor equity at entry</t>
  </si>
  <si>
    <t xml:space="preserve">EBITDA growth contribution</t>
  </si>
  <si>
    <t xml:space="preserve">Multiple change contribution</t>
  </si>
  <si>
    <t xml:space="preserve">Net debt reduction contribution</t>
  </si>
  <si>
    <t xml:space="preserve">Less transaction fees</t>
  </si>
  <si>
    <t xml:space="preserve">Exit equity value (bridge)</t>
  </si>
  <si>
    <t xml:space="preserve">Bridge check</t>
  </si>
  <si>
    <t xml:space="preserve">LBO Debt Schedule</t>
  </si>
  <si>
    <t xml:space="preserve">Acquisition debt from close (end of 2026) to exit (end of 2031), cash sweep above minimum cash</t>
  </si>
  <si>
    <t xml:space="preserve">Opening LBO debt</t>
  </si>
  <si>
    <t xml:space="preserve">Mandatory amortization</t>
  </si>
  <si>
    <t xml:space="preserve">Interest expense (debt and revolver, on opening balances)</t>
  </si>
  <si>
    <t xml:space="preserve">Cash before sweep</t>
  </si>
  <si>
    <t xml:space="preserve">Optional repayment (cash sweep)</t>
  </si>
  <si>
    <t xml:space="preserve">Ending LBO debt</t>
  </si>
  <si>
    <t xml:space="preserve">Net debt (debt + revolver - cash)</t>
  </si>
  <si>
    <t xml:space="preserve">Net debt / EBITDA</t>
  </si>
  <si>
    <t xml:space="preserve">Interest cover (EBITDA / interest)</t>
  </si>
  <si>
    <t xml:space="preserve">Debt roll-forward check</t>
  </si>
  <si>
    <t xml:space="preserve">Model Checks</t>
  </si>
  <si>
    <t xml:space="preserve">Numeric differences are shown beside each status</t>
  </si>
  <si>
    <t xml:space="preserve">Check</t>
  </si>
  <si>
    <t xml:space="preserve">Difference</t>
  </si>
  <si>
    <t xml:space="preserve">Fixed assets</t>
  </si>
  <si>
    <t xml:space="preserve">Working capital</t>
  </si>
  <si>
    <t xml:space="preserve">Sources and uses</t>
  </si>
  <si>
    <t xml:space="preserve">DCF valuation</t>
  </si>
  <si>
    <t xml:space="preserve">Terminal growth below WACC</t>
  </si>
  <si>
    <t xml:space="preserve">Required inputs</t>
  </si>
  <si>
    <t xml:space="preserve">Cash-flow statement ties to balance sheet</t>
  </si>
  <si>
    <t xml:space="preserve">LBO debt roll-forward and minimum cash</t>
  </si>
  <si>
    <t xml:space="preserve">Historical opening balance sheet and links</t>
  </si>
  <si>
    <t xml:space="preserve">DCF sensitivity grid ties to live value</t>
  </si>
  <si>
    <t xml:space="preserve">Scenario comparison matches live results</t>
  </si>
  <si>
    <t xml:space="preserve">Overall status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</si>
</sst>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"/>
    <numFmt numFmtId="166" formatCode="#,##0"/>
    <numFmt numFmtId="167" formatCode="#,##0;[RED]\(#,##0\);\-"/>
    <numFmt numFmtId="168" formatCode="0.00\x"/>
    <numFmt numFmtId="169" formatCode="0.0%"/>
    <numFmt numFmtId="170" formatCode="0.00\x"/>
    <numFmt numFmtId="171" formatCode="0.0"/>
    <numFmt numFmtId="172" formatCode="0.0\x"/>
    <numFmt numFmtId="173" formatCode="0.00%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0"/>
      <color rgb="FF222222"/>
      <name val="Arial"/>
      <family val="0"/>
      <charset val="1"/>
    </font>
    <font>
      <i val="true"/>
      <sz val="10"/>
      <color rgb="FF222222"/>
      <name val="Arial"/>
      <family val="0"/>
      <charset val="1"/>
    </font>
    <font>
      <sz val="10"/>
      <color rgb="FF22222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7324D"/>
        <bgColor rgb="FF222222"/>
      </patternFill>
    </fill>
    <fill>
      <patternFill patternType="solid">
        <fgColor rgb="FFFFF2CC"/>
        <bgColor rgb="FFFFFFFF"/>
      </patternFill>
    </fill>
    <fill>
      <patternFill patternType="solid">
        <fgColor rgb="FFDCEAF3"/>
        <bgColor rgb="FFD9D9D9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 style="thin">
        <color rgb="FF17324D"/>
      </left>
      <right/>
      <top style="thin">
        <color rgb="FF17324D"/>
      </top>
      <bottom/>
      <diagonal/>
    </border>
    <border diagonalUp="false" diagonalDown="false">
      <left/>
      <right style="thin">
        <color rgb="FF17324D"/>
      </right>
      <top style="thin">
        <color rgb="FF17324D"/>
      </top>
      <bottom/>
      <diagonal/>
    </border>
    <border diagonalUp="false" diagonalDown="false">
      <left style="thin">
        <color rgb="FF17324D"/>
      </left>
      <right/>
      <top style="thin">
        <color rgb="FF17324D"/>
      </top>
      <bottom style="thin">
        <color rgb="FF17324D"/>
      </bottom>
      <diagonal/>
    </border>
    <border diagonalUp="false" diagonalDown="false">
      <left/>
      <right/>
      <top style="thin">
        <color rgb="FF17324D"/>
      </top>
      <bottom style="thin">
        <color rgb="FF17324D"/>
      </bottom>
      <diagonal/>
    </border>
    <border diagonalUp="false" diagonalDown="false">
      <left/>
      <right style="thin">
        <color rgb="FF17324D"/>
      </right>
      <top style="thin">
        <color rgb="FF17324D"/>
      </top>
      <bottom style="thin">
        <color rgb="FF17324D"/>
      </bottom>
      <diagonal/>
    </border>
    <border diagonalUp="false" diagonalDown="false">
      <left/>
      <right/>
      <top style="thin">
        <color rgb="FF17324D"/>
      </top>
      <bottom/>
      <diagonal/>
    </border>
    <border diagonalUp="false" diagonalDown="false">
      <left style="thin">
        <color rgb="FF17324D"/>
      </left>
      <right/>
      <top/>
      <bottom style="thin">
        <color rgb="FF17324D"/>
      </bottom>
      <diagonal/>
    </border>
    <border diagonalUp="false" diagonalDown="false">
      <left/>
      <right/>
      <top/>
      <bottom style="thin">
        <color rgb="FF17324D"/>
      </bottom>
      <diagonal/>
    </border>
    <border diagonalUp="false" diagonalDown="false">
      <left/>
      <right style="thin">
        <color rgb="FF17324D"/>
      </right>
      <top/>
      <bottom style="thin">
        <color rgb="FF17324D"/>
      </bottom>
      <diagonal/>
    </border>
    <border diagonalUp="false" diagonalDown="false">
      <left style="thin">
        <color rgb="FF17324D"/>
      </left>
      <right/>
      <top/>
      <bottom/>
      <diagonal/>
    </border>
    <border diagonalUp="false" diagonalDown="false">
      <left/>
      <right style="thin">
        <color rgb="FF17324D"/>
      </right>
      <top/>
      <bottom/>
      <diagonal/>
    </border>
    <border diagonalUp="false" diagonalDown="false">
      <left style="thin">
        <color rgb="FF17324D"/>
      </left>
      <right style="thin">
        <color rgb="FF17324D"/>
      </right>
      <top style="thin">
        <color rgb="FF17324D"/>
      </top>
      <bottom style="thin">
        <color rgb="FF17324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7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7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4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7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4" borderId="3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4" borderId="4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7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2" fontId="7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5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4" borderId="6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4" borderId="7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4" borderId="8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4" borderId="9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5" fillId="4" borderId="1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5" fillId="4" borderId="1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4" borderId="1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4" borderId="1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4" borderId="1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4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5" fillId="4" borderId="13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4" borderId="14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3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5" fillId="2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5" fillId="4" borderId="13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4" borderId="6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4" borderId="7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AF3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24D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58"/>
    <col collapsed="false" customWidth="true" hidden="false" outlineLevel="0" max="3" min="3" style="0" width="12"/>
    <col collapsed="false" customWidth="true" hidden="false" outlineLevel="0" max="4" min="4" style="0" width="6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5" hidden="false" customHeight="false" outlineLevel="0" collapsed="false">
      <c r="A5" s="4" t="n">
        <v>1</v>
      </c>
      <c r="B5" s="4" t="s">
        <v>6</v>
      </c>
      <c r="C5" s="5" t="n">
        <v>0</v>
      </c>
      <c r="D5" s="4" t="s">
        <v>7</v>
      </c>
    </row>
    <row r="6" customFormat="false" ht="15" hidden="false" customHeight="false" outlineLevel="0" collapsed="false">
      <c r="A6" s="4" t="n">
        <v>2</v>
      </c>
      <c r="B6" s="4" t="s">
        <v>8</v>
      </c>
      <c r="C6" s="5" t="n">
        <v>0</v>
      </c>
      <c r="D6" s="4" t="s">
        <v>9</v>
      </c>
    </row>
    <row r="7" customFormat="false" ht="15" hidden="false" customHeight="false" outlineLevel="0" collapsed="false">
      <c r="A7" s="4" t="n">
        <v>3</v>
      </c>
      <c r="B7" s="4" t="s">
        <v>10</v>
      </c>
      <c r="C7" s="5" t="n">
        <v>0</v>
      </c>
      <c r="D7" s="4" t="s">
        <v>11</v>
      </c>
    </row>
    <row r="8" customFormat="false" ht="15" hidden="false" customHeight="false" outlineLevel="0" collapsed="false">
      <c r="A8" s="4" t="n">
        <v>4</v>
      </c>
      <c r="B8" s="4" t="s">
        <v>12</v>
      </c>
      <c r="C8" s="5" t="n">
        <v>0</v>
      </c>
      <c r="D8" s="4" t="s">
        <v>13</v>
      </c>
    </row>
    <row r="9" customFormat="false" ht="15" hidden="false" customHeight="false" outlineLevel="0" collapsed="false">
      <c r="A9" s="4" t="n">
        <v>5</v>
      </c>
      <c r="B9" s="4" t="s">
        <v>14</v>
      </c>
      <c r="C9" s="5" t="n">
        <v>0</v>
      </c>
      <c r="D9" s="4" t="s">
        <v>7</v>
      </c>
    </row>
    <row r="10" customFormat="false" ht="15" hidden="false" customHeight="false" outlineLevel="0" collapsed="false">
      <c r="A10" s="4" t="n">
        <v>6</v>
      </c>
      <c r="B10" s="4" t="s">
        <v>15</v>
      </c>
      <c r="C10" s="5" t="n">
        <v>0</v>
      </c>
      <c r="D10" s="4" t="s">
        <v>16</v>
      </c>
    </row>
    <row r="11" customFormat="false" ht="15" hidden="false" customHeight="false" outlineLevel="0" collapsed="false">
      <c r="A11" s="4" t="n">
        <v>7</v>
      </c>
      <c r="B11" s="4" t="s">
        <v>17</v>
      </c>
      <c r="C11" s="5" t="n">
        <v>0</v>
      </c>
      <c r="D11" s="4" t="s">
        <v>18</v>
      </c>
    </row>
    <row r="12" customFormat="false" ht="15" hidden="false" customHeight="false" outlineLevel="0" collapsed="false">
      <c r="A12" s="4" t="n">
        <v>8</v>
      </c>
      <c r="B12" s="4" t="s">
        <v>19</v>
      </c>
      <c r="C12" s="5" t="n">
        <v>0</v>
      </c>
      <c r="D12" s="4" t="s">
        <v>20</v>
      </c>
    </row>
    <row r="14" customFormat="false" ht="15" hidden="false" customHeight="false" outlineLevel="0" collapsed="false">
      <c r="B14" s="4" t="s">
        <v>21</v>
      </c>
      <c r="C14" s="6" t="n">
        <f aca="false">SUM(C5:C12)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8"/>
    <col collapsed="false" customWidth="true" hidden="false" outlineLevel="0" max="4" min="3" style="0" width="40"/>
    <col collapsed="false" customWidth="true" hidden="false" outlineLevel="0" max="6" min="5" style="0" width="36"/>
    <col collapsed="false" customWidth="true" hidden="false" outlineLevel="0" max="7" min="7" style="0" width="18"/>
  </cols>
  <sheetData>
    <row r="1" customFormat="false" ht="15" hidden="false" customHeight="false" outlineLevel="0" collapsed="false">
      <c r="A1" s="1" t="s">
        <v>22</v>
      </c>
    </row>
    <row r="2" customFormat="false" ht="15" hidden="false" customHeight="false" outlineLevel="0" collapsed="false">
      <c r="A2" s="2" t="s">
        <v>23</v>
      </c>
    </row>
    <row r="4" customFormat="false" ht="15" hidden="false" customHeight="false" outlineLevel="0" collapsed="false">
      <c r="A4" s="3" t="s">
        <v>24</v>
      </c>
      <c r="B4" s="3" t="s">
        <v>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</row>
    <row r="5" customFormat="false" ht="15" hidden="false" customHeight="false" outlineLevel="0" collapsed="false">
      <c r="A5" s="5"/>
      <c r="B5" s="5"/>
      <c r="C5" s="5"/>
      <c r="D5" s="5"/>
      <c r="E5" s="5"/>
      <c r="F5" s="5"/>
      <c r="G5" s="5"/>
    </row>
    <row r="6" customFormat="false" ht="15" hidden="false" customHeight="false" outlineLevel="0" collapsed="false">
      <c r="A6" s="5"/>
      <c r="B6" s="5"/>
      <c r="C6" s="5"/>
      <c r="D6" s="5"/>
      <c r="E6" s="5"/>
      <c r="F6" s="5"/>
      <c r="G6" s="5"/>
    </row>
    <row r="7" customFormat="false" ht="15" hidden="false" customHeight="false" outlineLevel="0" collapsed="false">
      <c r="A7" s="5"/>
      <c r="B7" s="5"/>
      <c r="C7" s="5"/>
      <c r="D7" s="5"/>
      <c r="E7" s="5"/>
      <c r="F7" s="5"/>
      <c r="G7" s="5"/>
    </row>
    <row r="8" customFormat="false" ht="15" hidden="false" customHeight="false" outlineLevel="0" collapsed="false">
      <c r="A8" s="5"/>
      <c r="B8" s="5"/>
      <c r="C8" s="5"/>
      <c r="D8" s="5"/>
      <c r="E8" s="5"/>
      <c r="F8" s="5"/>
      <c r="G8" s="5"/>
    </row>
    <row r="9" customFormat="false" ht="15" hidden="false" customHeight="false" outlineLevel="0" collapsed="false">
      <c r="A9" s="5"/>
      <c r="B9" s="5"/>
      <c r="C9" s="5"/>
      <c r="D9" s="5"/>
      <c r="E9" s="5"/>
      <c r="F9" s="5"/>
      <c r="G9" s="5"/>
    </row>
    <row r="10" customFormat="false" ht="15" hidden="false" customHeight="false" outlineLevel="0" collapsed="false">
      <c r="A10" s="5"/>
      <c r="B10" s="5"/>
      <c r="C10" s="5"/>
      <c r="D10" s="5"/>
      <c r="E10" s="5"/>
      <c r="F10" s="5"/>
      <c r="G10" s="5"/>
    </row>
    <row r="11" customFormat="false" ht="15" hidden="false" customHeight="false" outlineLevel="0" collapsed="false">
      <c r="A11" s="5"/>
      <c r="B11" s="5"/>
      <c r="C11" s="5"/>
      <c r="D11" s="5"/>
      <c r="E11" s="5"/>
      <c r="F11" s="5"/>
      <c r="G11" s="5"/>
    </row>
    <row r="12" customFormat="false" ht="15" hidden="false" customHeight="false" outlineLevel="0" collapsed="false">
      <c r="A12" s="5"/>
      <c r="B12" s="5"/>
      <c r="C12" s="5"/>
      <c r="D12" s="5"/>
      <c r="E12" s="5"/>
      <c r="F12" s="5"/>
      <c r="G12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4"/>
    <col collapsed="false" customWidth="true" hidden="false" outlineLevel="0" max="3" min="3" style="0" width="52"/>
    <col collapsed="false" customWidth="true" hidden="false" outlineLevel="0" max="5" min="4" style="0" width="15"/>
    <col collapsed="false" customWidth="true" hidden="false" outlineLevel="0" max="7" min="6" style="0" width="9"/>
    <col collapsed="false" customWidth="true" hidden="false" outlineLevel="0" max="8" min="8" style="0" width="50"/>
  </cols>
  <sheetData>
    <row r="1" customFormat="false" ht="15" hidden="false" customHeight="false" outlineLevel="0" collapsed="false">
      <c r="A1" s="1" t="s">
        <v>30</v>
      </c>
    </row>
    <row r="2" customFormat="false" ht="15" hidden="false" customHeight="false" outlineLevel="0" collapsed="false">
      <c r="A2" s="2" t="s">
        <v>31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32</v>
      </c>
      <c r="D4" s="3" t="s">
        <v>33</v>
      </c>
      <c r="E4" s="3" t="s">
        <v>34</v>
      </c>
      <c r="F4" s="3" t="s">
        <v>35</v>
      </c>
      <c r="G4" s="3" t="s">
        <v>36</v>
      </c>
      <c r="H4" s="3" t="s">
        <v>37</v>
      </c>
    </row>
    <row r="5" customFormat="false" ht="23.85" hidden="false" customHeight="false" outlineLevel="0" collapsed="false">
      <c r="A5" s="4" t="n">
        <v>1</v>
      </c>
      <c r="B5" s="4" t="s">
        <v>6</v>
      </c>
      <c r="C5" s="7" t="s">
        <v>38</v>
      </c>
      <c r="D5" s="8" t="n">
        <v>256032273.895105</v>
      </c>
      <c r="E5" s="8" t="n">
        <v>234812374.237571</v>
      </c>
      <c r="F5" s="9" t="n">
        <v>2.42754751180689</v>
      </c>
      <c r="G5" s="10" t="n">
        <v>0.194080339430935</v>
      </c>
      <c r="H5" s="7" t="s">
        <v>39</v>
      </c>
    </row>
    <row r="6" customFormat="false" ht="15" hidden="false" customHeight="false" outlineLevel="0" collapsed="false">
      <c r="A6" s="4" t="n">
        <v>2</v>
      </c>
      <c r="B6" s="4" t="s">
        <v>8</v>
      </c>
      <c r="C6" s="7" t="s">
        <v>40</v>
      </c>
      <c r="D6" s="8" t="n">
        <v>235617218.486465</v>
      </c>
      <c r="E6" s="8" t="n">
        <v>214397318.143999</v>
      </c>
      <c r="F6" s="9" t="n">
        <v>2.36572662485805</v>
      </c>
      <c r="G6" s="10" t="n">
        <v>0.187935638518896</v>
      </c>
      <c r="H6" s="7" t="s">
        <v>41</v>
      </c>
    </row>
    <row r="7" customFormat="false" ht="23.85" hidden="false" customHeight="false" outlineLevel="0" collapsed="false">
      <c r="A7" s="4" t="n">
        <v>3</v>
      </c>
      <c r="B7" s="4" t="s">
        <v>10</v>
      </c>
      <c r="C7" s="7" t="s">
        <v>42</v>
      </c>
      <c r="D7" s="8" t="n">
        <v>230620021.399341</v>
      </c>
      <c r="E7" s="8" t="n">
        <v>209400121.056875</v>
      </c>
      <c r="F7" s="9" t="n">
        <v>2.35462383751973</v>
      </c>
      <c r="G7" s="10" t="n">
        <v>0.186818499566411</v>
      </c>
      <c r="H7" s="7" t="s">
        <v>43</v>
      </c>
    </row>
    <row r="8" customFormat="false" ht="15" hidden="false" customHeight="false" outlineLevel="0" collapsed="false">
      <c r="A8" s="4" t="n">
        <v>4</v>
      </c>
      <c r="B8" s="4" t="s">
        <v>12</v>
      </c>
      <c r="C8" s="7" t="s">
        <v>44</v>
      </c>
      <c r="D8" s="8" t="n">
        <v>230620021.399341</v>
      </c>
      <c r="E8" s="8" t="n">
        <v>209400121.056875</v>
      </c>
      <c r="F8" s="9" t="n">
        <v>2.35462383751973</v>
      </c>
      <c r="G8" s="10" t="n">
        <v>0.186818499566411</v>
      </c>
      <c r="H8" s="7" t="s">
        <v>45</v>
      </c>
    </row>
    <row r="9" customFormat="false" ht="23.85" hidden="false" customHeight="false" outlineLevel="0" collapsed="false">
      <c r="A9" s="4" t="n">
        <v>5</v>
      </c>
      <c r="B9" s="4" t="s">
        <v>14</v>
      </c>
      <c r="C9" s="7" t="s">
        <v>46</v>
      </c>
      <c r="D9" s="8" t="n">
        <v>113069509.652548</v>
      </c>
      <c r="E9" s="8" t="n">
        <v>84589609.3100825</v>
      </c>
      <c r="F9" s="9" t="n">
        <v>1.96802497326269</v>
      </c>
      <c r="G9" s="10" t="n">
        <v>0.145001672430479</v>
      </c>
      <c r="H9" s="7" t="s">
        <v>47</v>
      </c>
    </row>
    <row r="10" customFormat="false" ht="23.85" hidden="false" customHeight="false" outlineLevel="0" collapsed="false">
      <c r="A10" s="4" t="n">
        <v>6</v>
      </c>
      <c r="B10" s="4" t="s">
        <v>15</v>
      </c>
      <c r="C10" s="7" t="s">
        <v>48</v>
      </c>
      <c r="D10" s="8" t="n">
        <v>213624416.10625</v>
      </c>
      <c r="E10" s="8" t="n">
        <v>191371915.763784</v>
      </c>
      <c r="F10" s="9" t="n">
        <v>2.30081280742331</v>
      </c>
      <c r="G10" s="10" t="n">
        <v>0.181343666421856</v>
      </c>
      <c r="H10" s="7" t="s">
        <v>49</v>
      </c>
    </row>
    <row r="11" customFormat="false" ht="35.05" hidden="false" customHeight="false" outlineLevel="0" collapsed="false">
      <c r="A11" s="4" t="n">
        <v>7</v>
      </c>
      <c r="B11" s="4" t="s">
        <v>17</v>
      </c>
      <c r="C11" s="7" t="s">
        <v>50</v>
      </c>
      <c r="D11" s="8" t="n">
        <v>234906602.056937</v>
      </c>
      <c r="E11" s="8" t="n">
        <v>213686701.714471</v>
      </c>
      <c r="F11" s="9" t="n">
        <v>2.35462383751973</v>
      </c>
      <c r="G11" s="10" t="n">
        <v>0.186818499566411</v>
      </c>
      <c r="H11" s="7" t="s">
        <v>51</v>
      </c>
    </row>
    <row r="12" customFormat="false" ht="35.05" hidden="false" customHeight="false" outlineLevel="0" collapsed="false">
      <c r="A12" s="4" t="n">
        <v>8</v>
      </c>
      <c r="B12" s="4" t="s">
        <v>19</v>
      </c>
      <c r="C12" s="7" t="s">
        <v>52</v>
      </c>
      <c r="D12" s="8" t="n">
        <v>230620021.399341</v>
      </c>
      <c r="E12" s="8" t="n">
        <v>209400121.056875</v>
      </c>
      <c r="F12" s="9" t="n">
        <v>3.10450390599025</v>
      </c>
      <c r="G12" s="10" t="n">
        <v>0.254291392960225</v>
      </c>
      <c r="H12" s="7" t="s">
        <v>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1"/>
    <col collapsed="false" customWidth="true" hidden="false" outlineLevel="0" max="2" min="2" style="0" width="18"/>
  </cols>
  <sheetData>
    <row r="1" customFormat="false" ht="24.75" hidden="false" customHeight="true" outlineLevel="0" collapsed="false">
      <c r="A1" s="11" t="s">
        <v>54</v>
      </c>
      <c r="B1" s="11"/>
      <c r="C1" s="11"/>
      <c r="D1" s="11"/>
      <c r="E1" s="11"/>
      <c r="F1" s="11"/>
      <c r="G1" s="11"/>
    </row>
    <row r="2" customFormat="false" ht="15" hidden="false" customHeight="false" outlineLevel="0" collapsed="false">
      <c r="A2" s="12" t="s">
        <v>55</v>
      </c>
      <c r="B2" s="12"/>
      <c r="C2" s="12"/>
      <c r="D2" s="12"/>
      <c r="E2" s="12"/>
      <c r="F2" s="12"/>
      <c r="G2" s="12"/>
    </row>
    <row r="3" customFormat="false" ht="15" hidden="false" customHeight="false" outlineLevel="0" collapsed="false">
      <c r="A3" s="4"/>
      <c r="B3" s="4"/>
    </row>
    <row r="4" customFormat="false" ht="15" hidden="false" customHeight="false" outlineLevel="0" collapsed="false">
      <c r="A4" s="13" t="s">
        <v>56</v>
      </c>
      <c r="B4" s="13" t="str">
        <f aca="false">Scenarios!C4</f>
        <v>Base</v>
      </c>
    </row>
    <row r="5" customFormat="false" ht="15" hidden="false" customHeight="false" outlineLevel="0" collapsed="false">
      <c r="A5" s="14" t="s">
        <v>57</v>
      </c>
      <c r="B5" s="15" t="n">
        <f aca="false">Operations!B17</f>
        <v>132000000</v>
      </c>
    </row>
    <row r="6" customFormat="false" ht="15" hidden="false" customHeight="false" outlineLevel="0" collapsed="false">
      <c r="A6" s="14" t="s">
        <v>58</v>
      </c>
      <c r="B6" s="15" t="n">
        <f aca="false">Operations!B26</f>
        <v>22460000</v>
      </c>
    </row>
    <row r="7" customFormat="false" ht="15" hidden="false" customHeight="false" outlineLevel="0" collapsed="false">
      <c r="A7" s="14" t="s">
        <v>59</v>
      </c>
      <c r="B7" s="15" t="n">
        <f aca="false">Operations!G17</f>
        <v>178565704.480401</v>
      </c>
    </row>
    <row r="8" customFormat="false" ht="15" hidden="false" customHeight="false" outlineLevel="0" collapsed="false">
      <c r="A8" s="14" t="s">
        <v>60</v>
      </c>
      <c r="B8" s="15" t="n">
        <f aca="false">Operations!G26</f>
        <v>39599165.6200998</v>
      </c>
    </row>
    <row r="9" customFormat="false" ht="15" hidden="false" customHeight="false" outlineLevel="0" collapsed="false">
      <c r="A9" s="14" t="s">
        <v>61</v>
      </c>
      <c r="B9" s="15" t="n">
        <f aca="false">Debt!B18</f>
        <v>21219900.3424658</v>
      </c>
    </row>
    <row r="10" customFormat="false" ht="15" hidden="false" customHeight="false" outlineLevel="0" collapsed="false">
      <c r="A10" s="14" t="s">
        <v>62</v>
      </c>
      <c r="B10" s="15" t="n">
        <f aca="false">DCF!B20</f>
        <v>230620021.399341</v>
      </c>
    </row>
    <row r="11" customFormat="false" ht="15" hidden="false" customHeight="false" outlineLevel="0" collapsed="false">
      <c r="A11" s="14" t="s">
        <v>63</v>
      </c>
      <c r="B11" s="15" t="n">
        <f aca="false">DCF!B22</f>
        <v>209400121.056875</v>
      </c>
    </row>
    <row r="12" customFormat="false" ht="15" hidden="false" customHeight="false" outlineLevel="0" collapsed="false">
      <c r="A12" s="14" t="s">
        <v>64</v>
      </c>
      <c r="B12" s="16" t="n">
        <f aca="false">LBO!B19</f>
        <v>2.35462383751973</v>
      </c>
    </row>
    <row r="13" customFormat="false" ht="15" hidden="false" customHeight="false" outlineLevel="0" collapsed="false">
      <c r="A13" s="14" t="s">
        <v>65</v>
      </c>
      <c r="B13" s="17" t="n">
        <f aca="false">LBO!B20</f>
        <v>0.186818499566411</v>
      </c>
    </row>
    <row r="14" customFormat="false" ht="15" hidden="false" customHeight="false" outlineLevel="0" collapsed="false">
      <c r="A14" s="14" t="s">
        <v>66</v>
      </c>
      <c r="B14" s="18" t="n">
        <f aca="false">'LBO Debt'!B17</f>
        <v>4.27738201246661</v>
      </c>
    </row>
    <row r="15" customFormat="false" ht="15" hidden="false" customHeight="false" outlineLevel="0" collapsed="false">
      <c r="A15" s="14" t="s">
        <v>67</v>
      </c>
      <c r="B15" s="15" t="n">
        <f aca="false">'LBO Debt'!G14</f>
        <v>48175718.4663485</v>
      </c>
    </row>
    <row r="16" customFormat="false" ht="15" hidden="false" customHeight="false" outlineLevel="0" collapsed="false">
      <c r="A16" s="14"/>
      <c r="B16" s="14"/>
    </row>
    <row r="17" customFormat="false" ht="15" hidden="false" customHeight="false" outlineLevel="0" collapsed="false">
      <c r="A17" s="19" t="s">
        <v>68</v>
      </c>
      <c r="B17" s="19" t="str">
        <f aca="false">Checks!B3</f>
        <v>PASS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7" min="2" style="0" width="14"/>
  </cols>
  <sheetData>
    <row r="1" customFormat="false" ht="15" hidden="false" customHeight="true" outlineLevel="0" collapsed="false">
      <c r="A1" s="11" t="s">
        <v>69</v>
      </c>
      <c r="B1" s="11"/>
      <c r="C1" s="11"/>
      <c r="D1" s="11"/>
      <c r="E1" s="11"/>
      <c r="F1" s="11"/>
      <c r="G1" s="11"/>
    </row>
    <row r="2" customFormat="false" ht="15" hidden="false" customHeight="true" outlineLevel="0" collapsed="false">
      <c r="A2" s="12" t="s">
        <v>70</v>
      </c>
      <c r="B2" s="12"/>
      <c r="C2" s="12"/>
      <c r="D2" s="12"/>
      <c r="E2" s="12"/>
      <c r="F2" s="12"/>
      <c r="G2" s="12"/>
    </row>
    <row r="3" customFormat="false" ht="15" hidden="false" customHeight="true" outlineLevel="0" collapsed="false">
      <c r="A3" s="4"/>
      <c r="B3" s="4"/>
      <c r="C3" s="4"/>
      <c r="D3" s="4"/>
      <c r="E3" s="4"/>
      <c r="F3" s="4"/>
      <c r="G3" s="4"/>
    </row>
    <row r="4" customFormat="false" ht="15" hidden="false" customHeight="true" outlineLevel="0" collapsed="false">
      <c r="A4" s="3" t="s">
        <v>71</v>
      </c>
      <c r="B4" s="3" t="n">
        <v>2026</v>
      </c>
      <c r="C4" s="3" t="n">
        <v>2027</v>
      </c>
      <c r="D4" s="3" t="n">
        <v>2028</v>
      </c>
      <c r="E4" s="3" t="n">
        <v>2029</v>
      </c>
      <c r="F4" s="3" t="n">
        <v>2030</v>
      </c>
      <c r="G4" s="3" t="n">
        <v>2031</v>
      </c>
    </row>
    <row r="5" customFormat="false" ht="15" hidden="false" customHeight="true" outlineLevel="0" collapsed="false">
      <c r="A5" s="4" t="s">
        <v>72</v>
      </c>
      <c r="B5" s="20"/>
      <c r="C5" s="10" t="n">
        <f aca="false">Scenarios!C17+Scenarios!$E$7</f>
        <v>0.04</v>
      </c>
      <c r="D5" s="10" t="n">
        <f aca="false">Scenarios!D17+Scenarios!$E$7</f>
        <v>0.04</v>
      </c>
      <c r="E5" s="10" t="n">
        <f aca="false">Scenarios!E17+Scenarios!$E$7</f>
        <v>0.035</v>
      </c>
      <c r="F5" s="10" t="n">
        <f aca="false">Scenarios!F17+Scenarios!$E$7</f>
        <v>0.03</v>
      </c>
      <c r="G5" s="10" t="n">
        <f aca="false">Scenarios!G17+Scenarios!$E$7</f>
        <v>0.03</v>
      </c>
    </row>
    <row r="6" customFormat="false" ht="15" hidden="false" customHeight="true" outlineLevel="0" collapsed="false">
      <c r="A6" s="4" t="s">
        <v>73</v>
      </c>
      <c r="B6" s="20"/>
      <c r="C6" s="10" t="n">
        <f aca="false">Scenarios!C18+Scenarios!$E$8</f>
        <v>0.02</v>
      </c>
      <c r="D6" s="10" t="n">
        <f aca="false">Scenarios!D18+Scenarios!$E$8</f>
        <v>0.02</v>
      </c>
      <c r="E6" s="10" t="n">
        <f aca="false">Scenarios!E18+Scenarios!$E$8</f>
        <v>0.02</v>
      </c>
      <c r="F6" s="10" t="n">
        <f aca="false">Scenarios!F18+Scenarios!$E$8</f>
        <v>0.02</v>
      </c>
      <c r="G6" s="10" t="n">
        <f aca="false">Scenarios!G18+Scenarios!$E$8</f>
        <v>0.02</v>
      </c>
    </row>
    <row r="7" customFormat="false" ht="15" hidden="false" customHeight="true" outlineLevel="0" collapsed="false">
      <c r="A7" s="4" t="s">
        <v>74</v>
      </c>
      <c r="B7" s="20"/>
      <c r="C7" s="10" t="n">
        <f aca="false">Scenarios!C19+Scenarios!$E$7</f>
        <v>0.06</v>
      </c>
      <c r="D7" s="10" t="n">
        <f aca="false">Scenarios!D19+Scenarios!$E$7</f>
        <v>0.055</v>
      </c>
      <c r="E7" s="10" t="n">
        <f aca="false">Scenarios!E19+Scenarios!$E$7</f>
        <v>0.05</v>
      </c>
      <c r="F7" s="10" t="n">
        <f aca="false">Scenarios!F19+Scenarios!$E$7</f>
        <v>0.045</v>
      </c>
      <c r="G7" s="10" t="n">
        <f aca="false">Scenarios!G19+Scenarios!$E$7</f>
        <v>0.04</v>
      </c>
    </row>
    <row r="8" customFormat="false" ht="15" hidden="false" customHeight="true" outlineLevel="0" collapsed="false">
      <c r="A8" s="4" t="s">
        <v>75</v>
      </c>
      <c r="B8" s="20"/>
      <c r="C8" s="10" t="n">
        <f aca="false">Scenarios!C20+Scenarios!$E$8</f>
        <v>0.025</v>
      </c>
      <c r="D8" s="10" t="n">
        <f aca="false">Scenarios!D20+Scenarios!$E$8</f>
        <v>0.025</v>
      </c>
      <c r="E8" s="10" t="n">
        <f aca="false">Scenarios!E20+Scenarios!$E$8</f>
        <v>0.025</v>
      </c>
      <c r="F8" s="10" t="n">
        <f aca="false">Scenarios!F20+Scenarios!$E$8</f>
        <v>0.02</v>
      </c>
      <c r="G8" s="10" t="n">
        <f aca="false">Scenarios!G20+Scenarios!$E$8</f>
        <v>0.02</v>
      </c>
    </row>
    <row r="9" customFormat="false" ht="15" hidden="false" customHeight="true" outlineLevel="0" collapsed="false">
      <c r="A9" s="4" t="s">
        <v>76</v>
      </c>
      <c r="B9" s="20"/>
      <c r="C9" s="10" t="n">
        <f aca="false">Scenarios!C21+Scenarios!$E$7</f>
        <v>0.03</v>
      </c>
      <c r="D9" s="10" t="n">
        <f aca="false">Scenarios!D21+Scenarios!$E$7</f>
        <v>0.03</v>
      </c>
      <c r="E9" s="10" t="n">
        <f aca="false">Scenarios!E21+Scenarios!$E$7</f>
        <v>0.03</v>
      </c>
      <c r="F9" s="10" t="n">
        <f aca="false">Scenarios!F21+Scenarios!$E$7</f>
        <v>0.03</v>
      </c>
      <c r="G9" s="10" t="n">
        <f aca="false">Scenarios!G21+Scenarios!$E$7</f>
        <v>0.03</v>
      </c>
    </row>
    <row r="10" customFormat="false" ht="15" hidden="false" customHeight="true" outlineLevel="0" collapsed="false">
      <c r="A10" s="4" t="s">
        <v>77</v>
      </c>
      <c r="B10" s="20"/>
      <c r="C10" s="10" t="n">
        <f aca="false">Scenarios!C22+Scenarios!$E$8</f>
        <v>0.02</v>
      </c>
      <c r="D10" s="10" t="n">
        <f aca="false">Scenarios!D22+Scenarios!$E$8</f>
        <v>0.02</v>
      </c>
      <c r="E10" s="10" t="n">
        <f aca="false">Scenarios!E22+Scenarios!$E$8</f>
        <v>0.02</v>
      </c>
      <c r="F10" s="10" t="n">
        <f aca="false">Scenarios!F22+Scenarios!$E$8</f>
        <v>0.02</v>
      </c>
      <c r="G10" s="10" t="n">
        <f aca="false">Scenarios!G22+Scenarios!$E$8</f>
        <v>0.02</v>
      </c>
    </row>
    <row r="11" customFormat="false" ht="15" hidden="false" customHeight="true" outlineLevel="0" collapsed="false">
      <c r="A11" s="4" t="s">
        <v>78</v>
      </c>
      <c r="B11" s="10" t="n">
        <f aca="false">Scenarios!B23</f>
        <v>0.6</v>
      </c>
      <c r="C11" s="10" t="n">
        <f aca="false">Scenarios!C23+Scenarios!$E$9</f>
        <v>0.595</v>
      </c>
      <c r="D11" s="10" t="n">
        <f aca="false">Scenarios!D23+Scenarios!$E$9</f>
        <v>0.59</v>
      </c>
      <c r="E11" s="10" t="n">
        <f aca="false">Scenarios!E23+Scenarios!$E$9</f>
        <v>0.585</v>
      </c>
      <c r="F11" s="10" t="n">
        <f aca="false">Scenarios!F23+Scenarios!$E$9</f>
        <v>0.58</v>
      </c>
      <c r="G11" s="10" t="n">
        <f aca="false">Scenarios!G23+Scenarios!$E$9</f>
        <v>0.58</v>
      </c>
    </row>
    <row r="12" customFormat="false" ht="15" hidden="false" customHeight="true" outlineLevel="0" collapsed="false">
      <c r="A12" s="4" t="s">
        <v>79</v>
      </c>
      <c r="B12" s="10" t="n">
        <f aca="false">Scenarios!B24</f>
        <v>0.64</v>
      </c>
      <c r="C12" s="10" t="n">
        <f aca="false">Scenarios!C24+Scenarios!$E$9</f>
        <v>0.635</v>
      </c>
      <c r="D12" s="10" t="n">
        <f aca="false">Scenarios!D24+Scenarios!$E$9</f>
        <v>0.63</v>
      </c>
      <c r="E12" s="10" t="n">
        <f aca="false">Scenarios!E24+Scenarios!$E$9</f>
        <v>0.625</v>
      </c>
      <c r="F12" s="10" t="n">
        <f aca="false">Scenarios!F24+Scenarios!$E$9</f>
        <v>0.62</v>
      </c>
      <c r="G12" s="10" t="n">
        <f aca="false">Scenarios!G24+Scenarios!$E$9</f>
        <v>0.62</v>
      </c>
    </row>
    <row r="13" customFormat="false" ht="15" hidden="false" customHeight="true" outlineLevel="0" collapsed="false">
      <c r="A13" s="4" t="s">
        <v>80</v>
      </c>
      <c r="B13" s="10" t="n">
        <f aca="false">Scenarios!B25</f>
        <v>0.45</v>
      </c>
      <c r="C13" s="10" t="n">
        <f aca="false">Scenarios!C25+Scenarios!$E$9</f>
        <v>0.445</v>
      </c>
      <c r="D13" s="10" t="n">
        <f aca="false">Scenarios!D25+Scenarios!$E$9</f>
        <v>0.44</v>
      </c>
      <c r="E13" s="10" t="n">
        <f aca="false">Scenarios!E25+Scenarios!$E$9</f>
        <v>0.435</v>
      </c>
      <c r="F13" s="10" t="n">
        <f aca="false">Scenarios!F25+Scenarios!$E$9</f>
        <v>0.43</v>
      </c>
      <c r="G13" s="10" t="n">
        <f aca="false">Scenarios!G25+Scenarios!$E$9</f>
        <v>0.43</v>
      </c>
    </row>
    <row r="14" customFormat="false" ht="15" hidden="false" customHeight="true" outlineLevel="0" collapsed="false">
      <c r="A14" s="4" t="s">
        <v>81</v>
      </c>
      <c r="B14" s="20"/>
      <c r="C14" s="10" t="n">
        <f aca="false">Scenarios!C26</f>
        <v>0.03</v>
      </c>
      <c r="D14" s="10" t="n">
        <f aca="false">Scenarios!D26</f>
        <v>0.03</v>
      </c>
      <c r="E14" s="10" t="n">
        <f aca="false">Scenarios!E26</f>
        <v>0.03</v>
      </c>
      <c r="F14" s="10" t="n">
        <f aca="false">Scenarios!F26</f>
        <v>0.03</v>
      </c>
      <c r="G14" s="10" t="n">
        <f aca="false">Scenarios!G26</f>
        <v>0.03</v>
      </c>
    </row>
    <row r="15" customFormat="false" ht="15" hidden="false" customHeight="true" outlineLevel="0" collapsed="false">
      <c r="A15" s="4" t="s">
        <v>82</v>
      </c>
      <c r="B15" s="10" t="n">
        <f aca="false">Scenarios!B27</f>
        <v>55</v>
      </c>
      <c r="C15" s="10" t="n">
        <f aca="false">Scenarios!C27+Scenarios!$E$10</f>
        <v>54</v>
      </c>
      <c r="D15" s="10" t="n">
        <f aca="false">Scenarios!D27+Scenarios!$E$10</f>
        <v>53</v>
      </c>
      <c r="E15" s="10" t="n">
        <f aca="false">Scenarios!E27+Scenarios!$E$10</f>
        <v>52</v>
      </c>
      <c r="F15" s="10" t="n">
        <f aca="false">Scenarios!F27+Scenarios!$E$10</f>
        <v>51</v>
      </c>
      <c r="G15" s="10" t="n">
        <f aca="false">Scenarios!G27+Scenarios!$E$10</f>
        <v>50</v>
      </c>
    </row>
    <row r="16" customFormat="false" ht="15" hidden="false" customHeight="true" outlineLevel="0" collapsed="false">
      <c r="A16" s="4" t="s">
        <v>83</v>
      </c>
      <c r="B16" s="10" t="n">
        <f aca="false">Scenarios!B28</f>
        <v>72</v>
      </c>
      <c r="C16" s="10" t="n">
        <f aca="false">Scenarios!C28+Scenarios!$E$11</f>
        <v>72</v>
      </c>
      <c r="D16" s="10" t="n">
        <f aca="false">Scenarios!D28+Scenarios!$E$11</f>
        <v>70</v>
      </c>
      <c r="E16" s="10" t="n">
        <f aca="false">Scenarios!E28+Scenarios!$E$11</f>
        <v>69</v>
      </c>
      <c r="F16" s="10" t="n">
        <f aca="false">Scenarios!F28+Scenarios!$E$11</f>
        <v>68</v>
      </c>
      <c r="G16" s="10" t="n">
        <f aca="false">Scenarios!G28+Scenarios!$E$11</f>
        <v>68</v>
      </c>
    </row>
    <row r="17" customFormat="false" ht="15" hidden="false" customHeight="true" outlineLevel="0" collapsed="false">
      <c r="A17" s="4" t="s">
        <v>84</v>
      </c>
      <c r="B17" s="10" t="n">
        <f aca="false">Scenarios!B29</f>
        <v>43</v>
      </c>
      <c r="C17" s="10" t="n">
        <f aca="false">Scenarios!C29</f>
        <v>44</v>
      </c>
      <c r="D17" s="10" t="n">
        <f aca="false">Scenarios!D29</f>
        <v>45</v>
      </c>
      <c r="E17" s="10" t="n">
        <f aca="false">Scenarios!E29</f>
        <v>46</v>
      </c>
      <c r="F17" s="10" t="n">
        <f aca="false">Scenarios!F29</f>
        <v>47</v>
      </c>
      <c r="G17" s="10" t="n">
        <f aca="false">Scenarios!G29</f>
        <v>47</v>
      </c>
    </row>
    <row r="18" customFormat="false" ht="15" hidden="false" customHeight="true" outlineLevel="0" collapsed="false">
      <c r="A18" s="4" t="s">
        <v>85</v>
      </c>
      <c r="B18" s="10" t="n">
        <f aca="false">Scenarios!B30</f>
        <v>0.055</v>
      </c>
      <c r="C18" s="10" t="n">
        <f aca="false">Scenarios!C30+Scenarios!$E$12</f>
        <v>0.055</v>
      </c>
      <c r="D18" s="10" t="n">
        <f aca="false">Scenarios!D30+Scenarios!$E$12</f>
        <v>0.06</v>
      </c>
      <c r="E18" s="10" t="n">
        <f aca="false">Scenarios!E30+Scenarios!$E$12</f>
        <v>0.06</v>
      </c>
      <c r="F18" s="10" t="n">
        <f aca="false">Scenarios!F30+Scenarios!$E$12</f>
        <v>0.055</v>
      </c>
      <c r="G18" s="10" t="n">
        <f aca="false">Scenarios!G30+Scenarios!$E$12</f>
        <v>0.055</v>
      </c>
    </row>
    <row r="19" customFormat="false" ht="15" hidden="false" customHeight="true" outlineLevel="0" collapsed="false">
      <c r="A19" s="4" t="s">
        <v>86</v>
      </c>
      <c r="B19" s="10" t="n">
        <f aca="false">Scenarios!B31</f>
        <v>0.08</v>
      </c>
      <c r="C19" s="10" t="n">
        <f aca="false">Scenarios!C31</f>
        <v>0.08</v>
      </c>
      <c r="D19" s="10" t="n">
        <f aca="false">Scenarios!D31</f>
        <v>0.08</v>
      </c>
      <c r="E19" s="10" t="n">
        <f aca="false">Scenarios!E31</f>
        <v>0.08</v>
      </c>
      <c r="F19" s="10" t="n">
        <f aca="false">Scenarios!F31</f>
        <v>0.08</v>
      </c>
      <c r="G19" s="10" t="n">
        <f aca="false">Scenarios!G31</f>
        <v>0.08</v>
      </c>
    </row>
    <row r="20" customFormat="false" ht="15" hidden="false" customHeight="true" outlineLevel="0" collapsed="false">
      <c r="A20" s="4" t="s">
        <v>87</v>
      </c>
      <c r="B20" s="10" t="n">
        <f aca="false">Scenarios!B32</f>
        <v>0.25</v>
      </c>
      <c r="C20" s="10" t="n">
        <f aca="false">Scenarios!C32</f>
        <v>0.25</v>
      </c>
      <c r="D20" s="10" t="n">
        <f aca="false">Scenarios!D32</f>
        <v>0.25</v>
      </c>
      <c r="E20" s="10" t="n">
        <f aca="false">Scenarios!E32</f>
        <v>0.25</v>
      </c>
      <c r="F20" s="10" t="n">
        <f aca="false">Scenarios!F32</f>
        <v>0.25</v>
      </c>
      <c r="G20" s="10" t="n">
        <f aca="false">Scenarios!G32</f>
        <v>0.25</v>
      </c>
    </row>
    <row r="21" customFormat="false" ht="15" hidden="false" customHeight="true" outlineLevel="0" collapsed="false">
      <c r="A21" s="4" t="s">
        <v>88</v>
      </c>
      <c r="B21" s="10" t="n">
        <f aca="false">Scenarios!B33</f>
        <v>0.07</v>
      </c>
      <c r="C21" s="10" t="n">
        <f aca="false">Scenarios!C33</f>
        <v>0.07</v>
      </c>
      <c r="D21" s="10" t="n">
        <f aca="false">Scenarios!D33</f>
        <v>0.07</v>
      </c>
      <c r="E21" s="10" t="n">
        <f aca="false">Scenarios!E33</f>
        <v>0.07</v>
      </c>
      <c r="F21" s="10" t="n">
        <f aca="false">Scenarios!F33</f>
        <v>0.07</v>
      </c>
      <c r="G21" s="10" t="n">
        <f aca="false">Scenarios!G33</f>
        <v>0.07</v>
      </c>
    </row>
    <row r="22" customFormat="false" ht="15" hidden="false" customHeight="true" outlineLevel="0" collapsed="false">
      <c r="A22" s="4" t="s">
        <v>89</v>
      </c>
      <c r="B22" s="10" t="n">
        <f aca="false">Scenarios!B34</f>
        <v>5000000</v>
      </c>
      <c r="C22" s="10" t="n">
        <f aca="false">Scenarios!C34</f>
        <v>5000000</v>
      </c>
      <c r="D22" s="10" t="n">
        <f aca="false">Scenarios!D34</f>
        <v>5000000</v>
      </c>
      <c r="E22" s="10" t="n">
        <f aca="false">Scenarios!E34</f>
        <v>5000000</v>
      </c>
      <c r="F22" s="10" t="n">
        <f aca="false">Scenarios!F34</f>
        <v>5000000</v>
      </c>
      <c r="G22" s="10" t="n">
        <f aca="false">Scenarios!G34</f>
        <v>5000000</v>
      </c>
    </row>
    <row r="23" customFormat="false" ht="15" hidden="false" customHeight="false" outlineLevel="0" collapsed="false">
      <c r="A23" s="4" t="s">
        <v>90</v>
      </c>
      <c r="B23" s="10" t="n">
        <f aca="false">Scenarios!B35</f>
        <v>0</v>
      </c>
      <c r="C23" s="10" t="n">
        <f aca="false">Scenarios!C35</f>
        <v>3000000</v>
      </c>
      <c r="D23" s="10" t="n">
        <f aca="false">Scenarios!D35</f>
        <v>3000000</v>
      </c>
      <c r="E23" s="10" t="n">
        <f aca="false">Scenarios!E35</f>
        <v>3000000</v>
      </c>
      <c r="F23" s="10" t="n">
        <f aca="false">Scenarios!F35</f>
        <v>3000000</v>
      </c>
      <c r="G23" s="10" t="n">
        <f aca="false">Scenarios!G35</f>
        <v>3000000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6"/>
    <col collapsed="false" customWidth="true" hidden="false" outlineLevel="0" max="5" min="5" style="0" width="40"/>
  </cols>
  <sheetData>
    <row r="1" customFormat="false" ht="15" hidden="false" customHeight="false" outlineLevel="0" collapsed="false">
      <c r="A1" s="1" t="s">
        <v>91</v>
      </c>
    </row>
    <row r="2" customFormat="false" ht="15" hidden="false" customHeight="false" outlineLevel="0" collapsed="false">
      <c r="A2" s="2" t="s">
        <v>92</v>
      </c>
    </row>
    <row r="4" customFormat="false" ht="15" hidden="false" customHeight="false" outlineLevel="0" collapsed="false">
      <c r="A4" s="3" t="s">
        <v>71</v>
      </c>
      <c r="B4" s="3" t="s">
        <v>93</v>
      </c>
      <c r="C4" s="3" t="s">
        <v>94</v>
      </c>
      <c r="D4" s="3" t="s">
        <v>95</v>
      </c>
      <c r="E4" s="3" t="s">
        <v>96</v>
      </c>
    </row>
    <row r="5" customFormat="false" ht="15" hidden="false" customHeight="false" outlineLevel="0" collapsed="false">
      <c r="A5" s="4" t="s">
        <v>97</v>
      </c>
      <c r="B5" s="8" t="n">
        <v>118200000</v>
      </c>
      <c r="C5" s="8" t="n">
        <v>124900000</v>
      </c>
      <c r="D5" s="8" t="n">
        <f aca="false">Operations!B17</f>
        <v>132000000</v>
      </c>
      <c r="E5" s="4" t="s">
        <v>98</v>
      </c>
    </row>
    <row r="6" customFormat="false" ht="15" hidden="false" customHeight="false" outlineLevel="0" collapsed="false">
      <c r="A6" s="4" t="s">
        <v>99</v>
      </c>
      <c r="B6" s="8" t="n">
        <v>71400000</v>
      </c>
      <c r="C6" s="8" t="n">
        <v>74700000</v>
      </c>
      <c r="D6" s="8" t="n">
        <f aca="false">Operations!B22</f>
        <v>78540000</v>
      </c>
      <c r="E6" s="4" t="s">
        <v>98</v>
      </c>
    </row>
    <row r="7" customFormat="false" ht="15" hidden="false" customHeight="false" outlineLevel="0" collapsed="false">
      <c r="A7" s="4" t="s">
        <v>100</v>
      </c>
      <c r="B7" s="8" t="n">
        <v>29400000</v>
      </c>
      <c r="C7" s="8" t="n">
        <v>31450000</v>
      </c>
      <c r="D7" s="8" t="n">
        <f aca="false">Operations!B25</f>
        <v>31000000</v>
      </c>
      <c r="E7" s="4" t="s">
        <v>101</v>
      </c>
    </row>
    <row r="8" customFormat="false" ht="15" hidden="false" customHeight="false" outlineLevel="0" collapsed="false">
      <c r="A8" s="4" t="s">
        <v>102</v>
      </c>
      <c r="B8" s="8" t="n">
        <f aca="false">B5-B6-B7</f>
        <v>17400000</v>
      </c>
      <c r="C8" s="8" t="n">
        <f aca="false">C5-C6-C7</f>
        <v>18750000</v>
      </c>
      <c r="D8" s="8" t="n">
        <f aca="false">D5-D6-D7</f>
        <v>22460000</v>
      </c>
      <c r="E8" s="4"/>
    </row>
    <row r="9" customFormat="false" ht="15" hidden="false" customHeight="false" outlineLevel="0" collapsed="false">
      <c r="A9" s="4" t="s">
        <v>103</v>
      </c>
      <c r="B9" s="8" t="n">
        <v>0</v>
      </c>
      <c r="C9" s="8" t="n">
        <v>1200000</v>
      </c>
      <c r="D9" s="8" t="n">
        <v>0</v>
      </c>
      <c r="E9" s="4" t="s">
        <v>104</v>
      </c>
    </row>
    <row r="10" customFormat="false" ht="15" hidden="false" customHeight="false" outlineLevel="0" collapsed="false">
      <c r="A10" s="21" t="s">
        <v>105</v>
      </c>
      <c r="B10" s="22" t="n">
        <f aca="false">B8+B9</f>
        <v>17400000</v>
      </c>
      <c r="C10" s="22" t="n">
        <f aca="false">C8+C9</f>
        <v>19950000</v>
      </c>
      <c r="D10" s="22" t="n">
        <f aca="false">D8+D9</f>
        <v>22460000</v>
      </c>
      <c r="E10" s="4" t="s">
        <v>106</v>
      </c>
    </row>
    <row r="11" customFormat="false" ht="15" hidden="false" customHeight="false" outlineLevel="0" collapsed="false">
      <c r="A11" s="4" t="s">
        <v>107</v>
      </c>
      <c r="B11" s="10" t="n">
        <f aca="false">B10/B5</f>
        <v>0.147208121827411</v>
      </c>
      <c r="C11" s="10" t="n">
        <f aca="false">C10/C5</f>
        <v>0.159727782225781</v>
      </c>
      <c r="D11" s="10" t="n">
        <f aca="false">D10/D5</f>
        <v>0.170151515151515</v>
      </c>
      <c r="E11" s="4"/>
    </row>
    <row r="12" customFormat="false" ht="15" hidden="false" customHeight="false" outlineLevel="0" collapsed="false">
      <c r="A12" s="4" t="s">
        <v>108</v>
      </c>
      <c r="C12" s="10" t="n">
        <f aca="false">C5/B5-1</f>
        <v>0.0566835871404399</v>
      </c>
      <c r="D12" s="10" t="n">
        <f aca="false">D5/C5-1</f>
        <v>0.0568454763811048</v>
      </c>
      <c r="E12" s="4"/>
    </row>
    <row r="14" customFormat="false" ht="15" hidden="false" customHeight="false" outlineLevel="0" collapsed="false">
      <c r="A14" s="3" t="s">
        <v>109</v>
      </c>
      <c r="E14" s="4"/>
    </row>
    <row r="15" customFormat="false" ht="15" hidden="false" customHeight="false" outlineLevel="0" collapsed="false">
      <c r="A15" s="4" t="s">
        <v>110</v>
      </c>
      <c r="C15" s="8" t="n">
        <v>5000000</v>
      </c>
      <c r="E15" s="4" t="s">
        <v>111</v>
      </c>
    </row>
    <row r="16" customFormat="false" ht="15" hidden="false" customHeight="false" outlineLevel="0" collapsed="false">
      <c r="A16" s="4" t="s">
        <v>112</v>
      </c>
      <c r="C16" s="8" t="n">
        <v>19150000</v>
      </c>
      <c r="E16" s="4" t="s">
        <v>113</v>
      </c>
    </row>
    <row r="17" customFormat="false" ht="15" hidden="false" customHeight="false" outlineLevel="0" collapsed="false">
      <c r="A17" s="4" t="s">
        <v>114</v>
      </c>
      <c r="C17" s="8" t="n">
        <v>15900000</v>
      </c>
      <c r="E17" s="4" t="s">
        <v>115</v>
      </c>
    </row>
    <row r="18" customFormat="false" ht="15" hidden="false" customHeight="false" outlineLevel="0" collapsed="false">
      <c r="A18" s="4" t="s">
        <v>116</v>
      </c>
      <c r="C18" s="8" t="n">
        <v>17000000</v>
      </c>
      <c r="E18" s="4" t="s">
        <v>117</v>
      </c>
    </row>
    <row r="19" customFormat="false" ht="15" hidden="false" customHeight="false" outlineLevel="0" collapsed="false">
      <c r="A19" s="4" t="s">
        <v>118</v>
      </c>
      <c r="C19" s="8" t="n">
        <v>48000000</v>
      </c>
      <c r="E19" s="4" t="s">
        <v>119</v>
      </c>
    </row>
    <row r="20" customFormat="false" ht="15" hidden="false" customHeight="false" outlineLevel="0" collapsed="false">
      <c r="A20" s="4" t="s">
        <v>120</v>
      </c>
      <c r="C20" s="8" t="n">
        <f aca="false">SUM(C15:C19)</f>
        <v>105050000</v>
      </c>
      <c r="E20" s="4"/>
    </row>
    <row r="21" customFormat="false" ht="15" hidden="false" customHeight="false" outlineLevel="0" collapsed="false">
      <c r="A21" s="4" t="s">
        <v>121</v>
      </c>
      <c r="C21" s="23" t="n">
        <v>8919425</v>
      </c>
      <c r="E21" s="4" t="s">
        <v>122</v>
      </c>
    </row>
    <row r="22" customFormat="false" ht="15" hidden="false" customHeight="false" outlineLevel="0" collapsed="false">
      <c r="A22" s="4" t="s">
        <v>123</v>
      </c>
      <c r="C22" s="8" t="n">
        <v>11000000</v>
      </c>
      <c r="E22" s="4" t="s">
        <v>117</v>
      </c>
    </row>
    <row r="23" customFormat="false" ht="15" hidden="false" customHeight="false" outlineLevel="0" collapsed="false">
      <c r="A23" s="4" t="s">
        <v>124</v>
      </c>
      <c r="C23" s="8" t="n">
        <v>35000000</v>
      </c>
      <c r="E23" s="4" t="s">
        <v>125</v>
      </c>
    </row>
    <row r="24" customFormat="false" ht="15" hidden="false" customHeight="false" outlineLevel="0" collapsed="false">
      <c r="A24" s="21" t="s">
        <v>126</v>
      </c>
      <c r="C24" s="22" t="n">
        <f aca="false">C20-C21-C22-C23</f>
        <v>50130575</v>
      </c>
      <c r="E24" s="4" t="s">
        <v>127</v>
      </c>
    </row>
    <row r="25" customFormat="false" ht="15" hidden="false" customHeight="false" outlineLevel="0" collapsed="false">
      <c r="A25" s="4" t="s">
        <v>128</v>
      </c>
      <c r="C25" s="8" t="n">
        <f aca="false">C20-C21-C22-C23-C24</f>
        <v>0</v>
      </c>
      <c r="E25" s="4"/>
    </row>
    <row r="26" customFormat="false" ht="15" hidden="false" customHeight="false" outlineLevel="0" collapsed="false">
      <c r="A26" s="4" t="s">
        <v>129</v>
      </c>
      <c r="C26" s="8" t="n">
        <f aca="false">C16+C17-C21</f>
        <v>26130575</v>
      </c>
      <c r="E26" s="4" t="s">
        <v>130</v>
      </c>
    </row>
    <row r="27" customFormat="false" ht="15" hidden="false" customHeight="false" outlineLevel="0" collapsed="false">
      <c r="A27" s="3" t="s">
        <v>131</v>
      </c>
      <c r="E27" s="4"/>
    </row>
    <row r="28" customFormat="false" ht="15" hidden="false" customHeight="false" outlineLevel="0" collapsed="false">
      <c r="A28" s="4" t="s">
        <v>132</v>
      </c>
      <c r="C28" s="8" t="n">
        <f aca="false">C19-'Fixed Assets'!B5</f>
        <v>0</v>
      </c>
      <c r="E28" s="4"/>
    </row>
    <row r="29" customFormat="false" ht="15" hidden="false" customHeight="false" outlineLevel="0" collapsed="false">
      <c r="A29" s="4" t="s">
        <v>133</v>
      </c>
      <c r="C29" s="8" t="n">
        <f aca="false">C23-Debt!B5</f>
        <v>0</v>
      </c>
      <c r="E29" s="4"/>
    </row>
    <row r="30" customFormat="false" ht="15" hidden="false" customHeight="false" outlineLevel="0" collapsed="false">
      <c r="A30" s="4" t="s">
        <v>134</v>
      </c>
      <c r="C30" s="8" t="n">
        <f aca="false">C15-Debt!B9</f>
        <v>0</v>
      </c>
      <c r="E30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8" min="2" style="0" width="14"/>
  </cols>
  <sheetData>
    <row r="1" customFormat="false" ht="15" hidden="false" customHeight="false" outlineLevel="0" collapsed="false">
      <c r="A1" s="1" t="s">
        <v>135</v>
      </c>
    </row>
    <row r="2" customFormat="false" ht="15" hidden="false" customHeight="false" outlineLevel="0" collapsed="false">
      <c r="A2" s="2" t="s">
        <v>136</v>
      </c>
    </row>
    <row r="4" customFormat="false" ht="15" hidden="false" customHeight="false" outlineLevel="0" collapsed="false">
      <c r="A4" s="4" t="s">
        <v>137</v>
      </c>
      <c r="B4" s="5" t="n">
        <v>1</v>
      </c>
      <c r="C4" s="6" t="str">
        <f aca="false">CHOOSE(B4,"Base","Downside","Upside")</f>
        <v>Base</v>
      </c>
    </row>
    <row r="6" customFormat="false" ht="15" hidden="false" customHeight="false" outlineLevel="0" collapsed="false">
      <c r="A6" s="3" t="s">
        <v>138</v>
      </c>
      <c r="B6" s="3" t="s">
        <v>139</v>
      </c>
      <c r="C6" s="3" t="s">
        <v>140</v>
      </c>
      <c r="D6" s="3" t="s">
        <v>141</v>
      </c>
      <c r="E6" s="3" t="s">
        <v>142</v>
      </c>
    </row>
    <row r="7" customFormat="false" ht="15" hidden="false" customHeight="false" outlineLevel="0" collapsed="false">
      <c r="A7" s="4" t="s">
        <v>143</v>
      </c>
      <c r="B7" s="20" t="n">
        <v>0</v>
      </c>
      <c r="C7" s="20" t="n">
        <v>-0.03</v>
      </c>
      <c r="D7" s="20" t="n">
        <v>0.02</v>
      </c>
      <c r="E7" s="10" t="n">
        <f aca="false">CHOOSE($B$4,B7,C7,D7)</f>
        <v>0</v>
      </c>
    </row>
    <row r="8" customFormat="false" ht="15" hidden="false" customHeight="false" outlineLevel="0" collapsed="false">
      <c r="A8" s="4" t="s">
        <v>144</v>
      </c>
      <c r="B8" s="20" t="n">
        <v>0</v>
      </c>
      <c r="C8" s="20" t="n">
        <v>-0.01</v>
      </c>
      <c r="D8" s="20" t="n">
        <v>0.005</v>
      </c>
      <c r="E8" s="10" t="n">
        <f aca="false">CHOOSE($B$4,B8,C8,D8)</f>
        <v>0</v>
      </c>
    </row>
    <row r="9" customFormat="false" ht="15" hidden="false" customHeight="false" outlineLevel="0" collapsed="false">
      <c r="A9" s="4" t="s">
        <v>145</v>
      </c>
      <c r="B9" s="20" t="n">
        <v>0</v>
      </c>
      <c r="C9" s="20" t="n">
        <v>0.015</v>
      </c>
      <c r="D9" s="20" t="n">
        <v>-0.01</v>
      </c>
      <c r="E9" s="10" t="n">
        <f aca="false">CHOOSE($B$4,B9,C9,D9)</f>
        <v>0</v>
      </c>
    </row>
    <row r="10" customFormat="false" ht="15" hidden="false" customHeight="false" outlineLevel="0" collapsed="false">
      <c r="A10" s="4" t="s">
        <v>146</v>
      </c>
      <c r="B10" s="24" t="n">
        <v>0</v>
      </c>
      <c r="C10" s="24" t="n">
        <v>8</v>
      </c>
      <c r="D10" s="24" t="n">
        <v>-3</v>
      </c>
      <c r="E10" s="25" t="n">
        <f aca="false">CHOOSE($B$4,B10,C10,D10)</f>
        <v>0</v>
      </c>
    </row>
    <row r="11" customFormat="false" ht="15" hidden="false" customHeight="false" outlineLevel="0" collapsed="false">
      <c r="A11" s="4" t="s">
        <v>147</v>
      </c>
      <c r="B11" s="24" t="n">
        <v>0</v>
      </c>
      <c r="C11" s="24" t="n">
        <v>10</v>
      </c>
      <c r="D11" s="24" t="n">
        <v>-5</v>
      </c>
      <c r="E11" s="25" t="n">
        <f aca="false">CHOOSE($B$4,B11,C11,D11)</f>
        <v>0</v>
      </c>
    </row>
    <row r="12" customFormat="false" ht="15" hidden="false" customHeight="false" outlineLevel="0" collapsed="false">
      <c r="A12" s="4" t="s">
        <v>148</v>
      </c>
      <c r="B12" s="20" t="n">
        <v>0</v>
      </c>
      <c r="C12" s="20" t="n">
        <v>0.005</v>
      </c>
      <c r="D12" s="20" t="n">
        <v>0</v>
      </c>
      <c r="E12" s="10" t="n">
        <f aca="false">CHOOSE($B$4,B12,C12,D12)</f>
        <v>0</v>
      </c>
    </row>
    <row r="13" customFormat="false" ht="15" hidden="false" customHeight="false" outlineLevel="0" collapsed="false">
      <c r="A13" s="4" t="s">
        <v>149</v>
      </c>
      <c r="B13" s="26" t="n">
        <v>9</v>
      </c>
      <c r="C13" s="26" t="n">
        <v>8</v>
      </c>
      <c r="D13" s="26" t="n">
        <v>10</v>
      </c>
      <c r="E13" s="27" t="n">
        <f aca="false">CHOOSE($B$4,B13,C13,D13)</f>
        <v>9</v>
      </c>
    </row>
    <row r="16" customFormat="false" ht="15" hidden="false" customHeight="false" outlineLevel="0" collapsed="false">
      <c r="A16" s="3" t="s">
        <v>150</v>
      </c>
      <c r="B16" s="3" t="n">
        <v>2026</v>
      </c>
      <c r="C16" s="3" t="n">
        <v>2027</v>
      </c>
      <c r="D16" s="3" t="n">
        <v>2028</v>
      </c>
      <c r="E16" s="3" t="n">
        <v>2029</v>
      </c>
      <c r="F16" s="3" t="n">
        <v>2030</v>
      </c>
      <c r="G16" s="3" t="n">
        <v>2031</v>
      </c>
    </row>
    <row r="17" customFormat="false" ht="15" hidden="false" customHeight="false" outlineLevel="0" collapsed="false">
      <c r="A17" s="4" t="s">
        <v>72</v>
      </c>
      <c r="C17" s="20" t="n">
        <v>0.04</v>
      </c>
      <c r="D17" s="10" t="n">
        <v>0.04</v>
      </c>
      <c r="E17" s="10" t="n">
        <v>0.035</v>
      </c>
      <c r="F17" s="10" t="n">
        <v>0.03</v>
      </c>
      <c r="G17" s="10" t="n">
        <v>0.03</v>
      </c>
    </row>
    <row r="18" customFormat="false" ht="15" hidden="false" customHeight="false" outlineLevel="0" collapsed="false">
      <c r="A18" s="4" t="s">
        <v>73</v>
      </c>
      <c r="C18" s="10" t="n">
        <v>0.02</v>
      </c>
      <c r="D18" s="10" t="n">
        <v>0.02</v>
      </c>
      <c r="E18" s="10" t="n">
        <v>0.02</v>
      </c>
      <c r="F18" s="10" t="n">
        <v>0.02</v>
      </c>
      <c r="G18" s="10" t="n">
        <v>0.02</v>
      </c>
    </row>
    <row r="19" customFormat="false" ht="15" hidden="false" customHeight="false" outlineLevel="0" collapsed="false">
      <c r="A19" s="4" t="s">
        <v>74</v>
      </c>
      <c r="C19" s="10" t="n">
        <v>0.06</v>
      </c>
      <c r="D19" s="10" t="n">
        <v>0.055</v>
      </c>
      <c r="E19" s="10" t="n">
        <v>0.05</v>
      </c>
      <c r="F19" s="10" t="n">
        <v>0.045</v>
      </c>
      <c r="G19" s="10" t="n">
        <v>0.04</v>
      </c>
    </row>
    <row r="20" customFormat="false" ht="15" hidden="false" customHeight="false" outlineLevel="0" collapsed="false">
      <c r="A20" s="4" t="s">
        <v>75</v>
      </c>
      <c r="C20" s="10" t="n">
        <v>0.025</v>
      </c>
      <c r="D20" s="10" t="n">
        <v>0.025</v>
      </c>
      <c r="E20" s="10" t="n">
        <v>0.025</v>
      </c>
      <c r="F20" s="10" t="n">
        <v>0.02</v>
      </c>
      <c r="G20" s="10" t="n">
        <v>0.02</v>
      </c>
    </row>
    <row r="21" customFormat="false" ht="15" hidden="false" customHeight="false" outlineLevel="0" collapsed="false">
      <c r="A21" s="4" t="s">
        <v>76</v>
      </c>
      <c r="C21" s="10" t="n">
        <v>0.03</v>
      </c>
      <c r="D21" s="10" t="n">
        <v>0.03</v>
      </c>
      <c r="E21" s="10" t="n">
        <v>0.03</v>
      </c>
      <c r="F21" s="10" t="n">
        <v>0.03</v>
      </c>
      <c r="G21" s="10" t="n">
        <v>0.03</v>
      </c>
    </row>
    <row r="22" customFormat="false" ht="15" hidden="false" customHeight="false" outlineLevel="0" collapsed="false">
      <c r="A22" s="4" t="s">
        <v>77</v>
      </c>
      <c r="C22" s="10" t="n">
        <v>0.02</v>
      </c>
      <c r="D22" s="10" t="n">
        <v>0.02</v>
      </c>
      <c r="E22" s="10" t="n">
        <v>0.02</v>
      </c>
      <c r="F22" s="10" t="n">
        <v>0.02</v>
      </c>
      <c r="G22" s="10" t="n">
        <v>0.02</v>
      </c>
    </row>
    <row r="23" customFormat="false" ht="15" hidden="false" customHeight="false" outlineLevel="0" collapsed="false">
      <c r="A23" s="4" t="s">
        <v>78</v>
      </c>
      <c r="B23" s="10" t="n">
        <v>0.6</v>
      </c>
      <c r="C23" s="10" t="n">
        <v>0.595</v>
      </c>
      <c r="D23" s="10" t="n">
        <v>0.59</v>
      </c>
      <c r="E23" s="10" t="n">
        <v>0.585</v>
      </c>
      <c r="F23" s="10" t="n">
        <v>0.58</v>
      </c>
      <c r="G23" s="10" t="n">
        <v>0.58</v>
      </c>
    </row>
    <row r="24" customFormat="false" ht="15" hidden="false" customHeight="false" outlineLevel="0" collapsed="false">
      <c r="A24" s="4" t="s">
        <v>79</v>
      </c>
      <c r="B24" s="10" t="n">
        <v>0.64</v>
      </c>
      <c r="C24" s="10" t="n">
        <v>0.635</v>
      </c>
      <c r="D24" s="10" t="n">
        <v>0.63</v>
      </c>
      <c r="E24" s="10" t="n">
        <v>0.625</v>
      </c>
      <c r="F24" s="10" t="n">
        <v>0.62</v>
      </c>
      <c r="G24" s="10" t="n">
        <v>0.62</v>
      </c>
    </row>
    <row r="25" customFormat="false" ht="15" hidden="false" customHeight="false" outlineLevel="0" collapsed="false">
      <c r="A25" s="4" t="s">
        <v>80</v>
      </c>
      <c r="B25" s="10" t="n">
        <v>0.45</v>
      </c>
      <c r="C25" s="10" t="n">
        <v>0.445</v>
      </c>
      <c r="D25" s="10" t="n">
        <v>0.44</v>
      </c>
      <c r="E25" s="10" t="n">
        <v>0.435</v>
      </c>
      <c r="F25" s="10" t="n">
        <v>0.43</v>
      </c>
      <c r="G25" s="10" t="n">
        <v>0.43</v>
      </c>
    </row>
    <row r="26" customFormat="false" ht="15" hidden="false" customHeight="false" outlineLevel="0" collapsed="false">
      <c r="A26" s="4" t="s">
        <v>81</v>
      </c>
      <c r="C26" s="10" t="n">
        <v>0.03</v>
      </c>
      <c r="D26" s="10" t="n">
        <v>0.03</v>
      </c>
      <c r="E26" s="10" t="n">
        <v>0.03</v>
      </c>
      <c r="F26" s="10" t="n">
        <v>0.03</v>
      </c>
      <c r="G26" s="10" t="n">
        <v>0.03</v>
      </c>
    </row>
    <row r="27" customFormat="false" ht="15" hidden="false" customHeight="false" outlineLevel="0" collapsed="false">
      <c r="A27" s="4" t="s">
        <v>82</v>
      </c>
      <c r="B27" s="10" t="n">
        <v>55</v>
      </c>
      <c r="C27" s="10" t="n">
        <v>54</v>
      </c>
      <c r="D27" s="10" t="n">
        <v>53</v>
      </c>
      <c r="E27" s="10" t="n">
        <v>52</v>
      </c>
      <c r="F27" s="10" t="n">
        <v>51</v>
      </c>
      <c r="G27" s="10" t="n">
        <v>50</v>
      </c>
    </row>
    <row r="28" customFormat="false" ht="15" hidden="false" customHeight="false" outlineLevel="0" collapsed="false">
      <c r="A28" s="4" t="s">
        <v>83</v>
      </c>
      <c r="B28" s="10" t="n">
        <v>72</v>
      </c>
      <c r="C28" s="10" t="n">
        <v>72</v>
      </c>
      <c r="D28" s="10" t="n">
        <v>70</v>
      </c>
      <c r="E28" s="10" t="n">
        <v>69</v>
      </c>
      <c r="F28" s="10" t="n">
        <v>68</v>
      </c>
      <c r="G28" s="10" t="n">
        <v>68</v>
      </c>
    </row>
    <row r="29" customFormat="false" ht="15" hidden="false" customHeight="false" outlineLevel="0" collapsed="false">
      <c r="A29" s="4" t="s">
        <v>84</v>
      </c>
      <c r="B29" s="10" t="n">
        <v>43</v>
      </c>
      <c r="C29" s="10" t="n">
        <v>44</v>
      </c>
      <c r="D29" s="10" t="n">
        <v>45</v>
      </c>
      <c r="E29" s="10" t="n">
        <v>46</v>
      </c>
      <c r="F29" s="10" t="n">
        <v>47</v>
      </c>
      <c r="G29" s="10" t="n">
        <v>47</v>
      </c>
    </row>
    <row r="30" customFormat="false" ht="15" hidden="false" customHeight="false" outlineLevel="0" collapsed="false">
      <c r="A30" s="4" t="s">
        <v>85</v>
      </c>
      <c r="B30" s="10" t="n">
        <v>0.055</v>
      </c>
      <c r="C30" s="10" t="n">
        <v>0.055</v>
      </c>
      <c r="D30" s="10" t="n">
        <v>0.06</v>
      </c>
      <c r="E30" s="10" t="n">
        <v>0.06</v>
      </c>
      <c r="F30" s="10" t="n">
        <v>0.055</v>
      </c>
      <c r="G30" s="10" t="n">
        <v>0.055</v>
      </c>
    </row>
    <row r="31" customFormat="false" ht="15" hidden="false" customHeight="false" outlineLevel="0" collapsed="false">
      <c r="A31" s="4" t="s">
        <v>86</v>
      </c>
      <c r="B31" s="10" t="n">
        <v>0.08</v>
      </c>
      <c r="C31" s="10" t="n">
        <v>0.08</v>
      </c>
      <c r="D31" s="10" t="n">
        <v>0.08</v>
      </c>
      <c r="E31" s="10" t="n">
        <v>0.08</v>
      </c>
      <c r="F31" s="10" t="n">
        <v>0.08</v>
      </c>
      <c r="G31" s="10" t="n">
        <v>0.08</v>
      </c>
    </row>
    <row r="32" customFormat="false" ht="15" hidden="false" customHeight="false" outlineLevel="0" collapsed="false">
      <c r="A32" s="4" t="s">
        <v>87</v>
      </c>
      <c r="B32" s="10" t="n">
        <v>0.25</v>
      </c>
      <c r="C32" s="10" t="n">
        <v>0.25</v>
      </c>
      <c r="D32" s="10" t="n">
        <v>0.25</v>
      </c>
      <c r="E32" s="10" t="n">
        <v>0.25</v>
      </c>
      <c r="F32" s="10" t="n">
        <v>0.25</v>
      </c>
      <c r="G32" s="10" t="n">
        <v>0.25</v>
      </c>
    </row>
    <row r="33" customFormat="false" ht="15" hidden="false" customHeight="false" outlineLevel="0" collapsed="false">
      <c r="A33" s="4" t="s">
        <v>88</v>
      </c>
      <c r="B33" s="10" t="n">
        <v>0.07</v>
      </c>
      <c r="C33" s="10" t="n">
        <v>0.07</v>
      </c>
      <c r="D33" s="10" t="n">
        <v>0.07</v>
      </c>
      <c r="E33" s="10" t="n">
        <v>0.07</v>
      </c>
      <c r="F33" s="10" t="n">
        <v>0.07</v>
      </c>
      <c r="G33" s="10" t="n">
        <v>0.07</v>
      </c>
    </row>
    <row r="34" customFormat="false" ht="15" hidden="false" customHeight="false" outlineLevel="0" collapsed="false">
      <c r="A34" s="4" t="s">
        <v>89</v>
      </c>
      <c r="B34" s="10" t="n">
        <v>5000000</v>
      </c>
      <c r="C34" s="10" t="n">
        <v>5000000</v>
      </c>
      <c r="D34" s="10" t="n">
        <v>5000000</v>
      </c>
      <c r="E34" s="10" t="n">
        <v>5000000</v>
      </c>
      <c r="F34" s="10" t="n">
        <v>5000000</v>
      </c>
      <c r="G34" s="10" t="n">
        <v>5000000</v>
      </c>
    </row>
    <row r="35" customFormat="false" ht="15" hidden="false" customHeight="false" outlineLevel="0" collapsed="false">
      <c r="A35" s="4" t="s">
        <v>90</v>
      </c>
      <c r="B35" s="10" t="n">
        <v>0</v>
      </c>
      <c r="C35" s="10" t="n">
        <v>3000000</v>
      </c>
      <c r="D35" s="10" t="n">
        <v>3000000</v>
      </c>
      <c r="E35" s="10" t="n">
        <v>3000000</v>
      </c>
      <c r="F35" s="10" t="n">
        <v>3000000</v>
      </c>
      <c r="G35" s="10" t="n">
        <v>3000000</v>
      </c>
    </row>
    <row r="36" customFormat="false" ht="15" hidden="false" customHeight="false" outlineLevel="0" collapsed="false">
      <c r="A36" s="3" t="s">
        <v>151</v>
      </c>
      <c r="B36" s="3" t="s">
        <v>139</v>
      </c>
      <c r="C36" s="3" t="s">
        <v>140</v>
      </c>
      <c r="D36" s="3" t="s">
        <v>141</v>
      </c>
      <c r="E36" s="3" t="s">
        <v>152</v>
      </c>
      <c r="F36" s="3" t="s">
        <v>153</v>
      </c>
    </row>
    <row r="37" customFormat="false" ht="15" hidden="false" customHeight="false" outlineLevel="0" collapsed="false">
      <c r="A37" s="4" t="s">
        <v>154</v>
      </c>
      <c r="B37" s="28" t="n">
        <v>178565704.480401</v>
      </c>
      <c r="C37" s="28" t="n">
        <v>146856890.577988</v>
      </c>
      <c r="D37" s="28" t="n">
        <v>201257111.248921</v>
      </c>
      <c r="E37" s="8" t="n">
        <f aca="false">Operations!G17</f>
        <v>178565704.480401</v>
      </c>
      <c r="F37" s="6" t="str">
        <f aca="false">IF(ABS(E37-INDEX(B37:D37,1,$B$4))&lt;=IF(ABS(E37)&lt;100,0.0005,MAX(1,ABS(E37)*0.000001)),"YES","REFRESH")</f>
        <v>YES</v>
      </c>
    </row>
    <row r="38" customFormat="false" ht="15" hidden="false" customHeight="false" outlineLevel="0" collapsed="false">
      <c r="A38" s="4" t="s">
        <v>60</v>
      </c>
      <c r="B38" s="28" t="n">
        <v>39599165.6200998</v>
      </c>
      <c r="C38" s="28" t="n">
        <v>23975013.1217539</v>
      </c>
      <c r="D38" s="28" t="n">
        <v>51217411.4183172</v>
      </c>
      <c r="E38" s="8" t="n">
        <f aca="false">Operations!G26</f>
        <v>39599165.6200998</v>
      </c>
      <c r="F38" s="6" t="str">
        <f aca="false">IF(ABS(E38-INDEX(B38:D38,1,$B$4))&lt;=IF(ABS(E38)&lt;100,0.0005,MAX(1,ABS(E38)*0.000001)),"YES","REFRESH")</f>
        <v>YES</v>
      </c>
    </row>
    <row r="39" customFormat="false" ht="15" hidden="false" customHeight="false" outlineLevel="0" collapsed="false">
      <c r="A39" s="4" t="s">
        <v>155</v>
      </c>
      <c r="B39" s="28" t="n">
        <v>80183203.2204571</v>
      </c>
      <c r="C39" s="28" t="n">
        <v>44875460.2175622</v>
      </c>
      <c r="D39" s="28" t="n">
        <v>102376356.031584</v>
      </c>
      <c r="E39" s="8" t="n">
        <f aca="false">SUM(DCF!C11:G11)</f>
        <v>80183203.2204571</v>
      </c>
      <c r="F39" s="6" t="str">
        <f aca="false">IF(ABS(E39-INDEX(B39:D39,1,$B$4))&lt;=IF(ABS(E39)&lt;100,0.0005,MAX(1,ABS(E39)*0.000001)),"YES","REFRESH")</f>
        <v>YES</v>
      </c>
    </row>
    <row r="40" customFormat="false" ht="15" hidden="false" customHeight="false" outlineLevel="0" collapsed="false">
      <c r="A40" s="4" t="s">
        <v>156</v>
      </c>
      <c r="B40" s="28" t="n">
        <v>3260527.62398199</v>
      </c>
      <c r="C40" s="28" t="n">
        <v>15727324.3062094</v>
      </c>
      <c r="D40" s="28" t="n">
        <v>0</v>
      </c>
      <c r="E40" s="8" t="n">
        <f aca="false">Debt!D15+Debt!D16</f>
        <v>3260527.62398199</v>
      </c>
      <c r="F40" s="6" t="str">
        <f aca="false">IF(ABS(E40-INDEX(B40:D40,1,$B$4))&lt;=IF(ABS(E40)&lt;100,0.0005,MAX(1,ABS(E40)*0.000001)),"YES","REFRESH")</f>
        <v>YES</v>
      </c>
    </row>
    <row r="41" customFormat="false" ht="15" hidden="false" customHeight="false" outlineLevel="0" collapsed="false">
      <c r="A41" s="4" t="s">
        <v>157</v>
      </c>
      <c r="B41" s="28" t="n">
        <v>9128201.02917808</v>
      </c>
      <c r="C41" s="28" t="n">
        <v>1222699.04760274</v>
      </c>
      <c r="D41" s="28" t="n">
        <v>12864149.3275342</v>
      </c>
      <c r="E41" s="8" t="n">
        <f aca="false">MIN('LBO Debt'!C11:G11)</f>
        <v>9128201.02917808</v>
      </c>
      <c r="F41" s="6" t="str">
        <f aca="false">IF(ABS(E41-INDEX(B41:D41,1,$B$4))&lt;=IF(ABS(E41)&lt;100,0.0005,MAX(1,ABS(E41)*0.000001)),"YES","REFRESH")</f>
        <v>YES</v>
      </c>
    </row>
    <row r="42" customFormat="false" ht="15" hidden="false" customHeight="false" outlineLevel="0" collapsed="false">
      <c r="A42" s="4" t="s">
        <v>158</v>
      </c>
      <c r="B42" s="28" t="n">
        <v>0</v>
      </c>
      <c r="C42" s="28" t="n">
        <v>3777300.95239726</v>
      </c>
      <c r="D42" s="28" t="n">
        <v>0</v>
      </c>
      <c r="E42" s="8" t="n">
        <f aca="false">MAX('LBO Debt'!C20:G20)</f>
        <v>0</v>
      </c>
      <c r="F42" s="6" t="str">
        <f aca="false">IF(ABS(E42-INDEX(B42:D42,1,$B$4))&lt;=IF(ABS(E42)&lt;100,0.0005,MAX(1,ABS(E42)*0.000001)),"YES","REFRESH")</f>
        <v>YES</v>
      </c>
    </row>
    <row r="43" customFormat="false" ht="15" hidden="false" customHeight="false" outlineLevel="0" collapsed="false">
      <c r="A43" s="4" t="s">
        <v>159</v>
      </c>
      <c r="B43" s="28" t="n">
        <v>230620021.399341</v>
      </c>
      <c r="C43" s="28" t="n">
        <v>122448936.964932</v>
      </c>
      <c r="D43" s="28" t="n">
        <v>304878011.004324</v>
      </c>
      <c r="E43" s="8" t="n">
        <f aca="false">DCF!B20</f>
        <v>230620021.399341</v>
      </c>
      <c r="F43" s="6" t="str">
        <f aca="false">IF(ABS(E43-INDEX(B43:D43,1,$B$4))&lt;=IF(ABS(E43)&lt;100,0.0005,MAX(1,ABS(E43)*0.000001)),"YES","REFRESH")</f>
        <v>YES</v>
      </c>
    </row>
    <row r="44" customFormat="false" ht="15" hidden="false" customHeight="false" outlineLevel="0" collapsed="false">
      <c r="A44" s="4" t="s">
        <v>160</v>
      </c>
      <c r="B44" s="28" t="n">
        <v>209400121.056875</v>
      </c>
      <c r="C44" s="28" t="n">
        <v>101229036.622467</v>
      </c>
      <c r="D44" s="28" t="n">
        <v>283658110.661858</v>
      </c>
      <c r="E44" s="8" t="n">
        <f aca="false">DCF!B22</f>
        <v>209400121.056875</v>
      </c>
      <c r="F44" s="6" t="str">
        <f aca="false">IF(ABS(E44-INDEX(B44:D44,1,$B$4))&lt;=IF(ABS(E44)&lt;100,0.0005,MAX(1,ABS(E44)*0.000001)),"YES","REFRESH")</f>
        <v>YES</v>
      </c>
    </row>
    <row r="45" customFormat="false" ht="15" hidden="false" customHeight="false" outlineLevel="0" collapsed="false">
      <c r="A45" s="4" t="s">
        <v>161</v>
      </c>
      <c r="B45" s="28" t="n">
        <v>313216772.11455</v>
      </c>
      <c r="C45" s="28" t="n">
        <v>108992546.987765</v>
      </c>
      <c r="D45" s="28" t="n">
        <v>493591170.978108</v>
      </c>
      <c r="E45" s="8" t="n">
        <f aca="false">LBO!B18</f>
        <v>313216772.11455</v>
      </c>
      <c r="F45" s="6" t="str">
        <f aca="false">IF(ABS(E45-INDEX(B45:D45,1,$B$4))&lt;=IF(ABS(E45)&lt;100,0.0005,MAX(1,ABS(E45)*0.000001)),"YES","REFRESH")</f>
        <v>YES</v>
      </c>
    </row>
    <row r="46" customFormat="false" ht="15" hidden="false" customHeight="false" outlineLevel="0" collapsed="false">
      <c r="A46" s="4" t="s">
        <v>64</v>
      </c>
      <c r="B46" s="29" t="n">
        <v>2.35462383751973</v>
      </c>
      <c r="C46" s="29" t="n">
        <v>0.819357301707726</v>
      </c>
      <c r="D46" s="29" t="n">
        <v>3.7105980287329</v>
      </c>
      <c r="E46" s="9" t="n">
        <f aca="false">LBO!B19</f>
        <v>2.35462383751973</v>
      </c>
      <c r="F46" s="6" t="str">
        <f aca="false">IF(ABS(E46-INDEX(B46:D46,1,$B$4))&lt;=IF(ABS(E46)&lt;100,0.0005,MAX(1,ABS(E46)*0.000001)),"YES","REFRESH")</f>
        <v>YES</v>
      </c>
    </row>
    <row r="47" customFormat="false" ht="15" hidden="false" customHeight="false" outlineLevel="0" collapsed="false">
      <c r="A47" s="4" t="s">
        <v>65</v>
      </c>
      <c r="B47" s="30" t="n">
        <v>0.186818499566411</v>
      </c>
      <c r="C47" s="30" t="n">
        <v>-0.0390635535151663</v>
      </c>
      <c r="D47" s="30" t="n">
        <v>0.299836661367441</v>
      </c>
      <c r="E47" s="10" t="n">
        <f aca="false">LBO!B20</f>
        <v>0.186818499566411</v>
      </c>
      <c r="F47" s="6" t="str">
        <f aca="false">IF(ABS(E47-INDEX(B47:D47,1,$B$4))&lt;=IF(ABS(E47)&lt;100,0.0005,MAX(1,ABS(E47)*0.000001)),"YES","REFRESH")</f>
        <v>YES</v>
      </c>
    </row>
    <row r="49" customFormat="false" ht="15" hidden="false" customHeight="false" outlineLevel="0" collapsed="false">
      <c r="A49" s="2" t="s">
        <v>162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7" min="2" style="0" width="14"/>
  </cols>
  <sheetData>
    <row r="1" customFormat="false" ht="15" hidden="false" customHeight="true" outlineLevel="0" collapsed="false">
      <c r="A1" s="11" t="s">
        <v>163</v>
      </c>
      <c r="B1" s="11"/>
      <c r="C1" s="11"/>
      <c r="D1" s="11"/>
      <c r="E1" s="11"/>
      <c r="F1" s="11"/>
      <c r="G1" s="11"/>
    </row>
    <row r="2" customFormat="false" ht="15" hidden="false" customHeight="true" outlineLevel="0" collapsed="false">
      <c r="A2" s="12" t="s">
        <v>164</v>
      </c>
      <c r="B2" s="12"/>
      <c r="C2" s="12"/>
      <c r="D2" s="12"/>
      <c r="E2" s="12"/>
      <c r="F2" s="12"/>
      <c r="G2" s="12"/>
    </row>
    <row r="3" customFormat="false" ht="15" hidden="false" customHeight="true" outlineLevel="0" collapsed="false">
      <c r="A3" s="4"/>
      <c r="B3" s="4"/>
      <c r="C3" s="4"/>
      <c r="D3" s="4"/>
      <c r="E3" s="4"/>
      <c r="F3" s="4"/>
      <c r="G3" s="4"/>
    </row>
    <row r="4" customFormat="false" ht="15" hidden="false" customHeight="true" outlineLevel="0" collapsed="false">
      <c r="A4" s="3" t="s">
        <v>71</v>
      </c>
      <c r="B4" s="3" t="n">
        <v>2026</v>
      </c>
      <c r="C4" s="3" t="n">
        <v>2027</v>
      </c>
      <c r="D4" s="3" t="n">
        <v>2028</v>
      </c>
      <c r="E4" s="3" t="n">
        <v>2029</v>
      </c>
      <c r="F4" s="3" t="n">
        <v>2030</v>
      </c>
      <c r="G4" s="3" t="n">
        <v>2031</v>
      </c>
    </row>
    <row r="5" customFormat="false" ht="15" hidden="false" customHeight="true" outlineLevel="0" collapsed="false">
      <c r="A5" s="4" t="s">
        <v>165</v>
      </c>
      <c r="B5" s="6" t="n">
        <v>420000</v>
      </c>
      <c r="C5" s="6" t="n">
        <f aca="false">B5*(1+Assumptions!C5)</f>
        <v>436800</v>
      </c>
      <c r="D5" s="6" t="n">
        <f aca="false">C5*(1+Assumptions!D5)</f>
        <v>454272</v>
      </c>
      <c r="E5" s="6" t="n">
        <f aca="false">D5*(1+Assumptions!E5)</f>
        <v>470171.52</v>
      </c>
      <c r="F5" s="6" t="n">
        <f aca="false">E5*(1+Assumptions!F5)</f>
        <v>484276.6656</v>
      </c>
      <c r="G5" s="6" t="n">
        <f aca="false">F5*(1+Assumptions!G5)</f>
        <v>498804.965568</v>
      </c>
    </row>
    <row r="6" customFormat="false" ht="15" hidden="false" customHeight="true" outlineLevel="0" collapsed="false">
      <c r="A6" s="4" t="s">
        <v>166</v>
      </c>
      <c r="B6" s="8" t="n">
        <v>150</v>
      </c>
      <c r="C6" s="8" t="n">
        <f aca="false">B6*(1+Assumptions!C6)</f>
        <v>153</v>
      </c>
      <c r="D6" s="8" t="n">
        <f aca="false">C6*(1+Assumptions!D6)</f>
        <v>156.06</v>
      </c>
      <c r="E6" s="8" t="n">
        <f aca="false">D6*(1+Assumptions!E6)</f>
        <v>159.1812</v>
      </c>
      <c r="F6" s="8" t="n">
        <f aca="false">E6*(1+Assumptions!F6)</f>
        <v>162.364824</v>
      </c>
      <c r="G6" s="8" t="n">
        <f aca="false">F6*(1+Assumptions!G6)</f>
        <v>165.61212048</v>
      </c>
    </row>
    <row r="7" customFormat="false" ht="15" hidden="false" customHeight="true" outlineLevel="0" collapsed="false">
      <c r="A7" s="4" t="s">
        <v>167</v>
      </c>
      <c r="B7" s="8" t="n">
        <v>63000000</v>
      </c>
      <c r="C7" s="8" t="n">
        <f aca="false">C5*C6</f>
        <v>66830400</v>
      </c>
      <c r="D7" s="8" t="n">
        <f aca="false">D5*D6</f>
        <v>70893688.32</v>
      </c>
      <c r="E7" s="8" t="n">
        <f aca="false">E5*E6</f>
        <v>74842466.759424</v>
      </c>
      <c r="F7" s="8" t="n">
        <f aca="false">F5*F6</f>
        <v>78629495.5774509</v>
      </c>
      <c r="G7" s="8" t="n">
        <f aca="false">G5*G6</f>
        <v>82608148.0536699</v>
      </c>
    </row>
    <row r="8" customFormat="false" ht="15" hidden="false" customHeight="true" outlineLevel="0" collapsed="false">
      <c r="A8" s="4"/>
      <c r="B8" s="8"/>
      <c r="C8" s="8"/>
      <c r="D8" s="8"/>
      <c r="E8" s="8"/>
      <c r="F8" s="8"/>
      <c r="G8" s="8"/>
    </row>
    <row r="9" customFormat="false" ht="15" hidden="false" customHeight="true" outlineLevel="0" collapsed="false">
      <c r="A9" s="4" t="s">
        <v>168</v>
      </c>
      <c r="B9" s="6" t="n">
        <v>300000</v>
      </c>
      <c r="C9" s="6" t="n">
        <f aca="false">B9*(1+Assumptions!C7)</f>
        <v>318000</v>
      </c>
      <c r="D9" s="6" t="n">
        <f aca="false">C9*(1+Assumptions!D7)</f>
        <v>335490</v>
      </c>
      <c r="E9" s="6" t="n">
        <f aca="false">D9*(1+Assumptions!E7)</f>
        <v>352264.5</v>
      </c>
      <c r="F9" s="6" t="n">
        <f aca="false">E9*(1+Assumptions!F7)</f>
        <v>368116.4025</v>
      </c>
      <c r="G9" s="6" t="n">
        <f aca="false">F9*(1+Assumptions!G7)</f>
        <v>382841.0586</v>
      </c>
    </row>
    <row r="10" customFormat="false" ht="15" hidden="false" customHeight="true" outlineLevel="0" collapsed="false">
      <c r="A10" s="4" t="s">
        <v>169</v>
      </c>
      <c r="B10" s="8" t="n">
        <v>170</v>
      </c>
      <c r="C10" s="8" t="n">
        <f aca="false">B10*(1+Assumptions!C8)</f>
        <v>174.25</v>
      </c>
      <c r="D10" s="8" t="n">
        <f aca="false">C10*(1+Assumptions!D8)</f>
        <v>178.60625</v>
      </c>
      <c r="E10" s="8" t="n">
        <f aca="false">D10*(1+Assumptions!E8)</f>
        <v>183.07140625</v>
      </c>
      <c r="F10" s="8" t="n">
        <f aca="false">E10*(1+Assumptions!F8)</f>
        <v>186.732834375</v>
      </c>
      <c r="G10" s="8" t="n">
        <f aca="false">F10*(1+Assumptions!G8)</f>
        <v>190.4674910625</v>
      </c>
    </row>
    <row r="11" customFormat="false" ht="15" hidden="false" customHeight="true" outlineLevel="0" collapsed="false">
      <c r="A11" s="4" t="s">
        <v>170</v>
      </c>
      <c r="B11" s="8" t="n">
        <v>51000000</v>
      </c>
      <c r="C11" s="8" t="n">
        <f aca="false">C9*C10</f>
        <v>55411500</v>
      </c>
      <c r="D11" s="8" t="n">
        <f aca="false">D9*D10</f>
        <v>59920610.8125</v>
      </c>
      <c r="E11" s="8" t="n">
        <f aca="false">E9*E10</f>
        <v>64489557.3869531</v>
      </c>
      <c r="F11" s="8" t="n">
        <f aca="false">F9*F10</f>
        <v>68739419.2187533</v>
      </c>
      <c r="G11" s="8" t="n">
        <f aca="false">G9*G10</f>
        <v>72918775.9072535</v>
      </c>
    </row>
    <row r="12" customFormat="false" ht="15" hidden="false" customHeight="true" outlineLevel="0" collapsed="false">
      <c r="A12" s="4"/>
      <c r="B12" s="8"/>
      <c r="C12" s="8"/>
      <c r="D12" s="8"/>
      <c r="E12" s="8"/>
      <c r="F12" s="8"/>
      <c r="G12" s="8"/>
    </row>
    <row r="13" customFormat="false" ht="15" hidden="false" customHeight="true" outlineLevel="0" collapsed="false">
      <c r="A13" s="4" t="s">
        <v>171</v>
      </c>
      <c r="B13" s="6" t="n">
        <v>120000</v>
      </c>
      <c r="C13" s="6" t="n">
        <f aca="false">B13*(1+Assumptions!C9)</f>
        <v>123600</v>
      </c>
      <c r="D13" s="6" t="n">
        <f aca="false">C13*(1+Assumptions!D9)</f>
        <v>127308</v>
      </c>
      <c r="E13" s="6" t="n">
        <f aca="false">D13*(1+Assumptions!E9)</f>
        <v>131127.24</v>
      </c>
      <c r="F13" s="6" t="n">
        <f aca="false">E13*(1+Assumptions!F9)</f>
        <v>135061.0572</v>
      </c>
      <c r="G13" s="6" t="n">
        <f aca="false">F13*(1+Assumptions!G9)</f>
        <v>139112.888916</v>
      </c>
    </row>
    <row r="14" customFormat="false" ht="15" hidden="false" customHeight="true" outlineLevel="0" collapsed="false">
      <c r="A14" s="4" t="s">
        <v>172</v>
      </c>
      <c r="B14" s="8" t="n">
        <v>150</v>
      </c>
      <c r="C14" s="8" t="n">
        <f aca="false">B14*(1+Assumptions!C10)</f>
        <v>153</v>
      </c>
      <c r="D14" s="8" t="n">
        <f aca="false">C14*(1+Assumptions!D10)</f>
        <v>156.06</v>
      </c>
      <c r="E14" s="8" t="n">
        <f aca="false">D14*(1+Assumptions!E10)</f>
        <v>159.1812</v>
      </c>
      <c r="F14" s="8" t="n">
        <f aca="false">E14*(1+Assumptions!F10)</f>
        <v>162.364824</v>
      </c>
      <c r="G14" s="8" t="n">
        <f aca="false">F14*(1+Assumptions!G10)</f>
        <v>165.61212048</v>
      </c>
    </row>
    <row r="15" customFormat="false" ht="15" hidden="false" customHeight="true" outlineLevel="0" collapsed="false">
      <c r="A15" s="4" t="s">
        <v>173</v>
      </c>
      <c r="B15" s="8" t="n">
        <v>18000000</v>
      </c>
      <c r="C15" s="8" t="n">
        <f aca="false">C13*C14</f>
        <v>18910800</v>
      </c>
      <c r="D15" s="8" t="n">
        <f aca="false">D13*D14</f>
        <v>19867686.48</v>
      </c>
      <c r="E15" s="8" t="n">
        <f aca="false">E13*E14</f>
        <v>20872991.415888</v>
      </c>
      <c r="F15" s="8" t="n">
        <f aca="false">F13*F14</f>
        <v>21929164.7815319</v>
      </c>
      <c r="G15" s="8" t="n">
        <f aca="false">G13*G14</f>
        <v>23038780.5194775</v>
      </c>
    </row>
    <row r="16" customFormat="false" ht="15" hidden="false" customHeight="true" outlineLevel="0" collapsed="false">
      <c r="A16" s="4"/>
      <c r="B16" s="8"/>
      <c r="C16" s="8"/>
      <c r="D16" s="8"/>
      <c r="E16" s="8"/>
      <c r="F16" s="8"/>
      <c r="G16" s="8"/>
    </row>
    <row r="17" customFormat="false" ht="15" hidden="false" customHeight="true" outlineLevel="0" collapsed="false">
      <c r="A17" s="31" t="s">
        <v>174</v>
      </c>
      <c r="B17" s="32" t="n">
        <f aca="false">SUM(B7,B11,B15)</f>
        <v>132000000</v>
      </c>
      <c r="C17" s="32" t="n">
        <f aca="false">SUM(C7,C11,C15)</f>
        <v>141152700</v>
      </c>
      <c r="D17" s="32" t="n">
        <f aca="false">SUM(D7,D11,D15)</f>
        <v>150681985.6125</v>
      </c>
      <c r="E17" s="32" t="n">
        <f aca="false">SUM(E7,E11,E15)</f>
        <v>160205015.562265</v>
      </c>
      <c r="F17" s="32" t="n">
        <f aca="false">SUM(F7,F11,F15)</f>
        <v>169298079.577736</v>
      </c>
      <c r="G17" s="33" t="n">
        <f aca="false">SUM(G7,G11,G15)</f>
        <v>178565704.480401</v>
      </c>
    </row>
    <row r="18" customFormat="false" ht="15" hidden="false" customHeight="true" outlineLevel="0" collapsed="false">
      <c r="A18" s="4"/>
      <c r="B18" s="8"/>
      <c r="C18" s="8"/>
      <c r="D18" s="8"/>
      <c r="E18" s="8"/>
      <c r="F18" s="8"/>
      <c r="G18" s="8"/>
    </row>
    <row r="19" customFormat="false" ht="15" hidden="false" customHeight="true" outlineLevel="0" collapsed="false">
      <c r="A19" s="4" t="s">
        <v>175</v>
      </c>
      <c r="B19" s="8" t="n">
        <f aca="false">B7*Assumptions!B11</f>
        <v>37800000</v>
      </c>
      <c r="C19" s="8" t="n">
        <f aca="false">C7*Assumptions!C11</f>
        <v>39764088</v>
      </c>
      <c r="D19" s="8" t="n">
        <f aca="false">D7*Assumptions!D11</f>
        <v>41827276.1088</v>
      </c>
      <c r="E19" s="8" t="n">
        <f aca="false">E7*Assumptions!E11</f>
        <v>43782843.054263</v>
      </c>
      <c r="F19" s="8" t="n">
        <f aca="false">F7*Assumptions!F11</f>
        <v>45605107.4349215</v>
      </c>
      <c r="G19" s="8" t="n">
        <f aca="false">G7*Assumptions!G11</f>
        <v>47912725.8711285</v>
      </c>
    </row>
    <row r="20" customFormat="false" ht="15" hidden="false" customHeight="true" outlineLevel="0" collapsed="false">
      <c r="A20" s="4" t="s">
        <v>176</v>
      </c>
      <c r="B20" s="8" t="n">
        <f aca="false">B11*Assumptions!B12</f>
        <v>32640000</v>
      </c>
      <c r="C20" s="8" t="n">
        <f aca="false">C11*Assumptions!C12</f>
        <v>35186302.5</v>
      </c>
      <c r="D20" s="8" t="n">
        <f aca="false">D11*Assumptions!D12</f>
        <v>37749984.811875</v>
      </c>
      <c r="E20" s="8" t="n">
        <f aca="false">E11*Assumptions!E12</f>
        <v>40305973.3668457</v>
      </c>
      <c r="F20" s="8" t="n">
        <f aca="false">F11*Assumptions!F12</f>
        <v>42618439.9156271</v>
      </c>
      <c r="G20" s="8" t="n">
        <f aca="false">G11*Assumptions!G12</f>
        <v>45209641.0624972</v>
      </c>
    </row>
    <row r="21" customFormat="false" ht="15" hidden="false" customHeight="true" outlineLevel="0" collapsed="false">
      <c r="A21" s="4" t="s">
        <v>177</v>
      </c>
      <c r="B21" s="8" t="n">
        <f aca="false">B15*Assumptions!B13</f>
        <v>8100000</v>
      </c>
      <c r="C21" s="8" t="n">
        <f aca="false">C15*Assumptions!C13</f>
        <v>8415306</v>
      </c>
      <c r="D21" s="8" t="n">
        <f aca="false">D15*Assumptions!D13</f>
        <v>8741782.0512</v>
      </c>
      <c r="E21" s="8" t="n">
        <f aca="false">E15*Assumptions!E13</f>
        <v>9079751.26591128</v>
      </c>
      <c r="F21" s="8" t="n">
        <f aca="false">F15*Assumptions!F13</f>
        <v>9429540.85605873</v>
      </c>
      <c r="G21" s="8" t="n">
        <f aca="false">G15*Assumptions!G13</f>
        <v>9906675.6233753</v>
      </c>
    </row>
    <row r="22" customFormat="false" ht="15" hidden="false" customHeight="true" outlineLevel="0" collapsed="false">
      <c r="A22" s="4" t="s">
        <v>178</v>
      </c>
      <c r="B22" s="8" t="n">
        <f aca="false">SUM(B19:B21)</f>
        <v>78540000</v>
      </c>
      <c r="C22" s="8" t="n">
        <f aca="false">SUM(C19:C21)</f>
        <v>83365696.5</v>
      </c>
      <c r="D22" s="8" t="n">
        <f aca="false">SUM(D19:D21)</f>
        <v>88319042.971875</v>
      </c>
      <c r="E22" s="8" t="n">
        <f aca="false">SUM(E19:E21)</f>
        <v>93168567.68702</v>
      </c>
      <c r="F22" s="8" t="n">
        <f aca="false">SUM(F19:F21)</f>
        <v>97653088.2066073</v>
      </c>
      <c r="G22" s="8" t="n">
        <f aca="false">SUM(G19:G21)</f>
        <v>103029042.557001</v>
      </c>
    </row>
    <row r="23" customFormat="false" ht="15" hidden="false" customHeight="true" outlineLevel="0" collapsed="false">
      <c r="A23" s="31" t="s">
        <v>179</v>
      </c>
      <c r="B23" s="32" t="n">
        <f aca="false">B17-B22</f>
        <v>53460000</v>
      </c>
      <c r="C23" s="32" t="n">
        <f aca="false">C17-C22</f>
        <v>57787003.5</v>
      </c>
      <c r="D23" s="32" t="n">
        <f aca="false">D17-D22</f>
        <v>62362942.640625</v>
      </c>
      <c r="E23" s="32" t="n">
        <f aca="false">E17-E22</f>
        <v>67036447.8752451</v>
      </c>
      <c r="F23" s="32" t="n">
        <f aca="false">F17-F22</f>
        <v>71644991.3711288</v>
      </c>
      <c r="G23" s="33" t="n">
        <f aca="false">G17-G22</f>
        <v>75536661.9233998</v>
      </c>
    </row>
    <row r="24" customFormat="false" ht="15" hidden="false" customHeight="true" outlineLevel="0" collapsed="false">
      <c r="A24" s="4"/>
      <c r="B24" s="8"/>
      <c r="C24" s="8"/>
      <c r="D24" s="8"/>
      <c r="E24" s="8"/>
      <c r="F24" s="8"/>
      <c r="G24" s="8"/>
    </row>
    <row r="25" customFormat="false" ht="15" hidden="false" customHeight="true" outlineLevel="0" collapsed="false">
      <c r="A25" s="4" t="s">
        <v>180</v>
      </c>
      <c r="B25" s="8" t="n">
        <v>31000000</v>
      </c>
      <c r="C25" s="8" t="n">
        <f aca="false">B25*(1+Assumptions!C14)</f>
        <v>31930000</v>
      </c>
      <c r="D25" s="8" t="n">
        <f aca="false">C25*(1+Assumptions!D14)</f>
        <v>32887900</v>
      </c>
      <c r="E25" s="8" t="n">
        <f aca="false">D25*(1+Assumptions!E14)</f>
        <v>33874537</v>
      </c>
      <c r="F25" s="8" t="n">
        <f aca="false">E25*(1+Assumptions!F14)</f>
        <v>34890773.11</v>
      </c>
      <c r="G25" s="8" t="n">
        <f aca="false">F25*(1+Assumptions!G14)</f>
        <v>35937496.3033</v>
      </c>
    </row>
    <row r="26" customFormat="false" ht="15" hidden="false" customHeight="true" outlineLevel="0" collapsed="false">
      <c r="A26" s="21" t="s">
        <v>181</v>
      </c>
      <c r="B26" s="34" t="n">
        <f aca="false">B23-B25</f>
        <v>22460000</v>
      </c>
      <c r="C26" s="34" t="n">
        <f aca="false">C23-C25</f>
        <v>25857003.5</v>
      </c>
      <c r="D26" s="34" t="n">
        <f aca="false">D23-D25</f>
        <v>29475042.640625</v>
      </c>
      <c r="E26" s="34" t="n">
        <f aca="false">E23-E25</f>
        <v>33161910.8752451</v>
      </c>
      <c r="F26" s="34" t="n">
        <f aca="false">F23-F25</f>
        <v>36754218.2611288</v>
      </c>
      <c r="G26" s="22" t="n">
        <f aca="false">G23-G25</f>
        <v>39599165.6200998</v>
      </c>
    </row>
    <row r="27" customFormat="false" ht="15" hidden="false" customHeight="true" outlineLevel="0" collapsed="false">
      <c r="A27" s="35" t="s">
        <v>182</v>
      </c>
      <c r="B27" s="36" t="n">
        <f aca="false">B26/B17</f>
        <v>0.170151515151515</v>
      </c>
      <c r="C27" s="36" t="n">
        <f aca="false">C26/C17</f>
        <v>0.183184618501807</v>
      </c>
      <c r="D27" s="36" t="n">
        <f aca="false">D26/D17</f>
        <v>0.195610925359215</v>
      </c>
      <c r="E27" s="36" t="n">
        <f aca="false">E26/E17</f>
        <v>0.206996708304407</v>
      </c>
      <c r="F27" s="36" t="n">
        <f aca="false">F26/F17</f>
        <v>0.21709766792867</v>
      </c>
      <c r="G27" s="37" t="n">
        <f aca="false">G26/G17</f>
        <v>0.221762436047434</v>
      </c>
    </row>
    <row r="28" customFormat="false" ht="15" hidden="false" customHeight="true" outlineLevel="0" collapsed="false">
      <c r="A28" s="4"/>
      <c r="B28" s="8"/>
      <c r="C28" s="8"/>
      <c r="D28" s="8"/>
      <c r="E28" s="8"/>
      <c r="F28" s="8"/>
      <c r="G28" s="8"/>
    </row>
    <row r="29" customFormat="false" ht="15" hidden="false" customHeight="true" outlineLevel="0" collapsed="false">
      <c r="A29" s="4" t="s">
        <v>183</v>
      </c>
      <c r="B29" s="8" t="n">
        <f aca="false">'Fixed Assets'!B8</f>
        <v>4130400</v>
      </c>
      <c r="C29" s="8" t="n">
        <f aca="false">'Fixed Assets'!C8</f>
        <v>4400903.94</v>
      </c>
      <c r="D29" s="8" t="n">
        <f aca="false">'Fixed Assets'!D8</f>
        <v>4721004.33027</v>
      </c>
      <c r="E29" s="8" t="n">
        <f aca="false">'Fixed Assets'!E8</f>
        <v>5089452.78666784</v>
      </c>
      <c r="F29" s="8" t="n">
        <f aca="false">'Fixed Assets'!F8</f>
        <v>5439244.37615486</v>
      </c>
      <c r="G29" s="8" t="n">
        <f aca="false">'Fixed Assets'!G8</f>
        <v>5769405.15099038</v>
      </c>
    </row>
    <row r="30" customFormat="false" ht="15" hidden="false" customHeight="true" outlineLevel="0" collapsed="false">
      <c r="A30" s="4" t="s">
        <v>184</v>
      </c>
      <c r="B30" s="8" t="n">
        <f aca="false">B26-B29</f>
        <v>18329600</v>
      </c>
      <c r="C30" s="8" t="n">
        <f aca="false">C26-C29</f>
        <v>21456099.56</v>
      </c>
      <c r="D30" s="8" t="n">
        <f aca="false">D26-D29</f>
        <v>24754038.310355</v>
      </c>
      <c r="E30" s="8" t="n">
        <f aca="false">E26-E29</f>
        <v>28072458.0885773</v>
      </c>
      <c r="F30" s="8" t="n">
        <f aca="false">F26-F29</f>
        <v>31314973.884974</v>
      </c>
      <c r="G30" s="8" t="n">
        <f aca="false">G26-G29</f>
        <v>33829760.4691095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7" min="2" style="0" width="14"/>
  </cols>
  <sheetData>
    <row r="1" customFormat="false" ht="15" hidden="false" customHeight="true" outlineLevel="0" collapsed="false">
      <c r="A1" s="11" t="s">
        <v>185</v>
      </c>
      <c r="B1" s="11"/>
      <c r="C1" s="11"/>
      <c r="D1" s="11"/>
      <c r="E1" s="11"/>
      <c r="F1" s="11"/>
      <c r="G1" s="11"/>
    </row>
    <row r="2" customFormat="false" ht="15" hidden="false" customHeight="true" outlineLevel="0" collapsed="false">
      <c r="A2" s="12" t="s">
        <v>186</v>
      </c>
      <c r="B2" s="12"/>
      <c r="C2" s="12"/>
      <c r="D2" s="12"/>
      <c r="E2" s="12"/>
      <c r="F2" s="12"/>
      <c r="G2" s="12"/>
    </row>
    <row r="3" customFormat="false" ht="15" hidden="false" customHeight="true" outlineLevel="0" collapsed="false">
      <c r="A3" s="4"/>
      <c r="B3" s="4"/>
      <c r="C3" s="4"/>
      <c r="D3" s="4"/>
      <c r="E3" s="4"/>
      <c r="F3" s="4"/>
      <c r="G3" s="4"/>
    </row>
    <row r="4" customFormat="false" ht="15" hidden="false" customHeight="true" outlineLevel="0" collapsed="false">
      <c r="A4" s="3" t="s">
        <v>71</v>
      </c>
      <c r="B4" s="3" t="n">
        <v>2026</v>
      </c>
      <c r="C4" s="3" t="n">
        <v>2027</v>
      </c>
      <c r="D4" s="3" t="n">
        <v>2028</v>
      </c>
      <c r="E4" s="3" t="n">
        <v>2029</v>
      </c>
      <c r="F4" s="3" t="n">
        <v>2030</v>
      </c>
      <c r="G4" s="3" t="n">
        <v>2031</v>
      </c>
    </row>
    <row r="5" customFormat="false" ht="15" hidden="false" customHeight="true" outlineLevel="0" collapsed="false">
      <c r="A5" s="4" t="s">
        <v>82</v>
      </c>
      <c r="B5" s="25" t="n">
        <f aca="false">Assumptions!B15</f>
        <v>55</v>
      </c>
      <c r="C5" s="25" t="n">
        <f aca="false">Assumptions!C15</f>
        <v>54</v>
      </c>
      <c r="D5" s="25" t="n">
        <f aca="false">Assumptions!D15</f>
        <v>53</v>
      </c>
      <c r="E5" s="25" t="n">
        <f aca="false">Assumptions!E15</f>
        <v>52</v>
      </c>
      <c r="F5" s="25" t="n">
        <f aca="false">Assumptions!F15</f>
        <v>51</v>
      </c>
      <c r="G5" s="25" t="n">
        <f aca="false">Assumptions!G15</f>
        <v>50</v>
      </c>
    </row>
    <row r="6" customFormat="false" ht="15" hidden="false" customHeight="true" outlineLevel="0" collapsed="false">
      <c r="A6" s="4" t="s">
        <v>112</v>
      </c>
      <c r="B6" s="8" t="n">
        <f aca="false">Operations!B17*B5/365</f>
        <v>19890410.9589041</v>
      </c>
      <c r="C6" s="8" t="n">
        <f aca="false">Operations!C17*C5/365</f>
        <v>20882865.2054795</v>
      </c>
      <c r="D6" s="8" t="n">
        <f aca="false">Operations!D17*D5/365</f>
        <v>21879849.9656507</v>
      </c>
      <c r="E6" s="8" t="n">
        <f aca="false">Operations!E17*E5/365</f>
        <v>22823728.2444871</v>
      </c>
      <c r="F6" s="8" t="n">
        <f aca="false">Operations!F17*F5/365</f>
        <v>23655348.1053823</v>
      </c>
      <c r="G6" s="8" t="n">
        <f aca="false">Operations!G17*G5/365</f>
        <v>24461055.4082741</v>
      </c>
    </row>
    <row r="7" customFormat="false" ht="15" hidden="false" customHeight="true" outlineLevel="0" collapsed="false">
      <c r="A7" s="4" t="s">
        <v>83</v>
      </c>
      <c r="B7" s="25" t="n">
        <f aca="false">Assumptions!B16</f>
        <v>72</v>
      </c>
      <c r="C7" s="25" t="n">
        <f aca="false">Assumptions!C16</f>
        <v>72</v>
      </c>
      <c r="D7" s="25" t="n">
        <f aca="false">Assumptions!D16</f>
        <v>70</v>
      </c>
      <c r="E7" s="25" t="n">
        <f aca="false">Assumptions!E16</f>
        <v>69</v>
      </c>
      <c r="F7" s="25" t="n">
        <f aca="false">Assumptions!F16</f>
        <v>68</v>
      </c>
      <c r="G7" s="25" t="n">
        <f aca="false">Assumptions!G16</f>
        <v>68</v>
      </c>
    </row>
    <row r="8" customFormat="false" ht="15" hidden="false" customHeight="true" outlineLevel="0" collapsed="false">
      <c r="A8" s="4" t="s">
        <v>114</v>
      </c>
      <c r="B8" s="8" t="n">
        <f aca="false">Operations!B22*B7/365</f>
        <v>15492821.9178082</v>
      </c>
      <c r="C8" s="8" t="n">
        <f aca="false">Operations!C22*C7/365</f>
        <v>16444740.1315069</v>
      </c>
      <c r="D8" s="8" t="n">
        <f aca="false">Operations!D22*D7/365</f>
        <v>16937898.6521404</v>
      </c>
      <c r="E8" s="8" t="n">
        <f aca="false">Operations!E22*E7/365</f>
        <v>17612688.1380942</v>
      </c>
      <c r="F8" s="8" t="n">
        <f aca="false">Operations!F22*F7/365</f>
        <v>18192904.1042446</v>
      </c>
      <c r="G8" s="8" t="n">
        <f aca="false">Operations!G22*G7/365</f>
        <v>19194451.764044</v>
      </c>
    </row>
    <row r="9" customFormat="false" ht="15" hidden="false" customHeight="true" outlineLevel="0" collapsed="false">
      <c r="A9" s="4" t="s">
        <v>84</v>
      </c>
      <c r="B9" s="25" t="n">
        <f aca="false">Assumptions!B17</f>
        <v>43</v>
      </c>
      <c r="C9" s="25" t="n">
        <f aca="false">Assumptions!C17</f>
        <v>44</v>
      </c>
      <c r="D9" s="25" t="n">
        <f aca="false">Assumptions!D17</f>
        <v>45</v>
      </c>
      <c r="E9" s="25" t="n">
        <f aca="false">Assumptions!E17</f>
        <v>46</v>
      </c>
      <c r="F9" s="25" t="n">
        <f aca="false">Assumptions!F17</f>
        <v>47</v>
      </c>
      <c r="G9" s="25" t="n">
        <f aca="false">Assumptions!G17</f>
        <v>47</v>
      </c>
    </row>
    <row r="10" customFormat="false" ht="15" hidden="false" customHeight="true" outlineLevel="0" collapsed="false">
      <c r="A10" s="4" t="s">
        <v>121</v>
      </c>
      <c r="B10" s="8" t="n">
        <f aca="false">Operations!B22*B9/365</f>
        <v>9252657.53424658</v>
      </c>
      <c r="C10" s="8" t="n">
        <f aca="false">Operations!C22*C9/365</f>
        <v>10049563.4136986</v>
      </c>
      <c r="D10" s="8" t="n">
        <f aca="false">Operations!D22*D9/365</f>
        <v>10888649.1335188</v>
      </c>
      <c r="E10" s="8" t="n">
        <f aca="false">Operations!E22*E9/365</f>
        <v>11741792.0920628</v>
      </c>
      <c r="F10" s="8" t="n">
        <f aca="false">Operations!F22*F9/365</f>
        <v>12574507.248522</v>
      </c>
      <c r="G10" s="8" t="n">
        <f aca="false">Operations!G22*G9/365</f>
        <v>13266753.4251481</v>
      </c>
    </row>
    <row r="11" customFormat="false" ht="15" hidden="false" customHeight="true" outlineLevel="0" collapsed="false">
      <c r="A11" s="21" t="s">
        <v>187</v>
      </c>
      <c r="B11" s="34" t="n">
        <f aca="false">B6+B8-B10</f>
        <v>26130575.3424658</v>
      </c>
      <c r="C11" s="34" t="n">
        <f aca="false">C6+C8-C10</f>
        <v>27278041.9232877</v>
      </c>
      <c r="D11" s="34" t="n">
        <f aca="false">D6+D8-D10</f>
        <v>27929099.4842723</v>
      </c>
      <c r="E11" s="34" t="n">
        <f aca="false">E6+E8-E10</f>
        <v>28694624.2905185</v>
      </c>
      <c r="F11" s="34" t="n">
        <f aca="false">F6+F8-F10</f>
        <v>29273744.9611049</v>
      </c>
      <c r="G11" s="22" t="n">
        <f aca="false">G6+G8-G10</f>
        <v>30388753.74717</v>
      </c>
    </row>
    <row r="12" customFormat="false" ht="15" hidden="false" customHeight="true" outlineLevel="0" collapsed="false">
      <c r="A12" s="35" t="s">
        <v>188</v>
      </c>
      <c r="B12" s="38" t="n">
        <f aca="false">B11-Historical!C26</f>
        <v>0.342465754598379</v>
      </c>
      <c r="C12" s="38" t="n">
        <f aca="false">C11-B11</f>
        <v>1147466.58082192</v>
      </c>
      <c r="D12" s="38" t="n">
        <f aca="false">D11-C11</f>
        <v>651057.560984582</v>
      </c>
      <c r="E12" s="38" t="n">
        <f aca="false">E11-D11</f>
        <v>765524.806246229</v>
      </c>
      <c r="F12" s="38" t="n">
        <f aca="false">F11-E11</f>
        <v>579120.670586433</v>
      </c>
      <c r="G12" s="39" t="n">
        <f aca="false">G11-F11</f>
        <v>1115008.78606512</v>
      </c>
    </row>
    <row r="13" customFormat="false" ht="15" hidden="false" customHeight="true" outlineLevel="0" collapsed="false">
      <c r="A13" s="4" t="s">
        <v>189</v>
      </c>
      <c r="B13" s="8" t="n">
        <f aca="false">B11-B6-B8+B10</f>
        <v>0</v>
      </c>
      <c r="C13" s="8" t="n">
        <f aca="false">C11-C6-C8+C10</f>
        <v>0</v>
      </c>
      <c r="D13" s="8" t="n">
        <f aca="false">D11-D6-D8+D10</f>
        <v>0</v>
      </c>
      <c r="E13" s="8" t="n">
        <f aca="false">E11-E6-E8+E10</f>
        <v>0</v>
      </c>
      <c r="F13" s="8" t="n">
        <f aca="false">F11-F6-F8+F10</f>
        <v>0</v>
      </c>
      <c r="G13" s="8" t="n">
        <f aca="false">G11-G6-G8+G10</f>
        <v>0</v>
      </c>
    </row>
    <row r="14" customFormat="false" ht="15" hidden="false" customHeight="true" outlineLevel="0" collapsed="false">
      <c r="A14" s="4" t="s">
        <v>190</v>
      </c>
      <c r="B14" s="4" t="str">
        <f aca="false">IF(ABS(B13)&lt;1,"PASS","FAIL")</f>
        <v>PASS</v>
      </c>
      <c r="C14" s="4" t="str">
        <f aca="false">IF(ABS(C13)&lt;1,"PASS","FAIL")</f>
        <v>PASS</v>
      </c>
      <c r="D14" s="4" t="str">
        <f aca="false">IF(ABS(D13)&lt;1,"PASS","FAIL")</f>
        <v>PASS</v>
      </c>
      <c r="E14" s="4" t="str">
        <f aca="false">IF(ABS(E13)&lt;1,"PASS","FAIL")</f>
        <v>PASS</v>
      </c>
      <c r="F14" s="4" t="str">
        <f aca="false">IF(ABS(F13)&lt;1,"PASS","FAIL")</f>
        <v>PASS</v>
      </c>
      <c r="G14" s="4" t="str">
        <f aca="false">IF(ABS(G13)&lt;1,"PASS","FAIL")</f>
        <v>PASS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7" min="2" style="0" width="14"/>
  </cols>
  <sheetData>
    <row r="1" customFormat="false" ht="15" hidden="false" customHeight="true" outlineLevel="0" collapsed="false">
      <c r="A1" s="11" t="s">
        <v>191</v>
      </c>
      <c r="B1" s="11"/>
      <c r="C1" s="11"/>
      <c r="D1" s="11"/>
      <c r="E1" s="11"/>
      <c r="F1" s="11"/>
      <c r="G1" s="11"/>
    </row>
    <row r="2" customFormat="false" ht="15" hidden="false" customHeight="true" outlineLevel="0" collapsed="false">
      <c r="A2" s="12" t="s">
        <v>192</v>
      </c>
      <c r="B2" s="12"/>
      <c r="C2" s="12"/>
      <c r="D2" s="12"/>
      <c r="E2" s="12"/>
      <c r="F2" s="12"/>
      <c r="G2" s="12"/>
    </row>
    <row r="3" customFormat="false" ht="15" hidden="false" customHeight="true" outlineLevel="0" collapsed="false">
      <c r="A3" s="4"/>
      <c r="B3" s="4"/>
      <c r="C3" s="4"/>
      <c r="D3" s="4"/>
      <c r="E3" s="4"/>
      <c r="F3" s="4"/>
      <c r="G3" s="4"/>
    </row>
    <row r="4" customFormat="false" ht="15" hidden="false" customHeight="true" outlineLevel="0" collapsed="false">
      <c r="A4" s="3" t="s">
        <v>71</v>
      </c>
      <c r="B4" s="3" t="n">
        <v>2026</v>
      </c>
      <c r="C4" s="3" t="n">
        <v>2027</v>
      </c>
      <c r="D4" s="3" t="n">
        <v>2028</v>
      </c>
      <c r="E4" s="3" t="n">
        <v>2029</v>
      </c>
      <c r="F4" s="3" t="n">
        <v>2030</v>
      </c>
      <c r="G4" s="3" t="n">
        <v>2031</v>
      </c>
    </row>
    <row r="5" customFormat="false" ht="15" hidden="false" customHeight="true" outlineLevel="0" collapsed="false">
      <c r="A5" s="4" t="s">
        <v>193</v>
      </c>
      <c r="B5" s="8" t="n">
        <v>48000000</v>
      </c>
      <c r="C5" s="8" t="n">
        <f aca="false">B9</f>
        <v>51129600</v>
      </c>
      <c r="D5" s="8" t="n">
        <f aca="false">C9</f>
        <v>54492094.56</v>
      </c>
      <c r="E5" s="8" t="n">
        <f aca="false">D9</f>
        <v>58812009.36648</v>
      </c>
      <c r="F5" s="8" t="n">
        <f aca="false">E9</f>
        <v>63334857.5135481</v>
      </c>
      <c r="G5" s="8" t="n">
        <f aca="false">F9</f>
        <v>67207007.5141687</v>
      </c>
    </row>
    <row r="6" customFormat="false" ht="15" hidden="false" customHeight="true" outlineLevel="0" collapsed="false">
      <c r="A6" s="4" t="s">
        <v>194</v>
      </c>
      <c r="B6" s="8" t="n">
        <f aca="false">Operations!B17*Assumptions!B18</f>
        <v>7260000</v>
      </c>
      <c r="C6" s="8" t="n">
        <f aca="false">Operations!C17*Assumptions!C18</f>
        <v>7763398.5</v>
      </c>
      <c r="D6" s="8" t="n">
        <f aca="false">Operations!D17*Assumptions!D18</f>
        <v>9040919.13675</v>
      </c>
      <c r="E6" s="8" t="n">
        <f aca="false">Operations!E17*Assumptions!E18</f>
        <v>9612300.93373591</v>
      </c>
      <c r="F6" s="8" t="n">
        <f aca="false">Operations!F17*Assumptions!F18</f>
        <v>9311394.37677549</v>
      </c>
      <c r="G6" s="8" t="n">
        <f aca="false">Operations!G17*Assumptions!G18</f>
        <v>9821113.74642205</v>
      </c>
    </row>
    <row r="7" customFormat="false" ht="15" hidden="false" customHeight="true" outlineLevel="0" collapsed="false">
      <c r="A7" s="4" t="s">
        <v>195</v>
      </c>
      <c r="B7" s="10" t="n">
        <f aca="false">Assumptions!B19</f>
        <v>0.08</v>
      </c>
      <c r="C7" s="10" t="n">
        <f aca="false">Assumptions!C19</f>
        <v>0.08</v>
      </c>
      <c r="D7" s="10" t="n">
        <f aca="false">Assumptions!D19</f>
        <v>0.08</v>
      </c>
      <c r="E7" s="10" t="n">
        <f aca="false">Assumptions!E19</f>
        <v>0.08</v>
      </c>
      <c r="F7" s="10" t="n">
        <f aca="false">Assumptions!F19</f>
        <v>0.08</v>
      </c>
      <c r="G7" s="10" t="n">
        <f aca="false">Assumptions!G19</f>
        <v>0.08</v>
      </c>
    </row>
    <row r="8" customFormat="false" ht="15" hidden="false" customHeight="true" outlineLevel="0" collapsed="false">
      <c r="A8" s="4" t="s">
        <v>183</v>
      </c>
      <c r="B8" s="8" t="n">
        <f aca="false">B5*B7+B6*B7/2</f>
        <v>4130400</v>
      </c>
      <c r="C8" s="8" t="n">
        <f aca="false">C5*C7+C6*C7/2</f>
        <v>4400903.94</v>
      </c>
      <c r="D8" s="8" t="n">
        <f aca="false">D5*D7+D6*D7/2</f>
        <v>4721004.33027</v>
      </c>
      <c r="E8" s="8" t="n">
        <f aca="false">E5*E7+E6*E7/2</f>
        <v>5089452.78666784</v>
      </c>
      <c r="F8" s="8" t="n">
        <f aca="false">F5*F7+F6*F7/2</f>
        <v>5439244.37615486</v>
      </c>
      <c r="G8" s="8" t="n">
        <f aca="false">G5*G7+G6*G7/2</f>
        <v>5769405.15099038</v>
      </c>
    </row>
    <row r="9" customFormat="false" ht="15" hidden="false" customHeight="true" outlineLevel="0" collapsed="false">
      <c r="A9" s="21" t="s">
        <v>196</v>
      </c>
      <c r="B9" s="34" t="n">
        <f aca="false">IF('Error Switches'!$C$6=1,B5+B6,B5+B6-B8)</f>
        <v>51129600</v>
      </c>
      <c r="C9" s="34" t="n">
        <f aca="false">IF('Error Switches'!$C$6=1,C5+C6,C5+C6-C8)</f>
        <v>54492094.56</v>
      </c>
      <c r="D9" s="34" t="n">
        <f aca="false">IF('Error Switches'!$C$6=1,D5+D6,D5+D6-D8)</f>
        <v>58812009.36648</v>
      </c>
      <c r="E9" s="34" t="n">
        <f aca="false">IF('Error Switches'!$C$6=1,E5+E6,E5+E6-E8)</f>
        <v>63334857.5135481</v>
      </c>
      <c r="F9" s="34" t="n">
        <f aca="false">IF('Error Switches'!$C$6=1,F5+F6,F5+F6-F8)</f>
        <v>67207007.5141687</v>
      </c>
      <c r="G9" s="22" t="n">
        <f aca="false">IF('Error Switches'!$C$6=1,G5+G6,G5+G6-G8)</f>
        <v>71258716.1096004</v>
      </c>
    </row>
    <row r="10" customFormat="false" ht="15" hidden="false" customHeight="true" outlineLevel="0" collapsed="false">
      <c r="A10" s="35" t="s">
        <v>197</v>
      </c>
      <c r="B10" s="38" t="n">
        <f aca="false">B5+B6-B8-B9</f>
        <v>0</v>
      </c>
      <c r="C10" s="38" t="n">
        <f aca="false">C5+C6-C8-C9</f>
        <v>0</v>
      </c>
      <c r="D10" s="38" t="n">
        <f aca="false">D5+D6-D8-D9</f>
        <v>0</v>
      </c>
      <c r="E10" s="38" t="n">
        <f aca="false">E5+E6-E8-E9</f>
        <v>0</v>
      </c>
      <c r="F10" s="38" t="n">
        <f aca="false">F5+F6-F8-F9</f>
        <v>0</v>
      </c>
      <c r="G10" s="39" t="n">
        <f aca="false">G5+G6-G8-G9</f>
        <v>0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7" min="2" style="0" width="14"/>
  </cols>
  <sheetData>
    <row r="1" customFormat="false" ht="15" hidden="false" customHeight="true" outlineLevel="0" collapsed="false">
      <c r="A1" s="11" t="s">
        <v>198</v>
      </c>
      <c r="B1" s="11"/>
      <c r="C1" s="11"/>
      <c r="D1" s="11"/>
      <c r="E1" s="11"/>
      <c r="F1" s="11"/>
      <c r="G1" s="11"/>
    </row>
    <row r="2" customFormat="false" ht="15" hidden="false" customHeight="true" outlineLevel="0" collapsed="false">
      <c r="A2" s="12" t="s">
        <v>199</v>
      </c>
      <c r="B2" s="12"/>
      <c r="C2" s="12"/>
      <c r="D2" s="12"/>
      <c r="E2" s="12"/>
      <c r="F2" s="12"/>
      <c r="G2" s="12"/>
    </row>
    <row r="3" customFormat="false" ht="15" hidden="false" customHeight="true" outlineLevel="0" collapsed="false">
      <c r="A3" s="4"/>
      <c r="B3" s="4"/>
      <c r="C3" s="4"/>
      <c r="D3" s="4"/>
      <c r="E3" s="4"/>
      <c r="F3" s="4"/>
      <c r="G3" s="4"/>
    </row>
    <row r="4" customFormat="false" ht="15" hidden="false" customHeight="true" outlineLevel="0" collapsed="false">
      <c r="A4" s="3" t="s">
        <v>71</v>
      </c>
      <c r="B4" s="3" t="n">
        <v>2026</v>
      </c>
      <c r="C4" s="3" t="n">
        <v>2027</v>
      </c>
      <c r="D4" s="3" t="n">
        <v>2028</v>
      </c>
      <c r="E4" s="3" t="n">
        <v>2029</v>
      </c>
      <c r="F4" s="3" t="n">
        <v>2030</v>
      </c>
      <c r="G4" s="3" t="n">
        <v>2031</v>
      </c>
    </row>
    <row r="5" customFormat="false" ht="15" hidden="false" customHeight="true" outlineLevel="0" collapsed="false">
      <c r="A5" s="4" t="s">
        <v>200</v>
      </c>
      <c r="B5" s="8" t="n">
        <v>35000000</v>
      </c>
      <c r="C5" s="8" t="n">
        <f aca="false">B15</f>
        <v>26219900.3424658</v>
      </c>
      <c r="D5" s="8" t="n">
        <f aca="false">C15</f>
        <v>16014331.5812671</v>
      </c>
      <c r="E5" s="8" t="n">
        <f aca="false">D15</f>
        <v>3260527.62398199</v>
      </c>
      <c r="F5" s="8" t="n">
        <f aca="false">E15</f>
        <v>0</v>
      </c>
      <c r="G5" s="8" t="n">
        <f aca="false">F15</f>
        <v>0</v>
      </c>
    </row>
    <row r="6" customFormat="false" ht="15" hidden="false" customHeight="true" outlineLevel="0" collapsed="false">
      <c r="A6" s="4" t="s">
        <v>201</v>
      </c>
      <c r="B6" s="8" t="n">
        <f aca="false">0</f>
        <v>0</v>
      </c>
      <c r="C6" s="8" t="n">
        <f aca="false">MIN(Assumptions!C23,C5)</f>
        <v>3000000</v>
      </c>
      <c r="D6" s="8" t="n">
        <f aca="false">MIN(Assumptions!D23,D5)</f>
        <v>3000000</v>
      </c>
      <c r="E6" s="8" t="n">
        <f aca="false">MIN(Assumptions!E23,E5)</f>
        <v>3000000</v>
      </c>
      <c r="F6" s="8" t="n">
        <f aca="false">MIN(Assumptions!F23,F5)</f>
        <v>0</v>
      </c>
      <c r="G6" s="8" t="n">
        <f aca="false">MIN(Assumptions!G23,G5)</f>
        <v>0</v>
      </c>
    </row>
    <row r="7" customFormat="false" ht="15" hidden="false" customHeight="true" outlineLevel="0" collapsed="false">
      <c r="A7" s="4" t="s">
        <v>202</v>
      </c>
      <c r="B7" s="10" t="n">
        <f aca="false">Assumptions!B21</f>
        <v>0.07</v>
      </c>
      <c r="C7" s="10" t="n">
        <f aca="false">Assumptions!C21</f>
        <v>0.07</v>
      </c>
      <c r="D7" s="10" t="n">
        <f aca="false">Assumptions!D21</f>
        <v>0.07</v>
      </c>
      <c r="E7" s="10" t="n">
        <f aca="false">Assumptions!E21</f>
        <v>0.07</v>
      </c>
      <c r="F7" s="10" t="n">
        <f aca="false">Assumptions!F21</f>
        <v>0.07</v>
      </c>
      <c r="G7" s="10" t="n">
        <f aca="false">Assumptions!G21</f>
        <v>0.07</v>
      </c>
    </row>
    <row r="8" customFormat="false" ht="15" hidden="false" customHeight="true" outlineLevel="0" collapsed="false">
      <c r="A8" s="4" t="s">
        <v>203</v>
      </c>
      <c r="B8" s="8" t="n">
        <f aca="false">B5*B7</f>
        <v>2450000</v>
      </c>
      <c r="C8" s="8" t="n">
        <f aca="false">(C5+B16)*C7</f>
        <v>1835393.0239726</v>
      </c>
      <c r="D8" s="8" t="n">
        <f aca="false">(D5+C16)*D7</f>
        <v>1121003.2106887</v>
      </c>
      <c r="E8" s="8" t="n">
        <f aca="false">(E5+D16)*E7</f>
        <v>228236.933678739</v>
      </c>
      <c r="F8" s="8" t="n">
        <f aca="false">(F5+E16)*F7</f>
        <v>0</v>
      </c>
      <c r="G8" s="8" t="n">
        <f aca="false">(G5+F16)*G7</f>
        <v>0</v>
      </c>
    </row>
    <row r="9" customFormat="false" ht="15" hidden="false" customHeight="true" outlineLevel="0" collapsed="false">
      <c r="A9" s="4" t="s">
        <v>204</v>
      </c>
      <c r="B9" s="8" t="n">
        <v>5000000</v>
      </c>
      <c r="C9" s="8" t="n">
        <f aca="false">B17</f>
        <v>5000000</v>
      </c>
      <c r="D9" s="8" t="n">
        <f aca="false">C17</f>
        <v>5000000</v>
      </c>
      <c r="E9" s="8" t="n">
        <f aca="false">D17</f>
        <v>5000000</v>
      </c>
      <c r="F9" s="8" t="n">
        <f aca="false">E17</f>
        <v>17334265.2888776</v>
      </c>
      <c r="G9" s="8" t="n">
        <f aca="false">F17</f>
        <v>36369225.031401</v>
      </c>
    </row>
    <row r="10" customFormat="false" ht="15" hidden="false" customHeight="true" outlineLevel="0" collapsed="false">
      <c r="A10" s="4" t="s">
        <v>205</v>
      </c>
      <c r="B10" s="8" t="n">
        <f aca="false">DCF!B11</f>
        <v>10617599.6575342</v>
      </c>
      <c r="C10" s="8" t="n">
        <f aca="false">DCF!C11</f>
        <v>11582113.5291781</v>
      </c>
      <c r="D10" s="8" t="n">
        <f aca="false">DCF!D11</f>
        <v>13594556.3653017</v>
      </c>
      <c r="E10" s="8" t="n">
        <f aca="false">DCF!E11</f>
        <v>15765970.6131186</v>
      </c>
      <c r="F10" s="8" t="n">
        <f aca="false">DCF!F11</f>
        <v>19034959.7425234</v>
      </c>
      <c r="G10" s="8" t="n">
        <f aca="false">DCF!G11</f>
        <v>20205602.9703353</v>
      </c>
    </row>
    <row r="11" customFormat="false" ht="15" hidden="false" customHeight="true" outlineLevel="0" collapsed="false">
      <c r="A11" s="4" t="s">
        <v>206</v>
      </c>
      <c r="B11" s="8" t="n">
        <f aca="false">B8*(1-Assumptions!B20)</f>
        <v>1837500</v>
      </c>
      <c r="C11" s="8" t="n">
        <f aca="false">C8*(1-Assumptions!C20)</f>
        <v>1376544.76797945</v>
      </c>
      <c r="D11" s="8" t="n">
        <f aca="false">D8*(1-Assumptions!D20)</f>
        <v>840752.408016524</v>
      </c>
      <c r="E11" s="8" t="n">
        <f aca="false">E8*(1-Assumptions!E20)</f>
        <v>171177.700259055</v>
      </c>
      <c r="F11" s="8" t="n">
        <f aca="false">F8*(1-Assumptions!F20)</f>
        <v>0</v>
      </c>
      <c r="G11" s="8" t="n">
        <f aca="false">G8*(1-Assumptions!G20)</f>
        <v>0</v>
      </c>
    </row>
    <row r="12" customFormat="false" ht="15" hidden="false" customHeight="true" outlineLevel="0" collapsed="false">
      <c r="A12" s="4" t="s">
        <v>207</v>
      </c>
      <c r="B12" s="8" t="n">
        <f aca="false">B9+B10-B11</f>
        <v>13780099.6575342</v>
      </c>
      <c r="C12" s="8" t="n">
        <f aca="false">C9+C10-C11</f>
        <v>15205568.7611986</v>
      </c>
      <c r="D12" s="8" t="n">
        <f aca="false">D9+D10-D11</f>
        <v>17753803.9572851</v>
      </c>
      <c r="E12" s="8" t="n">
        <f aca="false">E9+E10-E11</f>
        <v>20594792.9128596</v>
      </c>
      <c r="F12" s="8" t="n">
        <f aca="false">F9+F10-F11</f>
        <v>36369225.031401</v>
      </c>
      <c r="G12" s="8" t="n">
        <f aca="false">G9+G10-G11</f>
        <v>56574828.0017363</v>
      </c>
    </row>
    <row r="13" customFormat="false" ht="15" hidden="false" customHeight="true" outlineLevel="0" collapsed="false">
      <c r="A13" s="4" t="s">
        <v>208</v>
      </c>
      <c r="B13" s="8" t="n">
        <f aca="false">MAX(-0,Assumptions!B22-B12+B6)</f>
        <v>-0</v>
      </c>
      <c r="C13" s="8" t="n">
        <f aca="false">MAX(-B16,Assumptions!C22-C12+C6)</f>
        <v>0</v>
      </c>
      <c r="D13" s="8" t="n">
        <f aca="false">MAX(-C16,Assumptions!D22-D12+D6)</f>
        <v>-0</v>
      </c>
      <c r="E13" s="8" t="n">
        <f aca="false">MAX(-D16,Assumptions!E22-E12+E6)</f>
        <v>-0</v>
      </c>
      <c r="F13" s="8" t="n">
        <f aca="false">MAX(-E16,Assumptions!F22-F12+F6)</f>
        <v>-0</v>
      </c>
      <c r="G13" s="8" t="n">
        <f aca="false">MAX(-F16,Assumptions!G22-G12+G6)</f>
        <v>-0</v>
      </c>
    </row>
    <row r="14" customFormat="false" ht="15" hidden="false" customHeight="true" outlineLevel="0" collapsed="false">
      <c r="A14" s="4" t="s">
        <v>209</v>
      </c>
      <c r="B14" s="8" t="n">
        <f aca="false">MIN(MAX(0,B12+B13-IF('Error Switches'!$C$8=1,0,Assumptions!B22)-B6),MAX(0,B5-B6))</f>
        <v>8780099.65753425</v>
      </c>
      <c r="C14" s="8" t="n">
        <f aca="false">MIN(MAX(0,C12+C13-IF('Error Switches'!$C$8=1,0,Assumptions!C22)-C6),MAX(0,C5-C6))</f>
        <v>7205568.76119863</v>
      </c>
      <c r="D14" s="8" t="n">
        <f aca="false">MIN(MAX(0,D12+D13-IF('Error Switches'!$C$8=1,0,Assumptions!D22)-D6),MAX(0,D5-D6))</f>
        <v>9753803.95728514</v>
      </c>
      <c r="E14" s="8" t="n">
        <f aca="false">MIN(MAX(0,E12+E13-IF('Error Switches'!$C$8=1,0,Assumptions!E22)-E6),MAX(0,E5-E6))</f>
        <v>260527.623981992</v>
      </c>
      <c r="F14" s="8" t="n">
        <f aca="false">MIN(MAX(0,F12+F13-IF('Error Switches'!$C$8=1,0,Assumptions!F22)-F6),MAX(0,F5-F6))</f>
        <v>0</v>
      </c>
      <c r="G14" s="8" t="n">
        <f aca="false">MIN(MAX(0,G12+G13-IF('Error Switches'!$C$8=1,0,Assumptions!G22)-G6),MAX(0,G5-G6))</f>
        <v>0</v>
      </c>
    </row>
    <row r="15" customFormat="false" ht="15" hidden="false" customHeight="true" outlineLevel="0" collapsed="false">
      <c r="A15" s="21" t="s">
        <v>210</v>
      </c>
      <c r="B15" s="34" t="n">
        <f aca="false">MAX(0,B5-B6-B14)</f>
        <v>26219900.3424658</v>
      </c>
      <c r="C15" s="34" t="n">
        <f aca="false">MAX(0,C5-C6-C14)</f>
        <v>16014331.5812671</v>
      </c>
      <c r="D15" s="34" t="n">
        <f aca="false">MAX(0,D5-D6-D14)</f>
        <v>3260527.62398199</v>
      </c>
      <c r="E15" s="34" t="n">
        <f aca="false">MAX(0,E5-E6-E14)</f>
        <v>0</v>
      </c>
      <c r="F15" s="34" t="n">
        <f aca="false">MAX(0,F5-F6-F14)</f>
        <v>0</v>
      </c>
      <c r="G15" s="22" t="n">
        <f aca="false">MAX(0,G5-G6-G14)</f>
        <v>0</v>
      </c>
    </row>
    <row r="16" customFormat="false" ht="15" hidden="false" customHeight="true" outlineLevel="0" collapsed="false">
      <c r="A16" s="40" t="s">
        <v>211</v>
      </c>
      <c r="B16" s="41" t="n">
        <f aca="false">B13</f>
        <v>-0</v>
      </c>
      <c r="C16" s="41" t="n">
        <f aca="false">B16+C13</f>
        <v>0</v>
      </c>
      <c r="D16" s="41" t="n">
        <f aca="false">C16+D13</f>
        <v>0</v>
      </c>
      <c r="E16" s="41" t="n">
        <f aca="false">D16+E13</f>
        <v>0</v>
      </c>
      <c r="F16" s="41" t="n">
        <f aca="false">E16+F13</f>
        <v>0</v>
      </c>
      <c r="G16" s="42" t="n">
        <f aca="false">F16+G13</f>
        <v>0</v>
      </c>
    </row>
    <row r="17" customFormat="false" ht="15" hidden="false" customHeight="true" outlineLevel="0" collapsed="false">
      <c r="A17" s="40" t="s">
        <v>212</v>
      </c>
      <c r="B17" s="41" t="n">
        <f aca="false">B12+B13-B6-B14</f>
        <v>5000000</v>
      </c>
      <c r="C17" s="41" t="n">
        <f aca="false">C12+C13-C6-C14</f>
        <v>5000000</v>
      </c>
      <c r="D17" s="41" t="n">
        <f aca="false">D12+D13-D6-D14</f>
        <v>5000000</v>
      </c>
      <c r="E17" s="41" t="n">
        <f aca="false">E12+E13-E6-E14</f>
        <v>17334265.2888776</v>
      </c>
      <c r="F17" s="41" t="n">
        <f aca="false">F12+F13-F6-F14</f>
        <v>36369225.031401</v>
      </c>
      <c r="G17" s="42" t="n">
        <f aca="false">G12+G13-G6-G14</f>
        <v>56574828.0017363</v>
      </c>
    </row>
    <row r="18" customFormat="false" ht="15" hidden="false" customHeight="true" outlineLevel="0" collapsed="false">
      <c r="A18" s="35" t="s">
        <v>213</v>
      </c>
      <c r="B18" s="38" t="n">
        <f aca="false">B15+B16-B17</f>
        <v>21219900.3424658</v>
      </c>
      <c r="C18" s="38" t="n">
        <f aca="false">C15+C16-C17</f>
        <v>11014331.5812671</v>
      </c>
      <c r="D18" s="38" t="n">
        <f aca="false">D15+D16-D17</f>
        <v>-1739472.37601801</v>
      </c>
      <c r="E18" s="38" t="n">
        <f aca="false">E15+E16-E17</f>
        <v>-17334265.2888776</v>
      </c>
      <c r="F18" s="38" t="n">
        <f aca="false">F15+F16-F17</f>
        <v>-36369225.031401</v>
      </c>
      <c r="G18" s="39" t="n">
        <f aca="false">G15+G16-G17</f>
        <v>-56574828.0017363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7" min="2" style="0" width="14"/>
  </cols>
  <sheetData>
    <row r="1" customFormat="false" ht="15" hidden="false" customHeight="true" outlineLevel="0" collapsed="false">
      <c r="A1" s="11" t="s">
        <v>214</v>
      </c>
      <c r="B1" s="11"/>
      <c r="C1" s="11"/>
      <c r="D1" s="11"/>
      <c r="E1" s="11"/>
      <c r="F1" s="11"/>
      <c r="G1" s="11"/>
    </row>
    <row r="2" customFormat="false" ht="15" hidden="false" customHeight="true" outlineLevel="0" collapsed="false">
      <c r="A2" s="12" t="s">
        <v>215</v>
      </c>
      <c r="B2" s="12"/>
      <c r="C2" s="12"/>
      <c r="D2" s="12"/>
      <c r="E2" s="12"/>
      <c r="F2" s="12"/>
      <c r="G2" s="12"/>
    </row>
    <row r="3" customFormat="false" ht="15" hidden="false" customHeight="true" outlineLevel="0" collapsed="false">
      <c r="A3" s="4"/>
      <c r="B3" s="4"/>
      <c r="C3" s="4"/>
      <c r="D3" s="4"/>
      <c r="E3" s="4"/>
      <c r="F3" s="4"/>
      <c r="G3" s="4"/>
    </row>
    <row r="4" customFormat="false" ht="15" hidden="false" customHeight="true" outlineLevel="0" collapsed="false">
      <c r="A4" s="3" t="s">
        <v>71</v>
      </c>
      <c r="B4" s="3" t="n">
        <v>2026</v>
      </c>
      <c r="C4" s="3" t="n">
        <v>2027</v>
      </c>
      <c r="D4" s="3" t="n">
        <v>2028</v>
      </c>
      <c r="E4" s="3" t="n">
        <v>2029</v>
      </c>
      <c r="F4" s="3" t="n">
        <v>2030</v>
      </c>
      <c r="G4" s="3" t="n">
        <v>2031</v>
      </c>
    </row>
    <row r="5" customFormat="false" ht="15" hidden="false" customHeight="true" outlineLevel="0" collapsed="false">
      <c r="A5" s="43" t="s">
        <v>216</v>
      </c>
      <c r="B5" s="43"/>
      <c r="C5" s="43"/>
      <c r="D5" s="43"/>
      <c r="E5" s="43"/>
      <c r="F5" s="43"/>
      <c r="G5" s="43"/>
    </row>
    <row r="6" customFormat="false" ht="15" hidden="false" customHeight="true" outlineLevel="0" collapsed="false">
      <c r="A6" s="4" t="s">
        <v>217</v>
      </c>
      <c r="B6" s="8" t="n">
        <f aca="false">Operations!B17</f>
        <v>132000000</v>
      </c>
      <c r="C6" s="8" t="n">
        <f aca="false">Operations!C17</f>
        <v>141152700</v>
      </c>
      <c r="D6" s="8" t="n">
        <f aca="false">Operations!D17</f>
        <v>150681985.6125</v>
      </c>
      <c r="E6" s="8" t="n">
        <f aca="false">Operations!E17</f>
        <v>160205015.562265</v>
      </c>
      <c r="F6" s="8" t="n">
        <f aca="false">Operations!F17</f>
        <v>169298079.577736</v>
      </c>
      <c r="G6" s="8" t="n">
        <f aca="false">Operations!G17</f>
        <v>178565704.480401</v>
      </c>
    </row>
    <row r="7" customFormat="false" ht="15" hidden="false" customHeight="true" outlineLevel="0" collapsed="false">
      <c r="A7" s="4" t="s">
        <v>218</v>
      </c>
      <c r="B7" s="8" t="n">
        <f aca="false">Operations!B22</f>
        <v>78540000</v>
      </c>
      <c r="C7" s="8" t="n">
        <f aca="false">Operations!C22</f>
        <v>83365696.5</v>
      </c>
      <c r="D7" s="8" t="n">
        <f aca="false">Operations!D22</f>
        <v>88319042.971875</v>
      </c>
      <c r="E7" s="8" t="n">
        <f aca="false">Operations!E22</f>
        <v>93168567.68702</v>
      </c>
      <c r="F7" s="8" t="n">
        <f aca="false">Operations!F22</f>
        <v>97653088.2066073</v>
      </c>
      <c r="G7" s="8" t="n">
        <f aca="false">Operations!G22</f>
        <v>103029042.557001</v>
      </c>
    </row>
    <row r="8" customFormat="false" ht="15" hidden="false" customHeight="true" outlineLevel="0" collapsed="false">
      <c r="A8" s="4" t="s">
        <v>179</v>
      </c>
      <c r="B8" s="8" t="n">
        <f aca="false">B6-B7</f>
        <v>53460000</v>
      </c>
      <c r="C8" s="8" t="n">
        <f aca="false">C6-C7</f>
        <v>57787003.5</v>
      </c>
      <c r="D8" s="8" t="n">
        <f aca="false">D6-D7</f>
        <v>62362942.640625</v>
      </c>
      <c r="E8" s="8" t="n">
        <f aca="false">E6-E7</f>
        <v>67036447.8752451</v>
      </c>
      <c r="F8" s="8" t="n">
        <f aca="false">F6-F7</f>
        <v>71644991.3711288</v>
      </c>
      <c r="G8" s="8" t="n">
        <f aca="false">G6-G7</f>
        <v>75536661.9233998</v>
      </c>
    </row>
    <row r="9" customFormat="false" ht="15" hidden="false" customHeight="true" outlineLevel="0" collapsed="false">
      <c r="A9" s="4" t="s">
        <v>180</v>
      </c>
      <c r="B9" s="8" t="n">
        <f aca="false">Operations!B25</f>
        <v>31000000</v>
      </c>
      <c r="C9" s="8" t="n">
        <f aca="false">Operations!C25</f>
        <v>31930000</v>
      </c>
      <c r="D9" s="8" t="n">
        <f aca="false">Operations!D25</f>
        <v>32887900</v>
      </c>
      <c r="E9" s="8" t="n">
        <f aca="false">Operations!E25</f>
        <v>33874537</v>
      </c>
      <c r="F9" s="8" t="n">
        <f aca="false">Operations!F25</f>
        <v>34890773.11</v>
      </c>
      <c r="G9" s="8" t="n">
        <f aca="false">Operations!G25</f>
        <v>35937496.3033</v>
      </c>
    </row>
    <row r="10" customFormat="false" ht="15" hidden="false" customHeight="true" outlineLevel="0" collapsed="false">
      <c r="A10" s="31" t="s">
        <v>181</v>
      </c>
      <c r="B10" s="32" t="n">
        <f aca="false">B8-B9</f>
        <v>22460000</v>
      </c>
      <c r="C10" s="32" t="n">
        <f aca="false">C8-C9</f>
        <v>25857003.5</v>
      </c>
      <c r="D10" s="32" t="n">
        <f aca="false">D8-D9</f>
        <v>29475042.640625</v>
      </c>
      <c r="E10" s="32" t="n">
        <f aca="false">E8-E9</f>
        <v>33161910.8752451</v>
      </c>
      <c r="F10" s="32" t="n">
        <f aca="false">F8-F9</f>
        <v>36754218.2611288</v>
      </c>
      <c r="G10" s="33" t="n">
        <f aca="false">G8-G9</f>
        <v>39599165.6200998</v>
      </c>
    </row>
    <row r="11" customFormat="false" ht="15" hidden="false" customHeight="true" outlineLevel="0" collapsed="false">
      <c r="A11" s="4" t="s">
        <v>183</v>
      </c>
      <c r="B11" s="8" t="n">
        <f aca="false">Operations!B29</f>
        <v>4130400</v>
      </c>
      <c r="C11" s="8" t="n">
        <f aca="false">Operations!C29</f>
        <v>4400903.94</v>
      </c>
      <c r="D11" s="8" t="n">
        <f aca="false">Operations!D29</f>
        <v>4721004.33027</v>
      </c>
      <c r="E11" s="8" t="n">
        <f aca="false">Operations!E29</f>
        <v>5089452.78666784</v>
      </c>
      <c r="F11" s="8" t="n">
        <f aca="false">Operations!F29</f>
        <v>5439244.37615486</v>
      </c>
      <c r="G11" s="8" t="n">
        <f aca="false">Operations!G29</f>
        <v>5769405.15099038</v>
      </c>
    </row>
    <row r="12" customFormat="false" ht="15" hidden="false" customHeight="true" outlineLevel="0" collapsed="false">
      <c r="A12" s="4" t="s">
        <v>184</v>
      </c>
      <c r="B12" s="8" t="n">
        <f aca="false">B10-B11</f>
        <v>18329600</v>
      </c>
      <c r="C12" s="8" t="n">
        <f aca="false">C10-C11</f>
        <v>21456099.56</v>
      </c>
      <c r="D12" s="8" t="n">
        <f aca="false">D10-D11</f>
        <v>24754038.310355</v>
      </c>
      <c r="E12" s="8" t="n">
        <f aca="false">E10-E11</f>
        <v>28072458.0885773</v>
      </c>
      <c r="F12" s="8" t="n">
        <f aca="false">F10-F11</f>
        <v>31314973.884974</v>
      </c>
      <c r="G12" s="8" t="n">
        <f aca="false">G10-G11</f>
        <v>33829760.4691095</v>
      </c>
    </row>
    <row r="13" customFormat="false" ht="15" hidden="false" customHeight="true" outlineLevel="0" collapsed="false">
      <c r="A13" s="4" t="s">
        <v>219</v>
      </c>
      <c r="B13" s="8" t="n">
        <f aca="false">Debt!B8</f>
        <v>2450000</v>
      </c>
      <c r="C13" s="8" t="n">
        <f aca="false">Debt!C8</f>
        <v>1835393.0239726</v>
      </c>
      <c r="D13" s="8" t="n">
        <f aca="false">Debt!D8</f>
        <v>1121003.2106887</v>
      </c>
      <c r="E13" s="8" t="n">
        <f aca="false">Debt!E8</f>
        <v>228236.933678739</v>
      </c>
      <c r="F13" s="8" t="n">
        <f aca="false">Debt!F8</f>
        <v>0</v>
      </c>
      <c r="G13" s="8" t="n">
        <f aca="false">Debt!G8</f>
        <v>0</v>
      </c>
    </row>
    <row r="14" customFormat="false" ht="15" hidden="false" customHeight="true" outlineLevel="0" collapsed="false">
      <c r="A14" s="4" t="s">
        <v>220</v>
      </c>
      <c r="B14" s="8" t="n">
        <f aca="false">MAX(0,(B12-B13)*Assumptions!B20)</f>
        <v>3969900</v>
      </c>
      <c r="C14" s="8" t="n">
        <f aca="false">MAX(0,(C12-C13)*Assumptions!C20)</f>
        <v>4905176.63400685</v>
      </c>
      <c r="D14" s="8" t="n">
        <f aca="false">MAX(0,(D12-D13)*Assumptions!D20)</f>
        <v>5908258.77491657</v>
      </c>
      <c r="E14" s="8" t="n">
        <f aca="false">MAX(0,(E12-E13)*Assumptions!E20)</f>
        <v>6961055.28872463</v>
      </c>
      <c r="F14" s="8" t="n">
        <f aca="false">MAX(0,(F12-F13)*Assumptions!F20)</f>
        <v>7828743.4712435</v>
      </c>
      <c r="G14" s="8" t="n">
        <f aca="false">MAX(0,(G12-G13)*Assumptions!G20)</f>
        <v>8457440.11727737</v>
      </c>
    </row>
    <row r="15" customFormat="false" ht="15" hidden="false" customHeight="true" outlineLevel="0" collapsed="false">
      <c r="A15" s="4" t="s">
        <v>221</v>
      </c>
      <c r="B15" s="8" t="n">
        <f aca="false">B12-B13-B14</f>
        <v>11909700</v>
      </c>
      <c r="C15" s="8" t="n">
        <f aca="false">C12-C13-C14</f>
        <v>14715529.9020205</v>
      </c>
      <c r="D15" s="8" t="n">
        <f aca="false">D12-D13-D14</f>
        <v>17724776.3247497</v>
      </c>
      <c r="E15" s="8" t="n">
        <f aca="false">E12-E13-E14</f>
        <v>20883165.8661739</v>
      </c>
      <c r="F15" s="8" t="n">
        <f aca="false">F12-F13-F14</f>
        <v>23486230.4137305</v>
      </c>
      <c r="G15" s="8" t="n">
        <f aca="false">G12-G13-G14</f>
        <v>25372320.3518321</v>
      </c>
    </row>
    <row r="16" customFormat="false" ht="15" hidden="false" customHeight="true" outlineLevel="0" collapsed="false">
      <c r="A16" s="4"/>
      <c r="B16" s="8"/>
      <c r="C16" s="8"/>
      <c r="D16" s="8"/>
      <c r="E16" s="8"/>
      <c r="F16" s="8"/>
      <c r="G16" s="8"/>
    </row>
    <row r="17" customFormat="false" ht="15" hidden="false" customHeight="true" outlineLevel="0" collapsed="false">
      <c r="A17" s="43" t="s">
        <v>222</v>
      </c>
      <c r="B17" s="43"/>
      <c r="C17" s="43"/>
      <c r="D17" s="43"/>
      <c r="E17" s="43"/>
      <c r="F17" s="43"/>
      <c r="G17" s="43"/>
    </row>
    <row r="18" customFormat="false" ht="15" hidden="false" customHeight="true" outlineLevel="0" collapsed="false">
      <c r="A18" s="4" t="s">
        <v>110</v>
      </c>
      <c r="B18" s="8" t="n">
        <f aca="false">IF('Error Switches'!$C$7=1,5000000,Debt!B17)</f>
        <v>5000000</v>
      </c>
      <c r="C18" s="8" t="n">
        <f aca="false">IF('Error Switches'!$C$7=1,5000000,Debt!C17)</f>
        <v>5000000</v>
      </c>
      <c r="D18" s="8" t="n">
        <f aca="false">IF('Error Switches'!$C$7=1,5000000,Debt!D17)</f>
        <v>5000000</v>
      </c>
      <c r="E18" s="8" t="n">
        <f aca="false">IF('Error Switches'!$C$7=1,5000000,Debt!E17)</f>
        <v>17334265.2888776</v>
      </c>
      <c r="F18" s="8" t="n">
        <f aca="false">IF('Error Switches'!$C$7=1,5000000,Debt!F17)</f>
        <v>36369225.031401</v>
      </c>
      <c r="G18" s="8" t="n">
        <f aca="false">IF('Error Switches'!$C$7=1,5000000,Debt!G17)</f>
        <v>56574828.0017363</v>
      </c>
    </row>
    <row r="19" customFormat="false" ht="15" hidden="false" customHeight="true" outlineLevel="0" collapsed="false">
      <c r="A19" s="4" t="s">
        <v>112</v>
      </c>
      <c r="B19" s="8" t="n">
        <f aca="false">'Working Capital'!B6</f>
        <v>19890410.9589041</v>
      </c>
      <c r="C19" s="8" t="n">
        <f aca="false">'Working Capital'!C6</f>
        <v>20882865.2054795</v>
      </c>
      <c r="D19" s="8" t="n">
        <f aca="false">'Working Capital'!D6</f>
        <v>21879849.9656507</v>
      </c>
      <c r="E19" s="8" t="n">
        <f aca="false">'Working Capital'!E6</f>
        <v>22823728.2444871</v>
      </c>
      <c r="F19" s="8" t="n">
        <f aca="false">'Working Capital'!F6</f>
        <v>23655348.1053823</v>
      </c>
      <c r="G19" s="8" t="n">
        <f aca="false">'Working Capital'!G6</f>
        <v>24461055.4082741</v>
      </c>
    </row>
    <row r="20" customFormat="false" ht="15" hidden="false" customHeight="true" outlineLevel="0" collapsed="false">
      <c r="A20" s="4" t="s">
        <v>114</v>
      </c>
      <c r="B20" s="8" t="n">
        <f aca="false">'Working Capital'!B8</f>
        <v>15492821.9178082</v>
      </c>
      <c r="C20" s="8" t="n">
        <f aca="false">'Working Capital'!C8</f>
        <v>16444740.1315069</v>
      </c>
      <c r="D20" s="8" t="n">
        <f aca="false">'Working Capital'!D8</f>
        <v>16937898.6521404</v>
      </c>
      <c r="E20" s="8" t="n">
        <f aca="false">'Working Capital'!E8</f>
        <v>17612688.1380942</v>
      </c>
      <c r="F20" s="8" t="n">
        <f aca="false">'Working Capital'!F8</f>
        <v>18192904.1042446</v>
      </c>
      <c r="G20" s="8" t="n">
        <f aca="false">'Working Capital'!G8</f>
        <v>19194451.764044</v>
      </c>
    </row>
    <row r="21" customFormat="false" ht="15" hidden="false" customHeight="true" outlineLevel="0" collapsed="false">
      <c r="A21" s="4" t="s">
        <v>116</v>
      </c>
      <c r="B21" s="8" t="n">
        <f aca="false">Historical!C18</f>
        <v>17000000</v>
      </c>
      <c r="C21" s="8" t="n">
        <f aca="false">B21</f>
        <v>17000000</v>
      </c>
      <c r="D21" s="8" t="n">
        <f aca="false">C21</f>
        <v>17000000</v>
      </c>
      <c r="E21" s="8" t="n">
        <f aca="false">D21</f>
        <v>17000000</v>
      </c>
      <c r="F21" s="8" t="n">
        <f aca="false">E21</f>
        <v>17000000</v>
      </c>
      <c r="G21" s="8" t="n">
        <f aca="false">F21</f>
        <v>17000000</v>
      </c>
    </row>
    <row r="22" customFormat="false" ht="15" hidden="false" customHeight="true" outlineLevel="0" collapsed="false">
      <c r="A22" s="4" t="s">
        <v>118</v>
      </c>
      <c r="B22" s="8" t="n">
        <f aca="false">'Fixed Assets'!B9</f>
        <v>51129600</v>
      </c>
      <c r="C22" s="8" t="n">
        <f aca="false">'Fixed Assets'!C9</f>
        <v>54492094.56</v>
      </c>
      <c r="D22" s="8" t="n">
        <f aca="false">'Fixed Assets'!D9</f>
        <v>58812009.36648</v>
      </c>
      <c r="E22" s="8" t="n">
        <f aca="false">'Fixed Assets'!E9</f>
        <v>63334857.5135481</v>
      </c>
      <c r="F22" s="8" t="n">
        <f aca="false">'Fixed Assets'!F9</f>
        <v>67207007.5141687</v>
      </c>
      <c r="G22" s="8" t="n">
        <f aca="false">'Fixed Assets'!G9</f>
        <v>71258716.1096004</v>
      </c>
    </row>
    <row r="23" customFormat="false" ht="15" hidden="false" customHeight="true" outlineLevel="0" collapsed="false">
      <c r="A23" s="31" t="s">
        <v>120</v>
      </c>
      <c r="B23" s="32" t="n">
        <f aca="false">SUM(B18:B22)</f>
        <v>108512832.876712</v>
      </c>
      <c r="C23" s="32" t="n">
        <f aca="false">SUM(C18:C22)</f>
        <v>113819699.896986</v>
      </c>
      <c r="D23" s="32" t="n">
        <f aca="false">SUM(D18:D22)</f>
        <v>119629757.984271</v>
      </c>
      <c r="E23" s="32" t="n">
        <f aca="false">SUM(E18:E22)</f>
        <v>138105539.185007</v>
      </c>
      <c r="F23" s="32" t="n">
        <f aca="false">SUM(F18:F22)</f>
        <v>162424484.755197</v>
      </c>
      <c r="G23" s="33" t="n">
        <f aca="false">SUM(G18:G22)</f>
        <v>188489051.283655</v>
      </c>
    </row>
    <row r="24" customFormat="false" ht="15" hidden="false" customHeight="true" outlineLevel="0" collapsed="false">
      <c r="A24" s="4" t="s">
        <v>121</v>
      </c>
      <c r="B24" s="8" t="n">
        <f aca="false">'Working Capital'!B10</f>
        <v>9252657.53424658</v>
      </c>
      <c r="C24" s="8" t="n">
        <f aca="false">'Working Capital'!C10</f>
        <v>10049563.4136986</v>
      </c>
      <c r="D24" s="8" t="n">
        <f aca="false">'Working Capital'!D10</f>
        <v>10888649.1335188</v>
      </c>
      <c r="E24" s="8" t="n">
        <f aca="false">'Working Capital'!E10</f>
        <v>11741792.0920628</v>
      </c>
      <c r="F24" s="8" t="n">
        <f aca="false">'Working Capital'!F10</f>
        <v>12574507.248522</v>
      </c>
      <c r="G24" s="8" t="n">
        <f aca="false">'Working Capital'!G10</f>
        <v>13266753.4251481</v>
      </c>
    </row>
    <row r="25" customFormat="false" ht="15" hidden="false" customHeight="true" outlineLevel="0" collapsed="false">
      <c r="A25" s="4" t="s">
        <v>123</v>
      </c>
      <c r="B25" s="8" t="n">
        <f aca="false">Historical!C22</f>
        <v>11000000</v>
      </c>
      <c r="C25" s="8" t="n">
        <f aca="false">B25</f>
        <v>11000000</v>
      </c>
      <c r="D25" s="8" t="n">
        <f aca="false">C25</f>
        <v>11000000</v>
      </c>
      <c r="E25" s="8" t="n">
        <f aca="false">D25</f>
        <v>11000000</v>
      </c>
      <c r="F25" s="8" t="n">
        <f aca="false">E25</f>
        <v>11000000</v>
      </c>
      <c r="G25" s="8" t="n">
        <f aca="false">F25</f>
        <v>11000000</v>
      </c>
    </row>
    <row r="26" customFormat="false" ht="15" hidden="false" customHeight="true" outlineLevel="0" collapsed="false">
      <c r="A26" s="4" t="s">
        <v>223</v>
      </c>
      <c r="B26" s="8" t="n">
        <f aca="false">Debt!B15+Debt!B16</f>
        <v>26219900.3424658</v>
      </c>
      <c r="C26" s="8" t="n">
        <f aca="false">Debt!C15+Debt!C16</f>
        <v>16014331.5812671</v>
      </c>
      <c r="D26" s="8" t="n">
        <f aca="false">Debt!D15+Debt!D16</f>
        <v>3260527.62398199</v>
      </c>
      <c r="E26" s="8" t="n">
        <f aca="false">Debt!E15+Debt!E16</f>
        <v>0</v>
      </c>
      <c r="F26" s="8" t="n">
        <f aca="false">Debt!F15+Debt!F16</f>
        <v>0</v>
      </c>
      <c r="G26" s="8" t="n">
        <f aca="false">Debt!G15+Debt!G16</f>
        <v>0</v>
      </c>
    </row>
    <row r="27" customFormat="false" ht="15" hidden="false" customHeight="true" outlineLevel="0" collapsed="false">
      <c r="A27" s="4" t="s">
        <v>126</v>
      </c>
      <c r="B27" s="8" t="n">
        <f aca="false">Historical!C24+B15</f>
        <v>62040275</v>
      </c>
      <c r="C27" s="8" t="n">
        <f aca="false">B27+C15</f>
        <v>76755804.9020205</v>
      </c>
      <c r="D27" s="8" t="n">
        <f aca="false">C27+D15</f>
        <v>94480581.2267703</v>
      </c>
      <c r="E27" s="8" t="n">
        <f aca="false">D27+E15</f>
        <v>115363747.092944</v>
      </c>
      <c r="F27" s="8" t="n">
        <f aca="false">E27+F15</f>
        <v>138849977.506675</v>
      </c>
      <c r="G27" s="8" t="n">
        <f aca="false">F27+G15</f>
        <v>164222297.858507</v>
      </c>
    </row>
    <row r="28" customFormat="false" ht="15" hidden="false" customHeight="true" outlineLevel="0" collapsed="false">
      <c r="A28" s="21" t="s">
        <v>224</v>
      </c>
      <c r="B28" s="34" t="n">
        <f aca="false">SUM(B24:B27)</f>
        <v>108512832.876712</v>
      </c>
      <c r="C28" s="34" t="n">
        <f aca="false">SUM(C24:C27)</f>
        <v>113819699.896986</v>
      </c>
      <c r="D28" s="34" t="n">
        <f aca="false">SUM(D24:D27)</f>
        <v>119629757.984271</v>
      </c>
      <c r="E28" s="34" t="n">
        <f aca="false">SUM(E24:E27)</f>
        <v>138105539.185007</v>
      </c>
      <c r="F28" s="34" t="n">
        <f aca="false">SUM(F24:F27)</f>
        <v>162424484.755197</v>
      </c>
      <c r="G28" s="22" t="n">
        <f aca="false">SUM(G24:G27)</f>
        <v>188489051.283655</v>
      </c>
    </row>
    <row r="29" customFormat="false" ht="15" hidden="false" customHeight="true" outlineLevel="0" collapsed="false">
      <c r="A29" s="35" t="s">
        <v>225</v>
      </c>
      <c r="B29" s="38" t="n">
        <f aca="false">B23-B28</f>
        <v>0</v>
      </c>
      <c r="C29" s="38" t="n">
        <f aca="false">C23-C28</f>
        <v>0</v>
      </c>
      <c r="D29" s="38" t="n">
        <f aca="false">D23-D28</f>
        <v>0</v>
      </c>
      <c r="E29" s="38" t="n">
        <f aca="false">E23-E28</f>
        <v>0</v>
      </c>
      <c r="F29" s="38" t="n">
        <f aca="false">F23-F28</f>
        <v>0</v>
      </c>
      <c r="G29" s="39" t="n">
        <f aca="false">G23-G28</f>
        <v>0</v>
      </c>
    </row>
    <row r="31" customFormat="false" ht="15" hidden="false" customHeight="false" outlineLevel="0" collapsed="false">
      <c r="A31" s="43" t="s">
        <v>226</v>
      </c>
    </row>
    <row r="32" customFormat="false" ht="15" hidden="false" customHeight="false" outlineLevel="0" collapsed="false">
      <c r="A32" s="4" t="s">
        <v>221</v>
      </c>
      <c r="B32" s="8" t="n">
        <f aca="false">B15</f>
        <v>11909700</v>
      </c>
      <c r="C32" s="8" t="n">
        <f aca="false">C15</f>
        <v>14715529.9020205</v>
      </c>
      <c r="D32" s="8" t="n">
        <f aca="false">D15</f>
        <v>17724776.3247497</v>
      </c>
      <c r="E32" s="8" t="n">
        <f aca="false">E15</f>
        <v>20883165.8661739</v>
      </c>
      <c r="F32" s="8" t="n">
        <f aca="false">F15</f>
        <v>23486230.4137305</v>
      </c>
      <c r="G32" s="8" t="n">
        <f aca="false">G15</f>
        <v>25372320.3518321</v>
      </c>
    </row>
    <row r="33" customFormat="false" ht="15" hidden="false" customHeight="false" outlineLevel="0" collapsed="false">
      <c r="A33" s="4" t="s">
        <v>227</v>
      </c>
      <c r="B33" s="8" t="n">
        <f aca="false">B11</f>
        <v>4130400</v>
      </c>
      <c r="C33" s="8" t="n">
        <f aca="false">C11</f>
        <v>4400903.94</v>
      </c>
      <c r="D33" s="8" t="n">
        <f aca="false">D11</f>
        <v>4721004.33027</v>
      </c>
      <c r="E33" s="8" t="n">
        <f aca="false">E11</f>
        <v>5089452.78666784</v>
      </c>
      <c r="F33" s="8" t="n">
        <f aca="false">F11</f>
        <v>5439244.37615486</v>
      </c>
      <c r="G33" s="8" t="n">
        <f aca="false">G11</f>
        <v>5769405.15099038</v>
      </c>
    </row>
    <row r="34" customFormat="false" ht="15" hidden="false" customHeight="false" outlineLevel="0" collapsed="false">
      <c r="A34" s="4" t="s">
        <v>228</v>
      </c>
      <c r="B34" s="8" t="n">
        <f aca="false">-'Working Capital'!B12</f>
        <v>-0.342465754598379</v>
      </c>
      <c r="C34" s="8" t="n">
        <f aca="false">-'Working Capital'!C12</f>
        <v>-1147466.58082192</v>
      </c>
      <c r="D34" s="8" t="n">
        <f aca="false">-'Working Capital'!D12</f>
        <v>-651057.560984582</v>
      </c>
      <c r="E34" s="8" t="n">
        <f aca="false">-'Working Capital'!E12</f>
        <v>-765524.806246229</v>
      </c>
      <c r="F34" s="8" t="n">
        <f aca="false">-'Working Capital'!F12</f>
        <v>-579120.670586433</v>
      </c>
      <c r="G34" s="8" t="n">
        <f aca="false">-'Working Capital'!G12</f>
        <v>-1115008.78606512</v>
      </c>
    </row>
    <row r="35" customFormat="false" ht="15" hidden="false" customHeight="false" outlineLevel="0" collapsed="false">
      <c r="A35" s="21" t="s">
        <v>229</v>
      </c>
      <c r="B35" s="34" t="n">
        <f aca="false">SUM(B32:B34)</f>
        <v>16040099.6575342</v>
      </c>
      <c r="C35" s="34" t="n">
        <f aca="false">SUM(C32:C34)</f>
        <v>17968967.2611986</v>
      </c>
      <c r="D35" s="34" t="n">
        <f aca="false">SUM(D32:D34)</f>
        <v>21794723.0940351</v>
      </c>
      <c r="E35" s="34" t="n">
        <f aca="false">SUM(E32:E34)</f>
        <v>25207093.8465955</v>
      </c>
      <c r="F35" s="34" t="n">
        <f aca="false">SUM(F32:F34)</f>
        <v>28346354.1192989</v>
      </c>
      <c r="G35" s="22" t="n">
        <f aca="false">SUM(G32:G34)</f>
        <v>30026716.7167574</v>
      </c>
    </row>
    <row r="36" customFormat="false" ht="15" hidden="false" customHeight="false" outlineLevel="0" collapsed="false">
      <c r="A36" s="4" t="s">
        <v>194</v>
      </c>
      <c r="B36" s="8" t="n">
        <f aca="false">-'Fixed Assets'!B6</f>
        <v>-7260000</v>
      </c>
      <c r="C36" s="8" t="n">
        <f aca="false">-'Fixed Assets'!C6</f>
        <v>-7763398.5</v>
      </c>
      <c r="D36" s="8" t="n">
        <f aca="false">-'Fixed Assets'!D6</f>
        <v>-9040919.13675</v>
      </c>
      <c r="E36" s="8" t="n">
        <f aca="false">-'Fixed Assets'!E6</f>
        <v>-9612300.93373591</v>
      </c>
      <c r="F36" s="8" t="n">
        <f aca="false">-'Fixed Assets'!F6</f>
        <v>-9311394.37677549</v>
      </c>
      <c r="G36" s="8" t="n">
        <f aca="false">-'Fixed Assets'!G6</f>
        <v>-9821113.74642205</v>
      </c>
    </row>
    <row r="37" customFormat="false" ht="15" hidden="false" customHeight="false" outlineLevel="0" collapsed="false">
      <c r="A37" s="4" t="s">
        <v>230</v>
      </c>
      <c r="B37" s="8" t="n">
        <f aca="false">B36</f>
        <v>-7260000</v>
      </c>
      <c r="C37" s="8" t="n">
        <f aca="false">C36</f>
        <v>-7763398.5</v>
      </c>
      <c r="D37" s="8" t="n">
        <f aca="false">D36</f>
        <v>-9040919.13675</v>
      </c>
      <c r="E37" s="8" t="n">
        <f aca="false">E36</f>
        <v>-9612300.93373591</v>
      </c>
      <c r="F37" s="8" t="n">
        <f aca="false">F36</f>
        <v>-9311394.37677549</v>
      </c>
      <c r="G37" s="8" t="n">
        <f aca="false">G36</f>
        <v>-9821113.74642205</v>
      </c>
    </row>
    <row r="38" customFormat="false" ht="15" hidden="false" customHeight="false" outlineLevel="0" collapsed="false">
      <c r="A38" s="4" t="s">
        <v>208</v>
      </c>
      <c r="B38" s="8" t="n">
        <f aca="false">Debt!B13</f>
        <v>-0</v>
      </c>
      <c r="C38" s="8" t="n">
        <f aca="false">Debt!C13</f>
        <v>0</v>
      </c>
      <c r="D38" s="8" t="n">
        <f aca="false">Debt!D13</f>
        <v>-0</v>
      </c>
      <c r="E38" s="8" t="n">
        <f aca="false">Debt!E13</f>
        <v>-0</v>
      </c>
      <c r="F38" s="8" t="n">
        <f aca="false">Debt!F13</f>
        <v>-0</v>
      </c>
      <c r="G38" s="8" t="n">
        <f aca="false">Debt!G13</f>
        <v>-0</v>
      </c>
    </row>
    <row r="39" customFormat="false" ht="15" hidden="false" customHeight="false" outlineLevel="0" collapsed="false">
      <c r="A39" s="4" t="s">
        <v>231</v>
      </c>
      <c r="B39" s="8" t="n">
        <f aca="false">-(Debt!B6+Debt!B14)</f>
        <v>-8780099.65753425</v>
      </c>
      <c r="C39" s="8" t="n">
        <f aca="false">-(Debt!C6+Debt!C14)</f>
        <v>-10205568.7611986</v>
      </c>
      <c r="D39" s="8" t="n">
        <f aca="false">-(Debt!D6+Debt!D14)</f>
        <v>-12753803.9572851</v>
      </c>
      <c r="E39" s="8" t="n">
        <f aca="false">-(Debt!E6+Debt!E14)</f>
        <v>-3260527.62398199</v>
      </c>
      <c r="F39" s="8" t="n">
        <f aca="false">-(Debt!F6+Debt!F14)</f>
        <v>-0</v>
      </c>
      <c r="G39" s="8" t="n">
        <f aca="false">-(Debt!G6+Debt!G14)</f>
        <v>-0</v>
      </c>
    </row>
    <row r="40" customFormat="false" ht="15" hidden="false" customHeight="false" outlineLevel="0" collapsed="false">
      <c r="A40" s="4" t="s">
        <v>232</v>
      </c>
      <c r="B40" s="8" t="n">
        <f aca="false">B38+B39</f>
        <v>-8780099.65753425</v>
      </c>
      <c r="C40" s="8" t="n">
        <f aca="false">C38+C39</f>
        <v>-10205568.7611986</v>
      </c>
      <c r="D40" s="8" t="n">
        <f aca="false">D38+D39</f>
        <v>-12753803.9572851</v>
      </c>
      <c r="E40" s="8" t="n">
        <f aca="false">E38+E39</f>
        <v>-3260527.62398199</v>
      </c>
      <c r="F40" s="8" t="n">
        <f aca="false">F38+F39</f>
        <v>-0</v>
      </c>
      <c r="G40" s="8" t="n">
        <f aca="false">G38+G39</f>
        <v>-0</v>
      </c>
    </row>
    <row r="41" customFormat="false" ht="15" hidden="false" customHeight="false" outlineLevel="0" collapsed="false">
      <c r="A41" s="21" t="s">
        <v>233</v>
      </c>
      <c r="B41" s="34" t="n">
        <f aca="false">B35+B37+B40</f>
        <v>0</v>
      </c>
      <c r="C41" s="34" t="n">
        <f aca="false">C35+C37+C40</f>
        <v>0</v>
      </c>
      <c r="D41" s="34" t="n">
        <f aca="false">D35+D37+D40</f>
        <v>0</v>
      </c>
      <c r="E41" s="34" t="n">
        <f aca="false">E35+E37+E40</f>
        <v>12334265.2888776</v>
      </c>
      <c r="F41" s="34" t="n">
        <f aca="false">F35+F37+F40</f>
        <v>19034959.7425234</v>
      </c>
      <c r="G41" s="22" t="n">
        <f aca="false">G35+G37+G40</f>
        <v>20205602.9703353</v>
      </c>
    </row>
    <row r="42" customFormat="false" ht="15" hidden="false" customHeight="false" outlineLevel="0" collapsed="false">
      <c r="A42" s="4" t="s">
        <v>204</v>
      </c>
      <c r="B42" s="8" t="n">
        <f aca="false">Debt!B9</f>
        <v>5000000</v>
      </c>
      <c r="C42" s="8" t="n">
        <f aca="false">Debt!C9</f>
        <v>5000000</v>
      </c>
      <c r="D42" s="8" t="n">
        <f aca="false">Debt!D9</f>
        <v>5000000</v>
      </c>
      <c r="E42" s="8" t="n">
        <f aca="false">Debt!E9</f>
        <v>5000000</v>
      </c>
      <c r="F42" s="8" t="n">
        <f aca="false">Debt!F9</f>
        <v>17334265.2888776</v>
      </c>
      <c r="G42" s="8" t="n">
        <f aca="false">Debt!G9</f>
        <v>36369225.031401</v>
      </c>
    </row>
    <row r="43" customFormat="false" ht="15" hidden="false" customHeight="false" outlineLevel="0" collapsed="false">
      <c r="A43" s="21" t="s">
        <v>234</v>
      </c>
      <c r="B43" s="34" t="n">
        <f aca="false">B42+B41</f>
        <v>5000000</v>
      </c>
      <c r="C43" s="34" t="n">
        <f aca="false">C42+C41</f>
        <v>5000000</v>
      </c>
      <c r="D43" s="34" t="n">
        <f aca="false">D42+D41</f>
        <v>5000000</v>
      </c>
      <c r="E43" s="34" t="n">
        <f aca="false">E42+E41</f>
        <v>17334265.2888776</v>
      </c>
      <c r="F43" s="34" t="n">
        <f aca="false">F42+F41</f>
        <v>36369225.031401</v>
      </c>
      <c r="G43" s="22" t="n">
        <f aca="false">G42+G41</f>
        <v>56574828.0017363</v>
      </c>
    </row>
    <row r="44" customFormat="false" ht="15" hidden="false" customHeight="false" outlineLevel="0" collapsed="false">
      <c r="A44" s="4" t="s">
        <v>235</v>
      </c>
      <c r="B44" s="8" t="n">
        <f aca="false">B43-B18</f>
        <v>0</v>
      </c>
      <c r="C44" s="8" t="n">
        <f aca="false">C43-C18</f>
        <v>0</v>
      </c>
      <c r="D44" s="8" t="n">
        <f aca="false">D43-D18</f>
        <v>0</v>
      </c>
      <c r="E44" s="8" t="n">
        <f aca="false">E43-E18</f>
        <v>0</v>
      </c>
      <c r="F44" s="8" t="n">
        <f aca="false">F43-F18</f>
        <v>0</v>
      </c>
      <c r="G44" s="8" t="n">
        <f aca="false">G43-G18</f>
        <v>0</v>
      </c>
    </row>
  </sheetData>
  <mergeCells count="4">
    <mergeCell ref="A1:G1"/>
    <mergeCell ref="A2:G2"/>
    <mergeCell ref="A5:G5"/>
    <mergeCell ref="A17:G1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7" min="2" style="0" width="14"/>
  </cols>
  <sheetData>
    <row r="1" customFormat="false" ht="15" hidden="false" customHeight="true" outlineLevel="0" collapsed="false">
      <c r="A1" s="11" t="s">
        <v>236</v>
      </c>
      <c r="B1" s="11"/>
      <c r="C1" s="11"/>
      <c r="D1" s="11"/>
      <c r="E1" s="11"/>
      <c r="F1" s="11"/>
      <c r="G1" s="11"/>
    </row>
    <row r="2" customFormat="false" ht="15" hidden="false" customHeight="true" outlineLevel="0" collapsed="false">
      <c r="A2" s="12" t="s">
        <v>237</v>
      </c>
      <c r="B2" s="12"/>
      <c r="C2" s="12"/>
      <c r="D2" s="12"/>
      <c r="E2" s="12"/>
      <c r="F2" s="12"/>
      <c r="G2" s="12"/>
    </row>
    <row r="3" customFormat="false" ht="15" hidden="false" customHeight="true" outlineLevel="0" collapsed="false">
      <c r="A3" s="4"/>
      <c r="B3" s="4"/>
      <c r="C3" s="4"/>
      <c r="D3" s="4"/>
      <c r="E3" s="4"/>
      <c r="F3" s="4"/>
      <c r="G3" s="4"/>
    </row>
    <row r="4" customFormat="false" ht="15" hidden="false" customHeight="true" outlineLevel="0" collapsed="false">
      <c r="A4" s="3" t="s">
        <v>71</v>
      </c>
      <c r="B4" s="3" t="n">
        <v>2026</v>
      </c>
      <c r="C4" s="3" t="n">
        <v>2027</v>
      </c>
      <c r="D4" s="3" t="n">
        <v>2028</v>
      </c>
      <c r="E4" s="3" t="n">
        <v>2029</v>
      </c>
      <c r="F4" s="3" t="n">
        <v>2030</v>
      </c>
      <c r="G4" s="3" t="n">
        <v>2031</v>
      </c>
    </row>
    <row r="5" customFormat="false" ht="15" hidden="false" customHeight="true" outlineLevel="0" collapsed="false">
      <c r="A5" s="4" t="s">
        <v>184</v>
      </c>
      <c r="B5" s="8" t="n">
        <f aca="false">Operations!B30</f>
        <v>18329600</v>
      </c>
      <c r="C5" s="8" t="n">
        <f aca="false">Operations!C30</f>
        <v>21456099.56</v>
      </c>
      <c r="D5" s="8" t="n">
        <f aca="false">Operations!D30</f>
        <v>24754038.310355</v>
      </c>
      <c r="E5" s="8" t="n">
        <f aca="false">Operations!E30</f>
        <v>28072458.0885773</v>
      </c>
      <c r="F5" s="8" t="n">
        <f aca="false">Operations!F30</f>
        <v>31314973.884974</v>
      </c>
      <c r="G5" s="8" t="n">
        <f aca="false">Operations!G30</f>
        <v>33829760.4691095</v>
      </c>
    </row>
    <row r="6" customFormat="false" ht="15" hidden="false" customHeight="true" outlineLevel="0" collapsed="false">
      <c r="A6" s="4" t="s">
        <v>87</v>
      </c>
      <c r="B6" s="8" t="n">
        <f aca="false">Assumptions!B20</f>
        <v>0.25</v>
      </c>
      <c r="C6" s="8" t="n">
        <f aca="false">Assumptions!C20</f>
        <v>0.25</v>
      </c>
      <c r="D6" s="8" t="n">
        <f aca="false">Assumptions!D20</f>
        <v>0.25</v>
      </c>
      <c r="E6" s="8" t="n">
        <f aca="false">Assumptions!E20</f>
        <v>0.25</v>
      </c>
      <c r="F6" s="8" t="n">
        <f aca="false">Assumptions!F20</f>
        <v>0.25</v>
      </c>
      <c r="G6" s="8" t="n">
        <f aca="false">Assumptions!G20</f>
        <v>0.25</v>
      </c>
    </row>
    <row r="7" customFormat="false" ht="15" hidden="false" customHeight="true" outlineLevel="0" collapsed="false">
      <c r="A7" s="4" t="s">
        <v>238</v>
      </c>
      <c r="B7" s="8" t="n">
        <f aca="false">IF('Error Switches'!$C$10=1,Operations!B26*(1-B6)-B8,B5*(1-B6))</f>
        <v>13747200</v>
      </c>
      <c r="C7" s="8" t="n">
        <f aca="false">IF('Error Switches'!$C$10=1,Operations!C26*(1-C6)-C8,C5*(1-C6))</f>
        <v>16092074.67</v>
      </c>
      <c r="D7" s="8" t="n">
        <f aca="false">IF('Error Switches'!$C$10=1,Operations!D26*(1-D6)-D8,D5*(1-D6))</f>
        <v>18565528.7327662</v>
      </c>
      <c r="E7" s="8" t="n">
        <f aca="false">IF('Error Switches'!$C$10=1,Operations!E26*(1-E6)-E8,E5*(1-E6))</f>
        <v>21054343.5664329</v>
      </c>
      <c r="F7" s="8" t="n">
        <f aca="false">IF('Error Switches'!$C$10=1,Operations!F26*(1-F6)-F8,F5*(1-F6))</f>
        <v>23486230.4137305</v>
      </c>
      <c r="G7" s="8" t="n">
        <f aca="false">IF('Error Switches'!$C$10=1,Operations!G26*(1-G6)-G8,G5*(1-G6))</f>
        <v>25372320.3518321</v>
      </c>
    </row>
    <row r="8" customFormat="false" ht="15" hidden="false" customHeight="true" outlineLevel="0" collapsed="false">
      <c r="A8" s="4" t="s">
        <v>183</v>
      </c>
      <c r="B8" s="8" t="n">
        <f aca="false">Operations!B29</f>
        <v>4130400</v>
      </c>
      <c r="C8" s="8" t="n">
        <f aca="false">Operations!C29</f>
        <v>4400903.94</v>
      </c>
      <c r="D8" s="8" t="n">
        <f aca="false">Operations!D29</f>
        <v>4721004.33027</v>
      </c>
      <c r="E8" s="8" t="n">
        <f aca="false">Operations!E29</f>
        <v>5089452.78666784</v>
      </c>
      <c r="F8" s="8" t="n">
        <f aca="false">Operations!F29</f>
        <v>5439244.37615486</v>
      </c>
      <c r="G8" s="8" t="n">
        <f aca="false">Operations!G29</f>
        <v>5769405.15099038</v>
      </c>
    </row>
    <row r="9" customFormat="false" ht="15" hidden="false" customHeight="true" outlineLevel="0" collapsed="false">
      <c r="A9" s="4" t="s">
        <v>194</v>
      </c>
      <c r="B9" s="8" t="n">
        <f aca="false">'Fixed Assets'!B6</f>
        <v>7260000</v>
      </c>
      <c r="C9" s="8" t="n">
        <f aca="false">'Fixed Assets'!C6</f>
        <v>7763398.5</v>
      </c>
      <c r="D9" s="8" t="n">
        <f aca="false">'Fixed Assets'!D6</f>
        <v>9040919.13675</v>
      </c>
      <c r="E9" s="8" t="n">
        <f aca="false">'Fixed Assets'!E6</f>
        <v>9612300.93373591</v>
      </c>
      <c r="F9" s="8" t="n">
        <f aca="false">'Fixed Assets'!F6</f>
        <v>9311394.37677549</v>
      </c>
      <c r="G9" s="8" t="n">
        <f aca="false">'Fixed Assets'!G6</f>
        <v>9821113.74642205</v>
      </c>
    </row>
    <row r="10" customFormat="false" ht="15" hidden="false" customHeight="true" outlineLevel="0" collapsed="false">
      <c r="A10" s="4" t="s">
        <v>188</v>
      </c>
      <c r="B10" s="8" t="n">
        <f aca="false">'Working Capital'!B12</f>
        <v>0.342465754598379</v>
      </c>
      <c r="C10" s="8" t="n">
        <f aca="false">'Working Capital'!C12</f>
        <v>1147466.58082192</v>
      </c>
      <c r="D10" s="8" t="n">
        <f aca="false">'Working Capital'!D12</f>
        <v>651057.560984582</v>
      </c>
      <c r="E10" s="8" t="n">
        <f aca="false">'Working Capital'!E12</f>
        <v>765524.806246229</v>
      </c>
      <c r="F10" s="8" t="n">
        <f aca="false">'Working Capital'!F12</f>
        <v>579120.670586433</v>
      </c>
      <c r="G10" s="8" t="n">
        <f aca="false">'Working Capital'!G12</f>
        <v>1115008.78606512</v>
      </c>
    </row>
    <row r="11" customFormat="false" ht="15" hidden="false" customHeight="true" outlineLevel="0" collapsed="false">
      <c r="A11" s="31" t="s">
        <v>239</v>
      </c>
      <c r="B11" s="32" t="n">
        <f aca="false">B7+B8-B9-IF('Error Switches'!$C$5=1,-1,1)*B10-IF('Error Switches'!$C$9=1,B9,0)</f>
        <v>10617599.6575342</v>
      </c>
      <c r="C11" s="32" t="n">
        <f aca="false">C7+C8-C9-IF('Error Switches'!$C$5=1,-1,1)*C10-IF('Error Switches'!$C$9=1,C9,0)</f>
        <v>11582113.5291781</v>
      </c>
      <c r="D11" s="32" t="n">
        <f aca="false">D7+D8-D9-IF('Error Switches'!$C$5=1,-1,1)*D10-IF('Error Switches'!$C$9=1,D9,0)</f>
        <v>13594556.3653017</v>
      </c>
      <c r="E11" s="32" t="n">
        <f aca="false">E7+E8-E9-IF('Error Switches'!$C$5=1,-1,1)*E10-IF('Error Switches'!$C$9=1,E9,0)</f>
        <v>15765970.6131186</v>
      </c>
      <c r="F11" s="32" t="n">
        <f aca="false">F7+F8-F9-IF('Error Switches'!$C$5=1,-1,1)*F10-IF('Error Switches'!$C$9=1,F9,0)</f>
        <v>19034959.7425234</v>
      </c>
      <c r="G11" s="33" t="n">
        <f aca="false">G7+G8-G9-IF('Error Switches'!$C$5=1,-1,1)*G10-IF('Error Switches'!$C$9=1,G9,0)</f>
        <v>20205602.9703353</v>
      </c>
    </row>
    <row r="12" customFormat="false" ht="15" hidden="false" customHeight="true" outlineLevel="0" collapsed="false">
      <c r="A12" s="4" t="s">
        <v>240</v>
      </c>
      <c r="B12" s="10" t="n">
        <f aca="false">1</f>
        <v>1</v>
      </c>
      <c r="C12" s="10" t="n">
        <f aca="false">1/(1+$B$15)^C13</f>
        <v>0.909090909090909</v>
      </c>
      <c r="D12" s="10" t="n">
        <f aca="false">1/(1+$B$15)^D13</f>
        <v>0.826446280991735</v>
      </c>
      <c r="E12" s="10" t="n">
        <f aca="false">1/(1+$B$15)^E13</f>
        <v>0.751314800901578</v>
      </c>
      <c r="F12" s="10" t="n">
        <f aca="false">1/(1+$B$15)^F13</f>
        <v>0.683013455365071</v>
      </c>
      <c r="G12" s="10" t="n">
        <f aca="false">1/(1+$B$15)^G13</f>
        <v>0.620921323059155</v>
      </c>
    </row>
    <row r="13" customFormat="false" ht="15" hidden="false" customHeight="true" outlineLevel="0" collapsed="false">
      <c r="A13" s="4" t="s">
        <v>241</v>
      </c>
      <c r="B13" s="44" t="n">
        <v>0</v>
      </c>
      <c r="C13" s="44" t="n">
        <v>1</v>
      </c>
      <c r="D13" s="44" t="n">
        <v>2</v>
      </c>
      <c r="E13" s="44" t="n">
        <v>3</v>
      </c>
      <c r="F13" s="44" t="n">
        <v>4</v>
      </c>
      <c r="G13" s="44" t="n">
        <v>5</v>
      </c>
    </row>
    <row r="14" customFormat="false" ht="15" hidden="false" customHeight="true" outlineLevel="0" collapsed="false">
      <c r="A14" s="4"/>
      <c r="B14" s="4"/>
      <c r="C14" s="4"/>
      <c r="D14" s="4"/>
      <c r="E14" s="4"/>
      <c r="F14" s="4"/>
      <c r="G14" s="4"/>
    </row>
    <row r="15" customFormat="false" ht="15" hidden="false" customHeight="true" outlineLevel="0" collapsed="false">
      <c r="A15" s="4" t="s">
        <v>242</v>
      </c>
      <c r="B15" s="10" t="n">
        <v>0.1</v>
      </c>
      <c r="C15" s="4"/>
      <c r="D15" s="4"/>
      <c r="E15" s="4"/>
      <c r="F15" s="4"/>
      <c r="G15" s="4"/>
    </row>
    <row r="16" customFormat="false" ht="15" hidden="false" customHeight="true" outlineLevel="0" collapsed="false">
      <c r="A16" s="4" t="s">
        <v>243</v>
      </c>
      <c r="B16" s="10" t="n">
        <v>0.025</v>
      </c>
      <c r="C16" s="4"/>
      <c r="D16" s="4"/>
      <c r="E16" s="4"/>
      <c r="F16" s="4"/>
      <c r="G16" s="4"/>
    </row>
    <row r="17" customFormat="false" ht="15" hidden="false" customHeight="true" outlineLevel="0" collapsed="false">
      <c r="A17" s="4" t="s">
        <v>244</v>
      </c>
      <c r="B17" s="8" t="n">
        <f aca="false">SUMPRODUCT(C11:G11,C12:G12)</f>
        <v>59156795.0955106</v>
      </c>
      <c r="C17" s="4"/>
      <c r="D17" s="4"/>
      <c r="E17" s="4"/>
      <c r="F17" s="4"/>
      <c r="G17" s="4"/>
    </row>
    <row r="18" customFormat="false" ht="15" hidden="false" customHeight="true" outlineLevel="0" collapsed="false">
      <c r="A18" s="4" t="s">
        <v>245</v>
      </c>
      <c r="B18" s="8" t="n">
        <f aca="false">G11*(1+B16)^IF('Error Switches'!$C$11=1,2,1)/(B15-B16)</f>
        <v>276143240.594582</v>
      </c>
      <c r="C18" s="4"/>
      <c r="D18" s="4"/>
      <c r="E18" s="4"/>
      <c r="F18" s="4"/>
      <c r="G18" s="4"/>
    </row>
    <row r="19" customFormat="false" ht="15" hidden="false" customHeight="true" outlineLevel="0" collapsed="false">
      <c r="A19" s="4" t="s">
        <v>246</v>
      </c>
      <c r="B19" s="8" t="n">
        <f aca="false">B18*G12</f>
        <v>171463226.303831</v>
      </c>
      <c r="C19" s="4"/>
      <c r="D19" s="4"/>
      <c r="E19" s="4"/>
      <c r="F19" s="4"/>
      <c r="G19" s="4"/>
    </row>
    <row r="20" customFormat="false" ht="15" hidden="false" customHeight="true" outlineLevel="0" collapsed="false">
      <c r="A20" s="21" t="s">
        <v>247</v>
      </c>
      <c r="B20" s="22" t="n">
        <f aca="false">B17+B19</f>
        <v>230620021.399341</v>
      </c>
      <c r="C20" s="4"/>
      <c r="D20" s="4"/>
      <c r="E20" s="4"/>
      <c r="F20" s="4"/>
      <c r="G20" s="4"/>
    </row>
    <row r="21" customFormat="false" ht="15" hidden="false" customHeight="true" outlineLevel="0" collapsed="false">
      <c r="A21" s="40" t="s">
        <v>248</v>
      </c>
      <c r="B21" s="42" t="n">
        <f aca="false">Debt!B18</f>
        <v>21219900.3424658</v>
      </c>
      <c r="C21" s="4"/>
      <c r="D21" s="4"/>
      <c r="E21" s="4"/>
      <c r="F21" s="4"/>
      <c r="G21" s="4"/>
    </row>
    <row r="22" customFormat="false" ht="15" hidden="false" customHeight="true" outlineLevel="0" collapsed="false">
      <c r="A22" s="35" t="s">
        <v>34</v>
      </c>
      <c r="B22" s="39" t="n">
        <f aca="false">B20-B21</f>
        <v>209400121.056875</v>
      </c>
      <c r="C22" s="4"/>
      <c r="D22" s="4"/>
      <c r="E22" s="4"/>
      <c r="F22" s="4"/>
      <c r="G22" s="4"/>
    </row>
    <row r="23" customFormat="false" ht="15" hidden="false" customHeight="true" outlineLevel="0" collapsed="false">
      <c r="A23" s="4" t="s">
        <v>249</v>
      </c>
      <c r="B23" s="10" t="n">
        <f aca="false">B19/B20</f>
        <v>0.743488033967898</v>
      </c>
      <c r="C23" s="4"/>
      <c r="D23" s="4"/>
      <c r="E23" s="4"/>
      <c r="F23" s="4"/>
      <c r="G23" s="4"/>
    </row>
    <row r="24" customFormat="false" ht="15" hidden="false" customHeight="true" outlineLevel="0" collapsed="false">
      <c r="A24" s="4" t="s">
        <v>250</v>
      </c>
      <c r="B24" s="4" t="str">
        <f aca="false">IF(B15&gt;B16,"PASS","FAIL")</f>
        <v>PASS</v>
      </c>
      <c r="C24" s="4"/>
      <c r="D24" s="4"/>
      <c r="E24" s="4"/>
      <c r="F24" s="4"/>
      <c r="G24" s="4"/>
    </row>
    <row r="25" customFormat="false" ht="15" hidden="false" customHeight="true" outlineLevel="0" collapsed="false">
      <c r="A25" s="4" t="s">
        <v>251</v>
      </c>
      <c r="B25" s="8" t="n">
        <f aca="false">B20-B17-B19</f>
        <v>0</v>
      </c>
      <c r="C25" s="4"/>
      <c r="D25" s="4"/>
      <c r="E25" s="4"/>
      <c r="F25" s="4"/>
      <c r="G25" s="4"/>
    </row>
    <row r="27" customFormat="false" ht="15" hidden="false" customHeight="false" outlineLevel="0" collapsed="false">
      <c r="A27" s="3" t="s">
        <v>252</v>
      </c>
    </row>
    <row r="28" customFormat="false" ht="15" hidden="false" customHeight="false" outlineLevel="0" collapsed="false">
      <c r="A28" s="4" t="s">
        <v>253</v>
      </c>
      <c r="B28" s="8" t="n">
        <f aca="false">Operations!G26*LBO!B15</f>
        <v>356392490.580899</v>
      </c>
    </row>
    <row r="29" customFormat="false" ht="15" hidden="false" customHeight="false" outlineLevel="0" collapsed="false">
      <c r="A29" s="4" t="s">
        <v>254</v>
      </c>
      <c r="B29" s="8" t="n">
        <f aca="false">B28*G12</f>
        <v>221291696.779839</v>
      </c>
    </row>
    <row r="30" customFormat="false" ht="15" hidden="false" customHeight="false" outlineLevel="0" collapsed="false">
      <c r="A30" s="4" t="s">
        <v>255</v>
      </c>
      <c r="B30" s="8" t="n">
        <f aca="false">B17+B29</f>
        <v>280448491.87535</v>
      </c>
    </row>
    <row r="31" customFormat="false" ht="15" hidden="false" customHeight="false" outlineLevel="0" collapsed="false">
      <c r="A31" s="4" t="s">
        <v>256</v>
      </c>
      <c r="B31" s="9" t="n">
        <f aca="false">B18/Operations!G26</f>
        <v>6.97346108864519</v>
      </c>
    </row>
    <row r="32" customFormat="false" ht="15" hidden="false" customHeight="false" outlineLevel="0" collapsed="false">
      <c r="A32" s="4" t="s">
        <v>257</v>
      </c>
      <c r="B32" s="45" t="n">
        <f aca="false">(B28*B15-G11)/(B28+G11)</f>
        <v>0.0409817424783508</v>
      </c>
    </row>
    <row r="33" customFormat="false" ht="15" hidden="false" customHeight="false" outlineLevel="0" collapsed="false">
      <c r="A33" s="4" t="s">
        <v>258</v>
      </c>
      <c r="B33" s="8" t="n">
        <f aca="false">B30-B20</f>
        <v>49828470.4760083</v>
      </c>
    </row>
    <row r="35" customFormat="false" ht="15" hidden="false" customHeight="false" outlineLevel="0" collapsed="false">
      <c r="A35" s="3" t="s">
        <v>259</v>
      </c>
    </row>
    <row r="36" customFormat="false" ht="15" hidden="false" customHeight="false" outlineLevel="0" collapsed="false">
      <c r="A36" s="3" t="s">
        <v>260</v>
      </c>
      <c r="B36" s="46" t="n">
        <v>0.015</v>
      </c>
      <c r="C36" s="46" t="n">
        <v>0.02</v>
      </c>
      <c r="D36" s="46" t="n">
        <v>0.025</v>
      </c>
      <c r="E36" s="46" t="n">
        <v>0.03</v>
      </c>
      <c r="F36" s="46" t="n">
        <v>0.035</v>
      </c>
    </row>
    <row r="37" customFormat="false" ht="15" hidden="false" customHeight="false" outlineLevel="0" collapsed="false">
      <c r="A37" s="10" t="n">
        <v>0.09</v>
      </c>
      <c r="B37" s="8" t="n">
        <f aca="false">SUMPRODUCT($C$11:$G$11,1/(1+$A37)^$C$13:$G$13)+$G$11*(1+B$36)/($A37-B$36)/(1+$A37)^$G$13</f>
        <v>238582573.085864</v>
      </c>
      <c r="C37" s="8" t="n">
        <f aca="false">SUMPRODUCT($C$11:$G$11,1/(1+$A37)^$C$13:$G$13)+$G$11*(1+C$36)/($A37-C$36)/(1+$A37)^$G$13</f>
        <v>252215105.037254</v>
      </c>
      <c r="D37" s="8" t="n">
        <f aca="false">SUMPRODUCT($C$11:$G$11,1/(1+$A37)^$C$13:$G$13)+$G$11*(1+D$36)/($A37-D$36)/(1+$A37)^$G$13</f>
        <v>267944949.59655</v>
      </c>
      <c r="E37" s="8" t="n">
        <f aca="false">SUMPRODUCT($C$11:$G$11,1/(1+$A37)^$C$13:$G$13)+$G$11*(1+E$36)/($A37-E$36)/(1+$A37)^$G$13</f>
        <v>286296434.915728</v>
      </c>
      <c r="F37" s="8" t="n">
        <f aca="false">SUMPRODUCT($C$11:$G$11,1/(1+$A37)^$C$13:$G$13)+$G$11*(1+F$36)/($A37-F$36)/(1+$A37)^$G$13</f>
        <v>307984553.929303</v>
      </c>
    </row>
    <row r="38" customFormat="false" ht="15" hidden="false" customHeight="false" outlineLevel="0" collapsed="false">
      <c r="A38" s="10" t="n">
        <v>0.095</v>
      </c>
      <c r="B38" s="8" t="n">
        <f aca="false">SUMPRODUCT($C$11:$G$11,1/(1+$A38)^$C$13:$G$13)+$G$11*(1+B$36)/($A38-B$36)/(1+$A38)^$G$13</f>
        <v>222844947.776519</v>
      </c>
      <c r="C38" s="8" t="n">
        <f aca="false">SUMPRODUCT($C$11:$G$11,1/(1+$A38)^$C$13:$G$13)+$G$11*(1+C$36)/($A38-C$36)/(1+$A38)^$G$13</f>
        <v>234557029.451937</v>
      </c>
      <c r="D38" s="8" t="n">
        <f aca="false">SUMPRODUCT($C$11:$G$11,1/(1+$A38)^$C$13:$G$13)+$G$11*(1+D$36)/($A38-D$36)/(1+$A38)^$G$13</f>
        <v>247942265.652415</v>
      </c>
      <c r="E38" s="8" t="n">
        <f aca="false">SUMPRODUCT($C$11:$G$11,1/(1+$A38)^$C$13:$G$13)+$G$11*(1+E$36)/($A38-E$36)/(1+$A38)^$G$13</f>
        <v>263386768.960659</v>
      </c>
      <c r="F38" s="8" t="n">
        <f aca="false">SUMPRODUCT($C$11:$G$11,1/(1+$A38)^$C$13:$G$13)+$G$11*(1+F$36)/($A38-F$36)/(1+$A38)^$G$13</f>
        <v>281405356.15361</v>
      </c>
    </row>
    <row r="39" customFormat="false" ht="15" hidden="false" customHeight="false" outlineLevel="0" collapsed="false">
      <c r="A39" s="10" t="n">
        <v>0.1</v>
      </c>
      <c r="B39" s="8" t="n">
        <f aca="false">SUMPRODUCT($C$11:$G$11,1/(1+$A39)^$C$13:$G$13)+$G$11*(1+B$36)/($A39-B$36)/(1+$A39)^$G$13</f>
        <v>208971866.571885</v>
      </c>
      <c r="C39" s="8" t="n">
        <f aca="false">SUMPRODUCT($C$11:$G$11,1/(1+$A39)^$C$13:$G$13)+$G$11*(1+C$36)/($A39-C$36)/(1+$A39)^$G$13</f>
        <v>219119439.147255</v>
      </c>
      <c r="D39" s="8" t="n">
        <f aca="false">SUMPRODUCT($C$11:$G$11,1/(1+$A39)^$C$13:$G$13)+$G$11*(1+D$36)/($A39-D$36)/(1+$A39)^$G$13</f>
        <v>230620021.399341</v>
      </c>
      <c r="E39" s="8" t="n">
        <f aca="false">SUMPRODUCT($C$11:$G$11,1/(1+$A39)^$C$13:$G$13)+$G$11*(1+E$36)/($A39-E$36)/(1+$A39)^$G$13</f>
        <v>243763543.973154</v>
      </c>
      <c r="F39" s="8" t="n">
        <f aca="false">SUMPRODUCT($C$11:$G$11,1/(1+$A39)^$C$13:$G$13)+$G$11*(1+F$36)/($A39-F$36)/(1+$A39)^$G$13</f>
        <v>258929146.942938</v>
      </c>
    </row>
    <row r="40" customFormat="false" ht="15" hidden="false" customHeight="false" outlineLevel="0" collapsed="false">
      <c r="A40" s="10" t="n">
        <v>0.105</v>
      </c>
      <c r="B40" s="8" t="n">
        <f aca="false">SUMPRODUCT($C$11:$G$11,1/(1+$A40)^$C$13:$G$13)+$G$11*(1+B$36)/($A40-B$36)/(1+$A40)^$G$13</f>
        <v>196652298.816993</v>
      </c>
      <c r="C40" s="8" t="n">
        <f aca="false">SUMPRODUCT($C$11:$G$11,1/(1+$A40)^$C$13:$G$13)+$G$11*(1+C$36)/($A40-C$36)/(1+$A40)^$G$13</f>
        <v>205510208.996715</v>
      </c>
      <c r="D40" s="8" t="n">
        <f aca="false">SUMPRODUCT($C$11:$G$11,1/(1+$A40)^$C$13:$G$13)+$G$11*(1+D$36)/($A40-D$36)/(1+$A40)^$G$13</f>
        <v>215475357.948902</v>
      </c>
      <c r="E40" s="8" t="n">
        <f aca="false">SUMPRODUCT($C$11:$G$11,1/(1+$A40)^$C$13:$G$13)+$G$11*(1+E$36)/($A40-E$36)/(1+$A40)^$G$13</f>
        <v>226769193.428048</v>
      </c>
      <c r="F40" s="8" t="n">
        <f aca="false">SUMPRODUCT($C$11:$G$11,1/(1+$A40)^$C$13:$G$13)+$G$11*(1+F$36)/($A40-F$36)/(1+$A40)^$G$13</f>
        <v>239676433.975643</v>
      </c>
    </row>
    <row r="41" customFormat="false" ht="15" hidden="false" customHeight="false" outlineLevel="0" collapsed="false">
      <c r="A41" s="10" t="n">
        <v>0.11</v>
      </c>
      <c r="B41" s="8" t="n">
        <f aca="false">SUMPRODUCT($C$11:$G$11,1/(1+$A41)^$C$13:$G$13)+$G$11*(1+B$36)/($A41-B$36)/(1+$A41)^$G$13</f>
        <v>185640701.020761</v>
      </c>
      <c r="C41" s="8" t="n">
        <f aca="false">SUMPRODUCT($C$11:$G$11,1/(1+$A41)^$C$13:$G$13)+$G$11*(1+C$36)/($A41-C$36)/(1+$A41)^$G$13</f>
        <v>193424359.808969</v>
      </c>
      <c r="D41" s="8" t="n">
        <f aca="false">SUMPRODUCT($C$11:$G$11,1/(1+$A41)^$C$13:$G$13)+$G$11*(1+D$36)/($A41-D$36)/(1+$A41)^$G$13</f>
        <v>202123743.160496</v>
      </c>
      <c r="E41" s="8" t="n">
        <f aca="false">SUMPRODUCT($C$11:$G$11,1/(1+$A41)^$C$13:$G$13)+$G$11*(1+E$36)/($A41-E$36)/(1+$A41)^$G$13</f>
        <v>211910549.430963</v>
      </c>
      <c r="F41" s="8" t="n">
        <f aca="false">SUMPRODUCT($C$11:$G$11,1/(1+$A41)^$C$13:$G$13)+$G$11*(1+F$36)/($A41-F$36)/(1+$A41)^$G$13</f>
        <v>223002263.20416</v>
      </c>
    </row>
    <row r="43" customFormat="false" ht="15" hidden="false" customHeight="false" outlineLevel="0" collapsed="false">
      <c r="A43" s="4" t="s">
        <v>261</v>
      </c>
      <c r="B43" s="8" t="n">
        <f aca="false">D39-B20</f>
        <v>0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1"/>
    <col collapsed="false" customWidth="true" hidden="false" outlineLevel="0" max="2" min="2" style="0" width="18"/>
  </cols>
  <sheetData>
    <row r="1" customFormat="false" ht="24.75" hidden="false" customHeight="true" outlineLevel="0" collapsed="false">
      <c r="A1" s="11" t="s">
        <v>262</v>
      </c>
      <c r="B1" s="11"/>
      <c r="C1" s="11"/>
      <c r="D1" s="11"/>
      <c r="E1" s="11"/>
      <c r="F1" s="11"/>
      <c r="G1" s="11"/>
    </row>
    <row r="2" customFormat="false" ht="15" hidden="false" customHeight="false" outlineLevel="0" collapsed="false">
      <c r="A2" s="12" t="s">
        <v>263</v>
      </c>
      <c r="B2" s="12"/>
      <c r="C2" s="12"/>
      <c r="D2" s="12"/>
      <c r="E2" s="12"/>
      <c r="F2" s="12"/>
      <c r="G2" s="12"/>
    </row>
    <row r="3" customFormat="false" ht="15" hidden="false" customHeight="false" outlineLevel="0" collapsed="false">
      <c r="A3" s="4"/>
      <c r="B3" s="4"/>
    </row>
    <row r="4" customFormat="false" ht="15" hidden="false" customHeight="false" outlineLevel="0" collapsed="false">
      <c r="A4" s="3" t="s">
        <v>264</v>
      </c>
      <c r="B4" s="3" t="s">
        <v>265</v>
      </c>
    </row>
    <row r="5" customFormat="false" ht="15" hidden="false" customHeight="false" outlineLevel="0" collapsed="false">
      <c r="A5" s="4" t="s">
        <v>266</v>
      </c>
      <c r="B5" s="8" t="n">
        <f aca="false">Operations!B26</f>
        <v>22460000</v>
      </c>
    </row>
    <row r="6" customFormat="false" ht="15" hidden="false" customHeight="false" outlineLevel="0" collapsed="false">
      <c r="A6" s="4" t="s">
        <v>267</v>
      </c>
      <c r="B6" s="27" t="n">
        <f aca="false">B23</f>
        <v>10</v>
      </c>
    </row>
    <row r="7" customFormat="false" ht="15" hidden="false" customHeight="false" outlineLevel="0" collapsed="false">
      <c r="A7" s="4" t="s">
        <v>268</v>
      </c>
      <c r="B7" s="8" t="n">
        <f aca="false">B5*B6</f>
        <v>224600000</v>
      </c>
    </row>
    <row r="8" customFormat="false" ht="15" hidden="false" customHeight="false" outlineLevel="0" collapsed="false">
      <c r="A8" s="4" t="s">
        <v>269</v>
      </c>
      <c r="B8" s="8" t="n">
        <f aca="false">B7*B24</f>
        <v>4492000</v>
      </c>
    </row>
    <row r="9" customFormat="false" ht="15" hidden="false" customHeight="false" outlineLevel="0" collapsed="false">
      <c r="A9" s="4" t="s">
        <v>270</v>
      </c>
      <c r="B9" s="8" t="n">
        <f aca="false">Assumptions!B22</f>
        <v>5000000</v>
      </c>
    </row>
    <row r="10" customFormat="false" ht="15" hidden="false" customHeight="false" outlineLevel="0" collapsed="false">
      <c r="A10" s="21" t="s">
        <v>271</v>
      </c>
      <c r="B10" s="22" t="n">
        <f aca="false">SUM(B7:B9)</f>
        <v>234092000</v>
      </c>
    </row>
    <row r="11" customFormat="false" ht="15" hidden="false" customHeight="false" outlineLevel="0" collapsed="false">
      <c r="A11" s="40" t="s">
        <v>272</v>
      </c>
      <c r="B11" s="42" t="n">
        <f aca="false">B5*B25</f>
        <v>101070000</v>
      </c>
    </row>
    <row r="12" customFormat="false" ht="15" hidden="false" customHeight="false" outlineLevel="0" collapsed="false">
      <c r="A12" s="40" t="s">
        <v>273</v>
      </c>
      <c r="B12" s="42" t="n">
        <f aca="false">B10-B11</f>
        <v>133022000</v>
      </c>
    </row>
    <row r="13" customFormat="false" ht="15" hidden="false" customHeight="false" outlineLevel="0" collapsed="false">
      <c r="A13" s="35" t="s">
        <v>274</v>
      </c>
      <c r="B13" s="39" t="n">
        <f aca="false">B11+B12-B10</f>
        <v>0</v>
      </c>
    </row>
    <row r="14" customFormat="false" ht="15" hidden="false" customHeight="false" outlineLevel="0" collapsed="false">
      <c r="A14" s="4" t="s">
        <v>275</v>
      </c>
      <c r="B14" s="8" t="n">
        <f aca="false">Operations!G26</f>
        <v>39599165.6200998</v>
      </c>
    </row>
    <row r="15" customFormat="false" ht="15" hidden="false" customHeight="false" outlineLevel="0" collapsed="false">
      <c r="A15" s="4" t="s">
        <v>276</v>
      </c>
      <c r="B15" s="27" t="n">
        <f aca="false">Scenarios!E13</f>
        <v>9</v>
      </c>
    </row>
    <row r="16" customFormat="false" ht="15" hidden="false" customHeight="false" outlineLevel="0" collapsed="false">
      <c r="A16" s="4" t="s">
        <v>277</v>
      </c>
      <c r="B16" s="8" t="n">
        <f aca="false">B14*B15</f>
        <v>356392490.580899</v>
      </c>
    </row>
    <row r="17" customFormat="false" ht="15" hidden="false" customHeight="false" outlineLevel="0" collapsed="false">
      <c r="A17" s="4" t="s">
        <v>278</v>
      </c>
      <c r="B17" s="8" t="n">
        <f aca="false">IF('Error Switches'!$C$12=1,Debt!G18,'LBO Debt'!G16)</f>
        <v>43175718.4663485</v>
      </c>
    </row>
    <row r="18" customFormat="false" ht="15" hidden="false" customHeight="false" outlineLevel="0" collapsed="false">
      <c r="A18" s="21" t="s">
        <v>279</v>
      </c>
      <c r="B18" s="22" t="n">
        <f aca="false">B16-B17</f>
        <v>313216772.11455</v>
      </c>
    </row>
    <row r="19" customFormat="false" ht="15" hidden="false" customHeight="false" outlineLevel="0" collapsed="false">
      <c r="A19" s="40" t="s">
        <v>35</v>
      </c>
      <c r="B19" s="47" t="n">
        <f aca="false">B18/B12</f>
        <v>2.35462383751973</v>
      </c>
    </row>
    <row r="20" customFormat="false" ht="15" hidden="false" customHeight="false" outlineLevel="0" collapsed="false">
      <c r="A20" s="35" t="s">
        <v>36</v>
      </c>
      <c r="B20" s="37" t="n">
        <f aca="false">B19^(1/5)-1</f>
        <v>0.186818499566411</v>
      </c>
    </row>
    <row r="22" customFormat="false" ht="15" hidden="false" customHeight="false" outlineLevel="0" collapsed="false">
      <c r="A22" s="3" t="s">
        <v>280</v>
      </c>
    </row>
    <row r="23" customFormat="false" ht="15" hidden="false" customHeight="false" outlineLevel="0" collapsed="false">
      <c r="A23" s="4" t="s">
        <v>281</v>
      </c>
      <c r="B23" s="27" t="n">
        <v>10</v>
      </c>
    </row>
    <row r="24" customFormat="false" ht="15" hidden="false" customHeight="false" outlineLevel="0" collapsed="false">
      <c r="A24" s="4" t="s">
        <v>282</v>
      </c>
      <c r="B24" s="10" t="n">
        <v>0.02</v>
      </c>
    </row>
    <row r="25" customFormat="false" ht="15" hidden="false" customHeight="false" outlineLevel="0" collapsed="false">
      <c r="A25" s="4" t="s">
        <v>283</v>
      </c>
      <c r="B25" s="27" t="n">
        <v>4.5</v>
      </c>
    </row>
    <row r="26" customFormat="false" ht="15" hidden="false" customHeight="false" outlineLevel="0" collapsed="false">
      <c r="A26" s="4" t="s">
        <v>284</v>
      </c>
      <c r="B26" s="10" t="n">
        <v>0.085</v>
      </c>
    </row>
    <row r="27" customFormat="false" ht="15" hidden="false" customHeight="false" outlineLevel="0" collapsed="false">
      <c r="A27" s="4" t="s">
        <v>285</v>
      </c>
      <c r="B27" s="10" t="n">
        <v>0.01</v>
      </c>
    </row>
    <row r="28" customFormat="false" ht="15" hidden="false" customHeight="false" outlineLevel="0" collapsed="false">
      <c r="A28" s="4"/>
      <c r="B28" s="8"/>
    </row>
    <row r="29" customFormat="false" ht="15" hidden="false" customHeight="false" outlineLevel="0" collapsed="false">
      <c r="A29" s="3" t="s">
        <v>286</v>
      </c>
      <c r="B29" s="8"/>
    </row>
    <row r="30" customFormat="false" ht="15" hidden="false" customHeight="false" outlineLevel="0" collapsed="false">
      <c r="A30" s="4" t="s">
        <v>287</v>
      </c>
      <c r="B30" s="10" t="n">
        <f aca="false">B12</f>
        <v>133022000</v>
      </c>
    </row>
    <row r="31" customFormat="false" ht="15" hidden="false" customHeight="false" outlineLevel="0" collapsed="false">
      <c r="A31" s="4" t="s">
        <v>288</v>
      </c>
      <c r="B31" s="10" t="n">
        <f aca="false">(B14-B5)*B6</f>
        <v>171391656.200998</v>
      </c>
    </row>
    <row r="32" customFormat="false" ht="15" hidden="false" customHeight="false" outlineLevel="0" collapsed="false">
      <c r="A32" s="4" t="s">
        <v>289</v>
      </c>
      <c r="B32" s="10" t="n">
        <f aca="false">(B15-B6)*B14</f>
        <v>-39599165.6200998</v>
      </c>
    </row>
    <row r="33" customFormat="false" ht="15" hidden="false" customHeight="false" outlineLevel="0" collapsed="false">
      <c r="A33" s="4" t="s">
        <v>290</v>
      </c>
      <c r="B33" s="10" t="n">
        <f aca="false">'LBO Debt'!B16-B17</f>
        <v>52894281.5336515</v>
      </c>
    </row>
    <row r="34" customFormat="false" ht="15" hidden="false" customHeight="false" outlineLevel="0" collapsed="false">
      <c r="A34" s="4" t="s">
        <v>291</v>
      </c>
      <c r="B34" s="10" t="n">
        <f aca="false">-B8</f>
        <v>-4492000</v>
      </c>
    </row>
    <row r="35" customFormat="false" ht="15" hidden="false" customHeight="false" outlineLevel="0" collapsed="false">
      <c r="A35" s="4" t="s">
        <v>292</v>
      </c>
      <c r="B35" s="10" t="n">
        <f aca="false">SUM(B30:B34)</f>
        <v>313216772.11455</v>
      </c>
    </row>
    <row r="36" customFormat="false" ht="15" hidden="false" customHeight="false" outlineLevel="0" collapsed="false">
      <c r="A36" s="4" t="s">
        <v>293</v>
      </c>
      <c r="B36" s="10" t="n">
        <f aca="false">B35-B18</f>
        <v>0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7" min="2" style="0" width="14"/>
  </cols>
  <sheetData>
    <row r="1" customFormat="false" ht="15" hidden="false" customHeight="false" outlineLevel="0" collapsed="false">
      <c r="A1" s="1" t="s">
        <v>294</v>
      </c>
    </row>
    <row r="2" customFormat="false" ht="15" hidden="false" customHeight="false" outlineLevel="0" collapsed="false">
      <c r="A2" s="2" t="s">
        <v>295</v>
      </c>
    </row>
    <row r="4" customFormat="false" ht="15" hidden="false" customHeight="false" outlineLevel="0" collapsed="false">
      <c r="A4" s="4"/>
      <c r="B4" s="4"/>
      <c r="C4" s="4"/>
      <c r="D4" s="4"/>
      <c r="E4" s="4"/>
      <c r="F4" s="4"/>
      <c r="G4" s="4"/>
    </row>
    <row r="5" customFormat="false" ht="15" hidden="false" customHeight="false" outlineLevel="0" collapsed="false">
      <c r="A5" s="4" t="s">
        <v>296</v>
      </c>
      <c r="B5" s="8"/>
      <c r="C5" s="8" t="n">
        <f aca="false">B14</f>
        <v>101070000</v>
      </c>
      <c r="D5" s="8" t="n">
        <f aca="false">C14</f>
        <v>95931098.9708219</v>
      </c>
      <c r="E5" s="8" t="n">
        <f aca="false">D14</f>
        <v>88452150.1649102</v>
      </c>
      <c r="F5" s="8" t="n">
        <f aca="false">E14</f>
        <v>78325004.1248045</v>
      </c>
      <c r="G5" s="8" t="n">
        <f aca="false">F14</f>
        <v>64283263.3952374</v>
      </c>
    </row>
    <row r="6" customFormat="false" ht="15" hidden="false" customHeight="false" outlineLevel="0" collapsed="false">
      <c r="A6" s="4" t="s">
        <v>297</v>
      </c>
      <c r="B6" s="8"/>
      <c r="C6" s="8" t="n">
        <f aca="false">MIN(LBO!$B$11*LBO!$B$27,C5)</f>
        <v>1010700</v>
      </c>
      <c r="D6" s="8" t="n">
        <f aca="false">MIN(LBO!$B$11*LBO!$B$27,D5)</f>
        <v>1010700</v>
      </c>
      <c r="E6" s="8" t="n">
        <f aca="false">MIN(LBO!$B$11*LBO!$B$27,E5)</f>
        <v>1010700</v>
      </c>
      <c r="F6" s="8" t="n">
        <f aca="false">MIN(LBO!$B$11*LBO!$B$27,F5)</f>
        <v>1010700</v>
      </c>
      <c r="G6" s="8" t="n">
        <f aca="false">MIN(LBO!$B$11*LBO!$B$27,G5)</f>
        <v>1010700</v>
      </c>
    </row>
    <row r="7" customFormat="false" ht="15" hidden="false" customHeight="false" outlineLevel="0" collapsed="false">
      <c r="A7" s="4" t="s">
        <v>298</v>
      </c>
      <c r="B7" s="8"/>
      <c r="C7" s="8" t="n">
        <f aca="false">(C5+B20)*LBO!$B$26</f>
        <v>8590950</v>
      </c>
      <c r="D7" s="8" t="n">
        <f aca="false">(D5+C20)*LBO!$B$26</f>
        <v>8154143.41251986</v>
      </c>
      <c r="E7" s="8" t="n">
        <f aca="false">(E5+D20)*LBO!$B$26</f>
        <v>7518432.76401736</v>
      </c>
      <c r="F7" s="8" t="n">
        <f aca="false">(F5+E20)*LBO!$B$26</f>
        <v>6657625.35060839</v>
      </c>
      <c r="G7" s="8" t="n">
        <f aca="false">(G5+F20)*LBO!$B$26</f>
        <v>5464077.38859518</v>
      </c>
    </row>
    <row r="8" customFormat="false" ht="15" hidden="false" customHeight="false" outlineLevel="0" collapsed="false">
      <c r="A8" s="4" t="s">
        <v>206</v>
      </c>
      <c r="B8" s="8"/>
      <c r="C8" s="8" t="n">
        <f aca="false">C7*(1-Assumptions!C20)</f>
        <v>6443212.5</v>
      </c>
      <c r="D8" s="8" t="n">
        <f aca="false">D7*(1-Assumptions!D20)</f>
        <v>6115607.5593899</v>
      </c>
      <c r="E8" s="8" t="n">
        <f aca="false">E7*(1-Assumptions!E20)</f>
        <v>5638824.57301302</v>
      </c>
      <c r="F8" s="8" t="n">
        <f aca="false">F7*(1-Assumptions!F20)</f>
        <v>4993219.01295629</v>
      </c>
      <c r="G8" s="8" t="n">
        <f aca="false">G7*(1-Assumptions!G20)</f>
        <v>4098058.04144638</v>
      </c>
    </row>
    <row r="9" customFormat="false" ht="15" hidden="false" customHeight="false" outlineLevel="0" collapsed="false">
      <c r="A9" s="4" t="s">
        <v>204</v>
      </c>
      <c r="B9" s="8"/>
      <c r="C9" s="8" t="n">
        <f aca="false">B15</f>
        <v>5000000</v>
      </c>
      <c r="D9" s="8" t="n">
        <f aca="false">C15</f>
        <v>5000000</v>
      </c>
      <c r="E9" s="8" t="n">
        <f aca="false">D15</f>
        <v>5000000</v>
      </c>
      <c r="F9" s="8" t="n">
        <f aca="false">E15</f>
        <v>5000000</v>
      </c>
      <c r="G9" s="8" t="n">
        <f aca="false">F15</f>
        <v>5000000</v>
      </c>
    </row>
    <row r="10" customFormat="false" ht="15" hidden="false" customHeight="false" outlineLevel="0" collapsed="false">
      <c r="A10" s="4" t="s">
        <v>239</v>
      </c>
      <c r="B10" s="8"/>
      <c r="C10" s="8" t="n">
        <f aca="false">DCF!C11</f>
        <v>11582113.5291781</v>
      </c>
      <c r="D10" s="8" t="n">
        <f aca="false">DCF!D11</f>
        <v>13594556.3653017</v>
      </c>
      <c r="E10" s="8" t="n">
        <f aca="false">DCF!E11</f>
        <v>15765970.6131186</v>
      </c>
      <c r="F10" s="8" t="n">
        <f aca="false">DCF!F11</f>
        <v>19034959.7425234</v>
      </c>
      <c r="G10" s="8" t="n">
        <f aca="false">DCF!G11</f>
        <v>20205602.9703353</v>
      </c>
    </row>
    <row r="11" customFormat="false" ht="15" hidden="false" customHeight="false" outlineLevel="0" collapsed="false">
      <c r="A11" s="4" t="s">
        <v>299</v>
      </c>
      <c r="B11" s="8"/>
      <c r="C11" s="8" t="n">
        <f aca="false">C9+C10-C8-C6</f>
        <v>9128201.02917808</v>
      </c>
      <c r="D11" s="8" t="n">
        <f aca="false">D9+D10-D8-D6</f>
        <v>11468248.8059118</v>
      </c>
      <c r="E11" s="8" t="n">
        <f aca="false">E9+E10-E8-E6</f>
        <v>14116446.0401056</v>
      </c>
      <c r="F11" s="8" t="n">
        <f aca="false">F9+F10-F8-F6</f>
        <v>18031040.7295671</v>
      </c>
      <c r="G11" s="8" t="n">
        <f aca="false">G9+G10-G8-G6</f>
        <v>20096844.9288889</v>
      </c>
    </row>
    <row r="12" customFormat="false" ht="15" hidden="false" customHeight="false" outlineLevel="0" collapsed="false">
      <c r="A12" s="4" t="s">
        <v>208</v>
      </c>
      <c r="B12" s="8"/>
      <c r="C12" s="8" t="n">
        <f aca="false">MAX(-B20,Assumptions!C22-C11)</f>
        <v>-0</v>
      </c>
      <c r="D12" s="8" t="n">
        <f aca="false">MAX(-C20,Assumptions!D22-D11)</f>
        <v>-0</v>
      </c>
      <c r="E12" s="8" t="n">
        <f aca="false">MAX(-D20,Assumptions!E22-E11)</f>
        <v>-0</v>
      </c>
      <c r="F12" s="8" t="n">
        <f aca="false">MAX(-E20,Assumptions!F22-F11)</f>
        <v>-0</v>
      </c>
      <c r="G12" s="8" t="n">
        <f aca="false">MAX(-F20,Assumptions!G22-G11)</f>
        <v>-0</v>
      </c>
    </row>
    <row r="13" customFormat="false" ht="15" hidden="false" customHeight="false" outlineLevel="0" collapsed="false">
      <c r="A13" s="4" t="s">
        <v>300</v>
      </c>
      <c r="B13" s="8"/>
      <c r="C13" s="8" t="n">
        <f aca="false">MIN(MAX(0,C11+C12-Assumptions!C22),C5-C6)</f>
        <v>4128201.02917808</v>
      </c>
      <c r="D13" s="8" t="n">
        <f aca="false">MIN(MAX(0,D11+D12-Assumptions!D22),D5-D6)</f>
        <v>6468248.80591176</v>
      </c>
      <c r="E13" s="8" t="n">
        <f aca="false">MIN(MAX(0,E11+E12-Assumptions!E22),E5-E6)</f>
        <v>9116446.04010562</v>
      </c>
      <c r="F13" s="8" t="n">
        <f aca="false">MIN(MAX(0,F11+F12-Assumptions!F22),F5-F6)</f>
        <v>13031040.7295671</v>
      </c>
      <c r="G13" s="8" t="n">
        <f aca="false">MIN(MAX(0,G11+G12-Assumptions!G22),G5-G6)</f>
        <v>15096844.9288889</v>
      </c>
    </row>
    <row r="14" customFormat="false" ht="15" hidden="false" customHeight="false" outlineLevel="0" collapsed="false">
      <c r="A14" s="35" t="s">
        <v>301</v>
      </c>
      <c r="B14" s="38" t="n">
        <f aca="false">LBO!B11</f>
        <v>101070000</v>
      </c>
      <c r="C14" s="38" t="n">
        <f aca="false">C5-C6-C13</f>
        <v>95931098.9708219</v>
      </c>
      <c r="D14" s="38" t="n">
        <f aca="false">D5-D6-D13</f>
        <v>88452150.1649102</v>
      </c>
      <c r="E14" s="38" t="n">
        <f aca="false">E5-E6-E13</f>
        <v>78325004.1248045</v>
      </c>
      <c r="F14" s="38" t="n">
        <f aca="false">F5-F6-F13</f>
        <v>64283263.3952374</v>
      </c>
      <c r="G14" s="38" t="n">
        <f aca="false">G5-G6-G13</f>
        <v>48175718.4663485</v>
      </c>
    </row>
    <row r="15" customFormat="false" ht="15" hidden="false" customHeight="false" outlineLevel="0" collapsed="false">
      <c r="A15" s="35" t="s">
        <v>212</v>
      </c>
      <c r="B15" s="38" t="n">
        <f aca="false">LBO!B9</f>
        <v>5000000</v>
      </c>
      <c r="C15" s="38" t="n">
        <f aca="false">C11+C12-C13</f>
        <v>5000000</v>
      </c>
      <c r="D15" s="38" t="n">
        <f aca="false">D11+D12-D13</f>
        <v>5000000</v>
      </c>
      <c r="E15" s="38" t="n">
        <f aca="false">E11+E12-E13</f>
        <v>5000000</v>
      </c>
      <c r="F15" s="38" t="n">
        <f aca="false">F11+F12-F13</f>
        <v>5000000</v>
      </c>
      <c r="G15" s="38" t="n">
        <f aca="false">G11+G12-G13</f>
        <v>5000000</v>
      </c>
    </row>
    <row r="16" customFormat="false" ht="15" hidden="false" customHeight="false" outlineLevel="0" collapsed="false">
      <c r="A16" s="35" t="s">
        <v>302</v>
      </c>
      <c r="B16" s="38" t="n">
        <f aca="false">B14-B15</f>
        <v>96070000</v>
      </c>
      <c r="C16" s="38" t="n">
        <f aca="false">C14+C20-C15</f>
        <v>90931098.9708219</v>
      </c>
      <c r="D16" s="38" t="n">
        <f aca="false">D14+D20-D15</f>
        <v>83452150.1649102</v>
      </c>
      <c r="E16" s="38" t="n">
        <f aca="false">E14+E20-E15</f>
        <v>73325004.1248045</v>
      </c>
      <c r="F16" s="38" t="n">
        <f aca="false">F14+F20-F15</f>
        <v>59283263.3952374</v>
      </c>
      <c r="G16" s="38" t="n">
        <f aca="false">G14+G20-G15</f>
        <v>43175718.4663485</v>
      </c>
    </row>
    <row r="17" customFormat="false" ht="15" hidden="false" customHeight="false" outlineLevel="0" collapsed="false">
      <c r="A17" s="4" t="s">
        <v>303</v>
      </c>
      <c r="B17" s="9" t="n">
        <f aca="false">B16/Operations!B26</f>
        <v>4.27738201246661</v>
      </c>
      <c r="C17" s="9" t="n">
        <f aca="false">C16/Operations!C26</f>
        <v>3.51669128910556</v>
      </c>
      <c r="D17" s="9" t="n">
        <f aca="false">D16/Operations!D26</f>
        <v>2.83128174511576</v>
      </c>
      <c r="E17" s="9" t="n">
        <f aca="false">E16/Operations!E26</f>
        <v>2.21112119867437</v>
      </c>
      <c r="F17" s="9" t="n">
        <f aca="false">F16/Operations!F26</f>
        <v>1.6129648840317</v>
      </c>
      <c r="G17" s="9" t="n">
        <f aca="false">G16/Operations!G26</f>
        <v>1.090318894104</v>
      </c>
    </row>
    <row r="18" customFormat="false" ht="15" hidden="false" customHeight="false" outlineLevel="0" collapsed="false">
      <c r="A18" s="4" t="s">
        <v>304</v>
      </c>
      <c r="B18" s="9"/>
      <c r="C18" s="9" t="n">
        <f aca="false">Operations!C26/C7</f>
        <v>3.00979559885694</v>
      </c>
      <c r="D18" s="9" t="n">
        <f aca="false">Operations!D26/D7</f>
        <v>3.61473194049654</v>
      </c>
      <c r="E18" s="9" t="n">
        <f aca="false">Operations!E26/E7</f>
        <v>4.41074781355437</v>
      </c>
      <c r="F18" s="9" t="n">
        <f aca="false">Operations!F26/F7</f>
        <v>5.52061978942239</v>
      </c>
      <c r="G18" s="9" t="n">
        <f aca="false">Operations!G26/G7</f>
        <v>7.24718242511584</v>
      </c>
    </row>
    <row r="19" customFormat="false" ht="15" hidden="false" customHeight="false" outlineLevel="0" collapsed="false">
      <c r="A19" s="4" t="s">
        <v>305</v>
      </c>
      <c r="B19" s="8"/>
      <c r="C19" s="8" t="n">
        <f aca="false">C5-C6-C13-C14</f>
        <v>0</v>
      </c>
      <c r="D19" s="8" t="n">
        <f aca="false">D5-D6-D13-D14</f>
        <v>0</v>
      </c>
      <c r="E19" s="8" t="n">
        <f aca="false">E5-E6-E13-E14</f>
        <v>0</v>
      </c>
      <c r="F19" s="8" t="n">
        <f aca="false">F5-F6-F13-F14</f>
        <v>0</v>
      </c>
      <c r="G19" s="8" t="n">
        <f aca="false">G5-G6-G13-G14</f>
        <v>0</v>
      </c>
    </row>
    <row r="20" customFormat="false" ht="15" hidden="false" customHeight="false" outlineLevel="0" collapsed="false">
      <c r="A20" s="4" t="s">
        <v>211</v>
      </c>
      <c r="B20" s="38" t="n">
        <v>0</v>
      </c>
      <c r="C20" s="38" t="n">
        <f aca="false">B20+C12</f>
        <v>0</v>
      </c>
      <c r="D20" s="38" t="n">
        <f aca="false">C20+D12</f>
        <v>0</v>
      </c>
      <c r="E20" s="38" t="n">
        <f aca="false">D20+E12</f>
        <v>0</v>
      </c>
      <c r="F20" s="38" t="n">
        <f aca="false">E20+F12</f>
        <v>0</v>
      </c>
      <c r="G20" s="38" t="n">
        <f aca="false">F20+G12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6"/>
  </cols>
  <sheetData>
    <row r="1" customFormat="false" ht="24.75" hidden="false" customHeight="true" outlineLevel="0" collapsed="false">
      <c r="A1" s="11" t="s">
        <v>306</v>
      </c>
      <c r="B1" s="11"/>
      <c r="C1" s="11"/>
      <c r="D1" s="11"/>
      <c r="E1" s="11"/>
      <c r="F1" s="11"/>
      <c r="G1" s="11"/>
    </row>
    <row r="2" customFormat="false" ht="15" hidden="false" customHeight="false" outlineLevel="0" collapsed="false">
      <c r="A2" s="12" t="s">
        <v>307</v>
      </c>
      <c r="B2" s="12"/>
      <c r="C2" s="12"/>
      <c r="D2" s="12"/>
      <c r="E2" s="12"/>
      <c r="F2" s="12"/>
      <c r="G2" s="12"/>
    </row>
    <row r="3" customFormat="false" ht="15" hidden="false" customHeight="false" outlineLevel="0" collapsed="false">
      <c r="A3" s="4" t="s">
        <v>68</v>
      </c>
      <c r="B3" s="4" t="str">
        <f aca="false">B19</f>
        <v>PASS</v>
      </c>
      <c r="C3" s="4"/>
    </row>
    <row r="4" customFormat="false" ht="15" hidden="false" customHeight="false" outlineLevel="0" collapsed="false">
      <c r="A4" s="3" t="s">
        <v>308</v>
      </c>
      <c r="B4" s="3" t="s">
        <v>190</v>
      </c>
      <c r="C4" s="3" t="s">
        <v>309</v>
      </c>
    </row>
    <row r="5" customFormat="false" ht="15" hidden="false" customHeight="false" outlineLevel="0" collapsed="false">
      <c r="A5" s="4" t="s">
        <v>222</v>
      </c>
      <c r="B5" s="4" t="str">
        <f aca="false">IF(C5&lt;1,"PASS","FAIL")</f>
        <v>PASS</v>
      </c>
      <c r="C5" s="8" t="n">
        <f aca="false">MAX(ABS(Statements!B29),ABS(Statements!C29),ABS(Statements!D29),ABS(Statements!E29),ABS(Statements!F29),ABS(Statements!G29))</f>
        <v>0</v>
      </c>
    </row>
    <row r="6" customFormat="false" ht="15" hidden="false" customHeight="false" outlineLevel="0" collapsed="false">
      <c r="A6" s="4" t="s">
        <v>310</v>
      </c>
      <c r="B6" s="4" t="str">
        <f aca="false">IF(C6&lt;1,"PASS","FAIL")</f>
        <v>PASS</v>
      </c>
      <c r="C6" s="8" t="n">
        <f aca="false">MAX(ABS('Fixed Assets'!B10),ABS('Fixed Assets'!C10),ABS('Fixed Assets'!D10),ABS('Fixed Assets'!E10),ABS('Fixed Assets'!F10),ABS('Fixed Assets'!G10))</f>
        <v>0</v>
      </c>
    </row>
    <row r="7" customFormat="false" ht="15" hidden="false" customHeight="false" outlineLevel="0" collapsed="false">
      <c r="A7" s="4" t="s">
        <v>311</v>
      </c>
      <c r="B7" s="4" t="str">
        <f aca="false">IF(C7&lt;1,"PASS","FAIL")</f>
        <v>PASS</v>
      </c>
      <c r="C7" s="8" t="n">
        <f aca="false">MAX(ABS('Working Capital'!B13),ABS('Working Capital'!C13),ABS('Working Capital'!D13),ABS('Working Capital'!E13),ABS('Working Capital'!F13),ABS('Working Capital'!G13))</f>
        <v>0</v>
      </c>
    </row>
    <row r="8" customFormat="false" ht="15" hidden="false" customHeight="false" outlineLevel="0" collapsed="false">
      <c r="A8" s="4" t="s">
        <v>312</v>
      </c>
      <c r="B8" s="4" t="str">
        <f aca="false">IF(C8&lt;1,"PASS","FAIL")</f>
        <v>PASS</v>
      </c>
      <c r="C8" s="8" t="n">
        <f aca="false">ABS(LBO!B13)</f>
        <v>0</v>
      </c>
    </row>
    <row r="9" customFormat="false" ht="15" hidden="false" customHeight="false" outlineLevel="0" collapsed="false">
      <c r="A9" s="4" t="s">
        <v>313</v>
      </c>
      <c r="B9" s="4" t="str">
        <f aca="false">IF(C9&lt;1,"PASS","FAIL")</f>
        <v>PASS</v>
      </c>
      <c r="C9" s="8" t="n">
        <f aca="false">ABS(DCF!B25)</f>
        <v>0</v>
      </c>
    </row>
    <row r="10" customFormat="false" ht="15" hidden="false" customHeight="false" outlineLevel="0" collapsed="false">
      <c r="A10" s="4" t="s">
        <v>314</v>
      </c>
      <c r="B10" s="4" t="str">
        <f aca="false">IF(C10&lt;1,"PASS","FAIL")</f>
        <v>PASS</v>
      </c>
      <c r="C10" s="8" t="n">
        <f aca="false">IF(DCF!B15&gt;DCF!B16,0,1)</f>
        <v>0</v>
      </c>
    </row>
    <row r="11" customFormat="false" ht="15" hidden="false" customHeight="false" outlineLevel="0" collapsed="false">
      <c r="A11" s="4" t="s">
        <v>89</v>
      </c>
      <c r="B11" s="4" t="str">
        <f aca="false">IF(C11&lt;1,"PASS","FAIL")</f>
        <v>PASS</v>
      </c>
      <c r="C11" s="8" t="n">
        <f aca="false">MAX(0,Assumptions!B22-Debt!B17,Assumptions!C22-Debt!C17,Assumptions!D22-Debt!D17,Assumptions!E22-Debt!E17,Assumptions!F22-Debt!F17,Assumptions!G22-Debt!G17)</f>
        <v>0</v>
      </c>
    </row>
    <row r="12" customFormat="false" ht="15" hidden="false" customHeight="false" outlineLevel="0" collapsed="false">
      <c r="A12" s="4" t="s">
        <v>315</v>
      </c>
      <c r="B12" s="4" t="str">
        <f aca="false">IF(C12&lt;1,"PASS","FAIL")</f>
        <v>PASS</v>
      </c>
      <c r="C12" s="44" t="n">
        <f aca="false">COUNTBLANK(Scenarios!C17:G35)+COUNTBLANK(Scenarios!B23:B25)+COUNTBLANK(Scenarios!B27:B35)+COUNTBLANK(Historical!C15:C23)</f>
        <v>0</v>
      </c>
    </row>
    <row r="13" customFormat="false" ht="15" hidden="false" customHeight="false" outlineLevel="0" collapsed="false">
      <c r="A13" s="4" t="s">
        <v>316</v>
      </c>
      <c r="B13" s="4" t="str">
        <f aca="false">IF(C13&lt;1,"PASS","FAIL")</f>
        <v>PASS</v>
      </c>
      <c r="C13" s="8" t="n">
        <f aca="false">MAX(ABS(Statements!B44),ABS(Statements!C44),ABS(Statements!D44),ABS(Statements!E44),ABS(Statements!F44),ABS(Statements!G44))</f>
        <v>0</v>
      </c>
    </row>
    <row r="14" customFormat="false" ht="15" hidden="false" customHeight="false" outlineLevel="0" collapsed="false">
      <c r="A14" s="4" t="s">
        <v>317</v>
      </c>
      <c r="B14" s="4" t="str">
        <f aca="false">IF(C14&lt;1,"PASS","FAIL")</f>
        <v>PASS</v>
      </c>
      <c r="C14" s="8" t="n">
        <f aca="false">MAX(ABS('LBO Debt'!C19),ABS('LBO Debt'!D19),ABS('LBO Debt'!E19),ABS('LBO Debt'!F19),ABS('LBO Debt'!G19))+MAX(0,Assumptions!C22-'LBO Debt'!C15,Assumptions!D22-'LBO Debt'!D15,Assumptions!E22-'LBO Debt'!E15,Assumptions!F22-'LBO Debt'!F15,Assumptions!G22-'LBO Debt'!G15)</f>
        <v>0</v>
      </c>
    </row>
    <row r="15" customFormat="false" ht="15" hidden="false" customHeight="false" outlineLevel="0" collapsed="false">
      <c r="A15" s="4" t="s">
        <v>286</v>
      </c>
      <c r="B15" s="4" t="str">
        <f aca="false">IF(C15&lt;1,"PASS","FAIL")</f>
        <v>PASS</v>
      </c>
      <c r="C15" s="8" t="n">
        <f aca="false">ABS(LBO!B36)</f>
        <v>0</v>
      </c>
    </row>
    <row r="16" customFormat="false" ht="15" hidden="false" customHeight="false" outlineLevel="0" collapsed="false">
      <c r="A16" s="4" t="s">
        <v>318</v>
      </c>
      <c r="B16" s="4" t="str">
        <f aca="false">IF(C16&lt;1,"PASS","FAIL")</f>
        <v>PASS</v>
      </c>
      <c r="C16" s="8" t="n">
        <f aca="false">ABS(Historical!C25)+ABS(Historical!C28)+ABS(Historical!C29)+ABS(Historical!C30)</f>
        <v>0</v>
      </c>
    </row>
    <row r="17" customFormat="false" ht="15" hidden="false" customHeight="false" outlineLevel="0" collapsed="false">
      <c r="A17" s="4" t="s">
        <v>319</v>
      </c>
      <c r="B17" s="4" t="str">
        <f aca="false">IF(C17&lt;1,"PASS","FAIL")</f>
        <v>PASS</v>
      </c>
      <c r="C17" s="8" t="n">
        <f aca="false">ABS(DCF!B43)</f>
        <v>0</v>
      </c>
    </row>
    <row r="18" customFormat="false" ht="15" hidden="false" customHeight="false" outlineLevel="0" collapsed="false">
      <c r="A18" s="4" t="s">
        <v>320</v>
      </c>
      <c r="B18" s="4" t="str">
        <f aca="false">IF(C18&lt;1,"PASS","FAIL")</f>
        <v>PASS</v>
      </c>
      <c r="C18" s="8" t="n">
        <f aca="false">COUNTIF(Scenarios!F37:F47,"REFRESH")</f>
        <v>0</v>
      </c>
    </row>
    <row r="19" customFormat="false" ht="15" hidden="false" customHeight="false" outlineLevel="0" collapsed="false">
      <c r="A19" s="31" t="s">
        <v>321</v>
      </c>
      <c r="B19" s="48" t="str">
        <f aca="false">IF(COUNTIF(B5:B18,"PASS")=14,"PASS","FAIL")</f>
        <v>PASS</v>
      </c>
      <c r="C19" s="49"/>
    </row>
  </sheetData>
  <mergeCells count="2">
    <mergeCell ref="A1:G1"/>
    <mergeCell ref="A2:G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2026-09-24T20:34:11Z</dcterms:created>
  <dc:creator>openpyxl</dc:creator>
  <dc:description/>
  <dc:language>en-US</dc:language>
  <cp:lastModifiedBy/>
  <dcterms:modified xsi:type="dcterms:W3CDTF">2026-09-24T21:22:51Z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