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What the NAV Is Made Of" sheetId="3" state="visible" r:id="rId5"/>
    <sheet name="Unsmoothing" sheetId="4" state="visible" r:id="rId6"/>
    <sheet name="The Bid" sheetId="5" state="visible" r:id="rId7"/>
    <sheet name="Checks" sheetId="6" state="visible" r:id="rId8"/>
  </sheets>
  <definedNames>
    <definedName function="false" hidden="false" name="AlderCarried" vbProcedure="false">Inputs!$B$19</definedName>
    <definedName function="false" hidden="false" name="AlderCost" vbProcedure="false">Inputs!$B$31</definedName>
    <definedName function="false" hidden="false" name="AlderFix" vbProcedure="false">Inputs!$B$21</definedName>
    <definedName function="false" hidden="false" name="AlderLoan" vbProcedure="false">Inputs!$B$20</definedName>
    <definedName function="false" hidden="false" name="AlderMR" vbProcedure="false">Inputs!$B$30</definedName>
    <definedName function="false" hidden="false" name="AlderOver" vbProcedure="false">Inputs!$B$33</definedName>
    <definedName function="false" hidden="false" name="AlderRate" vbProcedure="false">Inputs!$B$35</definedName>
    <definedName function="false" hidden="false" name="AlderTerm" vbProcedure="false">Inputs!$B$34</definedName>
    <definedName function="false" hidden="false" name="AlderYield" vbProcedure="false">Inputs!$B$32</definedName>
    <definedName function="false" hidden="false" name="Ask" vbProcedure="false">Inputs!$B$15</definedName>
    <definedName function="false" hidden="false" name="Coef" vbProcedure="false">Inputs!$B$10</definedName>
    <definedName function="false" hidden="false" name="Debt" vbProcedure="false">Inputs!$B$9</definedName>
    <definedName function="false" hidden="false" name="ExitHigh" vbProcedure="false">Inputs!$B$26</definedName>
    <definedName function="false" hidden="false" name="ExitLow" vbProcedure="false">Inputs!$B$25</definedName>
    <definedName function="false" hidden="false" name="GrossNow" vbProcedure="false">Inputs!$B$7</definedName>
    <definedName function="false" hidden="false" name="GrossPrior" vbProcedure="false">Inputs!$B$8</definedName>
    <definedName function="false" hidden="false" name="NAVcorr" vbProcedure="false">Unsmoothing!$B$26</definedName>
    <definedName function="false" hidden="false" name="NAVrep" vbProcedure="false">'What the NAV Is Made Of'!$B$8</definedName>
    <definedName function="false" hidden="false" name="Stake" vbProcedure="false">Inputs!$B$14</definedName>
    <definedName function="false" hidden="false" name="TrueGross" vbProcedure="false">Unsmoothing!$B$17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<sst xmlns="http://schemas.openxmlformats.org/spreadsheetml/2006/main" count="258" uniqueCount="193">
  <si>
    <t xml:space="preserve">Workbook 4 - Unsmoothing and the Bid</t>
  </si>
  <si>
    <t xml:space="preserve">Companion to Real Estate Finance by Julian R. Sterling</t>
  </si>
  <si>
    <t xml:space="preserve">What this workbook does</t>
  </si>
  <si>
    <t xml:space="preserve">It takes a reported net asset value apart, removes the smoothing that every appraisal-based series carries, and turns the result into the price a disciplined buyer can actually pay.</t>
  </si>
  <si>
    <t xml:space="preserve">How to use it</t>
  </si>
  <si>
    <t xml:space="preserve">1.  Inputs. Two reported gross values, the debt, the coefficient, and the trade.</t>
  </si>
  <si>
    <t xml:space="preserve">2.  What the NAV Is Made Of. The six components, and the leverage multiplier that decides everything that follows.</t>
  </si>
  <si>
    <t xml:space="preserve">3.  Unsmoothing. Two reported values, one coefficient, one line of arithmetic.</t>
  </si>
  <si>
    <t xml:space="preserve">4.  The Bid. The apparent discount, the real one, the sensitivity table across the plausible range of coefficients, and both corrections together.</t>
  </si>
  <si>
    <t xml:space="preserve">5.  Checks. 44 figures printed in Chapters 16 to 18, each reproduced by a formula here.</t>
  </si>
  <si>
    <t xml:space="preserve">The one judgement</t>
  </si>
  <si>
    <t xml:space="preserve">The coefficient a. Empirical estimates for institutional appraisal fall between 0.4 and 0.8, with 0.6 a common central figure for quarterly valuations. Present the range, not the point - the table is what goes to an investment committee, not a single corrected number.</t>
  </si>
  <si>
    <t xml:space="preserve">Two things the technique is not</t>
  </si>
  <si>
    <t xml:space="preserve">It is not a one-way street. Smoothing lags in both directions: in a rising market reported values are too low and the correction increases net asset value. Applying it only when it helps is advocacy, not analysis.</t>
  </si>
  <si>
    <t xml:space="preserve">It is not a substitute for asset-level work. The smoothing correction is a top-down adjustment for a structural bias. The Alder Point over-rent is a fact about one asset. They are different, and they are additive.</t>
  </si>
  <si>
    <t xml:space="preserve">The book</t>
  </si>
  <si>
    <t xml:space="preserve">Real Estate Finance - A Practitioner's Guide to Debt, Credit Structures and What a Property Is Worth to a Lender, by Julian R. Sterling.</t>
  </si>
  <si>
    <t xml:space="preserve">All four companion workbooks: julianrsterling.com/finance</t>
  </si>
  <si>
    <t xml:space="preserve">Revised 24 September 2026.</t>
  </si>
  <si>
    <t xml:space="preserve">Corrected: the Alder Point over-rent correction was a typed constant (3,488,851) built on an over-price that compared a net price with a gross market-rent value. It is now computed from the inputs: 5,774,565, or 3.0 per cent of the fund's equity. Fully adjusted, the buyer pays a premium of 2.5 per cent, not 1.1. The discount turns into a premium at a coefficient of 0.62, not across most of the range.</t>
  </si>
  <si>
    <t xml:space="preserve">Inputs</t>
  </si>
  <si>
    <t xml:space="preserve">Pinewood European Logistics Fund III. Yellow cells only.</t>
  </si>
  <si>
    <t xml:space="preserve">The fund as reported</t>
  </si>
  <si>
    <t xml:space="preserve">Reported gross asset value, current</t>
  </si>
  <si>
    <t xml:space="preserve">Six assets at appraised value.</t>
  </si>
  <si>
    <t xml:space="preserve">Reported gross asset value, prior year</t>
  </si>
  <si>
    <t xml:space="preserve">Like-for-like, constant portfolio. This is the input the technique needs.</t>
  </si>
  <si>
    <t xml:space="preserve">Debt</t>
  </si>
  <si>
    <t xml:space="preserve">Check whether this is principal outstanding or fair value.</t>
  </si>
  <si>
    <t xml:space="preserve">Smoothing coefficient a</t>
  </si>
  <si>
    <t xml:space="preserve">The weight the valuer places on her own previous figure. 0.4 to 0.8 empirically; 0.6 is the common central figure.</t>
  </si>
  <si>
    <t xml:space="preserve">The trade</t>
  </si>
  <si>
    <t xml:space="preserve">Stake being sold</t>
  </si>
  <si>
    <t xml:space="preserve">Ten per cent of the fund.</t>
  </si>
  <si>
    <t xml:space="preserve">Asking price</t>
  </si>
  <si>
    <t xml:space="preserve">Ninety per cent of reported net asset value.</t>
  </si>
  <si>
    <t xml:space="preserve">The asset-level adjustment</t>
  </si>
  <si>
    <t xml:space="preserve">Alder Point, carried at appraised value</t>
  </si>
  <si>
    <t xml:space="preserve">A quarter of the fund's gross assets.</t>
  </si>
  <si>
    <t xml:space="preserve">Alder Point, loan attributable</t>
  </si>
  <si>
    <t xml:space="preserve">The senior facility inside the fund's debt.</t>
  </si>
  <si>
    <t xml:space="preserve">Alder Point over-rent correction</t>
  </si>
  <si>
    <t xml:space="preserve">Chapter 16, corrected: carried value less the fair price of 114,225,435. The first edition typed 3,488,851.</t>
  </si>
  <si>
    <t xml:space="preserve">Items net asset value does not deduct</t>
  </si>
  <si>
    <t xml:space="preserve">Exit transaction costs, low</t>
  </si>
  <si>
    <t xml:space="preserve">Transfer taxes dominate, and they vary by jurisdiction.</t>
  </si>
  <si>
    <t xml:space="preserve">Exit transaction costs, high</t>
  </si>
  <si>
    <t xml:space="preserve">A buyer of the fund inherits these.</t>
  </si>
  <si>
    <t xml:space="preserve">Alder Point's sale and leaseback (Chapter 16)</t>
  </si>
  <si>
    <t xml:space="preserve">Market rent</t>
  </si>
  <si>
    <t xml:space="preserve">What the space would let for today.</t>
  </si>
  <si>
    <t xml:space="preserve">Irrecoverable costs</t>
  </si>
  <si>
    <t xml:space="preserve">Market yield</t>
  </si>
  <si>
    <t xml:space="preserve">Over-rent a year</t>
  </si>
  <si>
    <t xml:space="preserve">6,420,000 passing less 5,900,000 market.</t>
  </si>
  <si>
    <t xml:space="preserve">Lease term, years</t>
  </si>
  <si>
    <t xml:space="preserve">Discount rate for the over-rent</t>
  </si>
  <si>
    <t xml:space="preserve">Unsecured credit of a solid, unrated operator.</t>
  </si>
  <si>
    <t xml:space="preserve">The reported net asset value, and the leverage underneath it</t>
  </si>
  <si>
    <t xml:space="preserve">Chapter 17. A real estate net asset value is not a market price. It is a construction.</t>
  </si>
  <si>
    <t xml:space="preserve">Amount</t>
  </si>
  <si>
    <t xml:space="preserve">% of gross</t>
  </si>
  <si>
    <t xml:space="preserve">Gross asset value</t>
  </si>
  <si>
    <t xml:space="preserve">Net asset value</t>
  </si>
  <si>
    <t xml:space="preserve">Leverage (debt / gross assets)</t>
  </si>
  <si>
    <t xml:space="preserve">Why the leverage decides everything</t>
  </si>
  <si>
    <t xml:space="preserve">Suppose the property valuations are overstated by</t>
  </si>
  <si>
    <t xml:space="preserve">Gross assets, corrected</t>
  </si>
  <si>
    <t xml:space="preserve">Debt, unchanged</t>
  </si>
  <si>
    <t xml:space="preserve">Net asset value, corrected</t>
  </si>
  <si>
    <t xml:space="preserve">Overstatement of net asset value</t>
  </si>
  <si>
    <t xml:space="preserve">  as a percentage of net asset value</t>
  </si>
  <si>
    <t xml:space="preserve">The leverage multiplier</t>
  </si>
  <si>
    <t xml:space="preserve">Gross assets / net asset value</t>
  </si>
  <si>
    <t xml:space="preserve">  which is also 1 / (1 - leverage)</t>
  </si>
  <si>
    <t xml:space="preserve">Leverage</t>
  </si>
  <si>
    <t xml:space="preserve">Multiplier</t>
  </si>
  <si>
    <t xml:space="preserve">A 3% gross error becomes</t>
  </si>
  <si>
    <t xml:space="preserve">Debt is a fixed number. Every euro of valuation error lands entirely on the equity, magnified by the leverage. This is the single most under-appreciated fact in secondary pricing.</t>
  </si>
  <si>
    <t xml:space="preserve">Alder Point inside the fund</t>
  </si>
  <si>
    <t xml:space="preserve">Carried at appraised value</t>
  </si>
  <si>
    <t xml:space="preserve">Share of fund gross assets</t>
  </si>
  <si>
    <t xml:space="preserve">Loan attributable</t>
  </si>
  <si>
    <t xml:space="preserve">Net equity value in the fund</t>
  </si>
  <si>
    <t xml:space="preserve">Share of fund net asset value</t>
  </si>
  <si>
    <t xml:space="preserve">Over-rent correction, as a share of fund equity</t>
  </si>
  <si>
    <t xml:space="preserve">A quarter of the fund on both measures. Whatever is true of its valuation is a quarter true of the fund's.</t>
  </si>
  <si>
    <t xml:space="preserve">What the net asset value does not deduct</t>
  </si>
  <si>
    <t xml:space="preserve">Low</t>
  </si>
  <si>
    <t xml:space="preserve">High</t>
  </si>
  <si>
    <t xml:space="preserve">Exit transaction costs on gross assets</t>
  </si>
  <si>
    <t xml:space="preserve">Net asset value is struck at market value, which is a price before the costs of achieving it. A buyer of the fund pays them; the reported number does not.</t>
  </si>
  <si>
    <t xml:space="preserve">The correction</t>
  </si>
  <si>
    <t xml:space="preserve">Chapter 18. Two reported values, one coefficient, one line of arithmetic.</t>
  </si>
  <si>
    <t xml:space="preserve">The formula</t>
  </si>
  <si>
    <t xml:space="preserve">V_reported(t) = a x V_reported(t-1) + (1 - a) x V_true(t)</t>
  </si>
  <si>
    <t xml:space="preserve">V_true(t)     = [ V_reported(t) - a x V_reported(t-1) ] / (1 - a)</t>
  </si>
  <si>
    <t xml:space="preserve">Applied to Pinewood</t>
  </si>
  <si>
    <t xml:space="preserve">Reported gross, prior year</t>
  </si>
  <si>
    <t xml:space="preserve">Reported gross, current</t>
  </si>
  <si>
    <t xml:space="preserve">Reported decline</t>
  </si>
  <si>
    <t xml:space="preserve">  as a percentage</t>
  </si>
  <si>
    <t xml:space="preserve">True gross value</t>
  </si>
  <si>
    <t xml:space="preserve">Overstatement of gross value</t>
  </si>
  <si>
    <t xml:space="preserve">  as a percentage of reported gross</t>
  </si>
  <si>
    <t xml:space="preserve">Underlying decline, once the anchoring is undone</t>
  </si>
  <si>
    <t xml:space="preserve">The reported series fell 2.4 per cent. Sixty per cent of the reported figure is anchored on last year's number, so the evidence that arrived this year must have been considerably worse than the reported move suggests.</t>
  </si>
  <si>
    <t xml:space="preserve">Now apply the leverage</t>
  </si>
  <si>
    <t xml:space="preserve">Reported net asset value</t>
  </si>
  <si>
    <t xml:space="preserve">Corrected net asset value</t>
  </si>
  <si>
    <t xml:space="preserve">A 3.7 per cent error in gross value has become a 9.2 per cent error in net asset value, because the debt did not move.</t>
  </si>
  <si>
    <t xml:space="preserve">Alder Point, once the smoothing is removed</t>
  </si>
  <si>
    <t xml:space="preserve">Carried, smoothing removed</t>
  </si>
  <si>
    <t xml:space="preserve">The same ratio that corrects the fund corrects every asset inside it.</t>
  </si>
  <si>
    <t xml:space="preserve">The discount that was not there</t>
  </si>
  <si>
    <t xml:space="preserve">Chapter 18. The buyer believed he was banking 1,950,000 of protection.</t>
  </si>
  <si>
    <t xml:space="preserve">Stake of reported net asset value</t>
  </si>
  <si>
    <t xml:space="preserve">Apparent discount</t>
  </si>
  <si>
    <t xml:space="preserve">Protection the buyer believes he is banking</t>
  </si>
  <si>
    <t xml:space="preserve">Stake of corrected net asset value</t>
  </si>
  <si>
    <t xml:space="preserve">Real discount</t>
  </si>
  <si>
    <t xml:space="preserve">Protection actually being bought</t>
  </si>
  <si>
    <t xml:space="preserve">The ten per cent discount is not a discount. It is the smoothing, handed back to him and labelled as a concession.</t>
  </si>
  <si>
    <t xml:space="preserve">Sensitivity to the coefficient</t>
  </si>
  <si>
    <t xml:space="preserve">The one judgement in the calculation is a. The honest presentation of this analysis is the table, not a point estimate.</t>
  </si>
  <si>
    <t xml:space="preserve">a</t>
  </si>
  <si>
    <t xml:space="preserve">Corrected gross</t>
  </si>
  <si>
    <t xml:space="preserve">Corrected NAV</t>
  </si>
  <si>
    <t xml:space="preserve">Stake</t>
  </si>
  <si>
    <t xml:space="preserve">Coefficient at which the discount disappears entirely</t>
  </si>
  <si>
    <t xml:space="preserve">Above that coefficient the buyer is paying a premium, not a discount. It is barely above the central 0.60: across 0.40 to 0.80 the offer is a discount below 0.62 and a premium above it.</t>
  </si>
  <si>
    <t xml:space="preserve">Both corrections, which are additive</t>
  </si>
  <si>
    <t xml:space="preserve">Less the smoothing correction (top-down, structural)</t>
  </si>
  <si>
    <t xml:space="preserve">Less the Alder Point over-rent correction (bottom-up, specific)</t>
  </si>
  <si>
    <t xml:space="preserve">Adjusted net asset value</t>
  </si>
  <si>
    <t xml:space="preserve">Stake of adjusted net asset value</t>
  </si>
  <si>
    <t xml:space="preserve">Against an asking price of</t>
  </si>
  <si>
    <t xml:space="preserve">Premium paid</t>
  </si>
  <si>
    <t xml:space="preserve">The buyer offered a ten per cent discount to net asset value is, on a fully adjusted basis, paying a small premium.</t>
  </si>
  <si>
    <t xml:space="preserve">And the exit costs nobody deducted</t>
  </si>
  <si>
    <t xml:space="preserve">Adjusted net asset value, less exit costs at the low end</t>
  </si>
  <si>
    <t xml:space="preserve">Adjusted net asset value, less exit costs at the high end</t>
  </si>
  <si>
    <t xml:space="preserve">Do not stop at the discount. The discount is the last question; what the net asset value is made of is the first.</t>
  </si>
  <si>
    <t xml:space="preserve">Coefficient at which the discount vanishes, both corrections</t>
  </si>
  <si>
    <t xml:space="preserve">With the over-rent corrected as well, the discount disappears at a coefficient of 0.53, below the central estimate.</t>
  </si>
  <si>
    <t xml:space="preserve">Checks against the printed book</t>
  </si>
  <si>
    <t xml:space="preserve">Every line reproduces a figure printed in Chapters 16, 17 and 18.</t>
  </si>
  <si>
    <t xml:space="preserve">Ch.</t>
  </si>
  <si>
    <t xml:space="preserve">Figure</t>
  </si>
  <si>
    <t xml:space="preserve">Workbook</t>
  </si>
  <si>
    <t xml:space="preserve">Difference</t>
  </si>
  <si>
    <t xml:space="preserve">Result</t>
  </si>
  <si>
    <t xml:space="preserve">Note</t>
  </si>
  <si>
    <t xml:space="preserve">17</t>
  </si>
  <si>
    <t xml:space="preserve">Gross assets corrected for a 3% error</t>
  </si>
  <si>
    <t xml:space="preserve">Net asset value corrected</t>
  </si>
  <si>
    <t xml:space="preserve">Leverage multiplier</t>
  </si>
  <si>
    <t xml:space="preserve">Alder Point share of fund gross assets</t>
  </si>
  <si>
    <t xml:space="preserve">Alder Point net equity in the fund</t>
  </si>
  <si>
    <t xml:space="preserve">Alder Point share of fund net asset value</t>
  </si>
  <si>
    <t xml:space="preserve">Over-rent correction as a share of fund equity</t>
  </si>
  <si>
    <t xml:space="preserve">Corrected: first edition 1.8 per cent.</t>
  </si>
  <si>
    <t xml:space="preserve">Exit costs at the low end</t>
  </si>
  <si>
    <t xml:space="preserve">Exit costs at the high end</t>
  </si>
  <si>
    <t xml:space="preserve">18</t>
  </si>
  <si>
    <t xml:space="preserve">Reported decline in gross value</t>
  </si>
  <si>
    <t xml:space="preserve">True gross value at a = 0.60</t>
  </si>
  <si>
    <t xml:space="preserve">Underlying decline once anchoring is undone</t>
  </si>
  <si>
    <t xml:space="preserve">Alder Point carried, smoothing removed</t>
  </si>
  <si>
    <t xml:space="preserve">Ten per cent of reported net asset value</t>
  </si>
  <si>
    <t xml:space="preserve">Ten per cent of corrected net asset value</t>
  </si>
  <si>
    <t xml:space="preserve">Sensitivity a = 0.40: corrected gross</t>
  </si>
  <si>
    <t xml:space="preserve">Sensitivity a = 0.40: real discount</t>
  </si>
  <si>
    <t xml:space="preserve">Sensitivity a = 0.50: corrected gross</t>
  </si>
  <si>
    <t xml:space="preserve">Sensitivity a = 0.50: real discount</t>
  </si>
  <si>
    <t xml:space="preserve">Sensitivity a = 0.60: corrected NAV</t>
  </si>
  <si>
    <t xml:space="preserve">Sensitivity a = 0.70: corrected gross</t>
  </si>
  <si>
    <t xml:space="preserve">Sensitivity a = 0.70: real discount</t>
  </si>
  <si>
    <t xml:space="preserve">Sensitivity a = 0.80: corrected gross</t>
  </si>
  <si>
    <t xml:space="preserve">Sensitivity a = 0.80: real discount</t>
  </si>
  <si>
    <t xml:space="preserve">Adjusted net asset value, both corrections</t>
  </si>
  <si>
    <t xml:space="preserve">Corrected: first edition 173,511,149.</t>
  </si>
  <si>
    <t xml:space="preserve">Ten per cent of it</t>
  </si>
  <si>
    <t xml:space="preserve">Corrected: first edition 17,351,115.</t>
  </si>
  <si>
    <t xml:space="preserve">Corrected: first edition 1.1 per cent.</t>
  </si>
  <si>
    <t xml:space="preserve">Corrected: first edition 3,488,851, typed as a constant.</t>
  </si>
  <si>
    <t xml:space="preserve">Coefficient at which the discount vanishes</t>
  </si>
  <si>
    <t xml:space="preserve">  with both corrections</t>
  </si>
  <si>
    <t xml:space="preserve">Sensitivity: premiums only above the break-even coefficient</t>
  </si>
  <si>
    <t xml:space="preserve">not printed</t>
  </si>
  <si>
    <t xml:space="preserve">Corrected: the first edition says the discount is negative across most of the range.</t>
  </si>
  <si>
    <t xml:space="preserve">Checks passing</t>
  </si>
  <si>
    <t xml:space="preserve">Where a figure in the first edition was wrong, column C gives the corrected figure and column G what the first edition printed. Discounts are negative, premiums positive.</t>
  </si>
</sst>
</file>

<file path=xl/styles.xml><?xml version="1.0" encoding="utf-8"?>
<styleSheet xmlns="http://schemas.openxmlformats.org/spreadsheetml/2006/main">
  <numFmts count="10">
    <numFmt numFmtId="164" formatCode="General"/>
    <numFmt numFmtId="165" formatCode="#,##0;\-#,##0"/>
    <numFmt numFmtId="166" formatCode="0.00"/>
    <numFmt numFmtId="167" formatCode="0.0%;\-0.0%"/>
    <numFmt numFmtId="168" formatCode="0.00%;\-0.00%"/>
    <numFmt numFmtId="169" formatCode="0"/>
    <numFmt numFmtId="170" formatCode="0.00\x"/>
    <numFmt numFmtId="171" formatCode="0.000"/>
    <numFmt numFmtId="172" formatCode="0.0000"/>
    <numFmt numFmtId="173" formatCode="@"/>
  </numFmts>
  <fonts count="19">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i val="true"/>
      <sz val="9"/>
      <color rgb="FF5A6A70"/>
      <name val="Cambria"/>
      <family val="0"/>
      <charset val="1"/>
    </font>
    <font>
      <b val="true"/>
      <sz val="11"/>
      <color rgb="FF1A1A1A"/>
      <name val="Calibri"/>
      <family val="0"/>
      <charset val="1"/>
    </font>
    <font>
      <sz val="9"/>
      <color rgb="FF5A6A70"/>
      <name val="Calibri"/>
      <family val="0"/>
      <charset val="1"/>
    </font>
    <font>
      <b val="true"/>
      <sz val="10"/>
      <color rgb="FFFFFFFF"/>
      <name val="Calibri"/>
      <family val="0"/>
      <charset val="1"/>
    </font>
    <font>
      <i val="true"/>
      <sz val="9"/>
      <color rgb="FF5A6A70"/>
      <name val="Calibri"/>
      <family val="0"/>
      <charset val="1"/>
    </font>
    <font>
      <sz val="11"/>
      <color rgb="FF1F4E5F"/>
      <name val="Consolas"/>
      <family val="0"/>
      <charset val="1"/>
    </font>
    <font>
      <b val="true"/>
      <sz val="11"/>
      <color rgb="FF1F4E5F"/>
      <name val="Consolas"/>
      <family val="0"/>
      <charset val="1"/>
    </font>
    <font>
      <b val="true"/>
      <sz val="11"/>
      <color rgb="FFB3261E"/>
      <name val="Cambria"/>
      <family val="0"/>
      <charset val="1"/>
    </font>
    <font>
      <sz val="10"/>
      <color rgb="FF5A6A70"/>
      <name val="Calibri"/>
      <family val="0"/>
      <charset val="1"/>
    </font>
    <font>
      <b val="true"/>
      <sz val="11"/>
      <color rgb="FF1E7A3C"/>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5">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 diagonalUp="false" diagonalDown="false">
      <left/>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5" fontId="10" fillId="0" borderId="3"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8" fontId="8" fillId="2" borderId="0" xfId="0" applyFont="true" applyBorder="false" applyAlignment="false" applyProtection="false">
      <alignment horizontal="general" vertical="bottom" textRotation="0" wrapText="false" indent="0" shrinkToFit="false"/>
      <protection locked="true" hidden="false"/>
    </xf>
    <xf numFmtId="169" fontId="8" fillId="2" borderId="0" xfId="0" applyFont="true" applyBorder="false" applyAlignment="false" applyProtection="false">
      <alignment horizontal="general" vertical="bottom" textRotation="0" wrapText="false" indent="0" shrinkToFit="false"/>
      <protection locked="true" hidden="false"/>
    </xf>
    <xf numFmtId="164" fontId="12" fillId="3" borderId="3" xfId="0" applyFont="true" applyBorder="true" applyAlignment="true" applyProtection="false">
      <alignment horizontal="left" vertical="center" textRotation="0" wrapText="true" indent="0" shrinkToFit="false"/>
      <protection locked="true" hidden="false"/>
    </xf>
    <xf numFmtId="164" fontId="12" fillId="3" borderId="3" xfId="0" applyFont="true" applyBorder="true" applyAlignment="true" applyProtection="false">
      <alignment horizontal="right" vertical="center" textRotation="0" wrapText="tru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6" fontId="8" fillId="4" borderId="3" xfId="0" applyFont="true" applyBorder="true" applyAlignment="false" applyProtection="false">
      <alignment horizontal="general" vertical="bottom" textRotation="0" wrapText="false" indent="0" shrinkToFit="false"/>
      <protection locked="true" hidden="false"/>
    </xf>
    <xf numFmtId="167" fontId="16"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4" fontId="10" fillId="0" borderId="4" xfId="0" applyFont="true" applyBorder="true" applyAlignment="false" applyProtection="false">
      <alignment horizontal="general" vertical="bottom" textRotation="0" wrapText="false" indent="0" shrinkToFit="false"/>
      <protection locked="true" hidden="false"/>
    </xf>
    <xf numFmtId="165" fontId="10" fillId="0" borderId="4" xfId="0" applyFont="true" applyBorder="tru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true" applyProtection="false">
      <alignment horizontal="general" vertical="center"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73"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b val="1"/>
        <color rgb="FFB00020"/>
      </font>
    </dxf>
  </dxfs>
  <colors>
    <indexedColors>
      <rgbColor rgb="FF000000"/>
      <rgbColor rgb="FFFFFFFF"/>
      <rgbColor rgb="FFFF0000"/>
      <rgbColor rgb="FF00FF00"/>
      <rgbColor rgb="FF0000FF"/>
      <rgbColor rgb="FFFFFF00"/>
      <rgbColor rgb="FFFF00FF"/>
      <rgbColor rgb="FF00FFFF"/>
      <rgbColor rgb="FFB00020"/>
      <rgbColor rgb="FF1E7A3C"/>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B3261E"/>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30" hidden="false" customHeight="true" outlineLevel="0" collapsed="false">
      <c r="A7" s="5" t="s">
        <v>3</v>
      </c>
    </row>
    <row r="9" customFormat="false" ht="15" hidden="false" customHeight="false" outlineLevel="0" collapsed="false">
      <c r="A9" s="4" t="s">
        <v>4</v>
      </c>
    </row>
    <row r="11" customFormat="false" ht="15" hidden="false" customHeight="true" outlineLevel="0" collapsed="false">
      <c r="A11" s="5" t="s">
        <v>5</v>
      </c>
    </row>
    <row r="12" customFormat="false" ht="30" hidden="false" customHeight="true" outlineLevel="0" collapsed="false">
      <c r="A12" s="5" t="s">
        <v>6</v>
      </c>
    </row>
    <row r="13" customFormat="false" ht="15" hidden="false" customHeight="true" outlineLevel="0" collapsed="false">
      <c r="A13" s="5" t="s">
        <v>7</v>
      </c>
    </row>
    <row r="14" customFormat="false" ht="30" hidden="false" customHeight="true" outlineLevel="0" collapsed="false">
      <c r="A14" s="5" t="s">
        <v>8</v>
      </c>
    </row>
    <row r="15" customFormat="false" ht="15" hidden="false" customHeight="true" outlineLevel="0" collapsed="false">
      <c r="A15" s="5" t="s">
        <v>9</v>
      </c>
    </row>
    <row r="17" customFormat="false" ht="15" hidden="false" customHeight="false" outlineLevel="0" collapsed="false">
      <c r="A17" s="4" t="s">
        <v>10</v>
      </c>
    </row>
    <row r="19" customFormat="false" ht="45" hidden="false" customHeight="true" outlineLevel="0" collapsed="false">
      <c r="A19" s="5" t="s">
        <v>11</v>
      </c>
    </row>
    <row r="21" customFormat="false" ht="15" hidden="false" customHeight="false" outlineLevel="0" collapsed="false">
      <c r="A21" s="4" t="s">
        <v>12</v>
      </c>
    </row>
    <row r="23" customFormat="false" ht="45" hidden="false" customHeight="true" outlineLevel="0" collapsed="false">
      <c r="A23" s="5" t="s">
        <v>13</v>
      </c>
    </row>
    <row r="24" customFormat="false" ht="45" hidden="false" customHeight="true" outlineLevel="0" collapsed="false">
      <c r="A24" s="5" t="s">
        <v>14</v>
      </c>
    </row>
    <row r="26" customFormat="false" ht="15" hidden="false" customHeight="false" outlineLevel="0" collapsed="false">
      <c r="A26" s="4" t="s">
        <v>15</v>
      </c>
    </row>
    <row r="28" customFormat="false" ht="30" hidden="false" customHeight="true" outlineLevel="0" collapsed="false">
      <c r="A28" s="5" t="s">
        <v>16</v>
      </c>
    </row>
    <row r="29" customFormat="false" ht="15" hidden="false" customHeight="true" outlineLevel="0" collapsed="false">
      <c r="A29" s="5" t="s">
        <v>17</v>
      </c>
    </row>
    <row r="31" customFormat="false" ht="15" hidden="false" customHeight="false" outlineLevel="0" collapsed="false">
      <c r="A31" s="6" t="s">
        <v>18</v>
      </c>
    </row>
    <row r="32" customFormat="false" ht="55.2" hidden="false" customHeight="false" outlineLevel="0" collapsed="false">
      <c r="A32" s="5"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2" min="2" style="0" width="20"/>
    <col collapsed="false" customWidth="true" hidden="false" outlineLevel="0" max="3" min="3" style="0" width="4"/>
    <col collapsed="false" customWidth="true" hidden="false" outlineLevel="0" max="4" min="4" style="0" width="66"/>
  </cols>
  <sheetData>
    <row r="1" customFormat="false" ht="24" hidden="false" customHeight="true" outlineLevel="0" collapsed="false">
      <c r="A1" s="1" t="s">
        <v>20</v>
      </c>
    </row>
    <row r="2" customFormat="false" ht="15" hidden="false" customHeight="false" outlineLevel="0" collapsed="false">
      <c r="A2" s="2" t="s">
        <v>21</v>
      </c>
    </row>
    <row r="3" customFormat="false" ht="15" hidden="false" customHeight="false" outlineLevel="0" collapsed="false">
      <c r="A3" s="3"/>
      <c r="B3" s="3"/>
      <c r="C3" s="3"/>
      <c r="D3" s="3"/>
    </row>
    <row r="5" customFormat="false" ht="15" hidden="false" customHeight="false" outlineLevel="0" collapsed="false">
      <c r="A5" s="4" t="s">
        <v>22</v>
      </c>
      <c r="B5" s="7"/>
      <c r="C5" s="7"/>
      <c r="D5" s="7"/>
    </row>
    <row r="7" customFormat="false" ht="15" hidden="false" customHeight="false" outlineLevel="0" collapsed="false">
      <c r="A7" s="8" t="s">
        <v>23</v>
      </c>
      <c r="B7" s="9" t="n">
        <v>486000000</v>
      </c>
      <c r="D7" s="10" t="s">
        <v>24</v>
      </c>
    </row>
    <row r="8" customFormat="false" ht="15" hidden="false" customHeight="false" outlineLevel="0" collapsed="false">
      <c r="A8" s="8" t="s">
        <v>25</v>
      </c>
      <c r="B8" s="9" t="n">
        <v>498000000</v>
      </c>
      <c r="D8" s="10" t="s">
        <v>26</v>
      </c>
    </row>
    <row r="9" customFormat="false" ht="15" hidden="false" customHeight="false" outlineLevel="0" collapsed="false">
      <c r="A9" s="8" t="s">
        <v>27</v>
      </c>
      <c r="B9" s="9" t="n">
        <v>291000000</v>
      </c>
      <c r="D9" s="10" t="s">
        <v>28</v>
      </c>
    </row>
    <row r="10" customFormat="false" ht="15" hidden="false" customHeight="false" outlineLevel="0" collapsed="false">
      <c r="A10" s="8" t="s">
        <v>29</v>
      </c>
      <c r="B10" s="11" t="n">
        <v>0.6</v>
      </c>
      <c r="D10" s="10" t="s">
        <v>30</v>
      </c>
    </row>
    <row r="12" customFormat="false" ht="15" hidden="false" customHeight="false" outlineLevel="0" collapsed="false">
      <c r="A12" s="4" t="s">
        <v>31</v>
      </c>
      <c r="B12" s="7"/>
      <c r="C12" s="7"/>
      <c r="D12" s="7"/>
    </row>
    <row r="14" customFormat="false" ht="15" hidden="false" customHeight="false" outlineLevel="0" collapsed="false">
      <c r="A14" s="8" t="s">
        <v>32</v>
      </c>
      <c r="B14" s="12" t="n">
        <v>0.1</v>
      </c>
      <c r="D14" s="10" t="s">
        <v>33</v>
      </c>
    </row>
    <row r="15" customFormat="false" ht="15" hidden="false" customHeight="false" outlineLevel="0" collapsed="false">
      <c r="A15" s="8" t="s">
        <v>34</v>
      </c>
      <c r="B15" s="9" t="n">
        <v>17550000</v>
      </c>
      <c r="D15" s="10" t="s">
        <v>35</v>
      </c>
    </row>
    <row r="17" customFormat="false" ht="15" hidden="false" customHeight="false" outlineLevel="0" collapsed="false">
      <c r="A17" s="4" t="s">
        <v>36</v>
      </c>
      <c r="B17" s="7"/>
      <c r="C17" s="7"/>
      <c r="D17" s="7"/>
    </row>
    <row r="19" customFormat="false" ht="15" hidden="false" customHeight="false" outlineLevel="0" collapsed="false">
      <c r="A19" s="8" t="s">
        <v>37</v>
      </c>
      <c r="B19" s="9" t="n">
        <v>120000000</v>
      </c>
      <c r="D19" s="10" t="s">
        <v>38</v>
      </c>
    </row>
    <row r="20" customFormat="false" ht="15" hidden="false" customHeight="false" outlineLevel="0" collapsed="false">
      <c r="A20" s="8" t="s">
        <v>39</v>
      </c>
      <c r="B20" s="9" t="n">
        <v>72000000</v>
      </c>
      <c r="D20" s="10" t="s">
        <v>40</v>
      </c>
    </row>
    <row r="21" customFormat="false" ht="15" hidden="false" customHeight="false" outlineLevel="0" collapsed="false">
      <c r="A21" s="8" t="s">
        <v>41</v>
      </c>
      <c r="B21" s="13" t="n">
        <f aca="false">AlderCarried-((AlderMR-AlderCost)/AlderYield+AlderOver*(1-(1+AlderRate)^-AlderTerm)/AlderRate)</f>
        <v>5774565.03055021</v>
      </c>
      <c r="D21" s="10" t="s">
        <v>42</v>
      </c>
    </row>
    <row r="23" customFormat="false" ht="15" hidden="false" customHeight="false" outlineLevel="0" collapsed="false">
      <c r="A23" s="4" t="s">
        <v>43</v>
      </c>
      <c r="B23" s="7"/>
      <c r="C23" s="7"/>
      <c r="D23" s="7"/>
    </row>
    <row r="25" customFormat="false" ht="15" hidden="false" customHeight="false" outlineLevel="0" collapsed="false">
      <c r="A25" s="8" t="s">
        <v>44</v>
      </c>
      <c r="B25" s="12" t="n">
        <v>0.015</v>
      </c>
      <c r="D25" s="10" t="s">
        <v>45</v>
      </c>
    </row>
    <row r="26" customFormat="false" ht="15" hidden="false" customHeight="false" outlineLevel="0" collapsed="false">
      <c r="A26" s="8" t="s">
        <v>46</v>
      </c>
      <c r="B26" s="12" t="n">
        <v>0.06</v>
      </c>
      <c r="D26" s="10" t="s">
        <v>47</v>
      </c>
    </row>
    <row r="28" customFormat="false" ht="15" hidden="false" customHeight="false" outlineLevel="0" collapsed="false">
      <c r="A28" s="14" t="s">
        <v>48</v>
      </c>
    </row>
    <row r="30" customFormat="false" ht="15" hidden="false" customHeight="false" outlineLevel="0" collapsed="false">
      <c r="A30" s="8" t="s">
        <v>49</v>
      </c>
      <c r="B30" s="15" t="n">
        <v>5900000</v>
      </c>
      <c r="D30" s="16" t="s">
        <v>50</v>
      </c>
    </row>
    <row r="31" customFormat="false" ht="15" hidden="false" customHeight="false" outlineLevel="0" collapsed="false">
      <c r="A31" s="8" t="s">
        <v>51</v>
      </c>
      <c r="B31" s="15" t="n">
        <v>120000</v>
      </c>
      <c r="D31" s="16"/>
    </row>
    <row r="32" customFormat="false" ht="15" hidden="false" customHeight="false" outlineLevel="0" collapsed="false">
      <c r="A32" s="8" t="s">
        <v>52</v>
      </c>
      <c r="B32" s="17" t="n">
        <v>0.0525</v>
      </c>
      <c r="D32" s="16"/>
    </row>
    <row r="33" customFormat="false" ht="15" hidden="false" customHeight="false" outlineLevel="0" collapsed="false">
      <c r="A33" s="8" t="s">
        <v>53</v>
      </c>
      <c r="B33" s="15" t="n">
        <v>520000</v>
      </c>
      <c r="D33" s="16" t="s">
        <v>54</v>
      </c>
    </row>
    <row r="34" customFormat="false" ht="15" hidden="false" customHeight="false" outlineLevel="0" collapsed="false">
      <c r="A34" s="8" t="s">
        <v>55</v>
      </c>
      <c r="B34" s="18" t="n">
        <v>12</v>
      </c>
      <c r="D34" s="16"/>
    </row>
    <row r="35" customFormat="false" ht="15" hidden="false" customHeight="false" outlineLevel="0" collapsed="false">
      <c r="A35" s="8" t="s">
        <v>56</v>
      </c>
      <c r="B35" s="17" t="n">
        <v>0.07</v>
      </c>
      <c r="D35" s="16" t="s">
        <v>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2" min="2" style="0" width="20"/>
    <col collapsed="false" customWidth="true" hidden="false" outlineLevel="0" max="3" min="3" style="0" width="16"/>
    <col collapsed="false" customWidth="true" hidden="false" outlineLevel="0" max="4" min="4" style="0" width="4"/>
    <col collapsed="false" customWidth="true" hidden="false" outlineLevel="0" max="5" min="5" style="0" width="66"/>
  </cols>
  <sheetData>
    <row r="1" customFormat="false" ht="24" hidden="false" customHeight="true" outlineLevel="0" collapsed="false">
      <c r="A1" s="1" t="s">
        <v>58</v>
      </c>
    </row>
    <row r="2" customFormat="false" ht="15" hidden="false" customHeight="false" outlineLevel="0" collapsed="false">
      <c r="A2" s="2" t="s">
        <v>59</v>
      </c>
    </row>
    <row r="3" customFormat="false" ht="15" hidden="false" customHeight="false" outlineLevel="0" collapsed="false">
      <c r="A3" s="3"/>
      <c r="B3" s="3"/>
      <c r="C3" s="3"/>
      <c r="D3" s="3"/>
      <c r="E3" s="3"/>
    </row>
    <row r="5" customFormat="false" ht="30" hidden="false" customHeight="true" outlineLevel="0" collapsed="false">
      <c r="A5" s="19"/>
      <c r="B5" s="20" t="s">
        <v>60</v>
      </c>
      <c r="C5" s="20" t="s">
        <v>61</v>
      </c>
    </row>
    <row r="6" customFormat="false" ht="15" hidden="false" customHeight="false" outlineLevel="0" collapsed="false">
      <c r="A6" s="8" t="s">
        <v>62</v>
      </c>
      <c r="B6" s="21" t="n">
        <f aca="false">GrossNow</f>
        <v>486000000</v>
      </c>
      <c r="C6" s="22" t="n">
        <f aca="false">B6/GrossNow</f>
        <v>1</v>
      </c>
    </row>
    <row r="7" customFormat="false" ht="15" hidden="false" customHeight="false" outlineLevel="0" collapsed="false">
      <c r="A7" s="23" t="s">
        <v>27</v>
      </c>
      <c r="B7" s="24" t="n">
        <f aca="false">Debt</f>
        <v>291000000</v>
      </c>
      <c r="C7" s="25" t="n">
        <f aca="false">B7/GrossNow</f>
        <v>0.598765432098765</v>
      </c>
    </row>
    <row r="8" customFormat="false" ht="15" hidden="false" customHeight="false" outlineLevel="0" collapsed="false">
      <c r="A8" s="26" t="s">
        <v>63</v>
      </c>
      <c r="B8" s="27" t="n">
        <f aca="false">GrossNow-Debt</f>
        <v>195000000</v>
      </c>
      <c r="C8" s="28" t="n">
        <f aca="false">B8/GrossNow</f>
        <v>0.401234567901235</v>
      </c>
    </row>
    <row r="9" customFormat="false" ht="15" hidden="false" customHeight="false" outlineLevel="0" collapsed="false">
      <c r="A9" s="8" t="s">
        <v>64</v>
      </c>
      <c r="B9" s="22" t="n">
        <f aca="false">Debt/GrossNow</f>
        <v>0.598765432098765</v>
      </c>
    </row>
    <row r="11" customFormat="false" ht="15" hidden="false" customHeight="false" outlineLevel="0" collapsed="false">
      <c r="A11" s="4" t="s">
        <v>65</v>
      </c>
      <c r="B11" s="7"/>
      <c r="C11" s="7"/>
      <c r="D11" s="7"/>
      <c r="E11" s="7"/>
    </row>
    <row r="13" customFormat="false" ht="15" hidden="false" customHeight="false" outlineLevel="0" collapsed="false">
      <c r="A13" s="8" t="s">
        <v>66</v>
      </c>
      <c r="B13" s="12" t="n">
        <v>0.03</v>
      </c>
    </row>
    <row r="14" customFormat="false" ht="15" hidden="false" customHeight="false" outlineLevel="0" collapsed="false">
      <c r="A14" s="8" t="s">
        <v>67</v>
      </c>
      <c r="B14" s="21" t="n">
        <f aca="false">GrossNow*(1-B13)</f>
        <v>471420000</v>
      </c>
    </row>
    <row r="15" customFormat="false" ht="15" hidden="false" customHeight="false" outlineLevel="0" collapsed="false">
      <c r="A15" s="8" t="s">
        <v>68</v>
      </c>
      <c r="B15" s="21" t="n">
        <f aca="false">Debt</f>
        <v>291000000</v>
      </c>
    </row>
    <row r="16" customFormat="false" ht="15" hidden="false" customHeight="false" outlineLevel="0" collapsed="false">
      <c r="A16" s="8" t="s">
        <v>69</v>
      </c>
      <c r="B16" s="21" t="n">
        <f aca="false">B14-Debt</f>
        <v>180420000</v>
      </c>
    </row>
    <row r="17" customFormat="false" ht="15" hidden="false" customHeight="false" outlineLevel="0" collapsed="false">
      <c r="A17" s="8" t="s">
        <v>70</v>
      </c>
      <c r="B17" s="21" t="n">
        <f aca="false">NAVrep-B16</f>
        <v>14580000</v>
      </c>
    </row>
    <row r="18" customFormat="false" ht="15" hidden="false" customHeight="false" outlineLevel="0" collapsed="false">
      <c r="A18" s="26" t="s">
        <v>71</v>
      </c>
      <c r="B18" s="28" t="n">
        <f aca="false">B17/NAVrep</f>
        <v>0.0747692307692308</v>
      </c>
    </row>
    <row r="20" customFormat="false" ht="15" hidden="false" customHeight="false" outlineLevel="0" collapsed="false">
      <c r="A20" s="4" t="s">
        <v>72</v>
      </c>
      <c r="B20" s="7"/>
      <c r="C20" s="7"/>
      <c r="D20" s="7"/>
      <c r="E20" s="7"/>
    </row>
    <row r="22" customFormat="false" ht="15" hidden="false" customHeight="false" outlineLevel="0" collapsed="false">
      <c r="A22" s="26" t="s">
        <v>73</v>
      </c>
      <c r="B22" s="29" t="n">
        <f aca="false">GrossNow/NAVrep</f>
        <v>2.49230769230769</v>
      </c>
    </row>
    <row r="23" customFormat="false" ht="15" hidden="false" customHeight="false" outlineLevel="0" collapsed="false">
      <c r="A23" s="8" t="s">
        <v>74</v>
      </c>
      <c r="B23" s="30" t="n">
        <f aca="false">1/(1-Debt/GrossNow)</f>
        <v>2.49230769230769</v>
      </c>
    </row>
    <row r="25" customFormat="false" ht="30" hidden="false" customHeight="true" outlineLevel="0" collapsed="false">
      <c r="A25" s="19" t="s">
        <v>75</v>
      </c>
      <c r="B25" s="20" t="s">
        <v>76</v>
      </c>
      <c r="C25" s="20" t="s">
        <v>77</v>
      </c>
    </row>
    <row r="26" customFormat="false" ht="15" hidden="false" customHeight="false" outlineLevel="0" collapsed="false">
      <c r="A26" s="12" t="n">
        <v>0.5</v>
      </c>
      <c r="B26" s="30" t="n">
        <f aca="false">1/(1-A26)</f>
        <v>2</v>
      </c>
      <c r="C26" s="22" t="n">
        <f aca="false">0.03*B26</f>
        <v>0.06</v>
      </c>
    </row>
    <row r="27" customFormat="false" ht="15" hidden="false" customHeight="false" outlineLevel="0" collapsed="false">
      <c r="A27" s="12" t="n">
        <v>0.5988</v>
      </c>
      <c r="B27" s="30" t="n">
        <f aca="false">1/(1-A27)</f>
        <v>2.49252243270189</v>
      </c>
      <c r="C27" s="22" t="n">
        <f aca="false">0.03*B27</f>
        <v>0.0747756729810568</v>
      </c>
    </row>
    <row r="28" customFormat="false" ht="15" hidden="false" customHeight="false" outlineLevel="0" collapsed="false">
      <c r="A28" s="12" t="n">
        <v>0.6</v>
      </c>
      <c r="B28" s="30" t="n">
        <f aca="false">1/(1-A28)</f>
        <v>2.5</v>
      </c>
      <c r="C28" s="22" t="n">
        <f aca="false">0.03*B28</f>
        <v>0.075</v>
      </c>
    </row>
    <row r="29" customFormat="false" ht="15" hidden="false" customHeight="false" outlineLevel="0" collapsed="false">
      <c r="A29" s="12" t="n">
        <v>0.7</v>
      </c>
      <c r="B29" s="30" t="n">
        <f aca="false">1/(1-A29)</f>
        <v>3.33333333333333</v>
      </c>
      <c r="C29" s="22" t="n">
        <f aca="false">0.03*B29</f>
        <v>0.1</v>
      </c>
    </row>
    <row r="30" customFormat="false" ht="15" hidden="false" customHeight="false" outlineLevel="0" collapsed="false">
      <c r="A30" s="12" t="n">
        <v>0.75</v>
      </c>
      <c r="B30" s="30" t="n">
        <f aca="false">1/(1-A30)</f>
        <v>4</v>
      </c>
      <c r="C30" s="22" t="n">
        <f aca="false">0.03*B30</f>
        <v>0.12</v>
      </c>
    </row>
    <row r="32" customFormat="false" ht="15" hidden="false" customHeight="false" outlineLevel="0" collapsed="false">
      <c r="A32" s="31" t="s">
        <v>78</v>
      </c>
    </row>
    <row r="34" customFormat="false" ht="15" hidden="false" customHeight="false" outlineLevel="0" collapsed="false">
      <c r="A34" s="4" t="s">
        <v>79</v>
      </c>
      <c r="B34" s="7"/>
      <c r="C34" s="7"/>
      <c r="D34" s="7"/>
      <c r="E34" s="7"/>
    </row>
    <row r="36" customFormat="false" ht="15" hidden="false" customHeight="false" outlineLevel="0" collapsed="false">
      <c r="A36" s="8" t="s">
        <v>80</v>
      </c>
      <c r="B36" s="21" t="n">
        <f aca="false">AlderCarried</f>
        <v>120000000</v>
      </c>
    </row>
    <row r="37" customFormat="false" ht="15" hidden="false" customHeight="false" outlineLevel="0" collapsed="false">
      <c r="A37" s="8" t="s">
        <v>81</v>
      </c>
      <c r="B37" s="22" t="n">
        <f aca="false">AlderCarried/GrossNow</f>
        <v>0.246913580246914</v>
      </c>
    </row>
    <row r="38" customFormat="false" ht="15" hidden="false" customHeight="false" outlineLevel="0" collapsed="false">
      <c r="A38" s="8" t="s">
        <v>82</v>
      </c>
      <c r="B38" s="21" t="n">
        <f aca="false">AlderLoan</f>
        <v>72000000</v>
      </c>
    </row>
    <row r="39" customFormat="false" ht="15" hidden="false" customHeight="false" outlineLevel="0" collapsed="false">
      <c r="A39" s="8" t="s">
        <v>83</v>
      </c>
      <c r="B39" s="21" t="n">
        <f aca="false">AlderCarried-AlderLoan</f>
        <v>48000000</v>
      </c>
    </row>
    <row r="40" customFormat="false" ht="15" hidden="false" customHeight="false" outlineLevel="0" collapsed="false">
      <c r="A40" s="8" t="s">
        <v>84</v>
      </c>
      <c r="B40" s="22" t="n">
        <f aca="false">B39/NAVrep</f>
        <v>0.246153846153846</v>
      </c>
    </row>
    <row r="41" customFormat="false" ht="15" hidden="false" customHeight="false" outlineLevel="0" collapsed="false">
      <c r="A41" s="8" t="s">
        <v>85</v>
      </c>
      <c r="B41" s="22" t="n">
        <f aca="false">AlderFix/NAVrep</f>
        <v>0.0296131540028216</v>
      </c>
    </row>
    <row r="42" customFormat="false" ht="15" hidden="false" customHeight="false" outlineLevel="0" collapsed="false">
      <c r="A42" s="31" t="s">
        <v>86</v>
      </c>
    </row>
    <row r="44" customFormat="false" ht="15" hidden="false" customHeight="false" outlineLevel="0" collapsed="false">
      <c r="A44" s="4" t="s">
        <v>87</v>
      </c>
      <c r="B44" s="7"/>
      <c r="C44" s="7"/>
      <c r="D44" s="7"/>
      <c r="E44" s="7"/>
    </row>
    <row r="46" customFormat="false" ht="30" hidden="false" customHeight="true" outlineLevel="0" collapsed="false">
      <c r="A46" s="19"/>
      <c r="B46" s="20" t="s">
        <v>88</v>
      </c>
      <c r="C46" s="20" t="s">
        <v>89</v>
      </c>
    </row>
    <row r="47" customFormat="false" ht="15" hidden="false" customHeight="false" outlineLevel="0" collapsed="false">
      <c r="A47" s="8" t="s">
        <v>90</v>
      </c>
      <c r="B47" s="21" t="n">
        <f aca="false">GrossNow*ExitLow</f>
        <v>7290000</v>
      </c>
      <c r="C47" s="21" t="n">
        <f aca="false">GrossNow*ExitHigh</f>
        <v>29160000</v>
      </c>
    </row>
    <row r="48" customFormat="false" ht="15" hidden="false" customHeight="false" outlineLevel="0" collapsed="false">
      <c r="A48" s="8" t="s">
        <v>71</v>
      </c>
      <c r="B48" s="22" t="n">
        <f aca="false">B47/NAVrep</f>
        <v>0.0373846153846154</v>
      </c>
      <c r="C48" s="22" t="n">
        <f aca="false">C47/NAVrep</f>
        <v>0.149538461538462</v>
      </c>
    </row>
    <row r="49" customFormat="false" ht="15" hidden="false" customHeight="false" outlineLevel="0" collapsed="false">
      <c r="A49" s="31" t="s">
        <v>91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20"/>
    <col collapsed="false" customWidth="true" hidden="false" outlineLevel="0" max="3" min="3" style="0" width="16"/>
    <col collapsed="false" customWidth="true" hidden="false" outlineLevel="0" max="4" min="4" style="0" width="4"/>
    <col collapsed="false" customWidth="true" hidden="false" outlineLevel="0" max="5" min="5" style="0" width="66"/>
  </cols>
  <sheetData>
    <row r="1" customFormat="false" ht="24" hidden="false" customHeight="true" outlineLevel="0" collapsed="false">
      <c r="A1" s="1" t="s">
        <v>92</v>
      </c>
    </row>
    <row r="2" customFormat="false" ht="15" hidden="false" customHeight="false" outlineLevel="0" collapsed="false">
      <c r="A2" s="2" t="s">
        <v>93</v>
      </c>
    </row>
    <row r="3" customFormat="false" ht="15" hidden="false" customHeight="false" outlineLevel="0" collapsed="false">
      <c r="A3" s="3"/>
      <c r="B3" s="3"/>
      <c r="C3" s="3"/>
      <c r="D3" s="3"/>
      <c r="E3" s="3"/>
    </row>
    <row r="5" customFormat="false" ht="15" hidden="false" customHeight="false" outlineLevel="0" collapsed="false">
      <c r="A5" s="4" t="s">
        <v>94</v>
      </c>
      <c r="B5" s="7"/>
      <c r="C5" s="7"/>
      <c r="D5" s="7"/>
      <c r="E5" s="7"/>
    </row>
    <row r="7" customFormat="false" ht="15" hidden="false" customHeight="false" outlineLevel="0" collapsed="false">
      <c r="A7" s="32" t="s">
        <v>95</v>
      </c>
    </row>
    <row r="8" customFormat="false" ht="15" hidden="false" customHeight="false" outlineLevel="0" collapsed="false">
      <c r="A8" s="33" t="s">
        <v>96</v>
      </c>
    </row>
    <row r="10" customFormat="false" ht="15" hidden="false" customHeight="false" outlineLevel="0" collapsed="false">
      <c r="A10" s="4" t="s">
        <v>97</v>
      </c>
      <c r="B10" s="7"/>
      <c r="C10" s="7"/>
      <c r="D10" s="7"/>
      <c r="E10" s="7"/>
    </row>
    <row r="12" customFormat="false" ht="15" hidden="false" customHeight="false" outlineLevel="0" collapsed="false">
      <c r="A12" s="8" t="s">
        <v>98</v>
      </c>
      <c r="B12" s="21" t="n">
        <f aca="false">GrossPrior</f>
        <v>498000000</v>
      </c>
    </row>
    <row r="13" customFormat="false" ht="15" hidden="false" customHeight="false" outlineLevel="0" collapsed="false">
      <c r="A13" s="8" t="s">
        <v>99</v>
      </c>
      <c r="B13" s="21" t="n">
        <f aca="false">GrossNow</f>
        <v>486000000</v>
      </c>
    </row>
    <row r="14" customFormat="false" ht="15" hidden="false" customHeight="false" outlineLevel="0" collapsed="false">
      <c r="A14" s="8" t="s">
        <v>100</v>
      </c>
      <c r="B14" s="21" t="n">
        <f aca="false">GrossNow-GrossPrior</f>
        <v>-12000000</v>
      </c>
    </row>
    <row r="15" customFormat="false" ht="15" hidden="false" customHeight="false" outlineLevel="0" collapsed="false">
      <c r="A15" s="8" t="s">
        <v>101</v>
      </c>
      <c r="B15" s="22" t="n">
        <f aca="false">GrossNow/GrossPrior-1</f>
        <v>-0.0240963855421686</v>
      </c>
    </row>
    <row r="17" customFormat="false" ht="15" hidden="false" customHeight="false" outlineLevel="0" collapsed="false">
      <c r="A17" s="26" t="s">
        <v>102</v>
      </c>
      <c r="B17" s="27" t="n">
        <f aca="false">(GrossNow-Coef*GrossPrior)/(1-Coef)</f>
        <v>468000000</v>
      </c>
    </row>
    <row r="18" customFormat="false" ht="15" hidden="false" customHeight="false" outlineLevel="0" collapsed="false">
      <c r="A18" s="8" t="s">
        <v>103</v>
      </c>
      <c r="B18" s="21" t="n">
        <f aca="false">GrossNow-TrueGross</f>
        <v>18000000</v>
      </c>
    </row>
    <row r="19" customFormat="false" ht="15" hidden="false" customHeight="false" outlineLevel="0" collapsed="false">
      <c r="A19" s="8" t="s">
        <v>104</v>
      </c>
      <c r="B19" s="22" t="n">
        <f aca="false">B18/GrossNow</f>
        <v>0.037037037037037</v>
      </c>
    </row>
    <row r="20" customFormat="false" ht="15" hidden="false" customHeight="false" outlineLevel="0" collapsed="false">
      <c r="A20" s="8" t="s">
        <v>105</v>
      </c>
      <c r="B20" s="22" t="n">
        <f aca="false">TrueGross/GrossPrior-1</f>
        <v>-0.0602409638554217</v>
      </c>
    </row>
    <row r="21" customFormat="false" ht="15" hidden="false" customHeight="false" outlineLevel="0" collapsed="false">
      <c r="A21" s="31" t="s">
        <v>106</v>
      </c>
    </row>
    <row r="23" customFormat="false" ht="15" hidden="false" customHeight="false" outlineLevel="0" collapsed="false">
      <c r="A23" s="4" t="s">
        <v>107</v>
      </c>
      <c r="B23" s="7"/>
      <c r="C23" s="7"/>
      <c r="D23" s="7"/>
      <c r="E23" s="7"/>
    </row>
    <row r="25" customFormat="false" ht="15" hidden="false" customHeight="false" outlineLevel="0" collapsed="false">
      <c r="A25" s="8" t="s">
        <v>108</v>
      </c>
      <c r="B25" s="21" t="n">
        <f aca="false">GrossNow-Debt</f>
        <v>195000000</v>
      </c>
    </row>
    <row r="26" customFormat="false" ht="15" hidden="false" customHeight="false" outlineLevel="0" collapsed="false">
      <c r="A26" s="26" t="s">
        <v>109</v>
      </c>
      <c r="B26" s="27" t="n">
        <f aca="false">TrueGross-Debt</f>
        <v>177000000</v>
      </c>
    </row>
    <row r="27" customFormat="false" ht="15" hidden="false" customHeight="false" outlineLevel="0" collapsed="false">
      <c r="A27" s="8" t="s">
        <v>70</v>
      </c>
      <c r="B27" s="21" t="n">
        <f aca="false">NAVrep-NAVcorr</f>
        <v>18000000</v>
      </c>
    </row>
    <row r="28" customFormat="false" ht="15" hidden="false" customHeight="false" outlineLevel="0" collapsed="false">
      <c r="A28" s="26" t="s">
        <v>71</v>
      </c>
      <c r="B28" s="28" t="n">
        <f aca="false">B27/NAVrep</f>
        <v>0.0923076923076923</v>
      </c>
    </row>
    <row r="29" customFormat="false" ht="15" hidden="false" customHeight="false" outlineLevel="0" collapsed="false">
      <c r="A29" s="31" t="s">
        <v>110</v>
      </c>
    </row>
    <row r="31" customFormat="false" ht="15" hidden="false" customHeight="false" outlineLevel="0" collapsed="false">
      <c r="A31" s="4" t="s">
        <v>111</v>
      </c>
      <c r="B31" s="7"/>
      <c r="C31" s="7"/>
      <c r="D31" s="7"/>
      <c r="E31" s="7"/>
    </row>
    <row r="33" customFormat="false" ht="15" hidden="false" customHeight="false" outlineLevel="0" collapsed="false">
      <c r="A33" s="8" t="s">
        <v>80</v>
      </c>
      <c r="B33" s="21" t="n">
        <f aca="false">AlderCarried</f>
        <v>120000000</v>
      </c>
    </row>
    <row r="34" customFormat="false" ht="15" hidden="false" customHeight="false" outlineLevel="0" collapsed="false">
      <c r="A34" s="26" t="s">
        <v>112</v>
      </c>
      <c r="B34" s="27" t="n">
        <f aca="false">AlderCarried*TrueGross/GrossNow</f>
        <v>115555555.555556</v>
      </c>
    </row>
    <row r="35" customFormat="false" ht="15" hidden="false" customHeight="false" outlineLevel="0" collapsed="false">
      <c r="A35" s="31"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20"/>
    <col collapsed="false" customWidth="true" hidden="false" outlineLevel="0" max="3" min="3" style="0" width="16"/>
    <col collapsed="false" customWidth="true" hidden="false" outlineLevel="0" max="4" min="4" style="0" width="4"/>
    <col collapsed="false" customWidth="true" hidden="false" outlineLevel="0" max="5" min="5" style="0" width="66"/>
  </cols>
  <sheetData>
    <row r="1" customFormat="false" ht="24" hidden="false" customHeight="true" outlineLevel="0" collapsed="false">
      <c r="A1" s="1" t="s">
        <v>114</v>
      </c>
    </row>
    <row r="2" customFormat="false" ht="15" hidden="false" customHeight="false" outlineLevel="0" collapsed="false">
      <c r="A2" s="2" t="s">
        <v>115</v>
      </c>
    </row>
    <row r="3" customFormat="false" ht="15" hidden="false" customHeight="false" outlineLevel="0" collapsed="false">
      <c r="A3" s="3"/>
      <c r="B3" s="3"/>
      <c r="C3" s="3"/>
      <c r="D3" s="3"/>
      <c r="E3" s="3"/>
    </row>
    <row r="5" customFormat="false" ht="30" hidden="false" customHeight="true" outlineLevel="0" collapsed="false">
      <c r="A5" s="19"/>
      <c r="B5" s="20" t="s">
        <v>60</v>
      </c>
    </row>
    <row r="6" customFormat="false" ht="15" hidden="false" customHeight="false" outlineLevel="0" collapsed="false">
      <c r="A6" s="8" t="s">
        <v>116</v>
      </c>
      <c r="B6" s="21" t="n">
        <f aca="false">NAVrep*Stake</f>
        <v>19500000</v>
      </c>
    </row>
    <row r="7" customFormat="false" ht="15" hidden="false" customHeight="false" outlineLevel="0" collapsed="false">
      <c r="A7" s="23" t="s">
        <v>34</v>
      </c>
      <c r="B7" s="24" t="n">
        <f aca="false">Ask</f>
        <v>17550000</v>
      </c>
    </row>
    <row r="8" customFormat="false" ht="15" hidden="false" customHeight="false" outlineLevel="0" collapsed="false">
      <c r="A8" s="26" t="s">
        <v>117</v>
      </c>
      <c r="B8" s="28" t="n">
        <f aca="false">Ask/B6-1</f>
        <v>-0.1</v>
      </c>
    </row>
    <row r="9" customFormat="false" ht="15" hidden="false" customHeight="false" outlineLevel="0" collapsed="false">
      <c r="A9" s="8" t="s">
        <v>118</v>
      </c>
      <c r="B9" s="21" t="n">
        <f aca="false">B6-Ask</f>
        <v>1950000</v>
      </c>
    </row>
    <row r="11" customFormat="false" ht="15" hidden="false" customHeight="false" outlineLevel="0" collapsed="false">
      <c r="A11" s="8" t="s">
        <v>119</v>
      </c>
      <c r="B11" s="21" t="n">
        <f aca="false">NAVcorr*Stake</f>
        <v>17700000</v>
      </c>
    </row>
    <row r="12" customFormat="false" ht="15" hidden="false" customHeight="false" outlineLevel="0" collapsed="false">
      <c r="A12" s="23" t="s">
        <v>34</v>
      </c>
      <c r="B12" s="24" t="n">
        <f aca="false">Ask</f>
        <v>17550000</v>
      </c>
    </row>
    <row r="13" customFormat="false" ht="15" hidden="false" customHeight="false" outlineLevel="0" collapsed="false">
      <c r="A13" s="26" t="s">
        <v>120</v>
      </c>
      <c r="B13" s="34" t="n">
        <f aca="false">Ask/B11-1</f>
        <v>-0.00847457627118642</v>
      </c>
    </row>
    <row r="14" customFormat="false" ht="15" hidden="false" customHeight="false" outlineLevel="0" collapsed="false">
      <c r="A14" s="8" t="s">
        <v>121</v>
      </c>
      <c r="B14" s="21" t="n">
        <f aca="false">B11-Ask</f>
        <v>150000</v>
      </c>
    </row>
    <row r="16" customFormat="false" ht="15" hidden="false" customHeight="false" outlineLevel="0" collapsed="false">
      <c r="A16" s="31" t="s">
        <v>122</v>
      </c>
    </row>
    <row r="18" customFormat="false" ht="15" hidden="false" customHeight="false" outlineLevel="0" collapsed="false">
      <c r="A18" s="4" t="s">
        <v>123</v>
      </c>
      <c r="B18" s="7"/>
      <c r="C18" s="7"/>
      <c r="D18" s="7"/>
      <c r="E18" s="7"/>
    </row>
    <row r="20" customFormat="false" ht="15" hidden="false" customHeight="false" outlineLevel="0" collapsed="false">
      <c r="A20" s="31" t="s">
        <v>124</v>
      </c>
    </row>
    <row r="22" customFormat="false" ht="30" hidden="false" customHeight="true" outlineLevel="0" collapsed="false">
      <c r="A22" s="19" t="s">
        <v>125</v>
      </c>
      <c r="B22" s="20" t="s">
        <v>126</v>
      </c>
      <c r="C22" s="20" t="s">
        <v>127</v>
      </c>
      <c r="D22" s="20" t="s">
        <v>128</v>
      </c>
      <c r="E22" s="20" t="s">
        <v>120</v>
      </c>
    </row>
    <row r="23" customFormat="false" ht="15" hidden="false" customHeight="false" outlineLevel="0" collapsed="false">
      <c r="A23" s="11" t="n">
        <v>0.4</v>
      </c>
      <c r="B23" s="21" t="n">
        <f aca="false">(GrossNow-A23*GrossPrior)/(1-A23)</f>
        <v>478000000</v>
      </c>
      <c r="C23" s="21" t="n">
        <f aca="false">B23-Debt</f>
        <v>187000000</v>
      </c>
      <c r="D23" s="21" t="n">
        <f aca="false">C23*Stake</f>
        <v>18700000</v>
      </c>
      <c r="E23" s="22" t="n">
        <f aca="false">Ask/D23-1</f>
        <v>-0.0614973262032086</v>
      </c>
    </row>
    <row r="24" customFormat="false" ht="15" hidden="false" customHeight="false" outlineLevel="0" collapsed="false">
      <c r="A24" s="11" t="n">
        <v>0.45</v>
      </c>
      <c r="B24" s="21" t="n">
        <f aca="false">(GrossNow-A24*GrossPrior)/(1-A24)</f>
        <v>476181818.181818</v>
      </c>
      <c r="C24" s="21" t="n">
        <f aca="false">B24-Debt</f>
        <v>185181818.181818</v>
      </c>
      <c r="D24" s="21" t="n">
        <f aca="false">C24*Stake</f>
        <v>18518181.8181818</v>
      </c>
      <c r="E24" s="22" t="n">
        <f aca="false">Ask/D24-1</f>
        <v>-0.0522827687776138</v>
      </c>
    </row>
    <row r="25" customFormat="false" ht="15" hidden="false" customHeight="false" outlineLevel="0" collapsed="false">
      <c r="A25" s="11" t="n">
        <v>0.5</v>
      </c>
      <c r="B25" s="21" t="n">
        <f aca="false">(GrossNow-A25*GrossPrior)/(1-A25)</f>
        <v>474000000</v>
      </c>
      <c r="C25" s="21" t="n">
        <f aca="false">B25-Debt</f>
        <v>183000000</v>
      </c>
      <c r="D25" s="21" t="n">
        <f aca="false">C25*Stake</f>
        <v>18300000</v>
      </c>
      <c r="E25" s="22" t="n">
        <f aca="false">Ask/D25-1</f>
        <v>-0.0409836065573771</v>
      </c>
    </row>
    <row r="26" customFormat="false" ht="15" hidden="false" customHeight="false" outlineLevel="0" collapsed="false">
      <c r="A26" s="11" t="n">
        <v>0.55</v>
      </c>
      <c r="B26" s="21" t="n">
        <f aca="false">(GrossNow-A26*GrossPrior)/(1-A26)</f>
        <v>471333333.333333</v>
      </c>
      <c r="C26" s="21" t="n">
        <f aca="false">B26-Debt</f>
        <v>180333333.333333</v>
      </c>
      <c r="D26" s="21" t="n">
        <f aca="false">C26*Stake</f>
        <v>18033333.3333333</v>
      </c>
      <c r="E26" s="22" t="n">
        <f aca="false">Ask/D26-1</f>
        <v>-0.0268022181146029</v>
      </c>
    </row>
    <row r="27" customFormat="false" ht="15" hidden="false" customHeight="false" outlineLevel="0" collapsed="false">
      <c r="A27" s="35" t="n">
        <v>0.6</v>
      </c>
      <c r="B27" s="24" t="n">
        <f aca="false">(GrossNow-A27*GrossPrior)/(1-A27)</f>
        <v>468000000</v>
      </c>
      <c r="C27" s="24" t="n">
        <f aca="false">B27-Debt</f>
        <v>177000000</v>
      </c>
      <c r="D27" s="24" t="n">
        <f aca="false">C27*Stake</f>
        <v>17700000</v>
      </c>
      <c r="E27" s="25" t="n">
        <f aca="false">Ask/D27-1</f>
        <v>-0.00847457627118642</v>
      </c>
    </row>
    <row r="28" customFormat="false" ht="15" hidden="false" customHeight="false" outlineLevel="0" collapsed="false">
      <c r="A28" s="11" t="n">
        <v>0.65</v>
      </c>
      <c r="B28" s="21" t="n">
        <f aca="false">(GrossNow-A28*GrossPrior)/(1-A28)</f>
        <v>463714285.714286</v>
      </c>
      <c r="C28" s="21" t="n">
        <f aca="false">B28-Debt</f>
        <v>172714285.714286</v>
      </c>
      <c r="D28" s="21" t="n">
        <f aca="false">C28*Stake</f>
        <v>17271428.5714286</v>
      </c>
      <c r="E28" s="22" t="n">
        <f aca="false">Ask/D28-1</f>
        <v>0.0161290322580643</v>
      </c>
    </row>
    <row r="29" customFormat="false" ht="15" hidden="false" customHeight="false" outlineLevel="0" collapsed="false">
      <c r="A29" s="11" t="n">
        <v>0.7</v>
      </c>
      <c r="B29" s="21" t="n">
        <f aca="false">(GrossNow-A29*GrossPrior)/(1-A29)</f>
        <v>458000000</v>
      </c>
      <c r="C29" s="21" t="n">
        <f aca="false">B29-Debt</f>
        <v>167000000</v>
      </c>
      <c r="D29" s="21" t="n">
        <f aca="false">C29*Stake</f>
        <v>16700000</v>
      </c>
      <c r="E29" s="36" t="n">
        <f aca="false">Ask/D29-1</f>
        <v>0.0508982035928147</v>
      </c>
    </row>
    <row r="30" customFormat="false" ht="15" hidden="false" customHeight="false" outlineLevel="0" collapsed="false">
      <c r="A30" s="11" t="n">
        <v>0.75</v>
      </c>
      <c r="B30" s="21" t="n">
        <f aca="false">(GrossNow-A30*GrossPrior)/(1-A30)</f>
        <v>450000000</v>
      </c>
      <c r="C30" s="21" t="n">
        <f aca="false">B30-Debt</f>
        <v>159000000</v>
      </c>
      <c r="D30" s="21" t="n">
        <f aca="false">C30*Stake</f>
        <v>15900000</v>
      </c>
      <c r="E30" s="36" t="n">
        <f aca="false">Ask/D30-1</f>
        <v>0.10377358490566</v>
      </c>
    </row>
    <row r="31" customFormat="false" ht="15" hidden="false" customHeight="false" outlineLevel="0" collapsed="false">
      <c r="A31" s="11" t="n">
        <v>0.8</v>
      </c>
      <c r="B31" s="21" t="n">
        <f aca="false">(GrossNow-A31*GrossPrior)/(1-A31)</f>
        <v>438000000</v>
      </c>
      <c r="C31" s="21" t="n">
        <f aca="false">B31-Debt</f>
        <v>147000000</v>
      </c>
      <c r="D31" s="21" t="n">
        <f aca="false">C31*Stake</f>
        <v>14700000</v>
      </c>
      <c r="E31" s="36" t="n">
        <f aca="false">Ask/D31-1</f>
        <v>0.193877551020407</v>
      </c>
    </row>
    <row r="33" customFormat="false" ht="15" hidden="false" customHeight="false" outlineLevel="0" collapsed="false">
      <c r="A33" s="8" t="s">
        <v>129</v>
      </c>
      <c r="B33" s="37" t="n">
        <f aca="false">(GrossNow-Debt-Ask/Stake)/(GrossPrior-Debt-Ask/Stake)</f>
        <v>0.619047619047619</v>
      </c>
    </row>
    <row r="34" customFormat="false" ht="15" hidden="false" customHeight="false" outlineLevel="0" collapsed="false">
      <c r="A34" s="31" t="s">
        <v>130</v>
      </c>
    </row>
    <row r="36" customFormat="false" ht="15" hidden="false" customHeight="false" outlineLevel="0" collapsed="false">
      <c r="A36" s="4" t="s">
        <v>131</v>
      </c>
      <c r="B36" s="7"/>
      <c r="C36" s="7"/>
      <c r="D36" s="7"/>
      <c r="E36" s="7"/>
    </row>
    <row r="38" customFormat="false" ht="30" hidden="false" customHeight="true" outlineLevel="0" collapsed="false">
      <c r="A38" s="19"/>
      <c r="B38" s="20" t="s">
        <v>60</v>
      </c>
    </row>
    <row r="39" customFormat="false" ht="15" hidden="false" customHeight="false" outlineLevel="0" collapsed="false">
      <c r="A39" s="8" t="s">
        <v>108</v>
      </c>
      <c r="B39" s="21" t="n">
        <f aca="false">NAVrep</f>
        <v>195000000</v>
      </c>
    </row>
    <row r="40" customFormat="false" ht="15" hidden="false" customHeight="false" outlineLevel="0" collapsed="false">
      <c r="A40" s="8" t="s">
        <v>132</v>
      </c>
      <c r="B40" s="21" t="n">
        <f aca="false">-(NAVrep-NAVcorr)</f>
        <v>-18000000</v>
      </c>
    </row>
    <row r="41" customFormat="false" ht="15" hidden="false" customHeight="false" outlineLevel="0" collapsed="false">
      <c r="A41" s="8" t="s">
        <v>133</v>
      </c>
      <c r="B41" s="21" t="n">
        <f aca="false">-AlderFix</f>
        <v>-5774565.03055021</v>
      </c>
    </row>
    <row r="42" customFormat="false" ht="15" hidden="false" customHeight="false" outlineLevel="0" collapsed="false">
      <c r="A42" s="38" t="s">
        <v>134</v>
      </c>
      <c r="B42" s="39" t="n">
        <f aca="false">NAVcorr-AlderFix</f>
        <v>171225434.96945</v>
      </c>
    </row>
    <row r="43" customFormat="false" ht="15" hidden="false" customHeight="false" outlineLevel="0" collapsed="false">
      <c r="A43" s="8" t="s">
        <v>135</v>
      </c>
      <c r="B43" s="21" t="n">
        <f aca="false">B42*Stake</f>
        <v>17122543.496945</v>
      </c>
    </row>
    <row r="44" customFormat="false" ht="15" hidden="false" customHeight="false" outlineLevel="0" collapsed="false">
      <c r="A44" s="8" t="s">
        <v>136</v>
      </c>
      <c r="B44" s="21" t="n">
        <f aca="false">Ask</f>
        <v>17550000</v>
      </c>
    </row>
    <row r="45" customFormat="false" ht="15" hidden="false" customHeight="false" outlineLevel="0" collapsed="false">
      <c r="A45" s="26" t="s">
        <v>137</v>
      </c>
      <c r="B45" s="28" t="n">
        <f aca="false">Ask/B43-1</f>
        <v>0.0249645447319955</v>
      </c>
    </row>
    <row r="46" customFormat="false" ht="15" hidden="false" customHeight="false" outlineLevel="0" collapsed="false">
      <c r="A46" s="31" t="s">
        <v>138</v>
      </c>
    </row>
    <row r="48" customFormat="false" ht="15" hidden="false" customHeight="false" outlineLevel="0" collapsed="false">
      <c r="A48" s="4" t="s">
        <v>139</v>
      </c>
      <c r="B48" s="7"/>
      <c r="C48" s="7"/>
      <c r="D48" s="7"/>
      <c r="E48" s="7"/>
    </row>
    <row r="50" customFormat="false" ht="15" hidden="false" customHeight="false" outlineLevel="0" collapsed="false">
      <c r="A50" s="8" t="s">
        <v>140</v>
      </c>
      <c r="B50" s="21" t="n">
        <f aca="false">B42-TrueGross*ExitLow</f>
        <v>164205434.96945</v>
      </c>
    </row>
    <row r="51" customFormat="false" ht="15" hidden="false" customHeight="false" outlineLevel="0" collapsed="false">
      <c r="A51" s="8" t="s">
        <v>141</v>
      </c>
      <c r="B51" s="21" t="n">
        <f aca="false">B42-TrueGross*ExitHigh</f>
        <v>143145434.96945</v>
      </c>
    </row>
    <row r="52" customFormat="false" ht="15" hidden="false" customHeight="false" outlineLevel="0" collapsed="false">
      <c r="A52" s="31" t="s">
        <v>142</v>
      </c>
    </row>
    <row r="54" customFormat="false" ht="15" hidden="false" customHeight="false" outlineLevel="0" collapsed="false">
      <c r="A54" s="8" t="s">
        <v>143</v>
      </c>
      <c r="B54" s="40" t="n">
        <f aca="false">(GrossNow-Debt-AlderFix-Ask/Stake)/(GrossPrior-Debt-AlderFix-Ask/Stake)</f>
        <v>0.533535583975525</v>
      </c>
    </row>
    <row r="55" customFormat="false" ht="15" hidden="false" customHeight="false" outlineLevel="0" collapsed="false">
      <c r="A55" s="16" t="s">
        <v>144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2" min="2" style="0" width="62"/>
    <col collapsed="false" customWidth="true" hidden="false" outlineLevel="0" max="4" min="3" style="0" width="20"/>
    <col collapsed="false" customWidth="true" hidden="false" outlineLevel="0" max="5" min="5" style="0" width="16"/>
    <col collapsed="false" customWidth="true" hidden="false" outlineLevel="0" max="6" min="6" style="0" width="12"/>
    <col collapsed="false" customWidth="true" hidden="false" outlineLevel="0" max="7" min="7" style="0" width="58"/>
  </cols>
  <sheetData>
    <row r="1" customFormat="false" ht="19.7" hidden="false" customHeight="false" outlineLevel="0" collapsed="false">
      <c r="A1" s="41" t="s">
        <v>145</v>
      </c>
    </row>
    <row r="2" customFormat="false" ht="15" hidden="false" customHeight="false" outlineLevel="0" collapsed="false">
      <c r="A2" s="42" t="s">
        <v>146</v>
      </c>
    </row>
    <row r="5" customFormat="false" ht="15" hidden="false" customHeight="false" outlineLevel="0" collapsed="false">
      <c r="A5" s="43" t="s">
        <v>147</v>
      </c>
      <c r="B5" s="43" t="s">
        <v>148</v>
      </c>
      <c r="C5" s="43" t="s">
        <v>15</v>
      </c>
      <c r="D5" s="43" t="s">
        <v>149</v>
      </c>
      <c r="E5" s="43" t="s">
        <v>150</v>
      </c>
      <c r="F5" s="43" t="s">
        <v>151</v>
      </c>
      <c r="G5" s="43" t="s">
        <v>152</v>
      </c>
    </row>
    <row r="6" customFormat="false" ht="15" hidden="false" customHeight="false" outlineLevel="0" collapsed="false">
      <c r="A6" s="8" t="s">
        <v>153</v>
      </c>
      <c r="B6" s="5" t="s">
        <v>108</v>
      </c>
      <c r="C6" s="21" t="n">
        <v>195000000</v>
      </c>
      <c r="D6" s="21" t="n">
        <f aca="false">NAVrep</f>
        <v>195000000</v>
      </c>
      <c r="E6" s="21" t="n">
        <f aca="false">D6-C6</f>
        <v>0</v>
      </c>
      <c r="F6" s="44" t="str">
        <f aca="false">IF(ABS(D6-C6)&lt;=1,"PASS","FAIL")</f>
        <v>PASS</v>
      </c>
    </row>
    <row r="7" customFormat="false" ht="15" hidden="false" customHeight="false" outlineLevel="0" collapsed="false">
      <c r="A7" s="8" t="s">
        <v>153</v>
      </c>
      <c r="B7" s="5" t="s">
        <v>75</v>
      </c>
      <c r="C7" s="22" t="n">
        <v>0.599</v>
      </c>
      <c r="D7" s="22" t="n">
        <f aca="false">ROUND('What the NAV Is Made Of'!B9,3)</f>
        <v>0.599</v>
      </c>
      <c r="E7" s="22" t="n">
        <f aca="false">D7-C7</f>
        <v>0</v>
      </c>
      <c r="F7" s="44" t="str">
        <f aca="false">IF(ABS(D7-C7)&lt;=0.0005,"PASS","FAIL")</f>
        <v>PASS</v>
      </c>
    </row>
    <row r="8" customFormat="false" ht="15" hidden="false" customHeight="false" outlineLevel="0" collapsed="false">
      <c r="A8" s="8" t="s">
        <v>153</v>
      </c>
      <c r="B8" s="5" t="s">
        <v>154</v>
      </c>
      <c r="C8" s="21" t="n">
        <v>471420000</v>
      </c>
      <c r="D8" s="21" t="n">
        <f aca="false">'What the NAV Is Made Of'!B14</f>
        <v>471420000</v>
      </c>
      <c r="E8" s="21" t="n">
        <f aca="false">D8-C8</f>
        <v>0</v>
      </c>
      <c r="F8" s="44" t="str">
        <f aca="false">IF(ABS(D8-C8)&lt;=1,"PASS","FAIL")</f>
        <v>PASS</v>
      </c>
    </row>
    <row r="9" customFormat="false" ht="15" hidden="false" customHeight="false" outlineLevel="0" collapsed="false">
      <c r="A9" s="8" t="s">
        <v>153</v>
      </c>
      <c r="B9" s="5" t="s">
        <v>155</v>
      </c>
      <c r="C9" s="21" t="n">
        <v>180420000</v>
      </c>
      <c r="D9" s="21" t="n">
        <f aca="false">'What the NAV Is Made Of'!B16</f>
        <v>180420000</v>
      </c>
      <c r="E9" s="21" t="n">
        <f aca="false">D9-C9</f>
        <v>0</v>
      </c>
      <c r="F9" s="44" t="str">
        <f aca="false">IF(ABS(D9-C9)&lt;=1,"PASS","FAIL")</f>
        <v>PASS</v>
      </c>
    </row>
    <row r="10" customFormat="false" ht="15" hidden="false" customHeight="false" outlineLevel="0" collapsed="false">
      <c r="A10" s="8" t="s">
        <v>153</v>
      </c>
      <c r="B10" s="5" t="s">
        <v>70</v>
      </c>
      <c r="C10" s="21" t="n">
        <v>14580000</v>
      </c>
      <c r="D10" s="21" t="n">
        <f aca="false">'What the NAV Is Made Of'!B17</f>
        <v>14580000</v>
      </c>
      <c r="E10" s="21" t="n">
        <f aca="false">D10-C10</f>
        <v>0</v>
      </c>
      <c r="F10" s="44" t="str">
        <f aca="false">IF(ABS(D10-C10)&lt;=1,"PASS","FAIL")</f>
        <v>PASS</v>
      </c>
    </row>
    <row r="11" customFormat="false" ht="15" hidden="false" customHeight="false" outlineLevel="0" collapsed="false">
      <c r="A11" s="8" t="s">
        <v>153</v>
      </c>
      <c r="B11" s="5" t="s">
        <v>71</v>
      </c>
      <c r="C11" s="22" t="n">
        <v>0.075</v>
      </c>
      <c r="D11" s="22" t="n">
        <f aca="false">ROUND('What the NAV Is Made Of'!B18,3)</f>
        <v>0.075</v>
      </c>
      <c r="E11" s="22" t="n">
        <f aca="false">D11-C11</f>
        <v>0</v>
      </c>
      <c r="F11" s="44" t="str">
        <f aca="false">IF(ABS(D11-C11)&lt;=0.0005,"PASS","FAIL")</f>
        <v>PASS</v>
      </c>
    </row>
    <row r="12" customFormat="false" ht="15" hidden="false" customHeight="false" outlineLevel="0" collapsed="false">
      <c r="A12" s="8" t="s">
        <v>153</v>
      </c>
      <c r="B12" s="5" t="s">
        <v>156</v>
      </c>
      <c r="C12" s="30" t="n">
        <v>2.49</v>
      </c>
      <c r="D12" s="30" t="n">
        <f aca="false">ROUND('What the NAV Is Made Of'!B22,2)</f>
        <v>2.49</v>
      </c>
      <c r="E12" s="30" t="n">
        <f aca="false">D12-C12</f>
        <v>0</v>
      </c>
      <c r="F12" s="44" t="str">
        <f aca="false">IF(ABS(D12-C12)&lt;=0.005,"PASS","FAIL")</f>
        <v>PASS</v>
      </c>
    </row>
    <row r="13" customFormat="false" ht="15" hidden="false" customHeight="false" outlineLevel="0" collapsed="false">
      <c r="A13" s="8" t="s">
        <v>153</v>
      </c>
      <c r="B13" s="5" t="s">
        <v>157</v>
      </c>
      <c r="C13" s="22" t="n">
        <v>0.247</v>
      </c>
      <c r="D13" s="22" t="n">
        <f aca="false">ROUND('What the NAV Is Made Of'!B37,3)</f>
        <v>0.247</v>
      </c>
      <c r="E13" s="22" t="n">
        <f aca="false">D13-C13</f>
        <v>0</v>
      </c>
      <c r="F13" s="44" t="str">
        <f aca="false">IF(ABS(D13-C13)&lt;=0.0005,"PASS","FAIL")</f>
        <v>PASS</v>
      </c>
    </row>
    <row r="14" customFormat="false" ht="15" hidden="false" customHeight="false" outlineLevel="0" collapsed="false">
      <c r="A14" s="8" t="s">
        <v>153</v>
      </c>
      <c r="B14" s="5" t="s">
        <v>158</v>
      </c>
      <c r="C14" s="21" t="n">
        <v>48000000</v>
      </c>
      <c r="D14" s="21" t="n">
        <f aca="false">'What the NAV Is Made Of'!B39</f>
        <v>48000000</v>
      </c>
      <c r="E14" s="21" t="n">
        <f aca="false">D14-C14</f>
        <v>0</v>
      </c>
      <c r="F14" s="44" t="str">
        <f aca="false">IF(ABS(D14-C14)&lt;=1,"PASS","FAIL")</f>
        <v>PASS</v>
      </c>
    </row>
    <row r="15" customFormat="false" ht="15" hidden="false" customHeight="false" outlineLevel="0" collapsed="false">
      <c r="A15" s="8" t="s">
        <v>153</v>
      </c>
      <c r="B15" s="5" t="s">
        <v>159</v>
      </c>
      <c r="C15" s="22" t="n">
        <v>0.246</v>
      </c>
      <c r="D15" s="22" t="n">
        <f aca="false">ROUND('What the NAV Is Made Of'!B40,3)</f>
        <v>0.246</v>
      </c>
      <c r="E15" s="22" t="n">
        <f aca="false">D15-C15</f>
        <v>0</v>
      </c>
      <c r="F15" s="44" t="str">
        <f aca="false">IF(ABS(D15-C15)&lt;=0.0005,"PASS","FAIL")</f>
        <v>PASS</v>
      </c>
    </row>
    <row r="16" customFormat="false" ht="15" hidden="false" customHeight="false" outlineLevel="0" collapsed="false">
      <c r="A16" s="8" t="s">
        <v>153</v>
      </c>
      <c r="B16" s="5" t="s">
        <v>160</v>
      </c>
      <c r="C16" s="22" t="n">
        <v>0.03</v>
      </c>
      <c r="D16" s="22" t="n">
        <f aca="false">ROUND('What the NAV Is Made Of'!B41,3)</f>
        <v>0.03</v>
      </c>
      <c r="E16" s="22" t="n">
        <f aca="false">D16-C16</f>
        <v>0</v>
      </c>
      <c r="F16" s="44" t="str">
        <f aca="false">IF(ABS(D16-C16)&lt;=0.0005,"PASS","FAIL")</f>
        <v>PASS</v>
      </c>
      <c r="G16" s="45" t="s">
        <v>161</v>
      </c>
    </row>
    <row r="17" customFormat="false" ht="15" hidden="false" customHeight="false" outlineLevel="0" collapsed="false">
      <c r="A17" s="8" t="s">
        <v>153</v>
      </c>
      <c r="B17" s="5" t="s">
        <v>162</v>
      </c>
      <c r="C17" s="21" t="n">
        <v>7000000</v>
      </c>
      <c r="D17" s="21" t="n">
        <f aca="false">ROUND('What the NAV Is Made Of'!B47,-6)</f>
        <v>7000000</v>
      </c>
      <c r="E17" s="21" t="n">
        <f aca="false">D17-C17</f>
        <v>0</v>
      </c>
      <c r="F17" s="44" t="str">
        <f aca="false">IF(ABS(D17-C17)&lt;=1,"PASS","FAIL")</f>
        <v>PASS</v>
      </c>
    </row>
    <row r="18" customFormat="false" ht="15" hidden="false" customHeight="false" outlineLevel="0" collapsed="false">
      <c r="A18" s="8" t="s">
        <v>153</v>
      </c>
      <c r="B18" s="5" t="s">
        <v>163</v>
      </c>
      <c r="C18" s="21" t="n">
        <v>29000000</v>
      </c>
      <c r="D18" s="21" t="n">
        <f aca="false">ROUND('What the NAV Is Made Of'!C47,-6)</f>
        <v>29000000</v>
      </c>
      <c r="E18" s="21" t="n">
        <f aca="false">D18-C18</f>
        <v>0</v>
      </c>
      <c r="F18" s="44" t="str">
        <f aca="false">IF(ABS(D18-C18)&lt;=1,"PASS","FAIL")</f>
        <v>PASS</v>
      </c>
    </row>
    <row r="19" customFormat="false" ht="15" hidden="false" customHeight="false" outlineLevel="0" collapsed="false">
      <c r="A19" s="8" t="s">
        <v>164</v>
      </c>
      <c r="B19" s="5" t="s">
        <v>165</v>
      </c>
      <c r="C19" s="21" t="n">
        <v>-12000000</v>
      </c>
      <c r="D19" s="21" t="n">
        <f aca="false">Unsmoothing!B14</f>
        <v>-12000000</v>
      </c>
      <c r="E19" s="21" t="n">
        <f aca="false">D19-C19</f>
        <v>0</v>
      </c>
      <c r="F19" s="44" t="str">
        <f aca="false">IF(ABS(D19-C19)&lt;=1,"PASS","FAIL")</f>
        <v>PASS</v>
      </c>
    </row>
    <row r="20" customFormat="false" ht="15" hidden="false" customHeight="false" outlineLevel="0" collapsed="false">
      <c r="A20" s="8" t="s">
        <v>164</v>
      </c>
      <c r="B20" s="5" t="s">
        <v>101</v>
      </c>
      <c r="C20" s="22" t="n">
        <v>-0.024</v>
      </c>
      <c r="D20" s="22" t="n">
        <f aca="false">ROUND(Unsmoothing!B15,3)</f>
        <v>-0.024</v>
      </c>
      <c r="E20" s="22" t="n">
        <f aca="false">D20-C20</f>
        <v>0</v>
      </c>
      <c r="F20" s="44" t="str">
        <f aca="false">IF(ABS(D20-C20)&lt;=0.0005,"PASS","FAIL")</f>
        <v>PASS</v>
      </c>
    </row>
    <row r="21" customFormat="false" ht="15" hidden="false" customHeight="false" outlineLevel="0" collapsed="false">
      <c r="A21" s="8" t="s">
        <v>164</v>
      </c>
      <c r="B21" s="5" t="s">
        <v>166</v>
      </c>
      <c r="C21" s="21" t="n">
        <v>468000000</v>
      </c>
      <c r="D21" s="21" t="n">
        <f aca="false">Unsmoothing!B17</f>
        <v>468000000</v>
      </c>
      <c r="E21" s="21" t="n">
        <f aca="false">D21-C21</f>
        <v>0</v>
      </c>
      <c r="F21" s="44" t="str">
        <f aca="false">IF(ABS(D21-C21)&lt;=1,"PASS","FAIL")</f>
        <v>PASS</v>
      </c>
    </row>
    <row r="22" customFormat="false" ht="15" hidden="false" customHeight="false" outlineLevel="0" collapsed="false">
      <c r="A22" s="8" t="s">
        <v>164</v>
      </c>
      <c r="B22" s="5" t="s">
        <v>103</v>
      </c>
      <c r="C22" s="21" t="n">
        <v>18000000</v>
      </c>
      <c r="D22" s="21" t="n">
        <f aca="false">Unsmoothing!B18</f>
        <v>18000000</v>
      </c>
      <c r="E22" s="21" t="n">
        <f aca="false">D22-C22</f>
        <v>0</v>
      </c>
      <c r="F22" s="44" t="str">
        <f aca="false">IF(ABS(D22-C22)&lt;=1,"PASS","FAIL")</f>
        <v>PASS</v>
      </c>
    </row>
    <row r="23" customFormat="false" ht="15" hidden="false" customHeight="false" outlineLevel="0" collapsed="false">
      <c r="A23" s="8" t="s">
        <v>164</v>
      </c>
      <c r="B23" s="5" t="s">
        <v>104</v>
      </c>
      <c r="C23" s="22" t="n">
        <v>0.037</v>
      </c>
      <c r="D23" s="22" t="n">
        <f aca="false">ROUND(Unsmoothing!B19,3)</f>
        <v>0.037</v>
      </c>
      <c r="E23" s="22" t="n">
        <f aca="false">D23-C23</f>
        <v>0</v>
      </c>
      <c r="F23" s="44" t="str">
        <f aca="false">IF(ABS(D23-C23)&lt;=0.0005,"PASS","FAIL")</f>
        <v>PASS</v>
      </c>
    </row>
    <row r="24" customFormat="false" ht="15" hidden="false" customHeight="false" outlineLevel="0" collapsed="false">
      <c r="A24" s="8" t="s">
        <v>164</v>
      </c>
      <c r="B24" s="5" t="s">
        <v>167</v>
      </c>
      <c r="C24" s="22" t="n">
        <v>-0.06</v>
      </c>
      <c r="D24" s="22" t="n">
        <f aca="false">ROUND(Unsmoothing!B20,3)</f>
        <v>-0.06</v>
      </c>
      <c r="E24" s="22" t="n">
        <f aca="false">D24-C24</f>
        <v>0</v>
      </c>
      <c r="F24" s="44" t="str">
        <f aca="false">IF(ABS(D24-C24)&lt;=0.0005,"PASS","FAIL")</f>
        <v>PASS</v>
      </c>
    </row>
    <row r="25" customFormat="false" ht="15" hidden="false" customHeight="false" outlineLevel="0" collapsed="false">
      <c r="A25" s="8" t="s">
        <v>164</v>
      </c>
      <c r="B25" s="5" t="s">
        <v>109</v>
      </c>
      <c r="C25" s="21" t="n">
        <v>177000000</v>
      </c>
      <c r="D25" s="21" t="n">
        <f aca="false">NAVcorr</f>
        <v>177000000</v>
      </c>
      <c r="E25" s="21" t="n">
        <f aca="false">D25-C25</f>
        <v>0</v>
      </c>
      <c r="F25" s="44" t="str">
        <f aca="false">IF(ABS(D25-C25)&lt;=1,"PASS","FAIL")</f>
        <v>PASS</v>
      </c>
    </row>
    <row r="26" customFormat="false" ht="15" hidden="false" customHeight="false" outlineLevel="0" collapsed="false">
      <c r="A26" s="8" t="s">
        <v>164</v>
      </c>
      <c r="B26" s="5" t="s">
        <v>70</v>
      </c>
      <c r="C26" s="21" t="n">
        <v>18000000</v>
      </c>
      <c r="D26" s="21" t="n">
        <f aca="false">Unsmoothing!B27</f>
        <v>18000000</v>
      </c>
      <c r="E26" s="21" t="n">
        <f aca="false">D26-C26</f>
        <v>0</v>
      </c>
      <c r="F26" s="44" t="str">
        <f aca="false">IF(ABS(D26-C26)&lt;=1,"PASS","FAIL")</f>
        <v>PASS</v>
      </c>
    </row>
    <row r="27" customFormat="false" ht="15" hidden="false" customHeight="false" outlineLevel="0" collapsed="false">
      <c r="A27" s="8" t="s">
        <v>164</v>
      </c>
      <c r="B27" s="5" t="s">
        <v>71</v>
      </c>
      <c r="C27" s="22" t="n">
        <v>0.092</v>
      </c>
      <c r="D27" s="22" t="n">
        <f aca="false">ROUND(Unsmoothing!B28,3)</f>
        <v>0.092</v>
      </c>
      <c r="E27" s="22" t="n">
        <f aca="false">D27-C27</f>
        <v>0</v>
      </c>
      <c r="F27" s="44" t="str">
        <f aca="false">IF(ABS(D27-C27)&lt;=0.0005,"PASS","FAIL")</f>
        <v>PASS</v>
      </c>
    </row>
    <row r="28" customFormat="false" ht="15" hidden="false" customHeight="false" outlineLevel="0" collapsed="false">
      <c r="A28" s="8" t="s">
        <v>164</v>
      </c>
      <c r="B28" s="5" t="s">
        <v>168</v>
      </c>
      <c r="C28" s="21" t="n">
        <v>115600000</v>
      </c>
      <c r="D28" s="21" t="n">
        <f aca="false">ROUND(Unsmoothing!B34,-5)</f>
        <v>115600000</v>
      </c>
      <c r="E28" s="21" t="n">
        <f aca="false">D28-C28</f>
        <v>0</v>
      </c>
      <c r="F28" s="44" t="str">
        <f aca="false">IF(ABS(D28-C28)&lt;=1,"PASS","FAIL")</f>
        <v>PASS</v>
      </c>
    </row>
    <row r="29" customFormat="false" ht="15" hidden="false" customHeight="false" outlineLevel="0" collapsed="false">
      <c r="A29" s="8" t="s">
        <v>164</v>
      </c>
      <c r="B29" s="5" t="s">
        <v>169</v>
      </c>
      <c r="C29" s="21" t="n">
        <v>19500000</v>
      </c>
      <c r="D29" s="21" t="n">
        <f aca="false">'The Bid'!B6</f>
        <v>19500000</v>
      </c>
      <c r="E29" s="21" t="n">
        <f aca="false">D29-C29</f>
        <v>0</v>
      </c>
      <c r="F29" s="44" t="str">
        <f aca="false">IF(ABS(D29-C29)&lt;=1,"PASS","FAIL")</f>
        <v>PASS</v>
      </c>
    </row>
    <row r="30" customFormat="false" ht="15" hidden="false" customHeight="false" outlineLevel="0" collapsed="false">
      <c r="A30" s="8" t="s">
        <v>164</v>
      </c>
      <c r="B30" s="5" t="s">
        <v>117</v>
      </c>
      <c r="C30" s="22" t="n">
        <v>-0.1</v>
      </c>
      <c r="D30" s="22" t="n">
        <f aca="false">ROUND('The Bid'!B8,3)</f>
        <v>-0.1</v>
      </c>
      <c r="E30" s="22" t="n">
        <f aca="false">D30-C30</f>
        <v>0</v>
      </c>
      <c r="F30" s="44" t="str">
        <f aca="false">IF(ABS(D30-C30)&lt;=0.0005,"PASS","FAIL")</f>
        <v>PASS</v>
      </c>
    </row>
    <row r="31" customFormat="false" ht="15" hidden="false" customHeight="false" outlineLevel="0" collapsed="false">
      <c r="A31" s="8" t="s">
        <v>164</v>
      </c>
      <c r="B31" s="5" t="s">
        <v>118</v>
      </c>
      <c r="C31" s="21" t="n">
        <v>1950000</v>
      </c>
      <c r="D31" s="21" t="n">
        <f aca="false">'The Bid'!B9</f>
        <v>1950000</v>
      </c>
      <c r="E31" s="21" t="n">
        <f aca="false">D31-C31</f>
        <v>0</v>
      </c>
      <c r="F31" s="44" t="str">
        <f aca="false">IF(ABS(D31-C31)&lt;=1,"PASS","FAIL")</f>
        <v>PASS</v>
      </c>
    </row>
    <row r="32" customFormat="false" ht="15" hidden="false" customHeight="false" outlineLevel="0" collapsed="false">
      <c r="A32" s="8" t="s">
        <v>164</v>
      </c>
      <c r="B32" s="5" t="s">
        <v>170</v>
      </c>
      <c r="C32" s="21" t="n">
        <v>17700000</v>
      </c>
      <c r="D32" s="21" t="n">
        <f aca="false">'The Bid'!B11</f>
        <v>17700000</v>
      </c>
      <c r="E32" s="21" t="n">
        <f aca="false">D32-C32</f>
        <v>0</v>
      </c>
      <c r="F32" s="44" t="str">
        <f aca="false">IF(ABS(D32-C32)&lt;=1,"PASS","FAIL")</f>
        <v>PASS</v>
      </c>
    </row>
    <row r="33" customFormat="false" ht="15" hidden="false" customHeight="false" outlineLevel="0" collapsed="false">
      <c r="A33" s="8" t="s">
        <v>164</v>
      </c>
      <c r="B33" s="5" t="s">
        <v>120</v>
      </c>
      <c r="C33" s="46" t="n">
        <v>-0.0085</v>
      </c>
      <c r="D33" s="46" t="n">
        <f aca="false">ROUND('The Bid'!B13,4)</f>
        <v>-0.0085</v>
      </c>
      <c r="E33" s="46" t="n">
        <f aca="false">D33-C33</f>
        <v>0</v>
      </c>
      <c r="F33" s="44" t="str">
        <f aca="false">IF(ABS(D33-C33)&lt;=0.00005,"PASS","FAIL")</f>
        <v>PASS</v>
      </c>
    </row>
    <row r="34" customFormat="false" ht="15" hidden="false" customHeight="false" outlineLevel="0" collapsed="false">
      <c r="A34" s="8" t="s">
        <v>164</v>
      </c>
      <c r="B34" s="5" t="s">
        <v>171</v>
      </c>
      <c r="C34" s="21" t="n">
        <v>478000000</v>
      </c>
      <c r="D34" s="21" t="n">
        <f aca="false">'The Bid'!B23</f>
        <v>478000000</v>
      </c>
      <c r="E34" s="21" t="n">
        <f aca="false">D34-C34</f>
        <v>0</v>
      </c>
      <c r="F34" s="44" t="str">
        <f aca="false">IF(ABS(D34-C34)&lt;=1,"PASS","FAIL")</f>
        <v>PASS</v>
      </c>
    </row>
    <row r="35" customFormat="false" ht="15" hidden="false" customHeight="false" outlineLevel="0" collapsed="false">
      <c r="A35" s="8" t="s">
        <v>164</v>
      </c>
      <c r="B35" s="5" t="s">
        <v>172</v>
      </c>
      <c r="C35" s="22" t="n">
        <v>-0.061</v>
      </c>
      <c r="D35" s="22" t="n">
        <f aca="false">ROUND('The Bid'!E23,3)</f>
        <v>-0.061</v>
      </c>
      <c r="E35" s="22" t="n">
        <f aca="false">D35-C35</f>
        <v>0</v>
      </c>
      <c r="F35" s="44" t="str">
        <f aca="false">IF(ABS(D35-C35)&lt;=0.0005,"PASS","FAIL")</f>
        <v>PASS</v>
      </c>
    </row>
    <row r="36" customFormat="false" ht="15" hidden="false" customHeight="false" outlineLevel="0" collapsed="false">
      <c r="A36" s="8" t="s">
        <v>164</v>
      </c>
      <c r="B36" s="5" t="s">
        <v>173</v>
      </c>
      <c r="C36" s="21" t="n">
        <v>474000000</v>
      </c>
      <c r="D36" s="21" t="n">
        <f aca="false">'The Bid'!B25</f>
        <v>474000000</v>
      </c>
      <c r="E36" s="21" t="n">
        <f aca="false">D36-C36</f>
        <v>0</v>
      </c>
      <c r="F36" s="44" t="str">
        <f aca="false">IF(ABS(D36-C36)&lt;=1,"PASS","FAIL")</f>
        <v>PASS</v>
      </c>
    </row>
    <row r="37" customFormat="false" ht="15" hidden="false" customHeight="false" outlineLevel="0" collapsed="false">
      <c r="A37" s="8" t="s">
        <v>164</v>
      </c>
      <c r="B37" s="5" t="s">
        <v>174</v>
      </c>
      <c r="C37" s="22" t="n">
        <v>-0.041</v>
      </c>
      <c r="D37" s="22" t="n">
        <f aca="false">ROUND('The Bid'!E25,3)</f>
        <v>-0.041</v>
      </c>
      <c r="E37" s="22" t="n">
        <f aca="false">D37-C37</f>
        <v>0</v>
      </c>
      <c r="F37" s="44" t="str">
        <f aca="false">IF(ABS(D37-C37)&lt;=0.0005,"PASS","FAIL")</f>
        <v>PASS</v>
      </c>
    </row>
    <row r="38" customFormat="false" ht="15" hidden="false" customHeight="false" outlineLevel="0" collapsed="false">
      <c r="A38" s="8" t="s">
        <v>164</v>
      </c>
      <c r="B38" s="5" t="s">
        <v>175</v>
      </c>
      <c r="C38" s="21" t="n">
        <v>177000000</v>
      </c>
      <c r="D38" s="21" t="n">
        <f aca="false">'The Bid'!C27</f>
        <v>177000000</v>
      </c>
      <c r="E38" s="21" t="n">
        <f aca="false">D38-C38</f>
        <v>0</v>
      </c>
      <c r="F38" s="44" t="str">
        <f aca="false">IF(ABS(D38-C38)&lt;=1,"PASS","FAIL")</f>
        <v>PASS</v>
      </c>
    </row>
    <row r="39" customFormat="false" ht="15" hidden="false" customHeight="false" outlineLevel="0" collapsed="false">
      <c r="A39" s="8" t="s">
        <v>164</v>
      </c>
      <c r="B39" s="5" t="s">
        <v>176</v>
      </c>
      <c r="C39" s="21" t="n">
        <v>458000000</v>
      </c>
      <c r="D39" s="21" t="n">
        <f aca="false">'The Bid'!B29</f>
        <v>458000000</v>
      </c>
      <c r="E39" s="21" t="n">
        <f aca="false">D39-C39</f>
        <v>0</v>
      </c>
      <c r="F39" s="44" t="str">
        <f aca="false">IF(ABS(D39-C39)&lt;=1,"PASS","FAIL")</f>
        <v>PASS</v>
      </c>
    </row>
    <row r="40" customFormat="false" ht="15" hidden="false" customHeight="false" outlineLevel="0" collapsed="false">
      <c r="A40" s="8" t="s">
        <v>164</v>
      </c>
      <c r="B40" s="5" t="s">
        <v>177</v>
      </c>
      <c r="C40" s="22" t="n">
        <v>0.051</v>
      </c>
      <c r="D40" s="22" t="n">
        <f aca="false">ROUND('The Bid'!E29,3)</f>
        <v>0.051</v>
      </c>
      <c r="E40" s="22" t="n">
        <f aca="false">D40-C40</f>
        <v>0</v>
      </c>
      <c r="F40" s="44" t="str">
        <f aca="false">IF(ABS(D40-C40)&lt;=0.0005,"PASS","FAIL")</f>
        <v>PASS</v>
      </c>
    </row>
    <row r="41" customFormat="false" ht="15" hidden="false" customHeight="false" outlineLevel="0" collapsed="false">
      <c r="A41" s="8" t="s">
        <v>164</v>
      </c>
      <c r="B41" s="5" t="s">
        <v>178</v>
      </c>
      <c r="C41" s="21" t="n">
        <v>438000000</v>
      </c>
      <c r="D41" s="21" t="n">
        <f aca="false">'The Bid'!B31</f>
        <v>438000000</v>
      </c>
      <c r="E41" s="21" t="n">
        <f aca="false">D41-C41</f>
        <v>0</v>
      </c>
      <c r="F41" s="44" t="str">
        <f aca="false">IF(ABS(D41-C41)&lt;=1,"PASS","FAIL")</f>
        <v>PASS</v>
      </c>
    </row>
    <row r="42" customFormat="false" ht="15" hidden="false" customHeight="false" outlineLevel="0" collapsed="false">
      <c r="A42" s="8" t="s">
        <v>164</v>
      </c>
      <c r="B42" s="5" t="s">
        <v>179</v>
      </c>
      <c r="C42" s="22" t="n">
        <v>0.194</v>
      </c>
      <c r="D42" s="22" t="n">
        <f aca="false">ROUND('The Bid'!E31,3)</f>
        <v>0.194</v>
      </c>
      <c r="E42" s="22" t="n">
        <f aca="false">D42-C42</f>
        <v>0</v>
      </c>
      <c r="F42" s="44" t="str">
        <f aca="false">IF(ABS(D42-C42)&lt;=0.0005,"PASS","FAIL")</f>
        <v>PASS</v>
      </c>
    </row>
    <row r="43" customFormat="false" ht="15" hidden="false" customHeight="false" outlineLevel="0" collapsed="false">
      <c r="A43" s="8" t="s">
        <v>164</v>
      </c>
      <c r="B43" s="5" t="s">
        <v>180</v>
      </c>
      <c r="C43" s="21" t="n">
        <v>171225435</v>
      </c>
      <c r="D43" s="21" t="n">
        <f aca="false">'The Bid'!B42</f>
        <v>171225434.96945</v>
      </c>
      <c r="E43" s="21" t="n">
        <f aca="false">D43-C43</f>
        <v>-0.0305502116680145</v>
      </c>
      <c r="F43" s="44" t="str">
        <f aca="false">IF(ABS(D43-C43)&lt;=1,"PASS","FAIL")</f>
        <v>PASS</v>
      </c>
      <c r="G43" s="45" t="s">
        <v>181</v>
      </c>
    </row>
    <row r="44" customFormat="false" ht="15" hidden="false" customHeight="false" outlineLevel="0" collapsed="false">
      <c r="A44" s="8" t="s">
        <v>164</v>
      </c>
      <c r="B44" s="5" t="s">
        <v>182</v>
      </c>
      <c r="C44" s="21" t="n">
        <v>17122543</v>
      </c>
      <c r="D44" s="21" t="n">
        <f aca="false">ROUND('The Bid'!B43,0)</f>
        <v>17122543</v>
      </c>
      <c r="E44" s="21" t="n">
        <f aca="false">D44-C44</f>
        <v>0</v>
      </c>
      <c r="F44" s="44" t="str">
        <f aca="false">IF(ABS(D44-C44)&lt;=1,"PASS","FAIL")</f>
        <v>PASS</v>
      </c>
      <c r="G44" s="45" t="s">
        <v>183</v>
      </c>
    </row>
    <row r="45" customFormat="false" ht="15" hidden="false" customHeight="false" outlineLevel="0" collapsed="false">
      <c r="A45" s="8" t="s">
        <v>164</v>
      </c>
      <c r="B45" s="5" t="s">
        <v>137</v>
      </c>
      <c r="C45" s="22" t="n">
        <v>0.025</v>
      </c>
      <c r="D45" s="22" t="n">
        <f aca="false">ROUND('The Bid'!B45,3)</f>
        <v>0.025</v>
      </c>
      <c r="E45" s="22" t="n">
        <f aca="false">D45-C45</f>
        <v>0</v>
      </c>
      <c r="F45" s="44" t="str">
        <f aca="false">IF(ABS(D45-C45)&lt;=0.0005,"PASS","FAIL")</f>
        <v>PASS</v>
      </c>
      <c r="G45" s="45" t="s">
        <v>184</v>
      </c>
    </row>
    <row r="46" customFormat="false" ht="15" hidden="false" customHeight="false" outlineLevel="0" collapsed="false">
      <c r="A46" s="8" t="n">
        <v>16</v>
      </c>
      <c r="B46" s="5" t="s">
        <v>41</v>
      </c>
      <c r="C46" s="21" t="n">
        <v>5774565</v>
      </c>
      <c r="D46" s="21" t="n">
        <f aca="false">ROUND(AlderFix,0)</f>
        <v>5774565</v>
      </c>
      <c r="E46" s="21" t="n">
        <f aca="false">D46-C46</f>
        <v>0</v>
      </c>
      <c r="F46" s="44" t="str">
        <f aca="false">IF(ABS(D46-C46)&lt;=1,"PASS","FAIL")</f>
        <v>PASS</v>
      </c>
      <c r="G46" s="45" t="s">
        <v>185</v>
      </c>
    </row>
    <row r="47" customFormat="false" ht="15" hidden="false" customHeight="false" outlineLevel="0" collapsed="false">
      <c r="A47" s="8" t="n">
        <v>18</v>
      </c>
      <c r="B47" s="5" t="s">
        <v>186</v>
      </c>
      <c r="C47" s="47" t="n">
        <v>0.62</v>
      </c>
      <c r="D47" s="47" t="n">
        <f aca="false">ROUND('The Bid'!B33,2)</f>
        <v>0.62</v>
      </c>
      <c r="E47" s="47" t="n">
        <f aca="false">D47-C47</f>
        <v>0</v>
      </c>
      <c r="F47" s="44" t="str">
        <f aca="false">IF(ABS(D47-C47)&lt;=0.005,"PASS","FAIL")</f>
        <v>PASS</v>
      </c>
    </row>
    <row r="48" customFormat="false" ht="15" hidden="false" customHeight="false" outlineLevel="0" collapsed="false">
      <c r="A48" s="8" t="n">
        <v>18</v>
      </c>
      <c r="B48" s="5" t="s">
        <v>187</v>
      </c>
      <c r="C48" s="47" t="n">
        <v>0.53</v>
      </c>
      <c r="D48" s="47" t="n">
        <f aca="false">ROUND('The Bid'!B54,2)</f>
        <v>0.53</v>
      </c>
      <c r="E48" s="47" t="n">
        <f aca="false">D48-C48</f>
        <v>0</v>
      </c>
      <c r="F48" s="44" t="str">
        <f aca="false">IF(ABS(D48-C48)&lt;=0.005,"PASS","FAIL")</f>
        <v>PASS</v>
      </c>
    </row>
    <row r="49" customFormat="false" ht="15" hidden="false" customHeight="false" outlineLevel="0" collapsed="false">
      <c r="A49" s="8" t="n">
        <v>18</v>
      </c>
      <c r="B49" s="5" t="s">
        <v>188</v>
      </c>
      <c r="C49" s="8" t="s">
        <v>189</v>
      </c>
      <c r="D49" s="40" t="n">
        <f aca="false">'The Bid'!B33</f>
        <v>0.619047619047619</v>
      </c>
      <c r="F49" s="44" t="str">
        <f aca="false">IF(AND('The Bid'!E27&lt;0,'The Bid'!E28&gt;0,'The Bid'!B33&gt;0.6,'The Bid'!B33&lt;0.65),"PASS","FAIL")</f>
        <v>PASS</v>
      </c>
      <c r="G49" s="45" t="s">
        <v>190</v>
      </c>
    </row>
    <row r="51" customFormat="false" ht="15" hidden="false" customHeight="false" outlineLevel="0" collapsed="false">
      <c r="B51" s="26" t="s">
        <v>191</v>
      </c>
      <c r="D51" s="48" t="str">
        <f aca="false">COUNTIF(F6:F49,"PASS")&amp;" of 44"</f>
        <v>44 of 44</v>
      </c>
      <c r="F51" s="44" t="str">
        <f aca="false">IF(COUNTIF(F6:F49,"PASS")=44,"ALL OK","SOME FAIL")</f>
        <v>ALL OK</v>
      </c>
    </row>
    <row r="53" customFormat="false" ht="15" hidden="false" customHeight="false" outlineLevel="0" collapsed="false">
      <c r="A53" s="16" t="s">
        <v>192</v>
      </c>
    </row>
  </sheetData>
  <conditionalFormatting sqref="F6:F51">
    <cfRule type="cellIs" priority="2"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2026-08-28T16:35:21Z</dcterms:created>
  <dc:creator>openpyxl</dc:creator>
  <dc:description/>
  <dc:language>en-US</dc:language>
  <cp:lastModifiedBy/>
  <dcterms:modified xsi:type="dcterms:W3CDTF">2026-09-23T22:40:29Z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