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Summary Statistics" sheetId="2" state="visible" r:id="rId4"/>
    <sheet name="Loan Tape" sheetId="3" state="visible" r:id="rId5"/>
    <sheet name="Concentration" sheetId="4" state="visible" r:id="rId6"/>
    <sheet name="Maturity Profile" sheetId="5" state="visible" r:id="rId7"/>
    <sheet name="Tranches and Loss" sheetId="6" state="visible" r:id="rId8"/>
    <sheet name="Waterfall and Control" sheetId="7" state="visible" r:id="rId9"/>
    <sheet name="Checks" sheetId="8" state="visible" r:id="rId10"/>
  </sheets>
  <definedNames>
    <definedName function="false" hidden="false" name="AlderBalance" vbProcedure="false">'Loan Tape'!$C$8</definedName>
    <definedName function="false" hidden="false" name="DefaultRate" vbProcedure="false">'Tranches and Loss'!$D$7</definedName>
    <definedName function="false" hidden="false" name="PoolBalance" vbProcedure="false">'Loan Tape'!$C$44</definedName>
    <definedName function="false" hidden="false" name="PoolLoss" vbProcedure="false">'Tranches and Loss'!$D$10</definedName>
    <definedName function="false" hidden="false" name="Severity" vbProcedure="false">'Tranches and Loss'!$D$8</definedName>
    <definedName function="false" hidden="false" name="TapeLoss" vbProcedure="false">'Loan Tape'!$S$44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<sst xmlns="http://schemas.openxmlformats.org/spreadsheetml/2006/main" count="556" uniqueCount="356">
  <si>
    <t xml:space="preserve">Workbook 3 - The Loan Tape and the Waterfall</t>
  </si>
  <si>
    <t xml:space="preserve">Companion to Real Estate Finance by Julian R. Sterling</t>
  </si>
  <si>
    <t xml:space="preserve">What this workbook does</t>
  </si>
  <si>
    <t xml:space="preserve">It is the thirty-eight loan pool behind RAVEN 2024-1, with every summary statistic computed from the rows rather than typed above them, and the seven-tranche structure sitting on top of it.</t>
  </si>
  <si>
    <t xml:space="preserve">How to use it</t>
  </si>
  <si>
    <t xml:space="preserve">1.  Loan Tape. One row per loan. Every yellow cell is editable; the statistics everywhere else follow.</t>
  </si>
  <si>
    <t xml:space="preserve">2.  Summary Statistics. The offering-circular numbers, and a note on what each of them cannot tell you.</t>
  </si>
  <si>
    <t xml:space="preserve">3.  Concentration. The top five, the top ten, and each tranche's attachment point measured in loans.</t>
  </si>
  <si>
    <t xml:space="preserve">4.  Maturity Profile. The refinancing cliff.</t>
  </si>
  <si>
    <t xml:space="preserve">5.  Tranches and Loss. Set a default rate and a severity; the loss walks up from class G. The three cases of Chapter 9 are computed alongside.</t>
  </si>
  <si>
    <t xml:space="preserve">6.  Waterfall and Control. The two priority orders, the appraisal reduction, and who holds the controlling class.</t>
  </si>
  <si>
    <t xml:space="preserve">7.  Checks. 59 figures printed in Chapters 8 to 10, each reproduced by a formula here.</t>
  </si>
  <si>
    <t xml:space="preserve">The point of the sheet</t>
  </si>
  <si>
    <t xml:space="preserve">The averages describe a pool that does not exist. The tail describes the one you own. Sort the tape, read the top ten rows in full, and compare the cumulative exposure against your own attachment point before you look at a single weighted average.</t>
  </si>
  <si>
    <t xml:space="preserve">The book</t>
  </si>
  <si>
    <t xml:space="preserve">Real Estate Finance - A Practitioner's Guide to Debt, Credit Structures and What a Property Is Worth to a Lender, by Julian R. Sterling.</t>
  </si>
  <si>
    <t xml:space="preserve">All four companion workbooks: julianrsterling.com/finance</t>
  </si>
  <si>
    <t xml:space="preserve">Revised 24 September 2026.</t>
  </si>
  <si>
    <t xml:space="preserve">Corrected: loan R04 carried the name Alder Point as well (now Carrick Point); the loans needed to reach each tranche compared a percentage with an amount and read 39 for every class (class D needs three total losses, class F one); a single total loss on the largest loan stops in class F, it does not reach class E; Alder Point's lease runs three years beyond the loan, not one. New: the controlling class once the appraisal reduction is applied.</t>
  </si>
  <si>
    <t xml:space="preserve">The summary statistics, and what they hide</t>
  </si>
  <si>
    <t xml:space="preserve">Chapter 8. Every figure here is computed from the tape. Every one of them can be true while the pool is dangerous.</t>
  </si>
  <si>
    <t xml:space="preserve">Metric</t>
  </si>
  <si>
    <t xml:space="preserve">Value</t>
  </si>
  <si>
    <t xml:space="preserve">What it does not tell you</t>
  </si>
  <si>
    <t xml:space="preserve">Number of loans</t>
  </si>
  <si>
    <t xml:space="preserve">Thirty-eight sounds granular. The top five are nearly a third of the pool.</t>
  </si>
  <si>
    <t xml:space="preserve">Aggregate balance</t>
  </si>
  <si>
    <t xml:space="preserve">Average loan size</t>
  </si>
  <si>
    <t xml:space="preserve">The average describes a loan that does not exist in the pool.</t>
  </si>
  <si>
    <t xml:space="preserve">Weighted average loan-to-value</t>
  </si>
  <si>
    <t xml:space="preserve">An average of opinions, each produced by a valuer.</t>
  </si>
  <si>
    <t xml:space="preserve">Weighted average debt yield</t>
  </si>
  <si>
    <t xml:space="preserve">Made of loans from 6.8 to 13.4 per cent. Read the bottom, not the middle.</t>
  </si>
  <si>
    <t xml:space="preserve">Weighted average debt service cover</t>
  </si>
  <si>
    <t xml:space="preserve">Improves with cheap debt and interest-only structures.</t>
  </si>
  <si>
    <t xml:space="preserve">Weighted average remaining term</t>
  </si>
  <si>
    <t xml:space="preserve">Says nothing about the cliff. See the maturity profile.</t>
  </si>
  <si>
    <t xml:space="preserve">Weighted average lease term to break</t>
  </si>
  <si>
    <t xml:space="preserve">Longer than the loan term - which is the right way round.</t>
  </si>
  <si>
    <t xml:space="preserve">Number of jurisdictions</t>
  </si>
  <si>
    <t xml:space="preserve">Five jurisdictions, one sector. Diversification by map, not by risk.</t>
  </si>
  <si>
    <t xml:space="preserve">Correlation: what the property type column says</t>
  </si>
  <si>
    <t xml:space="preserve">Property type</t>
  </si>
  <si>
    <t xml:space="preserve">Balance</t>
  </si>
  <si>
    <t xml:space="preserve">% of pool</t>
  </si>
  <si>
    <t xml:space="preserve">Logistics</t>
  </si>
  <si>
    <t xml:space="preserve">Retail warehousing</t>
  </si>
  <si>
    <t xml:space="preserve">Other</t>
  </si>
  <si>
    <t xml:space="preserve">These are not independent bets. Logistics yields across Europe moved together in 2022 and 2023 - not because tenants defaulted, but because the discount rate applied to all of them moved at once.</t>
  </si>
  <si>
    <t xml:space="preserve">The weak tail: sort by debt yield and read the bottom</t>
  </si>
  <si>
    <t xml:space="preserve">Lowest debt yield in the pool</t>
  </si>
  <si>
    <t xml:space="preserve">Highest debt yield in the pool</t>
  </si>
  <si>
    <t xml:space="preserve">Balance of the five weakest loans by debt yield</t>
  </si>
  <si>
    <t xml:space="preserve">  as a percentage of the pool</t>
  </si>
  <si>
    <t xml:space="preserve">Do the same for loan-to-value descending and cover ascending, then look at the overlap. Loans in the weak tail of two or three of those sorts are the ones that will be in special servicing within two years.</t>
  </si>
  <si>
    <t xml:space="preserve">RAVEN 2024-1 - the loan tape</t>
  </si>
  <si>
    <t xml:space="preserve">Thirty-eight loans. Every summary statistic below is computed from these rows, not typed.</t>
  </si>
  <si>
    <t xml:space="preserve">Loan</t>
  </si>
  <si>
    <t xml:space="preserve">Property</t>
  </si>
  <si>
    <t xml:space="preserve">Cumulative</t>
  </si>
  <si>
    <t xml:space="preserve">Jurisdiction</t>
  </si>
  <si>
    <t xml:space="preserve">LTV</t>
  </si>
  <si>
    <t xml:space="preserve">Debt yield</t>
  </si>
  <si>
    <t xml:space="preserve">DSCR</t>
  </si>
  <si>
    <t xml:space="preserve">Amortisation</t>
  </si>
  <si>
    <t xml:space="preserve">Maturity year</t>
  </si>
  <si>
    <t xml:space="preserve">Remaining term</t>
  </si>
  <si>
    <t xml:space="preserve">Lease to break</t>
  </si>
  <si>
    <t xml:space="preserve">Tenants</t>
  </si>
  <si>
    <t xml:space="preserve">Rent vs market</t>
  </si>
  <si>
    <t xml:space="preserve">Default?</t>
  </si>
  <si>
    <t xml:space="preserve">Severity</t>
  </si>
  <si>
    <t xml:space="preserve">Loss</t>
  </si>
  <si>
    <t xml:space="preserve">R01</t>
  </si>
  <si>
    <t xml:space="preserve">Ardsley Park</t>
  </si>
  <si>
    <t xml:space="preserve">Germany</t>
  </si>
  <si>
    <t xml:space="preserve">Interest only</t>
  </si>
  <si>
    <t xml:space="preserve">R02</t>
  </si>
  <si>
    <t xml:space="preserve">Bewick Cross</t>
  </si>
  <si>
    <t xml:space="preserve">Spain</t>
  </si>
  <si>
    <t xml:space="preserve">1% p.a.</t>
  </si>
  <si>
    <t xml:space="preserve">R03</t>
  </si>
  <si>
    <t xml:space="preserve">Alder Point</t>
  </si>
  <si>
    <t xml:space="preserve">Netherlands</t>
  </si>
  <si>
    <t xml:space="preserve">R04</t>
  </si>
  <si>
    <t xml:space="preserve">Carrick Point</t>
  </si>
  <si>
    <t xml:space="preserve">United Kingdom</t>
  </si>
  <si>
    <t xml:space="preserve">R05</t>
  </si>
  <si>
    <t xml:space="preserve">Denbigh Reach</t>
  </si>
  <si>
    <t xml:space="preserve">France</t>
  </si>
  <si>
    <t xml:space="preserve">R06</t>
  </si>
  <si>
    <t xml:space="preserve">Elmsworth Hub</t>
  </si>
  <si>
    <t xml:space="preserve">R07</t>
  </si>
  <si>
    <t xml:space="preserve">Faircourt Yard</t>
  </si>
  <si>
    <t xml:space="preserve">R08</t>
  </si>
  <si>
    <t xml:space="preserve">Garrick Fields</t>
  </si>
  <si>
    <t xml:space="preserve">R09</t>
  </si>
  <si>
    <t xml:space="preserve">Hollowmead</t>
  </si>
  <si>
    <t xml:space="preserve">R10</t>
  </si>
  <si>
    <t xml:space="preserve">Ivybridge Point</t>
  </si>
  <si>
    <t xml:space="preserve">R11</t>
  </si>
  <si>
    <t xml:space="preserve">Jarrow Quay</t>
  </si>
  <si>
    <t xml:space="preserve">R12</t>
  </si>
  <si>
    <t xml:space="preserve">Kestrel Park</t>
  </si>
  <si>
    <t xml:space="preserve">R13</t>
  </si>
  <si>
    <t xml:space="preserve">Langton Vale</t>
  </si>
  <si>
    <t xml:space="preserve">R14</t>
  </si>
  <si>
    <t xml:space="preserve">Marlow Ridge</t>
  </si>
  <si>
    <t xml:space="preserve">R15</t>
  </si>
  <si>
    <t xml:space="preserve">Netherby Court</t>
  </si>
  <si>
    <t xml:space="preserve">R16</t>
  </si>
  <si>
    <t xml:space="preserve">Oakhampton</t>
  </si>
  <si>
    <t xml:space="preserve">R17</t>
  </si>
  <si>
    <t xml:space="preserve">Pelham Reach</t>
  </si>
  <si>
    <t xml:space="preserve">R18</t>
  </si>
  <si>
    <t xml:space="preserve">Quarry Bank</t>
  </si>
  <si>
    <t xml:space="preserve">R19</t>
  </si>
  <si>
    <t xml:space="preserve">Redmayne Park</t>
  </si>
  <si>
    <t xml:space="preserve">R20</t>
  </si>
  <si>
    <t xml:space="preserve">Sedgemoor Gate</t>
  </si>
  <si>
    <t xml:space="preserve">R21</t>
  </si>
  <si>
    <t xml:space="preserve">Thurlow Point</t>
  </si>
  <si>
    <t xml:space="preserve">R22</t>
  </si>
  <si>
    <t xml:space="preserve">Ullswater Yard</t>
  </si>
  <si>
    <t xml:space="preserve">R23</t>
  </si>
  <si>
    <t xml:space="preserve">Vanbrugh Fields</t>
  </si>
  <si>
    <t xml:space="preserve">R24</t>
  </si>
  <si>
    <t xml:space="preserve">Westhaven</t>
  </si>
  <si>
    <t xml:space="preserve">R25</t>
  </si>
  <si>
    <t xml:space="preserve">Yarrow Bank</t>
  </si>
  <si>
    <t xml:space="preserve">R26</t>
  </si>
  <si>
    <t xml:space="preserve">Ashby Cross</t>
  </si>
  <si>
    <t xml:space="preserve">R27</t>
  </si>
  <si>
    <t xml:space="preserve">Brackenhill</t>
  </si>
  <si>
    <t xml:space="preserve">R28</t>
  </si>
  <si>
    <t xml:space="preserve">Corwood Park</t>
  </si>
  <si>
    <t xml:space="preserve">R29</t>
  </si>
  <si>
    <t xml:space="preserve">Dunmore Gate</t>
  </si>
  <si>
    <t xml:space="preserve">R30</t>
  </si>
  <si>
    <t xml:space="preserve">Ellerby Point</t>
  </si>
  <si>
    <t xml:space="preserve">R31</t>
  </si>
  <si>
    <t xml:space="preserve">Fenwick Yard</t>
  </si>
  <si>
    <t xml:space="preserve">R32</t>
  </si>
  <si>
    <t xml:space="preserve">Glaisdale</t>
  </si>
  <si>
    <t xml:space="preserve">R33</t>
  </si>
  <si>
    <t xml:space="preserve">Harcourt Reach</t>
  </si>
  <si>
    <t xml:space="preserve">R34</t>
  </si>
  <si>
    <t xml:space="preserve">Inglewood</t>
  </si>
  <si>
    <t xml:space="preserve">R35</t>
  </si>
  <si>
    <t xml:space="preserve">Kirkstall Park</t>
  </si>
  <si>
    <t xml:space="preserve">R36</t>
  </si>
  <si>
    <t xml:space="preserve">Lyndhurst Gate</t>
  </si>
  <si>
    <t xml:space="preserve">R37</t>
  </si>
  <si>
    <t xml:space="preserve">Morpeth Point</t>
  </si>
  <si>
    <t xml:space="preserve">R38</t>
  </si>
  <si>
    <t xml:space="preserve">Norwood Yard</t>
  </si>
  <si>
    <t xml:space="preserve">Pool</t>
  </si>
  <si>
    <t xml:space="preserve">Set "Default?" to 1 on any loan and give it a severity to build a bottom-up loss scenario. The tranche sheet can be driven from here or from a top-down default rate.</t>
  </si>
  <si>
    <t xml:space="preserve">Where the concentration is</t>
  </si>
  <si>
    <t xml:space="preserve">Chapter 8. Thirty-eight loans, and the top five are 30.7 per cent of the pool.</t>
  </si>
  <si>
    <t xml:space="preserve">Rank</t>
  </si>
  <si>
    <t xml:space="preserve">1</t>
  </si>
  <si>
    <t xml:space="preserve">2</t>
  </si>
  <si>
    <t xml:space="preserve">3 (Alder Point)</t>
  </si>
  <si>
    <t xml:space="preserve">4</t>
  </si>
  <si>
    <t xml:space="preserve">5</t>
  </si>
  <si>
    <t xml:space="preserve">6-10</t>
  </si>
  <si>
    <t xml:space="preserve">11-38</t>
  </si>
  <si>
    <t xml:space="preserve">Top five</t>
  </si>
  <si>
    <t xml:space="preserve">Top ten</t>
  </si>
  <si>
    <t xml:space="preserve">Top four</t>
  </si>
  <si>
    <t xml:space="preserve">The maturity profile</t>
  </si>
  <si>
    <t xml:space="preserve">Chapter 8. Commercial mortgage loans rarely default during their term. They default at maturity.</t>
  </si>
  <si>
    <t xml:space="preserve">Maturing in</t>
  </si>
  <si>
    <t xml:space="preserve">Year 1</t>
  </si>
  <si>
    <t xml:space="preserve">Year 2</t>
  </si>
  <si>
    <t xml:space="preserve">Year 3</t>
  </si>
  <si>
    <t xml:space="preserve">Year 4</t>
  </si>
  <si>
    <t xml:space="preserve">Year 5+</t>
  </si>
  <si>
    <t xml:space="preserve">Total</t>
  </si>
  <si>
    <t xml:space="preserve">Years 3 and 4 together</t>
  </si>
  <si>
    <t xml:space="preserve">That is the refinancing cliff, and it is the dominant risk in the transaction. A pool with a cliff is making a concentrated bet on credit conditions in two specific years.</t>
  </si>
  <si>
    <t xml:space="preserve">Loans against leases</t>
  </si>
  <si>
    <t xml:space="preserve">Weighted average remaining loan term</t>
  </si>
  <si>
    <t xml:space="preserve">Leases outlast the loans by</t>
  </si>
  <si>
    <t xml:space="preserve">If leases expire before loans mature, borrowers face reletting risk before refinancing risk and the two compound. On RAVEN it is the right way round, and on Alder Point the lease runs three years beyond the loan: a single-let, over-rented building refinanced with three years of lease left.</t>
  </si>
  <si>
    <t xml:space="preserve">Alder Point: loan maturity, year</t>
  </si>
  <si>
    <t xml:space="preserve">Alder Point: lease term to break, years</t>
  </si>
  <si>
    <t xml:space="preserve">Lease left at the loan's maturity, years</t>
  </si>
  <si>
    <t xml:space="preserve">Corrected: the first edition says the lease expires one year after the loan matures. On the tape it prints, the gap is three years.</t>
  </si>
  <si>
    <t xml:space="preserve">Tranching and the loss allocation</t>
  </si>
  <si>
    <t xml:space="preserve">Chapters 9 and 10. Set a default rate and a severity; the loss walks up the structure from class G.</t>
  </si>
  <si>
    <t xml:space="preserve">The loss driver</t>
  </si>
  <si>
    <t xml:space="preserve">Default rate, as a percentage of pool balance</t>
  </si>
  <si>
    <t xml:space="preserve">Loss given default (severity)</t>
  </si>
  <si>
    <t xml:space="preserve">Pool loss, in currency</t>
  </si>
  <si>
    <t xml:space="preserve">Pool loss, as a percentage of the pool</t>
  </si>
  <si>
    <t xml:space="preserve">Pool loss = default rate x loss given default. The two respond to completely different things: refinancing conditions drive the first, the Chapter 2 bridge drives the second.</t>
  </si>
  <si>
    <t xml:space="preserve">The structure</t>
  </si>
  <si>
    <t xml:space="preserve">Class</t>
  </si>
  <si>
    <t xml:space="preserve">Size</t>
  </si>
  <si>
    <t xml:space="preserve">Attachment</t>
  </si>
  <si>
    <t xml:space="preserve">Detachment</t>
  </si>
  <si>
    <t xml:space="preserve">Thickness</t>
  </si>
  <si>
    <t xml:space="preserve">Credit support</t>
  </si>
  <si>
    <t xml:space="preserve">Loss on tranche</t>
  </si>
  <si>
    <t xml:space="preserve">Loss %</t>
  </si>
  <si>
    <t xml:space="preserve">Rating</t>
  </si>
  <si>
    <t xml:space="preserve">Notional loss incl. appraisal reduction</t>
  </si>
  <si>
    <t xml:space="preserve">Share left</t>
  </si>
  <si>
    <t xml:space="preserve">A</t>
  </si>
  <si>
    <t xml:space="preserve">AAA</t>
  </si>
  <si>
    <t xml:space="preserve">B</t>
  </si>
  <si>
    <t xml:space="preserve">AA</t>
  </si>
  <si>
    <t xml:space="preserve">C</t>
  </si>
  <si>
    <t xml:space="preserve">D</t>
  </si>
  <si>
    <t xml:space="preserve">BBB</t>
  </si>
  <si>
    <t xml:space="preserve">E</t>
  </si>
  <si>
    <t xml:space="preserve">BB</t>
  </si>
  <si>
    <t xml:space="preserve">F</t>
  </si>
  <si>
    <t xml:space="preserve">G</t>
  </si>
  <si>
    <t xml:space="preserve">NR</t>
  </si>
  <si>
    <t xml:space="preserve">Most senior class touched</t>
  </si>
  <si>
    <t xml:space="preserve">Classes wiped out</t>
  </si>
  <si>
    <t xml:space="preserve">The three cases of Chapter 9</t>
  </si>
  <si>
    <t xml:space="preserve">Case</t>
  </si>
  <si>
    <t xml:space="preserve">What happens</t>
  </si>
  <si>
    <t xml:space="preserve">Class G loss</t>
  </si>
  <si>
    <t xml:space="preserve">Class F loss</t>
  </si>
  <si>
    <t xml:space="preserve">Reaches</t>
  </si>
  <si>
    <t xml:space="preserve">Alder Point defaults alone, recovers</t>
  </si>
  <si>
    <t xml:space="preserve">Alder Point defaults, recovery falls to</t>
  </si>
  <si>
    <t xml:space="preserve">3</t>
  </si>
  <si>
    <t xml:space="preserve">Top five all default, severity</t>
  </si>
  <si>
    <t xml:space="preserve">Class F loss in case 3, as a percentage of the class</t>
  </si>
  <si>
    <t xml:space="preserve">Class G loss in case 2, as a percentage of the class</t>
  </si>
  <si>
    <t xml:space="preserve">Case 3 is severe - five simultaneous defaults with meaningful severity - and it still does not reach the BB tranche. The structure is doing what it was built to do.</t>
  </si>
  <si>
    <t xml:space="preserve">Attachment against concentration</t>
  </si>
  <si>
    <t xml:space="preserve">Is the credit support consistent with the pool's tail, not its average?</t>
  </si>
  <si>
    <t xml:space="preserve">Loss needed</t>
  </si>
  <si>
    <t xml:space="preserve">Loans, at 100% severity, from the largest</t>
  </si>
  <si>
    <t xml:space="preserve">Read</t>
  </si>
  <si>
    <t xml:space="preserve">Class E is five points thick, or 62,000,000; the largest loan is 96,000,000, or 7.74 points. Once losses reach class E, one such loss wipes it out.</t>
  </si>
  <si>
    <t xml:space="preserve">Largest loan</t>
  </si>
  <si>
    <t xml:space="preserve">Thinnest tranche</t>
  </si>
  <si>
    <t xml:space="preserve">Tranches thinner than the largest loan</t>
  </si>
  <si>
    <t xml:space="preserve">A single total loss on the largest loan</t>
  </si>
  <si>
    <t xml:space="preserve">Loss, as a percentage of the pool</t>
  </si>
  <si>
    <t xml:space="preserve">  as a percentage of class F</t>
  </si>
  <si>
    <t xml:space="preserve">Class E loss</t>
  </si>
  <si>
    <t xml:space="preserve">Largest loan, in points of pool, over class E's thickness</t>
  </si>
  <si>
    <t xml:space="preserve">Corrected: the first edition says a single total loss on the largest loan, net of class G, would consume most of class E. It stops in class F. The point is thickness: once class E is reached, one loss of that size takes all of it.</t>
  </si>
  <si>
    <t xml:space="preserve">The waterfall, the appraisal reduction, and who holds control</t>
  </si>
  <si>
    <t xml:space="preserve">Chapter 10. Tranching decides who bears losses. The waterfall decides who gets paid.</t>
  </si>
  <si>
    <t xml:space="preserve">The interest waterfall, on each payment date</t>
  </si>
  <si>
    <t xml:space="preserve">Taxes and vehicle expenses</t>
  </si>
  <si>
    <t xml:space="preserve">Trustee, cash manager, agents</t>
  </si>
  <si>
    <t xml:space="preserve">Servicer and special servicer fees</t>
  </si>
  <si>
    <t xml:space="preserve">Liquidity facility drawing and interest</t>
  </si>
  <si>
    <t xml:space="preserve">Class A interest</t>
  </si>
  <si>
    <t xml:space="preserve">6</t>
  </si>
  <si>
    <t xml:space="preserve">Class B interest</t>
  </si>
  <si>
    <t xml:space="preserve">7</t>
  </si>
  <si>
    <t xml:space="preserve">Class C interest</t>
  </si>
  <si>
    <t xml:space="preserve">8</t>
  </si>
  <si>
    <t xml:space="preserve">Classes D, E, F and G interest, in order</t>
  </si>
  <si>
    <t xml:space="preserve">9</t>
  </si>
  <si>
    <t xml:space="preserve">Servicer's workout and liquidation fees</t>
  </si>
  <si>
    <t xml:space="preserve">10</t>
  </si>
  <si>
    <t xml:space="preserve">Residual to class X or the retained interest</t>
  </si>
  <si>
    <t xml:space="preserve">The principal waterfall</t>
  </si>
  <si>
    <t xml:space="preserve">Class A principal until repaid in full</t>
  </si>
  <si>
    <t xml:space="preserve">Class B principal</t>
  </si>
  <si>
    <t xml:space="preserve">Sequentially down to class G</t>
  </si>
  <si>
    <t xml:space="preserve">Interest is paid sequentially but not exclusively - all classes normally receive it. Principal is strictly sequential, which is why average life differs so dramatically between tranches.</t>
  </si>
  <si>
    <t xml:space="preserve">Appraisal reduction: losing money before losing money</t>
  </si>
  <si>
    <t xml:space="preserve">Loan balance</t>
  </si>
  <si>
    <t xml:space="preserve">New valuation on transfer to special servicing</t>
  </si>
  <si>
    <t xml:space="preserve">Valuation haircut applied by the reduction convention</t>
  </si>
  <si>
    <t xml:space="preserve">Value after haircut</t>
  </si>
  <si>
    <t xml:space="preserve">Less arrears and servicing advances</t>
  </si>
  <si>
    <t xml:space="preserve">Adjusted collateral value</t>
  </si>
  <si>
    <t xml:space="preserve">Appraisal reduction amount</t>
  </si>
  <si>
    <t xml:space="preserve">Set the valuation to 88,000,000 and the reduction is nil - the loan is still covered. At 70,000,000 it is 11,200,000, and the servicer stops advancing interest on the reduced portion.</t>
  </si>
  <si>
    <t xml:space="preserve">What the reduction does, before any loss is realised</t>
  </si>
  <si>
    <t xml:space="preserve">It stops the servicer advancing interest on the reduced portion, so the shortfall lands on the junior classes.</t>
  </si>
  <si>
    <t xml:space="preserve">It reallocates control: reductions are applied notionally to the junior classes when testing the controlling-class percentage.</t>
  </si>
  <si>
    <t xml:space="preserve">The junior noteholder therefore loses interest and loses control on the basis of a valuation. If the asset later sells above the appraised value, the money comes back. The control does not.</t>
  </si>
  <si>
    <t xml:space="preserve">The controlling class</t>
  </si>
  <si>
    <t xml:space="preserve">Threshold: percentage of original balance that must remain outstanding</t>
  </si>
  <si>
    <t xml:space="preserve">Most junior class still above the threshold, after the current loss</t>
  </si>
  <si>
    <t xml:space="preserve">Whoever holds the controlling class appoints the special servicer, and the special servicer chooses the assumptions in the net-present-value test that decides whether to sell or extend.</t>
  </si>
  <si>
    <t xml:space="preserve">Controlling class once the appraisal reduction is applied notionally</t>
  </si>
  <si>
    <t xml:space="preserve">Appraisal reductions that take control from class G, with no realised loss</t>
  </si>
  <si>
    <t xml:space="preserve">One reduction of 11,200,000 leaves class G in control; 55,800,000 of reductions would move it up to class F before a euro of loss is realised.</t>
  </si>
  <si>
    <t xml:space="preserve">Checks against the printed book</t>
  </si>
  <si>
    <t xml:space="preserve">Every line reproduces a figure printed in Chapters 1, 8, 9 and 10.</t>
  </si>
  <si>
    <t xml:space="preserve">Ch.</t>
  </si>
  <si>
    <t xml:space="preserve">Figure</t>
  </si>
  <si>
    <t xml:space="preserve">Workbook</t>
  </si>
  <si>
    <t xml:space="preserve">Difference</t>
  </si>
  <si>
    <t xml:space="preserve">Result</t>
  </si>
  <si>
    <t xml:space="preserve">Note</t>
  </si>
  <si>
    <t xml:space="preserve">Balance of the five weakest by debt yield</t>
  </si>
  <si>
    <t xml:space="preserve">Logistics share of the pool</t>
  </si>
  <si>
    <t xml:space="preserve">Alder Point balance</t>
  </si>
  <si>
    <t xml:space="preserve">Alder Point as a percentage of the pool</t>
  </si>
  <si>
    <t xml:space="preserve">Top four loans</t>
  </si>
  <si>
    <t xml:space="preserve">Top five loans</t>
  </si>
  <si>
    <t xml:space="preserve">Top ten loans</t>
  </si>
  <si>
    <t xml:space="preserve">Ranks 6-10</t>
  </si>
  <si>
    <t xml:space="preserve">Ranks 11-38</t>
  </si>
  <si>
    <t xml:space="preserve">Maturities, year 1</t>
  </si>
  <si>
    <t xml:space="preserve">Maturities, year 2</t>
  </si>
  <si>
    <t xml:space="preserve">Maturities, year 3</t>
  </si>
  <si>
    <t xml:space="preserve">Maturities, year 4</t>
  </si>
  <si>
    <t xml:space="preserve">Maturities, year 5 and beyond</t>
  </si>
  <si>
    <t xml:space="preserve">Years 3 and 4 together, per cent of pool</t>
  </si>
  <si>
    <t xml:space="preserve">Class A size</t>
  </si>
  <si>
    <t xml:space="preserve">Class B size</t>
  </si>
  <si>
    <t xml:space="preserve">Class C size</t>
  </si>
  <si>
    <t xml:space="preserve">Class D size</t>
  </si>
  <si>
    <t xml:space="preserve">Class E size</t>
  </si>
  <si>
    <t xml:space="preserve">Class F size</t>
  </si>
  <si>
    <t xml:space="preserve">Class G size</t>
  </si>
  <si>
    <t xml:space="preserve">Class D attachment, in currency</t>
  </si>
  <si>
    <t xml:space="preserve">Case 1: loss to the pool</t>
  </si>
  <si>
    <t xml:space="preserve">Case 2: loss to the pool</t>
  </si>
  <si>
    <t xml:space="preserve">Case 2: loss as a percentage of the pool</t>
  </si>
  <si>
    <t xml:space="preserve">Case 2: class G loss, per cent of the class</t>
  </si>
  <si>
    <t xml:space="preserve">Case 3: loss to the pool</t>
  </si>
  <si>
    <t xml:space="preserve">Case 3: loss as a percentage of the pool</t>
  </si>
  <si>
    <t xml:space="preserve">Case 3: class G wiped out</t>
  </si>
  <si>
    <t xml:space="preserve">Case 3: class F loss</t>
  </si>
  <si>
    <t xml:space="preserve">Case 3: class F loss, per cent of the class</t>
  </si>
  <si>
    <t xml:space="preserve">Appraisal reduction at a 70,000,000 valuation</t>
  </si>
  <si>
    <t xml:space="preserve">Weighted average remaining term, years</t>
  </si>
  <si>
    <t xml:space="preserve">Alder Point: lease left at the loan's maturity, years</t>
  </si>
  <si>
    <t xml:space="preserve">Corrected: the first edition says one year (twelve months) in Chapters 8, 9 and 13.</t>
  </si>
  <si>
    <t xml:space="preserve">Top three loans, per cent of the pool</t>
  </si>
  <si>
    <t xml:space="preserve">Not printed. The top three already exceed class D's 20 per cent; the book says four would reach her, which is also true.</t>
  </si>
  <si>
    <t xml:space="preserve">Loans at total loss needed to reach class D</t>
  </si>
  <si>
    <t xml:space="preserve">The first file compared a percentage with an amount and showed 39 for every class.</t>
  </si>
  <si>
    <t xml:space="preserve">Loans at total loss needed to reach class F</t>
  </si>
  <si>
    <t xml:space="preserve">Largest loan, total loss: class F loss</t>
  </si>
  <si>
    <t xml:space="preserve">Corrected: the first edition says it would consume most of class E.</t>
  </si>
  <si>
    <t xml:space="preserve">Largest loan, total loss: class E loss</t>
  </si>
  <si>
    <t xml:space="preserve">Class F loss on the largest loan, per cent of the pool</t>
  </si>
  <si>
    <t xml:space="preserve">The largest loan is thicker than class E</t>
  </si>
  <si>
    <t xml:space="preserve">not printed</t>
  </si>
  <si>
    <t xml:space="preserve">Controlling class once the appraisal reduction applies</t>
  </si>
  <si>
    <t xml:space="preserve">At the case 3 loss set on the tranche sheet.</t>
  </si>
  <si>
    <t xml:space="preserve">Every property name on the tape is unique</t>
  </si>
  <si>
    <t xml:space="preserve">The first file named loan R04 Alder Point too.</t>
  </si>
  <si>
    <t xml:space="preserve">Checks passing</t>
  </si>
  <si>
    <t xml:space="preserve">Where a figure in the first edition was wrong, column C gives the corrected figure and column G what the first edition printed. Discounts are negative, premiums positive.</t>
  </si>
</sst>
</file>

<file path=xl/styles.xml><?xml version="1.0" encoding="utf-8"?>
<styleSheet xmlns="http://schemas.openxmlformats.org/spreadsheetml/2006/main">
  <numFmts count="10">
    <numFmt numFmtId="164" formatCode="General"/>
    <numFmt numFmtId="165" formatCode="0"/>
    <numFmt numFmtId="166" formatCode="#,##0;\-#,##0"/>
    <numFmt numFmtId="167" formatCode="0.0%;\-0.0%"/>
    <numFmt numFmtId="168" formatCode="0.00%;\-0.00%"/>
    <numFmt numFmtId="169" formatCode="0.00\x"/>
    <numFmt numFmtId="170" formatCode="0.0&quot; yrs&quot;"/>
    <numFmt numFmtId="171" formatCode="\+0.0%;\-0.0%;0.0%"/>
    <numFmt numFmtId="172" formatCode="0.00"/>
    <numFmt numFmtId="173" formatCode="@"/>
  </numFmts>
  <fonts count="19">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0"/>
      <color rgb="FFFFFFFF"/>
      <name val="Calibri"/>
      <family val="0"/>
      <charset val="1"/>
    </font>
    <font>
      <i val="true"/>
      <sz val="9"/>
      <color rgb="FF5A6A70"/>
      <name val="Cambria"/>
      <family val="0"/>
      <charset val="1"/>
    </font>
    <font>
      <i val="true"/>
      <sz val="9"/>
      <color rgb="FF5A6A70"/>
      <name val="Calibri"/>
      <family val="0"/>
      <charset val="1"/>
    </font>
    <font>
      <b val="true"/>
      <sz val="11"/>
      <color rgb="FF1A1A1A"/>
      <name val="Calibri"/>
      <family val="0"/>
      <charset val="1"/>
    </font>
    <font>
      <sz val="10"/>
      <name val="Cambria"/>
      <family val="0"/>
      <charset val="1"/>
    </font>
    <font>
      <b val="true"/>
      <sz val="11"/>
      <color rgb="FF0B4FA0"/>
      <name val="Calibri"/>
      <family val="0"/>
      <charset val="1"/>
    </font>
    <font>
      <b val="true"/>
      <sz val="10"/>
      <name val="Cambria"/>
      <family val="0"/>
      <charset val="1"/>
    </font>
    <font>
      <sz val="9"/>
      <color rgb="FF5A6A70"/>
      <name val="Calibri"/>
      <family val="0"/>
      <charset val="1"/>
    </font>
    <font>
      <sz val="10"/>
      <color rgb="FF1A1A1A"/>
      <name val="Cambria"/>
      <family val="0"/>
      <charset val="1"/>
    </font>
    <font>
      <sz val="10"/>
      <color rgb="FF5A6A70"/>
      <name val="Calibri"/>
      <family val="0"/>
      <charset val="1"/>
    </font>
    <font>
      <b val="true"/>
      <sz val="11"/>
      <color rgb="FF1E7A3C"/>
      <name val="Calibri"/>
      <family val="0"/>
      <charset val="1"/>
    </font>
  </fonts>
  <fills count="5">
    <fill>
      <patternFill patternType="none"/>
    </fill>
    <fill>
      <patternFill patternType="gray125"/>
    </fill>
    <fill>
      <patternFill patternType="solid">
        <fgColor rgb="FF1F4E5F"/>
        <bgColor rgb="FF0B4FA0"/>
      </patternFill>
    </fill>
    <fill>
      <patternFill patternType="solid">
        <fgColor rgb="FFF2F5F7"/>
        <bgColor rgb="FFFFFFFF"/>
      </patternFill>
    </fill>
    <fill>
      <patternFill patternType="solid">
        <fgColor rgb="FFFFF6D8"/>
        <bgColor rgb="FFF2F5F7"/>
      </patternFill>
    </fill>
  </fills>
  <borders count="6">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 diagonalUp="false" diagonalDown="false">
      <left/>
      <right/>
      <top style="medium">
        <color rgb="FF1F4E5F"/>
      </top>
      <bottom/>
      <diagonal/>
    </border>
    <border diagonalUp="false" diagonalDown="false">
      <left/>
      <right/>
      <top style="thin">
        <color rgb="FFBFC8CC"/>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2" borderId="3" xfId="0" applyFont="true" applyBorder="true" applyAlignment="true" applyProtection="false">
      <alignment horizontal="left" vertical="center" textRotation="0" wrapText="true" indent="0" shrinkToFit="false"/>
      <protection locked="true" hidden="false"/>
    </xf>
    <xf numFmtId="164" fontId="8" fillId="2" borderId="3" xfId="0" applyFont="true" applyBorder="true" applyAlignment="true" applyProtection="false">
      <alignment horizontal="righ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6" fontId="7" fillId="3"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3"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9" fontId="7" fillId="3"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7" fillId="3"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3" fillId="4" borderId="3" xfId="0" applyFont="true" applyBorder="true" applyAlignment="false" applyProtection="false">
      <alignment horizontal="general" vertical="bottom" textRotation="0" wrapText="false" indent="0" shrinkToFit="false"/>
      <protection locked="true" hidden="false"/>
    </xf>
    <xf numFmtId="167" fontId="13" fillId="4" borderId="3" xfId="0" applyFont="true" applyBorder="true" applyAlignment="false" applyProtection="false">
      <alignment horizontal="general" vertical="bottom" textRotation="0" wrapText="false" indent="0" shrinkToFit="false"/>
      <protection locked="true" hidden="false"/>
    </xf>
    <xf numFmtId="168" fontId="13" fillId="4" borderId="3" xfId="0" applyFont="true" applyBorder="true" applyAlignment="false" applyProtection="false">
      <alignment horizontal="general" vertical="bottom" textRotation="0" wrapText="false" indent="0" shrinkToFit="false"/>
      <protection locked="true" hidden="false"/>
    </xf>
    <xf numFmtId="169" fontId="13" fillId="4" borderId="3" xfId="0" applyFont="true" applyBorder="true" applyAlignment="false" applyProtection="false">
      <alignment horizontal="general" vertical="bottom" textRotation="0" wrapText="false" indent="0" shrinkToFit="false"/>
      <protection locked="true" hidden="false"/>
    </xf>
    <xf numFmtId="165" fontId="13" fillId="4" borderId="3" xfId="0" applyFont="true" applyBorder="true" applyAlignment="false" applyProtection="false">
      <alignment horizontal="general" vertical="bottom" textRotation="0" wrapText="false" indent="0" shrinkToFit="false"/>
      <protection locked="true" hidden="false"/>
    </xf>
    <xf numFmtId="170" fontId="13" fillId="4" borderId="3" xfId="0" applyFont="true" applyBorder="true" applyAlignment="false" applyProtection="false">
      <alignment horizontal="general" vertical="bottom" textRotation="0" wrapText="false" indent="0" shrinkToFit="false"/>
      <protection locked="true" hidden="false"/>
    </xf>
    <xf numFmtId="171" fontId="13" fillId="4" borderId="3" xfId="0" applyFont="true" applyBorder="tru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6" fontId="13" fillId="3" borderId="3" xfId="0" applyFont="true" applyBorder="true" applyAlignment="false" applyProtection="false">
      <alignment horizontal="general" vertical="bottom" textRotation="0" wrapText="false" indent="0" shrinkToFit="false"/>
      <protection locked="true" hidden="false"/>
    </xf>
    <xf numFmtId="168" fontId="7" fillId="3" borderId="0" xfId="0" applyFont="true" applyBorder="false" applyAlignment="false" applyProtection="false">
      <alignment horizontal="general" vertical="bottom" textRotation="0" wrapText="false" indent="0" shrinkToFit="false"/>
      <protection locked="true" hidden="false"/>
    </xf>
    <xf numFmtId="167" fontId="13" fillId="3" borderId="3" xfId="0" applyFont="true" applyBorder="true" applyAlignment="false" applyProtection="false">
      <alignment horizontal="general" vertical="bottom" textRotation="0" wrapText="false" indent="0" shrinkToFit="false"/>
      <protection locked="true" hidden="false"/>
    </xf>
    <xf numFmtId="168" fontId="13" fillId="3" borderId="3" xfId="0" applyFont="true" applyBorder="true" applyAlignment="false" applyProtection="false">
      <alignment horizontal="general" vertical="bottom" textRotation="0" wrapText="false" indent="0" shrinkToFit="false"/>
      <protection locked="true" hidden="false"/>
    </xf>
    <xf numFmtId="169" fontId="13" fillId="3" borderId="3" xfId="0" applyFont="true" applyBorder="true" applyAlignment="false" applyProtection="false">
      <alignment horizontal="general" vertical="bottom" textRotation="0" wrapText="false" indent="0" shrinkToFit="false"/>
      <protection locked="true" hidden="false"/>
    </xf>
    <xf numFmtId="165" fontId="13" fillId="3" borderId="3" xfId="0" applyFont="true" applyBorder="true" applyAlignment="false" applyProtection="false">
      <alignment horizontal="general" vertical="bottom" textRotation="0" wrapText="false" indent="0" shrinkToFit="false"/>
      <protection locked="true" hidden="false"/>
    </xf>
    <xf numFmtId="170" fontId="13" fillId="3" borderId="3" xfId="0" applyFont="true" applyBorder="true" applyAlignment="false" applyProtection="false">
      <alignment horizontal="general" vertical="bottom" textRotation="0" wrapText="false" indent="0" shrinkToFit="false"/>
      <protection locked="true" hidden="false"/>
    </xf>
    <xf numFmtId="171" fontId="13" fillId="3" borderId="3"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1" fillId="0" borderId="4" xfId="0" applyFont="true" applyBorder="true" applyAlignment="false" applyProtection="false">
      <alignment horizontal="general" vertical="bottom" textRotation="0" wrapText="false" indent="0" shrinkToFit="false"/>
      <protection locked="true" hidden="false"/>
    </xf>
    <xf numFmtId="166" fontId="11" fillId="0" borderId="4" xfId="0" applyFont="true" applyBorder="tru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bottom" textRotation="0" wrapText="tru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true" applyProtection="false">
      <alignment horizontal="center" vertical="bottom" textRotation="0" wrapText="false" indent="0" shrinkToFit="false"/>
      <protection locked="true" hidden="false"/>
    </xf>
    <xf numFmtId="164" fontId="11" fillId="0" borderId="5" xfId="0" applyFont="true" applyBorder="true" applyAlignment="false" applyProtection="false">
      <alignment horizontal="general" vertical="bottom" textRotation="0" wrapText="false" indent="0" shrinkToFit="false"/>
      <protection locked="true" hidden="false"/>
    </xf>
    <xf numFmtId="166" fontId="11" fillId="0" borderId="5" xfId="0" applyFont="tru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73" fontId="11" fillId="0" borderId="0" xfId="0" applyFont="true" applyBorder="false" applyAlignment="true" applyProtection="false">
      <alignment horizontal="left" vertical="bottom" textRotation="0" wrapText="false" indent="0" shrinkToFit="false"/>
      <protection locked="true" hidden="false"/>
    </xf>
    <xf numFmtId="173" fontId="7" fillId="0" borderId="0" xfId="0" applyFont="true" applyBorder="false" applyAlignment="true" applyProtection="false">
      <alignment horizontal="left"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3" fontId="7" fillId="3" borderId="0" xfId="0" applyFont="true" applyBorder="false" applyAlignment="false" applyProtection="false">
      <alignment horizontal="general" vertical="bottom" textRotation="0" wrapText="false" indent="0" shrinkToFit="false"/>
      <protection locked="true" hidden="false"/>
    </xf>
    <xf numFmtId="165" fontId="7" fillId="3" borderId="0" xfId="0" applyFont="true" applyBorder="false" applyAlignment="false" applyProtection="false">
      <alignment horizontal="general" vertical="bottom" textRotation="0" wrapText="false" indent="0" shrinkToFit="false"/>
      <protection locked="true" hidden="false"/>
    </xf>
    <xf numFmtId="173" fontId="7" fillId="3" borderId="0" xfId="0" applyFont="true" applyBorder="false" applyAlignment="true" applyProtection="false">
      <alignment horizontal="lef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B00020"/>
      </font>
    </dxf>
  </dxfs>
  <colors>
    <indexedColors>
      <rgbColor rgb="FF000000"/>
      <rgbColor rgb="FFFFFFFF"/>
      <rgbColor rgb="FFFF0000"/>
      <rgbColor rgb="FF00FF00"/>
      <rgbColor rgb="FF0000FF"/>
      <rgbColor rgb="FFFFFF00"/>
      <rgbColor rgb="FFFF00FF"/>
      <rgbColor rgb="FF00FFFF"/>
      <rgbColor rgb="FFB0002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15" hidden="false" customHeight="true" outlineLevel="0" collapsed="false">
      <c r="A11" s="5" t="s">
        <v>5</v>
      </c>
    </row>
    <row r="12" customFormat="false" ht="15" hidden="false" customHeight="true" outlineLevel="0" collapsed="false">
      <c r="A12" s="5" t="s">
        <v>6</v>
      </c>
    </row>
    <row r="13" customFormat="false" ht="15" hidden="false" customHeight="true" outlineLevel="0" collapsed="false">
      <c r="A13" s="5" t="s">
        <v>7</v>
      </c>
    </row>
    <row r="14" customFormat="false" ht="15" hidden="false" customHeight="true" outlineLevel="0" collapsed="false">
      <c r="A14" s="5" t="s">
        <v>8</v>
      </c>
    </row>
    <row r="15" customFormat="false" ht="30" hidden="false" customHeight="true" outlineLevel="0" collapsed="false">
      <c r="A15" s="5" t="s">
        <v>9</v>
      </c>
    </row>
    <row r="16" customFormat="false" ht="30" hidden="false" customHeight="true" outlineLevel="0" collapsed="false">
      <c r="A16" s="5" t="s">
        <v>10</v>
      </c>
    </row>
    <row r="17" customFormat="false" ht="15" hidden="false" customHeight="true" outlineLevel="0" collapsed="false">
      <c r="A17" s="5" t="s">
        <v>11</v>
      </c>
    </row>
    <row r="19" customFormat="false" ht="15" hidden="false" customHeight="false" outlineLevel="0" collapsed="false">
      <c r="A19" s="4" t="s">
        <v>12</v>
      </c>
    </row>
    <row r="21" customFormat="false" ht="45" hidden="false" customHeight="true" outlineLevel="0" collapsed="false">
      <c r="A21" s="5" t="s">
        <v>13</v>
      </c>
    </row>
    <row r="23" customFormat="false" ht="15" hidden="false" customHeight="false" outlineLevel="0" collapsed="false">
      <c r="A23" s="4" t="s">
        <v>14</v>
      </c>
    </row>
    <row r="25" customFormat="false" ht="30" hidden="false" customHeight="true" outlineLevel="0" collapsed="false">
      <c r="A25" s="5" t="s">
        <v>15</v>
      </c>
    </row>
    <row r="26" customFormat="false" ht="15" hidden="false" customHeight="true" outlineLevel="0" collapsed="false">
      <c r="A26" s="5" t="s">
        <v>16</v>
      </c>
    </row>
    <row r="28" customFormat="false" ht="15" hidden="false" customHeight="false" outlineLevel="0" collapsed="false">
      <c r="A28" s="6" t="s">
        <v>17</v>
      </c>
    </row>
    <row r="29" customFormat="false" ht="55.2" hidden="false" customHeight="false" outlineLevel="0" collapsed="false">
      <c r="A29" s="5"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20"/>
    <col collapsed="false" customWidth="true" hidden="false" outlineLevel="0" max="3" min="3" style="0" width="4"/>
    <col collapsed="false" customWidth="true" hidden="false" outlineLevel="0" max="4" min="4" style="0" width="74"/>
  </cols>
  <sheetData>
    <row r="1" customFormat="false" ht="24" hidden="false" customHeight="true" outlineLevel="0" collapsed="false">
      <c r="A1" s="1" t="s">
        <v>19</v>
      </c>
    </row>
    <row r="2" customFormat="false" ht="15" hidden="false" customHeight="false" outlineLevel="0" collapsed="false">
      <c r="A2" s="2" t="s">
        <v>20</v>
      </c>
    </row>
    <row r="3" customFormat="false" ht="15" hidden="false" customHeight="false" outlineLevel="0" collapsed="false">
      <c r="A3" s="3"/>
      <c r="B3" s="3"/>
      <c r="C3" s="3"/>
      <c r="D3" s="3"/>
    </row>
    <row r="5" customFormat="false" ht="30" hidden="false" customHeight="true" outlineLevel="0" collapsed="false">
      <c r="A5" s="7" t="s">
        <v>21</v>
      </c>
      <c r="B5" s="8" t="s">
        <v>22</v>
      </c>
      <c r="C5" s="8"/>
      <c r="D5" s="8" t="s">
        <v>23</v>
      </c>
    </row>
    <row r="6" customFormat="false" ht="15" hidden="false" customHeight="false" outlineLevel="0" collapsed="false">
      <c r="A6" s="9" t="s">
        <v>24</v>
      </c>
      <c r="B6" s="10" t="n">
        <f aca="false">COUNT('Loan Tape'!$C$6:$C$43)</f>
        <v>38</v>
      </c>
      <c r="D6" s="11" t="s">
        <v>25</v>
      </c>
    </row>
    <row r="7" customFormat="false" ht="15" hidden="false" customHeight="false" outlineLevel="0" collapsed="false">
      <c r="A7" s="12" t="s">
        <v>26</v>
      </c>
      <c r="B7" s="13" t="n">
        <f aca="false">PoolBalance</f>
        <v>1240000000</v>
      </c>
      <c r="D7" s="11"/>
    </row>
    <row r="8" customFormat="false" ht="15" hidden="false" customHeight="false" outlineLevel="0" collapsed="false">
      <c r="A8" s="9" t="s">
        <v>27</v>
      </c>
      <c r="B8" s="14" t="n">
        <f aca="false">PoolBalance/COUNT('Loan Tape'!$C$6:$C$43)</f>
        <v>32631578.9473684</v>
      </c>
      <c r="D8" s="11" t="s">
        <v>28</v>
      </c>
    </row>
    <row r="9" customFormat="false" ht="15" hidden="false" customHeight="false" outlineLevel="0" collapsed="false">
      <c r="A9" s="12" t="s">
        <v>29</v>
      </c>
      <c r="B9" s="15" t="n">
        <f aca="false">SUMPRODUCT('Loan Tape'!$C$6:$C$43,'Loan Tape'!H$6:H$43)/PoolBalance</f>
        <v>0.584003927419355</v>
      </c>
      <c r="D9" s="11" t="s">
        <v>30</v>
      </c>
    </row>
    <row r="10" customFormat="false" ht="15" hidden="false" customHeight="false" outlineLevel="0" collapsed="false">
      <c r="A10" s="9" t="s">
        <v>31</v>
      </c>
      <c r="B10" s="16" t="n">
        <f aca="false">SUMPRODUCT('Loan Tape'!$C$6:$C$43,'Loan Tape'!I$6:I$43)/PoolBalance</f>
        <v>0.0909999808064516</v>
      </c>
      <c r="D10" s="11" t="s">
        <v>32</v>
      </c>
    </row>
    <row r="11" customFormat="false" ht="15" hidden="false" customHeight="false" outlineLevel="0" collapsed="false">
      <c r="A11" s="12" t="s">
        <v>33</v>
      </c>
      <c r="B11" s="17" t="n">
        <f aca="false">SUMPRODUCT('Loan Tape'!$C$6:$C$43,'Loan Tape'!J$6:J$43)/PoolBalance</f>
        <v>1.61000193548387</v>
      </c>
      <c r="D11" s="11" t="s">
        <v>34</v>
      </c>
    </row>
    <row r="12" customFormat="false" ht="15" hidden="false" customHeight="false" outlineLevel="0" collapsed="false">
      <c r="A12" s="9" t="s">
        <v>35</v>
      </c>
      <c r="B12" s="18" t="n">
        <f aca="false">SUMPRODUCT('Loan Tape'!$C$6:$C$43,'Loan Tape'!M$6:M$43)/PoolBalance</f>
        <v>3.45967741935484</v>
      </c>
      <c r="D12" s="11" t="s">
        <v>36</v>
      </c>
    </row>
    <row r="13" customFormat="false" ht="15" hidden="false" customHeight="false" outlineLevel="0" collapsed="false">
      <c r="A13" s="12" t="s">
        <v>37</v>
      </c>
      <c r="B13" s="19" t="n">
        <f aca="false">SUMPRODUCT('Loan Tape'!$C$6:$C$43,'Loan Tape'!N$6:N$43)/PoolBalance</f>
        <v>5.89679435483871</v>
      </c>
      <c r="D13" s="11" t="s">
        <v>38</v>
      </c>
    </row>
    <row r="14" customFormat="false" ht="15" hidden="false" customHeight="false" outlineLevel="0" collapsed="false">
      <c r="A14" s="9" t="s">
        <v>39</v>
      </c>
      <c r="B14" s="10" t="n">
        <f aca="false">SUMPRODUCT(1/COUNTIF('Loan Tape'!$G$6:$G$43,'Loan Tape'!$G$6:$G$43))</f>
        <v>5</v>
      </c>
      <c r="D14" s="11" t="s">
        <v>40</v>
      </c>
    </row>
    <row r="16" customFormat="false" ht="15" hidden="false" customHeight="false" outlineLevel="0" collapsed="false">
      <c r="A16" s="4" t="s">
        <v>41</v>
      </c>
      <c r="B16" s="20"/>
      <c r="C16" s="20"/>
      <c r="D16" s="20"/>
    </row>
    <row r="18" customFormat="false" ht="30" hidden="false" customHeight="true" outlineLevel="0" collapsed="false">
      <c r="A18" s="7" t="s">
        <v>42</v>
      </c>
      <c r="B18" s="8" t="s">
        <v>43</v>
      </c>
      <c r="C18" s="8"/>
      <c r="D18" s="8" t="s">
        <v>44</v>
      </c>
    </row>
    <row r="19" customFormat="false" ht="15" hidden="false" customHeight="false" outlineLevel="0" collapsed="false">
      <c r="A19" s="9" t="s">
        <v>45</v>
      </c>
      <c r="B19" s="14" t="n">
        <f aca="false">SUMIF('Loan Tape'!$F$6:$F$43,A19,'Loan Tape'!$C$6:$C$43)</f>
        <v>880400000</v>
      </c>
      <c r="D19" s="21" t="n">
        <f aca="false">B19/PoolBalance</f>
        <v>0.71</v>
      </c>
    </row>
    <row r="20" customFormat="false" ht="15" hidden="false" customHeight="false" outlineLevel="0" collapsed="false">
      <c r="A20" s="9" t="s">
        <v>46</v>
      </c>
      <c r="B20" s="14" t="n">
        <f aca="false">SUMIF('Loan Tape'!$F$6:$F$43,A20,'Loan Tape'!$C$6:$C$43)</f>
        <v>223200000</v>
      </c>
      <c r="D20" s="21" t="n">
        <f aca="false">B20/PoolBalance</f>
        <v>0.18</v>
      </c>
    </row>
    <row r="21" customFormat="false" ht="15" hidden="false" customHeight="false" outlineLevel="0" collapsed="false">
      <c r="A21" s="9" t="s">
        <v>47</v>
      </c>
      <c r="B21" s="14" t="n">
        <f aca="false">SUMIF('Loan Tape'!$F$6:$F$43,A21,'Loan Tape'!$C$6:$C$43)</f>
        <v>136400000</v>
      </c>
      <c r="D21" s="21" t="n">
        <f aca="false">B21/PoolBalance</f>
        <v>0.11</v>
      </c>
    </row>
    <row r="23" customFormat="false" ht="15" hidden="false" customHeight="false" outlineLevel="0" collapsed="false">
      <c r="A23" s="22" t="s">
        <v>48</v>
      </c>
    </row>
    <row r="25" customFormat="false" ht="15" hidden="false" customHeight="false" outlineLevel="0" collapsed="false">
      <c r="A25" s="4" t="s">
        <v>49</v>
      </c>
      <c r="B25" s="20"/>
      <c r="C25" s="20"/>
      <c r="D25" s="20"/>
    </row>
    <row r="27" customFormat="false" ht="15" hidden="false" customHeight="false" outlineLevel="0" collapsed="false">
      <c r="A27" s="9" t="s">
        <v>50</v>
      </c>
      <c r="B27" s="16" t="n">
        <f aca="false">MIN('Loan Tape'!$I$6:$I$43)</f>
        <v>0.068</v>
      </c>
    </row>
    <row r="28" customFormat="false" ht="15" hidden="false" customHeight="false" outlineLevel="0" collapsed="false">
      <c r="A28" s="9" t="s">
        <v>51</v>
      </c>
      <c r="B28" s="16" t="n">
        <f aca="false">MAX('Loan Tape'!$I$6:$I$43)</f>
        <v>0.134</v>
      </c>
    </row>
    <row r="29" customFormat="false" ht="15" hidden="false" customHeight="false" outlineLevel="0" collapsed="false">
      <c r="A29" s="23" t="s">
        <v>52</v>
      </c>
      <c r="B29" s="24" t="n">
        <f aca="false">SUMPRODUCT('Loan Tape'!$C$6:$C$43*('Loan Tape'!$I$6:$I$43&lt;=SMALL('Loan Tape'!$I$6:$I$43,5)))</f>
        <v>218000000</v>
      </c>
    </row>
    <row r="30" customFormat="false" ht="15" hidden="false" customHeight="false" outlineLevel="0" collapsed="false">
      <c r="A30" s="9" t="s">
        <v>53</v>
      </c>
      <c r="B30" s="21" t="n">
        <f aca="false">B29/PoolBalance</f>
        <v>0.175806451612903</v>
      </c>
    </row>
    <row r="31" customFormat="false" ht="15" hidden="false" customHeight="false" outlineLevel="0" collapsed="false">
      <c r="A31" s="22"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20"/>
    <col collapsed="false" customWidth="true" hidden="false" outlineLevel="0" max="3" min="3" style="0" width="15"/>
    <col collapsed="false" customWidth="true" hidden="false" outlineLevel="0" max="4" min="4" style="0" width="9"/>
    <col collapsed="false" customWidth="true" hidden="false" outlineLevel="0" max="5" min="5" style="0" width="11"/>
    <col collapsed="false" customWidth="true" hidden="false" outlineLevel="0" max="6" min="6" style="0" width="19"/>
    <col collapsed="false" customWidth="true" hidden="false" outlineLevel="0" max="7" min="7" style="0" width="15"/>
    <col collapsed="false" customWidth="true" hidden="false" outlineLevel="0" max="9" min="8" style="0" width="9"/>
    <col collapsed="false" customWidth="true" hidden="false" outlineLevel="0" max="10" min="10" style="0" width="8"/>
    <col collapsed="false" customWidth="true" hidden="false" outlineLevel="0" max="11" min="11" style="0" width="13"/>
    <col collapsed="false" customWidth="true" hidden="false" outlineLevel="0" max="14" min="12" style="0" width="10"/>
    <col collapsed="false" customWidth="true" hidden="false" outlineLevel="0" max="15" min="15" style="0" width="9"/>
    <col collapsed="false" customWidth="true" hidden="false" outlineLevel="0" max="16" min="16" style="0" width="11"/>
    <col collapsed="false" customWidth="true" hidden="false" outlineLevel="0" max="18" min="17" style="0" width="10"/>
    <col collapsed="false" customWidth="true" hidden="false" outlineLevel="0" max="19" min="19" style="0" width="14"/>
  </cols>
  <sheetData>
    <row r="1" customFormat="false" ht="24" hidden="false" customHeight="true" outlineLevel="0" collapsed="false">
      <c r="A1" s="1" t="s">
        <v>55</v>
      </c>
    </row>
    <row r="2" customFormat="false" ht="15" hidden="false" customHeight="false" outlineLevel="0" collapsed="false">
      <c r="A2" s="2" t="s">
        <v>56</v>
      </c>
    </row>
    <row r="3" customFormat="false" ht="15" hidden="false" customHeight="false" outlineLevel="0" collapsed="false">
      <c r="A3" s="3"/>
      <c r="B3" s="3"/>
      <c r="C3" s="3"/>
      <c r="D3" s="3"/>
      <c r="E3" s="3"/>
      <c r="F3" s="3"/>
      <c r="G3" s="3"/>
      <c r="H3" s="3"/>
      <c r="I3" s="3"/>
      <c r="J3" s="3"/>
      <c r="K3" s="3"/>
      <c r="L3" s="3"/>
      <c r="M3" s="3"/>
      <c r="N3" s="3"/>
      <c r="O3" s="3"/>
      <c r="P3" s="3"/>
      <c r="Q3" s="3"/>
      <c r="R3" s="3"/>
      <c r="S3" s="3"/>
    </row>
    <row r="5" customFormat="false" ht="30" hidden="false" customHeight="true" outlineLevel="0" collapsed="false">
      <c r="A5" s="7" t="s">
        <v>57</v>
      </c>
      <c r="B5" s="8" t="s">
        <v>58</v>
      </c>
      <c r="C5" s="8" t="s">
        <v>43</v>
      </c>
      <c r="D5" s="8" t="s">
        <v>44</v>
      </c>
      <c r="E5" s="8" t="s">
        <v>59</v>
      </c>
      <c r="F5" s="8" t="s">
        <v>42</v>
      </c>
      <c r="G5" s="8" t="s">
        <v>60</v>
      </c>
      <c r="H5" s="8" t="s">
        <v>61</v>
      </c>
      <c r="I5" s="8" t="s">
        <v>62</v>
      </c>
      <c r="J5" s="8" t="s">
        <v>63</v>
      </c>
      <c r="K5" s="8" t="s">
        <v>64</v>
      </c>
      <c r="L5" s="8" t="s">
        <v>65</v>
      </c>
      <c r="M5" s="8" t="s">
        <v>66</v>
      </c>
      <c r="N5" s="8" t="s">
        <v>67</v>
      </c>
      <c r="O5" s="8" t="s">
        <v>68</v>
      </c>
      <c r="P5" s="8" t="s">
        <v>69</v>
      </c>
      <c r="Q5" s="8" t="s">
        <v>70</v>
      </c>
      <c r="R5" s="8" t="s">
        <v>71</v>
      </c>
      <c r="S5" s="8" t="s">
        <v>72</v>
      </c>
    </row>
    <row r="6" customFormat="false" ht="15" hidden="false" customHeight="false" outlineLevel="0" collapsed="false">
      <c r="A6" s="25" t="s">
        <v>73</v>
      </c>
      <c r="B6" s="25" t="s">
        <v>74</v>
      </c>
      <c r="C6" s="26" t="n">
        <v>96000000</v>
      </c>
      <c r="D6" s="16" t="n">
        <f aca="false">C6/PoolBalance</f>
        <v>0.0774193548387097</v>
      </c>
      <c r="E6" s="21" t="n">
        <f aca="false">SUM($C$6:C6)/PoolBalance</f>
        <v>0.0774193548387097</v>
      </c>
      <c r="F6" s="25" t="s">
        <v>45</v>
      </c>
      <c r="G6" s="25" t="s">
        <v>75</v>
      </c>
      <c r="H6" s="27" t="n">
        <v>0.6072</v>
      </c>
      <c r="I6" s="28" t="n">
        <v>0.068</v>
      </c>
      <c r="J6" s="29" t="n">
        <v>1.332</v>
      </c>
      <c r="K6" s="25" t="s">
        <v>76</v>
      </c>
      <c r="L6" s="30" t="n">
        <v>4</v>
      </c>
      <c r="M6" s="31" t="n">
        <v>4</v>
      </c>
      <c r="N6" s="31" t="n">
        <v>5</v>
      </c>
      <c r="O6" s="30" t="n">
        <v>1</v>
      </c>
      <c r="P6" s="32" t="n">
        <v>-0.07</v>
      </c>
      <c r="Q6" s="30" t="n">
        <v>0</v>
      </c>
      <c r="R6" s="27" t="n">
        <v>0.25</v>
      </c>
      <c r="S6" s="14" t="n">
        <f aca="false">C6*Q6*R6</f>
        <v>0</v>
      </c>
    </row>
    <row r="7" customFormat="false" ht="15" hidden="false" customHeight="false" outlineLevel="0" collapsed="false">
      <c r="A7" s="33" t="s">
        <v>77</v>
      </c>
      <c r="B7" s="33" t="s">
        <v>78</v>
      </c>
      <c r="C7" s="34" t="n">
        <v>84000000</v>
      </c>
      <c r="D7" s="35" t="n">
        <f aca="false">C7/PoolBalance</f>
        <v>0.067741935483871</v>
      </c>
      <c r="E7" s="15" t="n">
        <f aca="false">SUM($C$6:C7)/PoolBalance</f>
        <v>0.145161290322581</v>
      </c>
      <c r="F7" s="33" t="s">
        <v>45</v>
      </c>
      <c r="G7" s="33" t="s">
        <v>79</v>
      </c>
      <c r="H7" s="36" t="n">
        <v>0.6231</v>
      </c>
      <c r="I7" s="37" t="n">
        <v>0.068059</v>
      </c>
      <c r="J7" s="38" t="n">
        <v>1.156</v>
      </c>
      <c r="K7" s="33" t="s">
        <v>80</v>
      </c>
      <c r="L7" s="39" t="n">
        <v>4</v>
      </c>
      <c r="M7" s="40" t="n">
        <v>4</v>
      </c>
      <c r="N7" s="40" t="n">
        <v>5.75</v>
      </c>
      <c r="O7" s="39" t="n">
        <v>3</v>
      </c>
      <c r="P7" s="41" t="n">
        <v>0.01</v>
      </c>
      <c r="Q7" s="39" t="n">
        <v>0</v>
      </c>
      <c r="R7" s="36" t="n">
        <v>0.25</v>
      </c>
      <c r="S7" s="13" t="n">
        <f aca="false">C7*Q7*R7</f>
        <v>0</v>
      </c>
    </row>
    <row r="8" customFormat="false" ht="15" hidden="false" customHeight="false" outlineLevel="0" collapsed="false">
      <c r="A8" s="25" t="s">
        <v>81</v>
      </c>
      <c r="B8" s="42" t="s">
        <v>82</v>
      </c>
      <c r="C8" s="26" t="n">
        <v>72000000</v>
      </c>
      <c r="D8" s="16" t="n">
        <f aca="false">C8/PoolBalance</f>
        <v>0.0580645161290323</v>
      </c>
      <c r="E8" s="21" t="n">
        <f aca="false">SUM($C$6:C8)/PoolBalance</f>
        <v>0.203225806451613</v>
      </c>
      <c r="F8" s="25" t="s">
        <v>45</v>
      </c>
      <c r="G8" s="25" t="s">
        <v>83</v>
      </c>
      <c r="H8" s="27" t="n">
        <v>0.6</v>
      </c>
      <c r="I8" s="28" t="n">
        <v>0.0875</v>
      </c>
      <c r="J8" s="29" t="n">
        <v>1.43</v>
      </c>
      <c r="K8" s="25" t="s">
        <v>76</v>
      </c>
      <c r="L8" s="30" t="n">
        <v>3</v>
      </c>
      <c r="M8" s="31" t="n">
        <v>3</v>
      </c>
      <c r="N8" s="31" t="n">
        <v>6</v>
      </c>
      <c r="O8" s="30" t="n">
        <v>1</v>
      </c>
      <c r="P8" s="32" t="n">
        <v>0.088</v>
      </c>
      <c r="Q8" s="30" t="n">
        <v>0</v>
      </c>
      <c r="R8" s="27" t="n">
        <v>0.25</v>
      </c>
      <c r="S8" s="14" t="n">
        <f aca="false">C8*Q8*R8</f>
        <v>0</v>
      </c>
    </row>
    <row r="9" customFormat="false" ht="15" hidden="false" customHeight="false" outlineLevel="0" collapsed="false">
      <c r="A9" s="33" t="s">
        <v>84</v>
      </c>
      <c r="B9" s="43" t="s">
        <v>85</v>
      </c>
      <c r="C9" s="34" t="n">
        <v>68000000</v>
      </c>
      <c r="D9" s="35" t="n">
        <f aca="false">C9/PoolBalance</f>
        <v>0.0548387096774194</v>
      </c>
      <c r="E9" s="15" t="n">
        <f aca="false">SUM($C$6:C9)/PoolBalance</f>
        <v>0.258064516129032</v>
      </c>
      <c r="F9" s="33" t="s">
        <v>45</v>
      </c>
      <c r="G9" s="33" t="s">
        <v>86</v>
      </c>
      <c r="H9" s="36" t="n">
        <v>0.5683</v>
      </c>
      <c r="I9" s="37" t="n">
        <v>0.091828</v>
      </c>
      <c r="J9" s="38" t="n">
        <v>1.57</v>
      </c>
      <c r="K9" s="33" t="s">
        <v>76</v>
      </c>
      <c r="L9" s="39" t="n">
        <v>4</v>
      </c>
      <c r="M9" s="40" t="n">
        <v>4</v>
      </c>
      <c r="N9" s="40" t="n">
        <v>7.25</v>
      </c>
      <c r="O9" s="39" t="n">
        <v>5</v>
      </c>
      <c r="P9" s="41" t="n">
        <v>0.02</v>
      </c>
      <c r="Q9" s="39" t="n">
        <v>0</v>
      </c>
      <c r="R9" s="36" t="n">
        <v>0.25</v>
      </c>
      <c r="S9" s="13" t="n">
        <f aca="false">C9*Q9*R9</f>
        <v>0</v>
      </c>
    </row>
    <row r="10" customFormat="false" ht="15" hidden="false" customHeight="false" outlineLevel="0" collapsed="false">
      <c r="A10" s="25" t="s">
        <v>87</v>
      </c>
      <c r="B10" s="25" t="s">
        <v>88</v>
      </c>
      <c r="C10" s="26" t="n">
        <v>61000000</v>
      </c>
      <c r="D10" s="16" t="n">
        <f aca="false">C10/PoolBalance</f>
        <v>0.0491935483870968</v>
      </c>
      <c r="E10" s="21" t="n">
        <f aca="false">SUM($C$6:C10)/PoolBalance</f>
        <v>0.307258064516129</v>
      </c>
      <c r="F10" s="25" t="s">
        <v>45</v>
      </c>
      <c r="G10" s="25" t="s">
        <v>89</v>
      </c>
      <c r="H10" s="27" t="n">
        <v>0.6065</v>
      </c>
      <c r="I10" s="28" t="n">
        <v>0.079473</v>
      </c>
      <c r="J10" s="29" t="n">
        <v>1.399</v>
      </c>
      <c r="K10" s="25" t="s">
        <v>80</v>
      </c>
      <c r="L10" s="30" t="n">
        <v>4</v>
      </c>
      <c r="M10" s="31" t="n">
        <v>4</v>
      </c>
      <c r="N10" s="31" t="n">
        <v>8</v>
      </c>
      <c r="O10" s="30" t="n">
        <v>6</v>
      </c>
      <c r="P10" s="32" t="n">
        <v>-0.05</v>
      </c>
      <c r="Q10" s="30" t="n">
        <v>0</v>
      </c>
      <c r="R10" s="27" t="n">
        <v>0.25</v>
      </c>
      <c r="S10" s="14" t="n">
        <f aca="false">C10*Q10*R10</f>
        <v>0</v>
      </c>
    </row>
    <row r="11" customFormat="false" ht="15" hidden="false" customHeight="false" outlineLevel="0" collapsed="false">
      <c r="A11" s="33" t="s">
        <v>90</v>
      </c>
      <c r="B11" s="33" t="s">
        <v>91</v>
      </c>
      <c r="C11" s="34" t="n">
        <v>52000000</v>
      </c>
      <c r="D11" s="35" t="n">
        <f aca="false">C11/PoolBalance</f>
        <v>0.0419354838709677</v>
      </c>
      <c r="E11" s="15" t="n">
        <f aca="false">SUM($C$6:C11)/PoolBalance</f>
        <v>0.349193548387097</v>
      </c>
      <c r="F11" s="33" t="s">
        <v>45</v>
      </c>
      <c r="G11" s="33" t="s">
        <v>75</v>
      </c>
      <c r="H11" s="36" t="n">
        <v>0.6357</v>
      </c>
      <c r="I11" s="37" t="n">
        <v>0.072169</v>
      </c>
      <c r="J11" s="38" t="n">
        <v>1.305</v>
      </c>
      <c r="K11" s="33" t="s">
        <v>76</v>
      </c>
      <c r="L11" s="39" t="n">
        <v>3</v>
      </c>
      <c r="M11" s="40" t="n">
        <v>3</v>
      </c>
      <c r="N11" s="40" t="n">
        <v>4.5</v>
      </c>
      <c r="O11" s="39" t="n">
        <v>1</v>
      </c>
      <c r="P11" s="41" t="n">
        <v>0.03</v>
      </c>
      <c r="Q11" s="39" t="n">
        <v>0</v>
      </c>
      <c r="R11" s="36" t="n">
        <v>0.25</v>
      </c>
      <c r="S11" s="13" t="n">
        <f aca="false">C11*Q11*R11</f>
        <v>0</v>
      </c>
    </row>
    <row r="12" customFormat="false" ht="15" hidden="false" customHeight="false" outlineLevel="0" collapsed="false">
      <c r="A12" s="25" t="s">
        <v>92</v>
      </c>
      <c r="B12" s="25" t="s">
        <v>93</v>
      </c>
      <c r="C12" s="26" t="n">
        <v>47000000</v>
      </c>
      <c r="D12" s="16" t="n">
        <f aca="false">C12/PoolBalance</f>
        <v>0.0379032258064516</v>
      </c>
      <c r="E12" s="21" t="n">
        <f aca="false">SUM($C$6:C12)/PoolBalance</f>
        <v>0.387096774193548</v>
      </c>
      <c r="F12" s="25" t="s">
        <v>45</v>
      </c>
      <c r="G12" s="25" t="s">
        <v>79</v>
      </c>
      <c r="H12" s="27" t="n">
        <v>0.5077</v>
      </c>
      <c r="I12" s="28" t="n">
        <v>0.127727</v>
      </c>
      <c r="J12" s="29" t="n">
        <v>2.258</v>
      </c>
      <c r="K12" s="25" t="s">
        <v>76</v>
      </c>
      <c r="L12" s="30" t="n">
        <v>4</v>
      </c>
      <c r="M12" s="31" t="n">
        <v>4</v>
      </c>
      <c r="N12" s="31" t="n">
        <v>6.25</v>
      </c>
      <c r="O12" s="30" t="n">
        <v>2</v>
      </c>
      <c r="P12" s="32" t="n">
        <v>-0.04</v>
      </c>
      <c r="Q12" s="30" t="n">
        <v>0</v>
      </c>
      <c r="R12" s="27" t="n">
        <v>0.25</v>
      </c>
      <c r="S12" s="14" t="n">
        <f aca="false">C12*Q12*R12</f>
        <v>0</v>
      </c>
    </row>
    <row r="13" customFormat="false" ht="15" hidden="false" customHeight="false" outlineLevel="0" collapsed="false">
      <c r="A13" s="33" t="s">
        <v>94</v>
      </c>
      <c r="B13" s="33" t="s">
        <v>95</v>
      </c>
      <c r="C13" s="34" t="n">
        <v>44000000</v>
      </c>
      <c r="D13" s="35" t="n">
        <f aca="false">C13/PoolBalance</f>
        <v>0.0354838709677419</v>
      </c>
      <c r="E13" s="15" t="n">
        <f aca="false">SUM($C$6:C13)/PoolBalance</f>
        <v>0.42258064516129</v>
      </c>
      <c r="F13" s="33" t="s">
        <v>46</v>
      </c>
      <c r="G13" s="33" t="s">
        <v>89</v>
      </c>
      <c r="H13" s="36" t="n">
        <v>0.5497</v>
      </c>
      <c r="I13" s="37" t="n">
        <v>0.11327</v>
      </c>
      <c r="J13" s="38" t="n">
        <v>2.055</v>
      </c>
      <c r="K13" s="33" t="s">
        <v>80</v>
      </c>
      <c r="L13" s="39" t="n">
        <v>3</v>
      </c>
      <c r="M13" s="40" t="n">
        <v>3</v>
      </c>
      <c r="N13" s="40" t="n">
        <v>6</v>
      </c>
      <c r="O13" s="39" t="n">
        <v>3</v>
      </c>
      <c r="P13" s="41" t="n">
        <v>0.04</v>
      </c>
      <c r="Q13" s="39" t="n">
        <v>0</v>
      </c>
      <c r="R13" s="36" t="n">
        <v>0.25</v>
      </c>
      <c r="S13" s="13" t="n">
        <f aca="false">C13*Q13*R13</f>
        <v>0</v>
      </c>
    </row>
    <row r="14" customFormat="false" ht="15" hidden="false" customHeight="false" outlineLevel="0" collapsed="false">
      <c r="A14" s="25" t="s">
        <v>96</v>
      </c>
      <c r="B14" s="25" t="s">
        <v>97</v>
      </c>
      <c r="C14" s="26" t="n">
        <v>42000000</v>
      </c>
      <c r="D14" s="16" t="n">
        <f aca="false">C14/PoolBalance</f>
        <v>0.0338709677419355</v>
      </c>
      <c r="E14" s="21" t="n">
        <f aca="false">SUM($C$6:C14)/PoolBalance</f>
        <v>0.456451612903226</v>
      </c>
      <c r="F14" s="25" t="s">
        <v>45</v>
      </c>
      <c r="G14" s="25" t="s">
        <v>86</v>
      </c>
      <c r="H14" s="27" t="n">
        <v>0.5926</v>
      </c>
      <c r="I14" s="28" t="n">
        <v>0.098303</v>
      </c>
      <c r="J14" s="29" t="n">
        <v>1.834</v>
      </c>
      <c r="K14" s="25" t="s">
        <v>76</v>
      </c>
      <c r="L14" s="30" t="n">
        <v>4</v>
      </c>
      <c r="M14" s="31" t="n">
        <v>4</v>
      </c>
      <c r="N14" s="31" t="n">
        <v>7.75</v>
      </c>
      <c r="O14" s="30" t="n">
        <v>4</v>
      </c>
      <c r="P14" s="32" t="n">
        <v>-0.03</v>
      </c>
      <c r="Q14" s="30" t="n">
        <v>0</v>
      </c>
      <c r="R14" s="27" t="n">
        <v>0.25</v>
      </c>
      <c r="S14" s="14" t="n">
        <f aca="false">C14*Q14*R14</f>
        <v>0</v>
      </c>
    </row>
    <row r="15" customFormat="false" ht="15" hidden="false" customHeight="false" outlineLevel="0" collapsed="false">
      <c r="A15" s="33" t="s">
        <v>98</v>
      </c>
      <c r="B15" s="33" t="s">
        <v>99</v>
      </c>
      <c r="C15" s="34" t="n">
        <v>39000000</v>
      </c>
      <c r="D15" s="35" t="n">
        <f aca="false">C15/PoolBalance</f>
        <v>0.0314516129032258</v>
      </c>
      <c r="E15" s="15" t="n">
        <f aca="false">SUM($C$6:C15)/PoolBalance</f>
        <v>0.487903225806452</v>
      </c>
      <c r="F15" s="33" t="s">
        <v>45</v>
      </c>
      <c r="G15" s="33" t="s">
        <v>89</v>
      </c>
      <c r="H15" s="36" t="n">
        <v>0.5899</v>
      </c>
      <c r="I15" s="37" t="n">
        <v>0.084284</v>
      </c>
      <c r="J15" s="38" t="n">
        <v>1.622</v>
      </c>
      <c r="K15" s="33" t="s">
        <v>76</v>
      </c>
      <c r="L15" s="39" t="n">
        <v>2</v>
      </c>
      <c r="M15" s="40" t="n">
        <v>2</v>
      </c>
      <c r="N15" s="40" t="n">
        <v>3.25</v>
      </c>
      <c r="O15" s="39" t="n">
        <v>5</v>
      </c>
      <c r="P15" s="41" t="n">
        <v>0.05</v>
      </c>
      <c r="Q15" s="39" t="n">
        <v>0</v>
      </c>
      <c r="R15" s="36" t="n">
        <v>0.25</v>
      </c>
      <c r="S15" s="13" t="n">
        <f aca="false">C15*Q15*R15</f>
        <v>0</v>
      </c>
    </row>
    <row r="16" customFormat="false" ht="15" hidden="false" customHeight="false" outlineLevel="0" collapsed="false">
      <c r="A16" s="25" t="s">
        <v>100</v>
      </c>
      <c r="B16" s="25" t="s">
        <v>101</v>
      </c>
      <c r="C16" s="26" t="n">
        <v>38300000</v>
      </c>
      <c r="D16" s="16" t="n">
        <f aca="false">C16/PoolBalance</f>
        <v>0.0308870967741936</v>
      </c>
      <c r="E16" s="21" t="n">
        <f aca="false">SUM($C$6:C16)/PoolBalance</f>
        <v>0.518790322580645</v>
      </c>
      <c r="F16" s="25" t="s">
        <v>45</v>
      </c>
      <c r="G16" s="25" t="s">
        <v>75</v>
      </c>
      <c r="H16" s="27" t="n">
        <v>0.6239</v>
      </c>
      <c r="I16" s="28" t="n">
        <v>0.074246</v>
      </c>
      <c r="J16" s="29" t="n">
        <v>1.25</v>
      </c>
      <c r="K16" s="25" t="s">
        <v>80</v>
      </c>
      <c r="L16" s="30" t="n">
        <v>4</v>
      </c>
      <c r="M16" s="31" t="n">
        <v>4</v>
      </c>
      <c r="N16" s="31" t="n">
        <v>6</v>
      </c>
      <c r="O16" s="30" t="n">
        <v>1</v>
      </c>
      <c r="P16" s="32" t="n">
        <v>-0.02</v>
      </c>
      <c r="Q16" s="30" t="n">
        <v>0</v>
      </c>
      <c r="R16" s="27" t="n">
        <v>0.25</v>
      </c>
      <c r="S16" s="14" t="n">
        <f aca="false">C16*Q16*R16</f>
        <v>0</v>
      </c>
    </row>
    <row r="17" customFormat="false" ht="15" hidden="false" customHeight="false" outlineLevel="0" collapsed="false">
      <c r="A17" s="33" t="s">
        <v>102</v>
      </c>
      <c r="B17" s="33" t="s">
        <v>103</v>
      </c>
      <c r="C17" s="34" t="n">
        <v>36700000</v>
      </c>
      <c r="D17" s="35" t="n">
        <f aca="false">C17/PoolBalance</f>
        <v>0.0295967741935484</v>
      </c>
      <c r="E17" s="15" t="n">
        <f aca="false">SUM($C$6:C17)/PoolBalance</f>
        <v>0.548387096774194</v>
      </c>
      <c r="F17" s="33" t="s">
        <v>45</v>
      </c>
      <c r="G17" s="33" t="s">
        <v>79</v>
      </c>
      <c r="H17" s="36" t="n">
        <v>0.4884</v>
      </c>
      <c r="I17" s="37" t="n">
        <v>0.134</v>
      </c>
      <c r="J17" s="38" t="n">
        <v>2.196</v>
      </c>
      <c r="K17" s="33" t="s">
        <v>76</v>
      </c>
      <c r="L17" s="39" t="n">
        <v>3</v>
      </c>
      <c r="M17" s="40" t="n">
        <v>3</v>
      </c>
      <c r="N17" s="40" t="n">
        <v>5.75</v>
      </c>
      <c r="O17" s="39" t="n">
        <v>7</v>
      </c>
      <c r="P17" s="41" t="n">
        <v>0.06</v>
      </c>
      <c r="Q17" s="39" t="n">
        <v>0</v>
      </c>
      <c r="R17" s="36" t="n">
        <v>0.25</v>
      </c>
      <c r="S17" s="13" t="n">
        <f aca="false">C17*Q17*R17</f>
        <v>0</v>
      </c>
    </row>
    <row r="18" customFormat="false" ht="15" hidden="false" customHeight="false" outlineLevel="0" collapsed="false">
      <c r="A18" s="25" t="s">
        <v>104</v>
      </c>
      <c r="B18" s="25" t="s">
        <v>105</v>
      </c>
      <c r="C18" s="26" t="n">
        <v>35300000</v>
      </c>
      <c r="D18" s="16" t="n">
        <f aca="false">C18/PoolBalance</f>
        <v>0.0284677419354839</v>
      </c>
      <c r="E18" s="21" t="n">
        <f aca="false">SUM($C$6:C18)/PoolBalance</f>
        <v>0.576854838709678</v>
      </c>
      <c r="F18" s="25" t="s">
        <v>45</v>
      </c>
      <c r="G18" s="25" t="s">
        <v>83</v>
      </c>
      <c r="H18" s="27" t="n">
        <v>0.5317</v>
      </c>
      <c r="I18" s="28" t="n">
        <v>0.118841</v>
      </c>
      <c r="J18" s="29" t="n">
        <v>1.996</v>
      </c>
      <c r="K18" s="25" t="s">
        <v>76</v>
      </c>
      <c r="L18" s="30" t="n">
        <v>2</v>
      </c>
      <c r="M18" s="31" t="n">
        <v>2</v>
      </c>
      <c r="N18" s="31" t="n">
        <v>5.5</v>
      </c>
      <c r="O18" s="30" t="n">
        <v>2</v>
      </c>
      <c r="P18" s="32" t="n">
        <v>-0.01</v>
      </c>
      <c r="Q18" s="30" t="n">
        <v>0</v>
      </c>
      <c r="R18" s="27" t="n">
        <v>0.25</v>
      </c>
      <c r="S18" s="14" t="n">
        <f aca="false">C18*Q18*R18</f>
        <v>0</v>
      </c>
    </row>
    <row r="19" customFormat="false" ht="15" hidden="false" customHeight="false" outlineLevel="0" collapsed="false">
      <c r="A19" s="33" t="s">
        <v>106</v>
      </c>
      <c r="B19" s="33" t="s">
        <v>107</v>
      </c>
      <c r="C19" s="34" t="n">
        <v>34700000</v>
      </c>
      <c r="D19" s="35" t="n">
        <f aca="false">C19/PoolBalance</f>
        <v>0.0279838709677419</v>
      </c>
      <c r="E19" s="15" t="n">
        <f aca="false">SUM($C$6:C19)/PoolBalance</f>
        <v>0.604838709677419</v>
      </c>
      <c r="F19" s="33" t="s">
        <v>45</v>
      </c>
      <c r="G19" s="33" t="s">
        <v>86</v>
      </c>
      <c r="H19" s="36" t="n">
        <v>0.5718</v>
      </c>
      <c r="I19" s="37" t="n">
        <v>0.105456</v>
      </c>
      <c r="J19" s="38" t="n">
        <v>1.817</v>
      </c>
      <c r="K19" s="33" t="s">
        <v>80</v>
      </c>
      <c r="L19" s="39" t="n">
        <v>4</v>
      </c>
      <c r="M19" s="40" t="n">
        <v>4</v>
      </c>
      <c r="N19" s="40" t="n">
        <v>5</v>
      </c>
      <c r="O19" s="39" t="n">
        <v>3</v>
      </c>
      <c r="P19" s="41" t="n">
        <v>0.07</v>
      </c>
      <c r="Q19" s="39" t="n">
        <v>0</v>
      </c>
      <c r="R19" s="36" t="n">
        <v>0.25</v>
      </c>
      <c r="S19" s="13" t="n">
        <f aca="false">C19*Q19*R19</f>
        <v>0</v>
      </c>
    </row>
    <row r="20" customFormat="false" ht="15" hidden="false" customHeight="false" outlineLevel="0" collapsed="false">
      <c r="A20" s="25" t="s">
        <v>108</v>
      </c>
      <c r="B20" s="25" t="s">
        <v>109</v>
      </c>
      <c r="C20" s="26" t="n">
        <v>33900000</v>
      </c>
      <c r="D20" s="16" t="n">
        <f aca="false">C20/PoolBalance</f>
        <v>0.0273387096774194</v>
      </c>
      <c r="E20" s="21" t="n">
        <f aca="false">SUM($C$6:C20)/PoolBalance</f>
        <v>0.632177419354839</v>
      </c>
      <c r="F20" s="25" t="s">
        <v>45</v>
      </c>
      <c r="G20" s="25" t="s">
        <v>89</v>
      </c>
      <c r="H20" s="27" t="n">
        <v>0.5719</v>
      </c>
      <c r="I20" s="28" t="n">
        <v>0.089824</v>
      </c>
      <c r="J20" s="29" t="n">
        <v>1.594</v>
      </c>
      <c r="K20" s="25" t="s">
        <v>76</v>
      </c>
      <c r="L20" s="30" t="n">
        <v>3</v>
      </c>
      <c r="M20" s="31" t="n">
        <v>3</v>
      </c>
      <c r="N20" s="31" t="n">
        <v>4.75</v>
      </c>
      <c r="O20" s="30" t="n">
        <v>4</v>
      </c>
      <c r="P20" s="32" t="n">
        <v>0</v>
      </c>
      <c r="Q20" s="30" t="n">
        <v>0</v>
      </c>
      <c r="R20" s="27" t="n">
        <v>0.25</v>
      </c>
      <c r="S20" s="14" t="n">
        <f aca="false">C20*Q20*R20</f>
        <v>0</v>
      </c>
    </row>
    <row r="21" customFormat="false" ht="15" hidden="false" customHeight="false" outlineLevel="0" collapsed="false">
      <c r="A21" s="33" t="s">
        <v>110</v>
      </c>
      <c r="B21" s="33" t="s">
        <v>111</v>
      </c>
      <c r="C21" s="34" t="n">
        <v>31100000</v>
      </c>
      <c r="D21" s="35" t="n">
        <f aca="false">C21/PoolBalance</f>
        <v>0.0250806451612903</v>
      </c>
      <c r="E21" s="15" t="n">
        <f aca="false">SUM($C$6:C21)/PoolBalance</f>
        <v>0.657258064516129</v>
      </c>
      <c r="F21" s="33" t="s">
        <v>45</v>
      </c>
      <c r="G21" s="33" t="s">
        <v>75</v>
      </c>
      <c r="H21" s="36" t="n">
        <v>0.6091</v>
      </c>
      <c r="I21" s="37" t="n">
        <v>0.078036</v>
      </c>
      <c r="J21" s="38" t="n">
        <v>1.427</v>
      </c>
      <c r="K21" s="33" t="s">
        <v>76</v>
      </c>
      <c r="L21" s="39" t="n">
        <v>3</v>
      </c>
      <c r="M21" s="40" t="n">
        <v>3</v>
      </c>
      <c r="N21" s="40" t="n">
        <v>5.5</v>
      </c>
      <c r="O21" s="39" t="n">
        <v>1</v>
      </c>
      <c r="P21" s="41" t="n">
        <v>-0.07</v>
      </c>
      <c r="Q21" s="39" t="n">
        <v>0</v>
      </c>
      <c r="R21" s="36" t="n">
        <v>0.25</v>
      </c>
      <c r="S21" s="13" t="n">
        <f aca="false">C21*Q21*R21</f>
        <v>0</v>
      </c>
    </row>
    <row r="22" customFormat="false" ht="15" hidden="false" customHeight="false" outlineLevel="0" collapsed="false">
      <c r="A22" s="25" t="s">
        <v>112</v>
      </c>
      <c r="B22" s="25" t="s">
        <v>113</v>
      </c>
      <c r="C22" s="26" t="n">
        <v>30400000</v>
      </c>
      <c r="D22" s="16" t="n">
        <f aca="false">C22/PoolBalance</f>
        <v>0.0245161290322581</v>
      </c>
      <c r="E22" s="21" t="n">
        <f aca="false">SUM($C$6:C22)/PoolBalance</f>
        <v>0.681774193548387</v>
      </c>
      <c r="F22" s="25" t="s">
        <v>46</v>
      </c>
      <c r="G22" s="25" t="s">
        <v>86</v>
      </c>
      <c r="H22" s="27" t="n">
        <v>0.6373</v>
      </c>
      <c r="I22" s="28" t="n">
        <v>0.071271</v>
      </c>
      <c r="J22" s="29" t="n">
        <v>1.338</v>
      </c>
      <c r="K22" s="25" t="s">
        <v>80</v>
      </c>
      <c r="L22" s="30" t="n">
        <v>3</v>
      </c>
      <c r="M22" s="31" t="n">
        <v>3</v>
      </c>
      <c r="N22" s="31" t="n">
        <v>6.25</v>
      </c>
      <c r="O22" s="30" t="n">
        <v>6</v>
      </c>
      <c r="P22" s="32" t="n">
        <v>0.01</v>
      </c>
      <c r="Q22" s="30" t="n">
        <v>0</v>
      </c>
      <c r="R22" s="27" t="n">
        <v>0.25</v>
      </c>
      <c r="S22" s="14" t="n">
        <f aca="false">C22*Q22*R22</f>
        <v>0</v>
      </c>
    </row>
    <row r="23" customFormat="false" ht="15" hidden="false" customHeight="false" outlineLevel="0" collapsed="false">
      <c r="A23" s="33" t="s">
        <v>114</v>
      </c>
      <c r="B23" s="33" t="s">
        <v>115</v>
      </c>
      <c r="C23" s="34" t="n">
        <v>29100000</v>
      </c>
      <c r="D23" s="35" t="n">
        <f aca="false">C23/PoolBalance</f>
        <v>0.0234677419354839</v>
      </c>
      <c r="E23" s="15" t="n">
        <f aca="false">SUM($C$6:C23)/PoolBalance</f>
        <v>0.705241935483871</v>
      </c>
      <c r="F23" s="33" t="s">
        <v>45</v>
      </c>
      <c r="G23" s="33" t="s">
        <v>83</v>
      </c>
      <c r="H23" s="36" t="n">
        <v>0.5131</v>
      </c>
      <c r="I23" s="37" t="n">
        <v>0.124695</v>
      </c>
      <c r="J23" s="38" t="n">
        <v>2.294</v>
      </c>
      <c r="K23" s="33" t="s">
        <v>76</v>
      </c>
      <c r="L23" s="39" t="n">
        <v>3</v>
      </c>
      <c r="M23" s="40" t="n">
        <v>3</v>
      </c>
      <c r="N23" s="40" t="n">
        <v>7</v>
      </c>
      <c r="O23" s="39" t="n">
        <v>7</v>
      </c>
      <c r="P23" s="41" t="n">
        <v>-0.06</v>
      </c>
      <c r="Q23" s="39" t="n">
        <v>0</v>
      </c>
      <c r="R23" s="36" t="n">
        <v>0.25</v>
      </c>
      <c r="S23" s="13" t="n">
        <f aca="false">C23*Q23*R23</f>
        <v>0</v>
      </c>
    </row>
    <row r="24" customFormat="false" ht="15" hidden="false" customHeight="false" outlineLevel="0" collapsed="false">
      <c r="A24" s="25" t="s">
        <v>116</v>
      </c>
      <c r="B24" s="25" t="s">
        <v>117</v>
      </c>
      <c r="C24" s="26" t="n">
        <v>28200000</v>
      </c>
      <c r="D24" s="16" t="n">
        <f aca="false">C24/PoolBalance</f>
        <v>0.022741935483871</v>
      </c>
      <c r="E24" s="21" t="n">
        <f aca="false">SUM($C$6:C24)/PoolBalance</f>
        <v>0.727983870967742</v>
      </c>
      <c r="F24" s="25" t="s">
        <v>45</v>
      </c>
      <c r="G24" s="25" t="s">
        <v>86</v>
      </c>
      <c r="H24" s="27" t="n">
        <v>0.5545</v>
      </c>
      <c r="I24" s="28" t="n">
        <v>0.110593</v>
      </c>
      <c r="J24" s="29" t="n">
        <v>2.09</v>
      </c>
      <c r="K24" s="25" t="s">
        <v>76</v>
      </c>
      <c r="L24" s="30" t="n">
        <v>3</v>
      </c>
      <c r="M24" s="31" t="n">
        <v>3</v>
      </c>
      <c r="N24" s="31" t="n">
        <v>4.5</v>
      </c>
      <c r="O24" s="30" t="n">
        <v>2</v>
      </c>
      <c r="P24" s="32" t="n">
        <v>0.02</v>
      </c>
      <c r="Q24" s="30" t="n">
        <v>0</v>
      </c>
      <c r="R24" s="27" t="n">
        <v>0.25</v>
      </c>
      <c r="S24" s="14" t="n">
        <f aca="false">C24*Q24*R24</f>
        <v>0</v>
      </c>
    </row>
    <row r="25" customFormat="false" ht="15" hidden="false" customHeight="false" outlineLevel="0" collapsed="false">
      <c r="A25" s="33" t="s">
        <v>118</v>
      </c>
      <c r="B25" s="33" t="s">
        <v>119</v>
      </c>
      <c r="C25" s="34" t="n">
        <v>26800000</v>
      </c>
      <c r="D25" s="35" t="n">
        <f aca="false">C25/PoolBalance</f>
        <v>0.0216129032258065</v>
      </c>
      <c r="E25" s="15" t="n">
        <f aca="false">SUM($C$6:C25)/PoolBalance</f>
        <v>0.749596774193548</v>
      </c>
      <c r="F25" s="33" t="s">
        <v>45</v>
      </c>
      <c r="G25" s="33" t="s">
        <v>89</v>
      </c>
      <c r="H25" s="36" t="n">
        <v>0.5967</v>
      </c>
      <c r="I25" s="37" t="n">
        <v>0.096068</v>
      </c>
      <c r="J25" s="38" t="n">
        <v>1.582</v>
      </c>
      <c r="K25" s="33" t="s">
        <v>80</v>
      </c>
      <c r="L25" s="39" t="n">
        <v>3</v>
      </c>
      <c r="M25" s="40" t="n">
        <v>3</v>
      </c>
      <c r="N25" s="40" t="n">
        <v>5.25</v>
      </c>
      <c r="O25" s="39" t="n">
        <v>3</v>
      </c>
      <c r="P25" s="41" t="n">
        <v>-0.05</v>
      </c>
      <c r="Q25" s="39" t="n">
        <v>0</v>
      </c>
      <c r="R25" s="36" t="n">
        <v>0.25</v>
      </c>
      <c r="S25" s="13" t="n">
        <f aca="false">C25*Q25*R25</f>
        <v>0</v>
      </c>
    </row>
    <row r="26" customFormat="false" ht="15" hidden="false" customHeight="false" outlineLevel="0" collapsed="false">
      <c r="A26" s="25" t="s">
        <v>120</v>
      </c>
      <c r="B26" s="25" t="s">
        <v>121</v>
      </c>
      <c r="C26" s="26" t="n">
        <v>25700000</v>
      </c>
      <c r="D26" s="16" t="n">
        <f aca="false">C26/PoolBalance</f>
        <v>0.0207258064516129</v>
      </c>
      <c r="E26" s="21" t="n">
        <f aca="false">SUM($C$6:C26)/PoolBalance</f>
        <v>0.770322580645161</v>
      </c>
      <c r="F26" s="25" t="s">
        <v>47</v>
      </c>
      <c r="G26" s="25" t="s">
        <v>89</v>
      </c>
      <c r="H26" s="27" t="n">
        <v>0.5929</v>
      </c>
      <c r="I26" s="28" t="n">
        <v>0.082598</v>
      </c>
      <c r="J26" s="29" t="n">
        <v>1.4</v>
      </c>
      <c r="K26" s="25" t="s">
        <v>76</v>
      </c>
      <c r="L26" s="30" t="n">
        <v>3</v>
      </c>
      <c r="M26" s="31" t="n">
        <v>3</v>
      </c>
      <c r="N26" s="31" t="n">
        <v>6</v>
      </c>
      <c r="O26" s="30" t="n">
        <v>1</v>
      </c>
      <c r="P26" s="32" t="n">
        <v>0.03</v>
      </c>
      <c r="Q26" s="30" t="n">
        <v>0</v>
      </c>
      <c r="R26" s="27" t="n">
        <v>0.25</v>
      </c>
      <c r="S26" s="14" t="n">
        <f aca="false">C26*Q26*R26</f>
        <v>0</v>
      </c>
    </row>
    <row r="27" customFormat="false" ht="15" hidden="false" customHeight="false" outlineLevel="0" collapsed="false">
      <c r="A27" s="33" t="s">
        <v>122</v>
      </c>
      <c r="B27" s="33" t="s">
        <v>123</v>
      </c>
      <c r="C27" s="34" t="n">
        <v>25300000</v>
      </c>
      <c r="D27" s="35" t="n">
        <f aca="false">C27/PoolBalance</f>
        <v>0.0204032258064516</v>
      </c>
      <c r="E27" s="15" t="n">
        <f aca="false">SUM($C$6:C27)/PoolBalance</f>
        <v>0.790725806451613</v>
      </c>
      <c r="F27" s="33" t="s">
        <v>45</v>
      </c>
      <c r="G27" s="33" t="s">
        <v>79</v>
      </c>
      <c r="H27" s="36" t="n">
        <v>0.6259</v>
      </c>
      <c r="I27" s="37" t="n">
        <v>0.073161</v>
      </c>
      <c r="J27" s="38" t="n">
        <v>1.276</v>
      </c>
      <c r="K27" s="33" t="s">
        <v>76</v>
      </c>
      <c r="L27" s="39" t="n">
        <v>5</v>
      </c>
      <c r="M27" s="40" t="n">
        <v>6</v>
      </c>
      <c r="N27" s="40" t="n">
        <v>9.75</v>
      </c>
      <c r="O27" s="39" t="n">
        <v>5</v>
      </c>
      <c r="P27" s="41" t="n">
        <v>-0.04</v>
      </c>
      <c r="Q27" s="39" t="n">
        <v>0</v>
      </c>
      <c r="R27" s="36" t="n">
        <v>0.25</v>
      </c>
      <c r="S27" s="13" t="n">
        <f aca="false">C27*Q27*R27</f>
        <v>0</v>
      </c>
    </row>
    <row r="28" customFormat="false" ht="15" hidden="false" customHeight="false" outlineLevel="0" collapsed="false">
      <c r="A28" s="25" t="s">
        <v>124</v>
      </c>
      <c r="B28" s="25" t="s">
        <v>125</v>
      </c>
      <c r="C28" s="26" t="n">
        <v>24100000</v>
      </c>
      <c r="D28" s="16" t="n">
        <f aca="false">C28/PoolBalance</f>
        <v>0.0194354838709677</v>
      </c>
      <c r="E28" s="21" t="n">
        <f aca="false">SUM($C$6:C28)/PoolBalance</f>
        <v>0.810161290322581</v>
      </c>
      <c r="F28" s="25" t="s">
        <v>46</v>
      </c>
      <c r="G28" s="25" t="s">
        <v>89</v>
      </c>
      <c r="H28" s="27" t="n">
        <v>0.4941</v>
      </c>
      <c r="I28" s="28" t="n">
        <v>0.130829</v>
      </c>
      <c r="J28" s="29" t="n">
        <v>2.225</v>
      </c>
      <c r="K28" s="25" t="s">
        <v>80</v>
      </c>
      <c r="L28" s="30" t="n">
        <v>3</v>
      </c>
      <c r="M28" s="31" t="n">
        <v>3</v>
      </c>
      <c r="N28" s="31" t="n">
        <v>4.25</v>
      </c>
      <c r="O28" s="30" t="n">
        <v>6</v>
      </c>
      <c r="P28" s="32" t="n">
        <v>0.04</v>
      </c>
      <c r="Q28" s="30" t="n">
        <v>0</v>
      </c>
      <c r="R28" s="27" t="n">
        <v>0.25</v>
      </c>
      <c r="S28" s="14" t="n">
        <f aca="false">C28*Q28*R28</f>
        <v>0</v>
      </c>
    </row>
    <row r="29" customFormat="false" ht="15" hidden="false" customHeight="false" outlineLevel="0" collapsed="false">
      <c r="A29" s="33" t="s">
        <v>126</v>
      </c>
      <c r="B29" s="33" t="s">
        <v>127</v>
      </c>
      <c r="C29" s="34" t="n">
        <v>22900000</v>
      </c>
      <c r="D29" s="35" t="n">
        <f aca="false">C29/PoolBalance</f>
        <v>0.0184677419354839</v>
      </c>
      <c r="E29" s="15" t="n">
        <f aca="false">SUM($C$6:C29)/PoolBalance</f>
        <v>0.828629032258065</v>
      </c>
      <c r="F29" s="33" t="s">
        <v>47</v>
      </c>
      <c r="G29" s="33" t="s">
        <v>83</v>
      </c>
      <c r="H29" s="36" t="n">
        <v>0.5367</v>
      </c>
      <c r="I29" s="37" t="n">
        <v>0.11602</v>
      </c>
      <c r="J29" s="38" t="n">
        <v>2.024</v>
      </c>
      <c r="K29" s="33" t="s">
        <v>76</v>
      </c>
      <c r="L29" s="39" t="n">
        <v>2</v>
      </c>
      <c r="M29" s="40" t="n">
        <v>2</v>
      </c>
      <c r="N29" s="40" t="n">
        <v>4</v>
      </c>
      <c r="O29" s="39" t="n">
        <v>7</v>
      </c>
      <c r="P29" s="41" t="n">
        <v>-0.03</v>
      </c>
      <c r="Q29" s="39" t="n">
        <v>0</v>
      </c>
      <c r="R29" s="36" t="n">
        <v>0.25</v>
      </c>
      <c r="S29" s="13" t="n">
        <f aca="false">C29*Q29*R29</f>
        <v>0</v>
      </c>
    </row>
    <row r="30" customFormat="false" ht="15" hidden="false" customHeight="false" outlineLevel="0" collapsed="false">
      <c r="A30" s="25" t="s">
        <v>128</v>
      </c>
      <c r="B30" s="25" t="s">
        <v>129</v>
      </c>
      <c r="C30" s="26" t="n">
        <v>22400000</v>
      </c>
      <c r="D30" s="16" t="n">
        <f aca="false">C30/PoolBalance</f>
        <v>0.0180645161290323</v>
      </c>
      <c r="E30" s="21" t="n">
        <f aca="false">SUM($C$6:C30)/PoolBalance</f>
        <v>0.846693548387097</v>
      </c>
      <c r="F30" s="25" t="s">
        <v>46</v>
      </c>
      <c r="G30" s="25" t="s">
        <v>79</v>
      </c>
      <c r="H30" s="27" t="n">
        <v>0.5762</v>
      </c>
      <c r="I30" s="28" t="n">
        <v>0.102997</v>
      </c>
      <c r="J30" s="29" t="n">
        <v>1.844</v>
      </c>
      <c r="K30" s="25" t="s">
        <v>76</v>
      </c>
      <c r="L30" s="30" t="n">
        <v>5</v>
      </c>
      <c r="M30" s="31" t="n">
        <v>6</v>
      </c>
      <c r="N30" s="31" t="n">
        <v>8.75</v>
      </c>
      <c r="O30" s="30" t="n">
        <v>2</v>
      </c>
      <c r="P30" s="32" t="n">
        <v>0.05</v>
      </c>
      <c r="Q30" s="30" t="n">
        <v>0</v>
      </c>
      <c r="R30" s="27" t="n">
        <v>0.25</v>
      </c>
      <c r="S30" s="14" t="n">
        <f aca="false">C30*Q30*R30</f>
        <v>0</v>
      </c>
    </row>
    <row r="31" customFormat="false" ht="15" hidden="false" customHeight="false" outlineLevel="0" collapsed="false">
      <c r="A31" s="33" t="s">
        <v>130</v>
      </c>
      <c r="B31" s="33" t="s">
        <v>131</v>
      </c>
      <c r="C31" s="34" t="n">
        <v>20600000</v>
      </c>
      <c r="D31" s="35" t="n">
        <f aca="false">C31/PoolBalance</f>
        <v>0.0166129032258065</v>
      </c>
      <c r="E31" s="15" t="n">
        <f aca="false">SUM($C$6:C31)/PoolBalance</f>
        <v>0.863306451612903</v>
      </c>
      <c r="F31" s="33" t="s">
        <v>47</v>
      </c>
      <c r="G31" s="33" t="s">
        <v>89</v>
      </c>
      <c r="H31" s="36" t="n">
        <v>0.5754</v>
      </c>
      <c r="I31" s="37" t="n">
        <v>0.087898</v>
      </c>
      <c r="J31" s="38" t="n">
        <v>1.622</v>
      </c>
      <c r="K31" s="33" t="s">
        <v>80</v>
      </c>
      <c r="L31" s="39" t="n">
        <v>5</v>
      </c>
      <c r="M31" s="40" t="n">
        <v>6</v>
      </c>
      <c r="N31" s="40" t="n">
        <v>9.5</v>
      </c>
      <c r="O31" s="39" t="n">
        <v>1</v>
      </c>
      <c r="P31" s="41" t="n">
        <v>-0.02</v>
      </c>
      <c r="Q31" s="39" t="n">
        <v>0</v>
      </c>
      <c r="R31" s="36" t="n">
        <v>0.25</v>
      </c>
      <c r="S31" s="13" t="n">
        <f aca="false">C31*Q31*R31</f>
        <v>0</v>
      </c>
    </row>
    <row r="32" customFormat="false" ht="15" hidden="false" customHeight="false" outlineLevel="0" collapsed="false">
      <c r="A32" s="25" t="s">
        <v>132</v>
      </c>
      <c r="B32" s="25" t="s">
        <v>133</v>
      </c>
      <c r="C32" s="26" t="n">
        <v>19800000</v>
      </c>
      <c r="D32" s="16" t="n">
        <f aca="false">C32/PoolBalance</f>
        <v>0.0159677419354839</v>
      </c>
      <c r="E32" s="21" t="n">
        <f aca="false">SUM($C$6:C32)/PoolBalance</f>
        <v>0.879274193548387</v>
      </c>
      <c r="F32" s="25" t="s">
        <v>46</v>
      </c>
      <c r="G32" s="25" t="s">
        <v>86</v>
      </c>
      <c r="H32" s="27" t="n">
        <v>0.6115</v>
      </c>
      <c r="I32" s="28" t="n">
        <v>0.076685</v>
      </c>
      <c r="J32" s="29" t="n">
        <v>1.458</v>
      </c>
      <c r="K32" s="25" t="s">
        <v>76</v>
      </c>
      <c r="L32" s="30" t="n">
        <v>1</v>
      </c>
      <c r="M32" s="31" t="n">
        <v>1</v>
      </c>
      <c r="N32" s="31" t="n">
        <v>2</v>
      </c>
      <c r="O32" s="30" t="n">
        <v>4</v>
      </c>
      <c r="P32" s="32" t="n">
        <v>0.06</v>
      </c>
      <c r="Q32" s="30" t="n">
        <v>0</v>
      </c>
      <c r="R32" s="27" t="n">
        <v>0.25</v>
      </c>
      <c r="S32" s="14" t="n">
        <f aca="false">C32*Q32*R32</f>
        <v>0</v>
      </c>
    </row>
    <row r="33" customFormat="false" ht="15" hidden="false" customHeight="false" outlineLevel="0" collapsed="false">
      <c r="A33" s="33" t="s">
        <v>134</v>
      </c>
      <c r="B33" s="33" t="s">
        <v>135</v>
      </c>
      <c r="C33" s="34" t="n">
        <v>19200000</v>
      </c>
      <c r="D33" s="35" t="n">
        <f aca="false">C33/PoolBalance</f>
        <v>0.0154838709677419</v>
      </c>
      <c r="E33" s="15" t="n">
        <f aca="false">SUM($C$6:C33)/PoolBalance</f>
        <v>0.894758064516129</v>
      </c>
      <c r="F33" s="33" t="s">
        <v>46</v>
      </c>
      <c r="G33" s="33" t="s">
        <v>89</v>
      </c>
      <c r="H33" s="36" t="n">
        <v>0.6387</v>
      </c>
      <c r="I33" s="37" t="n">
        <v>0.070471</v>
      </c>
      <c r="J33" s="38" t="n">
        <v>1.376</v>
      </c>
      <c r="K33" s="33" t="s">
        <v>76</v>
      </c>
      <c r="L33" s="39" t="n">
        <v>2</v>
      </c>
      <c r="M33" s="40" t="n">
        <v>2</v>
      </c>
      <c r="N33" s="40" t="n">
        <v>3.75</v>
      </c>
      <c r="O33" s="39" t="n">
        <v>5</v>
      </c>
      <c r="P33" s="41" t="n">
        <v>-0.01</v>
      </c>
      <c r="Q33" s="39" t="n">
        <v>0</v>
      </c>
      <c r="R33" s="36" t="n">
        <v>0.25</v>
      </c>
      <c r="S33" s="13" t="n">
        <f aca="false">C33*Q33*R33</f>
        <v>0</v>
      </c>
    </row>
    <row r="34" customFormat="false" ht="15" hidden="false" customHeight="false" outlineLevel="0" collapsed="false">
      <c r="A34" s="25" t="s">
        <v>136</v>
      </c>
      <c r="B34" s="25" t="s">
        <v>137</v>
      </c>
      <c r="C34" s="26" t="n">
        <v>18300000</v>
      </c>
      <c r="D34" s="16" t="n">
        <f aca="false">C34/PoolBalance</f>
        <v>0.014758064516129</v>
      </c>
      <c r="E34" s="21" t="n">
        <f aca="false">SUM($C$6:C34)/PoolBalance</f>
        <v>0.909516129032258</v>
      </c>
      <c r="F34" s="25" t="s">
        <v>46</v>
      </c>
      <c r="G34" s="25" t="s">
        <v>75</v>
      </c>
      <c r="H34" s="27" t="n">
        <v>0.5185</v>
      </c>
      <c r="I34" s="28" t="n">
        <v>0.121732</v>
      </c>
      <c r="J34" s="29" t="n">
        <v>1.972</v>
      </c>
      <c r="K34" s="25" t="s">
        <v>80</v>
      </c>
      <c r="L34" s="30" t="n">
        <v>5</v>
      </c>
      <c r="M34" s="31" t="n">
        <v>6</v>
      </c>
      <c r="N34" s="31" t="n">
        <v>8.5</v>
      </c>
      <c r="O34" s="30" t="n">
        <v>6</v>
      </c>
      <c r="P34" s="32" t="n">
        <v>0.07</v>
      </c>
      <c r="Q34" s="30" t="n">
        <v>0</v>
      </c>
      <c r="R34" s="27" t="n">
        <v>0.25</v>
      </c>
      <c r="S34" s="14" t="n">
        <f aca="false">C34*Q34*R34</f>
        <v>0</v>
      </c>
    </row>
    <row r="35" customFormat="false" ht="15" hidden="false" customHeight="false" outlineLevel="0" collapsed="false">
      <c r="A35" s="33" t="s">
        <v>138</v>
      </c>
      <c r="B35" s="33" t="s">
        <v>139</v>
      </c>
      <c r="C35" s="34" t="n">
        <v>16700000</v>
      </c>
      <c r="D35" s="35" t="n">
        <f aca="false">C35/PoolBalance</f>
        <v>0.0134677419354839</v>
      </c>
      <c r="E35" s="15" t="n">
        <f aca="false">SUM($C$6:C35)/PoolBalance</f>
        <v>0.922983870967742</v>
      </c>
      <c r="F35" s="33" t="s">
        <v>46</v>
      </c>
      <c r="G35" s="33" t="s">
        <v>79</v>
      </c>
      <c r="H35" s="36" t="n">
        <v>0.5592</v>
      </c>
      <c r="I35" s="37" t="n">
        <v>0.107988</v>
      </c>
      <c r="J35" s="38" t="n">
        <v>1.793</v>
      </c>
      <c r="K35" s="33" t="s">
        <v>76</v>
      </c>
      <c r="L35" s="39" t="n">
        <v>2</v>
      </c>
      <c r="M35" s="40" t="n">
        <v>2</v>
      </c>
      <c r="N35" s="40" t="n">
        <v>5.25</v>
      </c>
      <c r="O35" s="39" t="n">
        <v>7</v>
      </c>
      <c r="P35" s="41" t="n">
        <v>0</v>
      </c>
      <c r="Q35" s="39" t="n">
        <v>0</v>
      </c>
      <c r="R35" s="36" t="n">
        <v>0.25</v>
      </c>
      <c r="S35" s="13" t="n">
        <f aca="false">C35*Q35*R35</f>
        <v>0</v>
      </c>
    </row>
    <row r="36" customFormat="false" ht="15" hidden="false" customHeight="false" outlineLevel="0" collapsed="false">
      <c r="A36" s="25" t="s">
        <v>140</v>
      </c>
      <c r="B36" s="25" t="s">
        <v>141</v>
      </c>
      <c r="C36" s="26" t="n">
        <v>15900000</v>
      </c>
      <c r="D36" s="16" t="n">
        <f aca="false">C36/PoolBalance</f>
        <v>0.0128225806451613</v>
      </c>
      <c r="E36" s="21" t="n">
        <f aca="false">SUM($C$6:C36)/PoolBalance</f>
        <v>0.935806451612903</v>
      </c>
      <c r="F36" s="25" t="s">
        <v>47</v>
      </c>
      <c r="G36" s="25" t="s">
        <v>89</v>
      </c>
      <c r="H36" s="27" t="n">
        <v>0.6005</v>
      </c>
      <c r="I36" s="28" t="n">
        <v>0.09391</v>
      </c>
      <c r="J36" s="29" t="n">
        <v>1.603</v>
      </c>
      <c r="K36" s="25" t="s">
        <v>76</v>
      </c>
      <c r="L36" s="30" t="n">
        <v>2</v>
      </c>
      <c r="M36" s="31" t="n">
        <v>2</v>
      </c>
      <c r="N36" s="31" t="n">
        <v>6</v>
      </c>
      <c r="O36" s="30" t="n">
        <v>1</v>
      </c>
      <c r="P36" s="32" t="n">
        <v>-0.07</v>
      </c>
      <c r="Q36" s="30" t="n">
        <v>0</v>
      </c>
      <c r="R36" s="27" t="n">
        <v>0.25</v>
      </c>
      <c r="S36" s="14" t="n">
        <f aca="false">C36*Q36*R36</f>
        <v>0</v>
      </c>
    </row>
    <row r="37" customFormat="false" ht="15" hidden="false" customHeight="false" outlineLevel="0" collapsed="false">
      <c r="A37" s="33" t="s">
        <v>142</v>
      </c>
      <c r="B37" s="33" t="s">
        <v>143</v>
      </c>
      <c r="C37" s="34" t="n">
        <v>14600000</v>
      </c>
      <c r="D37" s="35" t="n">
        <f aca="false">C37/PoolBalance</f>
        <v>0.0117741935483871</v>
      </c>
      <c r="E37" s="15" t="n">
        <f aca="false">SUM($C$6:C37)/PoolBalance</f>
        <v>0.94758064516129</v>
      </c>
      <c r="F37" s="33" t="s">
        <v>46</v>
      </c>
      <c r="G37" s="33" t="s">
        <v>86</v>
      </c>
      <c r="H37" s="36" t="n">
        <v>0.5958</v>
      </c>
      <c r="I37" s="37" t="n">
        <v>0.080994</v>
      </c>
      <c r="J37" s="38" t="n">
        <v>1.424</v>
      </c>
      <c r="K37" s="33" t="s">
        <v>80</v>
      </c>
      <c r="L37" s="39" t="n">
        <v>5</v>
      </c>
      <c r="M37" s="40" t="n">
        <v>6</v>
      </c>
      <c r="N37" s="40" t="n">
        <v>7.5</v>
      </c>
      <c r="O37" s="39" t="n">
        <v>3</v>
      </c>
      <c r="P37" s="41" t="n">
        <v>0.01</v>
      </c>
      <c r="Q37" s="39" t="n">
        <v>0</v>
      </c>
      <c r="R37" s="36" t="n">
        <v>0.25</v>
      </c>
      <c r="S37" s="13" t="n">
        <f aca="false">C37*Q37*R37</f>
        <v>0</v>
      </c>
    </row>
    <row r="38" customFormat="false" ht="15" hidden="false" customHeight="false" outlineLevel="0" collapsed="false">
      <c r="A38" s="25" t="s">
        <v>144</v>
      </c>
      <c r="B38" s="25" t="s">
        <v>145</v>
      </c>
      <c r="C38" s="26" t="n">
        <v>13700000</v>
      </c>
      <c r="D38" s="16" t="n">
        <f aca="false">C38/PoolBalance</f>
        <v>0.0110483870967742</v>
      </c>
      <c r="E38" s="21" t="n">
        <f aca="false">SUM($C$6:C38)/PoolBalance</f>
        <v>0.958629032258065</v>
      </c>
      <c r="F38" s="25" t="s">
        <v>46</v>
      </c>
      <c r="G38" s="25" t="s">
        <v>89</v>
      </c>
      <c r="H38" s="27" t="n">
        <v>0.6347</v>
      </c>
      <c r="I38" s="28" t="n">
        <v>0.068254</v>
      </c>
      <c r="J38" s="29" t="n">
        <v>1.241</v>
      </c>
      <c r="K38" s="25" t="s">
        <v>76</v>
      </c>
      <c r="L38" s="30" t="n">
        <v>1</v>
      </c>
      <c r="M38" s="31" t="n">
        <v>1</v>
      </c>
      <c r="N38" s="31" t="n">
        <v>3.25</v>
      </c>
      <c r="O38" s="30" t="n">
        <v>4</v>
      </c>
      <c r="P38" s="32" t="n">
        <v>-0.06</v>
      </c>
      <c r="Q38" s="30" t="n">
        <v>0</v>
      </c>
      <c r="R38" s="27" t="n">
        <v>0.25</v>
      </c>
      <c r="S38" s="14" t="n">
        <f aca="false">C38*Q38*R38</f>
        <v>0</v>
      </c>
    </row>
    <row r="39" customFormat="false" ht="15" hidden="false" customHeight="false" outlineLevel="0" collapsed="false">
      <c r="A39" s="33" t="s">
        <v>146</v>
      </c>
      <c r="B39" s="33" t="s">
        <v>147</v>
      </c>
      <c r="C39" s="34" t="n">
        <v>12800000</v>
      </c>
      <c r="D39" s="35" t="n">
        <f aca="false">C39/PoolBalance</f>
        <v>0.0103225806451613</v>
      </c>
      <c r="E39" s="15" t="n">
        <f aca="false">SUM($C$6:C39)/PoolBalance</f>
        <v>0.968951612903226</v>
      </c>
      <c r="F39" s="33" t="s">
        <v>47</v>
      </c>
      <c r="G39" s="33" t="s">
        <v>83</v>
      </c>
      <c r="H39" s="36" t="n">
        <v>0.6061</v>
      </c>
      <c r="I39" s="37" t="n">
        <v>0.068591</v>
      </c>
      <c r="J39" s="38" t="n">
        <v>1.269</v>
      </c>
      <c r="K39" s="33" t="s">
        <v>76</v>
      </c>
      <c r="L39" s="39" t="n">
        <v>5</v>
      </c>
      <c r="M39" s="40" t="n">
        <v>6</v>
      </c>
      <c r="N39" s="40" t="n">
        <v>9</v>
      </c>
      <c r="O39" s="39" t="n">
        <v>5</v>
      </c>
      <c r="P39" s="41" t="n">
        <v>0.02</v>
      </c>
      <c r="Q39" s="39" t="n">
        <v>0</v>
      </c>
      <c r="R39" s="36" t="n">
        <v>0.25</v>
      </c>
      <c r="S39" s="13" t="n">
        <f aca="false">C39*Q39*R39</f>
        <v>0</v>
      </c>
    </row>
    <row r="40" customFormat="false" ht="15" hidden="false" customHeight="false" outlineLevel="0" collapsed="false">
      <c r="A40" s="25" t="s">
        <v>148</v>
      </c>
      <c r="B40" s="25" t="s">
        <v>149</v>
      </c>
      <c r="C40" s="26" t="n">
        <v>11500000</v>
      </c>
      <c r="D40" s="16" t="n">
        <f aca="false">C40/PoolBalance</f>
        <v>0.0092741935483871</v>
      </c>
      <c r="E40" s="21" t="n">
        <f aca="false">SUM($C$6:C40)/PoolBalance</f>
        <v>0.978225806451613</v>
      </c>
      <c r="F40" s="25" t="s">
        <v>47</v>
      </c>
      <c r="G40" s="25" t="s">
        <v>86</v>
      </c>
      <c r="H40" s="27" t="n">
        <v>0.6213</v>
      </c>
      <c r="I40" s="28" t="n">
        <v>0.069064</v>
      </c>
      <c r="J40" s="29" t="n">
        <v>1.3</v>
      </c>
      <c r="K40" s="25" t="s">
        <v>80</v>
      </c>
      <c r="L40" s="30" t="n">
        <v>1</v>
      </c>
      <c r="M40" s="31" t="n">
        <v>1</v>
      </c>
      <c r="N40" s="31" t="n">
        <v>4.75</v>
      </c>
      <c r="O40" s="30" t="n">
        <v>6</v>
      </c>
      <c r="P40" s="32" t="n">
        <v>-0.05</v>
      </c>
      <c r="Q40" s="30" t="n">
        <v>0</v>
      </c>
      <c r="R40" s="27" t="n">
        <v>0.25</v>
      </c>
      <c r="S40" s="14" t="n">
        <f aca="false">C40*Q40*R40</f>
        <v>0</v>
      </c>
    </row>
    <row r="41" customFormat="false" ht="15" hidden="false" customHeight="false" outlineLevel="0" collapsed="false">
      <c r="A41" s="33" t="s">
        <v>150</v>
      </c>
      <c r="B41" s="33" t="s">
        <v>151</v>
      </c>
      <c r="C41" s="34" t="n">
        <v>10000000</v>
      </c>
      <c r="D41" s="35" t="n">
        <f aca="false">C41/PoolBalance</f>
        <v>0.00806451612903226</v>
      </c>
      <c r="E41" s="15" t="n">
        <f aca="false">SUM($C$6:C41)/PoolBalance</f>
        <v>0.986290322580645</v>
      </c>
      <c r="F41" s="33" t="s">
        <v>47</v>
      </c>
      <c r="G41" s="33" t="s">
        <v>89</v>
      </c>
      <c r="H41" s="36" t="n">
        <v>0.5805</v>
      </c>
      <c r="I41" s="37" t="n">
        <v>0.100613</v>
      </c>
      <c r="J41" s="38" t="n">
        <v>1.875</v>
      </c>
      <c r="K41" s="33" t="s">
        <v>76</v>
      </c>
      <c r="L41" s="39" t="n">
        <v>5</v>
      </c>
      <c r="M41" s="40" t="n">
        <v>6</v>
      </c>
      <c r="N41" s="40" t="n">
        <v>7.25</v>
      </c>
      <c r="O41" s="39" t="n">
        <v>1</v>
      </c>
      <c r="P41" s="41" t="n">
        <v>0.03</v>
      </c>
      <c r="Q41" s="39" t="n">
        <v>0</v>
      </c>
      <c r="R41" s="36" t="n">
        <v>0.25</v>
      </c>
      <c r="S41" s="13" t="n">
        <f aca="false">C41*Q41*R41</f>
        <v>0</v>
      </c>
    </row>
    <row r="42" customFormat="false" ht="15" hidden="false" customHeight="false" outlineLevel="0" collapsed="false">
      <c r="A42" s="25" t="s">
        <v>152</v>
      </c>
      <c r="B42" s="25" t="s">
        <v>153</v>
      </c>
      <c r="C42" s="26" t="n">
        <v>9000000</v>
      </c>
      <c r="D42" s="16" t="n">
        <f aca="false">C42/PoolBalance</f>
        <v>0.00725806451612903</v>
      </c>
      <c r="E42" s="21" t="n">
        <f aca="false">SUM($C$6:C42)/PoolBalance</f>
        <v>0.993548387096774</v>
      </c>
      <c r="F42" s="25" t="s">
        <v>47</v>
      </c>
      <c r="G42" s="25" t="s">
        <v>75</v>
      </c>
      <c r="H42" s="27" t="n">
        <v>0.5787</v>
      </c>
      <c r="I42" s="28" t="n">
        <v>0.086051</v>
      </c>
      <c r="J42" s="29" t="n">
        <v>1.653</v>
      </c>
      <c r="K42" s="25" t="s">
        <v>76</v>
      </c>
      <c r="L42" s="30" t="n">
        <v>1</v>
      </c>
      <c r="M42" s="31" t="n">
        <v>1</v>
      </c>
      <c r="N42" s="31" t="n">
        <v>3</v>
      </c>
      <c r="O42" s="30" t="n">
        <v>2</v>
      </c>
      <c r="P42" s="32" t="n">
        <v>-0.04</v>
      </c>
      <c r="Q42" s="30" t="n">
        <v>0</v>
      </c>
      <c r="R42" s="27" t="n">
        <v>0.25</v>
      </c>
      <c r="S42" s="14" t="n">
        <f aca="false">C42*Q42*R42</f>
        <v>0</v>
      </c>
    </row>
    <row r="43" customFormat="false" ht="15" hidden="false" customHeight="false" outlineLevel="0" collapsed="false">
      <c r="A43" s="33" t="s">
        <v>154</v>
      </c>
      <c r="B43" s="33" t="s">
        <v>155</v>
      </c>
      <c r="C43" s="34" t="n">
        <v>8000000</v>
      </c>
      <c r="D43" s="35" t="n">
        <f aca="false">C43/PoolBalance</f>
        <v>0.00645161290322581</v>
      </c>
      <c r="E43" s="15" t="n">
        <f aca="false">SUM($C$6:C43)/PoolBalance</f>
        <v>1</v>
      </c>
      <c r="F43" s="33" t="s">
        <v>47</v>
      </c>
      <c r="G43" s="33" t="s">
        <v>79</v>
      </c>
      <c r="H43" s="36" t="n">
        <v>0.6138</v>
      </c>
      <c r="I43" s="37" t="n">
        <v>0.075421</v>
      </c>
      <c r="J43" s="38" t="n">
        <v>1.268</v>
      </c>
      <c r="K43" s="33" t="s">
        <v>80</v>
      </c>
      <c r="L43" s="39" t="n">
        <v>1</v>
      </c>
      <c r="M43" s="40" t="n">
        <v>1</v>
      </c>
      <c r="N43" s="40" t="n">
        <v>3.75</v>
      </c>
      <c r="O43" s="39" t="n">
        <v>3</v>
      </c>
      <c r="P43" s="41" t="n">
        <v>0.04</v>
      </c>
      <c r="Q43" s="39" t="n">
        <v>0</v>
      </c>
      <c r="R43" s="36" t="n">
        <v>0.25</v>
      </c>
      <c r="S43" s="13" t="n">
        <f aca="false">C43*Q43*R43</f>
        <v>0</v>
      </c>
    </row>
    <row r="44" customFormat="false" ht="15" hidden="false" customHeight="false" outlineLevel="0" collapsed="false">
      <c r="A44" s="44"/>
      <c r="B44" s="45" t="s">
        <v>156</v>
      </c>
      <c r="C44" s="46" t="n">
        <f aca="false">SUM(C6:C43)</f>
        <v>1240000000</v>
      </c>
      <c r="D44" s="44"/>
      <c r="E44" s="44"/>
      <c r="F44" s="44"/>
      <c r="G44" s="44"/>
      <c r="H44" s="44"/>
      <c r="I44" s="44"/>
      <c r="J44" s="44"/>
      <c r="K44" s="44"/>
      <c r="L44" s="44"/>
      <c r="M44" s="44"/>
      <c r="N44" s="44"/>
      <c r="O44" s="44"/>
      <c r="P44" s="44"/>
      <c r="Q44" s="44"/>
      <c r="R44" s="44"/>
      <c r="S44" s="46" t="n">
        <f aca="false">SUM(S6:S43)</f>
        <v>0</v>
      </c>
    </row>
    <row r="46" customFormat="false" ht="15" hidden="false" customHeight="false" outlineLevel="0" collapsed="false">
      <c r="A46" s="22" t="s">
        <v>157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20"/>
    <col collapsed="false" customWidth="true" hidden="false" outlineLevel="0" max="4" min="3" style="0" width="14"/>
    <col collapsed="false" customWidth="true" hidden="false" outlineLevel="0" max="5" min="5" style="0" width="4"/>
    <col collapsed="false" customWidth="true" hidden="false" outlineLevel="0" max="6" min="6" style="0" width="60"/>
  </cols>
  <sheetData>
    <row r="1" customFormat="false" ht="24" hidden="false" customHeight="true" outlineLevel="0" collapsed="false">
      <c r="A1" s="1" t="s">
        <v>158</v>
      </c>
    </row>
    <row r="2" customFormat="false" ht="15" hidden="false" customHeight="false" outlineLevel="0" collapsed="false">
      <c r="A2" s="2" t="s">
        <v>159</v>
      </c>
    </row>
    <row r="3" customFormat="false" ht="15" hidden="false" customHeight="false" outlineLevel="0" collapsed="false">
      <c r="A3" s="3"/>
      <c r="B3" s="3"/>
      <c r="C3" s="3"/>
      <c r="D3" s="3"/>
    </row>
    <row r="5" customFormat="false" ht="30" hidden="false" customHeight="true" outlineLevel="0" collapsed="false">
      <c r="A5" s="7" t="s">
        <v>160</v>
      </c>
      <c r="B5" s="8" t="s">
        <v>43</v>
      </c>
      <c r="C5" s="8" t="s">
        <v>44</v>
      </c>
      <c r="D5" s="8" t="s">
        <v>59</v>
      </c>
    </row>
    <row r="6" customFormat="false" ht="15" hidden="false" customHeight="false" outlineLevel="0" collapsed="false">
      <c r="A6" s="9" t="s">
        <v>161</v>
      </c>
      <c r="B6" s="14" t="n">
        <f aca="false">SUM('Loan Tape'!$C$6:$C$6)</f>
        <v>96000000</v>
      </c>
      <c r="C6" s="16" t="n">
        <f aca="false">B6/PoolBalance</f>
        <v>0.0774193548387097</v>
      </c>
      <c r="D6" s="16" t="n">
        <f aca="false">SUM($B$6:B6)/PoolBalance</f>
        <v>0.0774193548387097</v>
      </c>
    </row>
    <row r="7" customFormat="false" ht="15" hidden="false" customHeight="false" outlineLevel="0" collapsed="false">
      <c r="A7" s="12" t="s">
        <v>162</v>
      </c>
      <c r="B7" s="13" t="n">
        <f aca="false">SUM('Loan Tape'!$C$7:$C$7)</f>
        <v>84000000</v>
      </c>
      <c r="C7" s="35" t="n">
        <f aca="false">B7/PoolBalance</f>
        <v>0.067741935483871</v>
      </c>
      <c r="D7" s="35" t="n">
        <f aca="false">SUM($B$6:B7)/PoolBalance</f>
        <v>0.145161290322581</v>
      </c>
    </row>
    <row r="8" customFormat="false" ht="15" hidden="false" customHeight="false" outlineLevel="0" collapsed="false">
      <c r="A8" s="23" t="s">
        <v>163</v>
      </c>
      <c r="B8" s="14" t="n">
        <f aca="false">SUM('Loan Tape'!$C$8:$C$8)</f>
        <v>72000000</v>
      </c>
      <c r="C8" s="16" t="n">
        <f aca="false">B8/PoolBalance</f>
        <v>0.0580645161290323</v>
      </c>
      <c r="D8" s="16" t="n">
        <f aca="false">SUM($B$6:B8)/PoolBalance</f>
        <v>0.203225806451613</v>
      </c>
    </row>
    <row r="9" customFormat="false" ht="15" hidden="false" customHeight="false" outlineLevel="0" collapsed="false">
      <c r="A9" s="12" t="s">
        <v>164</v>
      </c>
      <c r="B9" s="13" t="n">
        <f aca="false">SUM('Loan Tape'!$C$9:$C$9)</f>
        <v>68000000</v>
      </c>
      <c r="C9" s="35" t="n">
        <f aca="false">B9/PoolBalance</f>
        <v>0.0548387096774194</v>
      </c>
      <c r="D9" s="35" t="n">
        <f aca="false">SUM($B$6:B9)/PoolBalance</f>
        <v>0.258064516129032</v>
      </c>
    </row>
    <row r="10" customFormat="false" ht="15" hidden="false" customHeight="false" outlineLevel="0" collapsed="false">
      <c r="A10" s="9" t="s">
        <v>165</v>
      </c>
      <c r="B10" s="14" t="n">
        <f aca="false">SUM('Loan Tape'!$C$10:$C$10)</f>
        <v>61000000</v>
      </c>
      <c r="C10" s="16" t="n">
        <f aca="false">B10/PoolBalance</f>
        <v>0.0491935483870968</v>
      </c>
      <c r="D10" s="16" t="n">
        <f aca="false">SUM($B$6:B10)/PoolBalance</f>
        <v>0.307258064516129</v>
      </c>
    </row>
    <row r="11" customFormat="false" ht="15" hidden="false" customHeight="false" outlineLevel="0" collapsed="false">
      <c r="A11" s="12" t="s">
        <v>166</v>
      </c>
      <c r="B11" s="13" t="n">
        <f aca="false">SUM('Loan Tape'!$C$11:$C$15)</f>
        <v>224000000</v>
      </c>
      <c r="C11" s="35" t="n">
        <f aca="false">B11/PoolBalance</f>
        <v>0.180645161290323</v>
      </c>
      <c r="D11" s="35" t="n">
        <f aca="false">SUM($B$6:B11)/PoolBalance</f>
        <v>0.487903225806452</v>
      </c>
    </row>
    <row r="12" customFormat="false" ht="15" hidden="false" customHeight="false" outlineLevel="0" collapsed="false">
      <c r="A12" s="9" t="s">
        <v>167</v>
      </c>
      <c r="B12" s="14" t="n">
        <f aca="false">SUM('Loan Tape'!$C$16:$C$43)</f>
        <v>635000000</v>
      </c>
      <c r="C12" s="16" t="n">
        <f aca="false">B12/PoolBalance</f>
        <v>0.512096774193548</v>
      </c>
      <c r="D12" s="16" t="n">
        <f aca="false">SUM($B$6:B12)/PoolBalance</f>
        <v>1</v>
      </c>
    </row>
    <row r="14" customFormat="false" ht="15" hidden="false" customHeight="false" outlineLevel="0" collapsed="false">
      <c r="A14" s="23" t="s">
        <v>168</v>
      </c>
      <c r="B14" s="24" t="n">
        <f aca="false">SUM('Loan Tape'!$C$6:$C$10)</f>
        <v>381000000</v>
      </c>
      <c r="C14" s="47" t="n">
        <f aca="false">B14/PoolBalance</f>
        <v>0.307258064516129</v>
      </c>
    </row>
    <row r="15" customFormat="false" ht="15" hidden="false" customHeight="false" outlineLevel="0" collapsed="false">
      <c r="A15" s="23" t="s">
        <v>169</v>
      </c>
      <c r="B15" s="24" t="n">
        <f aca="false">SUM('Loan Tape'!$C$6:$C$15)</f>
        <v>605000000</v>
      </c>
      <c r="C15" s="47" t="n">
        <f aca="false">B15/PoolBalance</f>
        <v>0.487903225806452</v>
      </c>
    </row>
    <row r="16" customFormat="false" ht="15" hidden="false" customHeight="false" outlineLevel="0" collapsed="false">
      <c r="A16" s="9" t="s">
        <v>170</v>
      </c>
      <c r="B16" s="14" t="n">
        <f aca="false">SUM('Loan Tape'!$C$6:$C$9)</f>
        <v>320000000</v>
      </c>
      <c r="C16" s="21" t="n">
        <f aca="false">B16/PoolBalance</f>
        <v>0.258064516129032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20"/>
    <col collapsed="false" customWidth="true" hidden="false" outlineLevel="0" max="3" min="3" style="0" width="14"/>
    <col collapsed="false" customWidth="true" hidden="false" outlineLevel="0" max="4" min="4" style="0" width="4"/>
    <col collapsed="false" customWidth="true" hidden="false" outlineLevel="0" max="5" min="5" style="0" width="66"/>
  </cols>
  <sheetData>
    <row r="1" customFormat="false" ht="24" hidden="false" customHeight="true" outlineLevel="0" collapsed="false">
      <c r="A1" s="1" t="s">
        <v>171</v>
      </c>
    </row>
    <row r="2" customFormat="false" ht="15" hidden="false" customHeight="false" outlineLevel="0" collapsed="false">
      <c r="A2" s="2" t="s">
        <v>172</v>
      </c>
    </row>
    <row r="3" customFormat="false" ht="15" hidden="false" customHeight="false" outlineLevel="0" collapsed="false">
      <c r="A3" s="3"/>
      <c r="B3" s="3"/>
      <c r="C3" s="3"/>
      <c r="D3" s="3"/>
      <c r="E3" s="3"/>
    </row>
    <row r="5" customFormat="false" ht="30" hidden="false" customHeight="true" outlineLevel="0" collapsed="false">
      <c r="A5" s="7" t="s">
        <v>173</v>
      </c>
      <c r="B5" s="8" t="s">
        <v>43</v>
      </c>
      <c r="C5" s="8" t="s">
        <v>44</v>
      </c>
    </row>
    <row r="6" customFormat="false" ht="15" hidden="false" customHeight="false" outlineLevel="0" collapsed="false">
      <c r="A6" s="9" t="s">
        <v>174</v>
      </c>
      <c r="B6" s="14" t="n">
        <f aca="false">SUMIF('Loan Tape'!$L$6:$L$43,1,'Loan Tape'!$C$6:$C$43)</f>
        <v>62000000</v>
      </c>
      <c r="C6" s="21" t="n">
        <f aca="false">B6/PoolBalance</f>
        <v>0.05</v>
      </c>
    </row>
    <row r="7" customFormat="false" ht="15" hidden="false" customHeight="false" outlineLevel="0" collapsed="false">
      <c r="A7" s="12" t="s">
        <v>175</v>
      </c>
      <c r="B7" s="13" t="n">
        <f aca="false">SUMIF('Loan Tape'!$L$6:$L$43,2,'Loan Tape'!$C$6:$C$43)</f>
        <v>149000000</v>
      </c>
      <c r="C7" s="15" t="n">
        <f aca="false">B7/PoolBalance</f>
        <v>0.120161290322581</v>
      </c>
    </row>
    <row r="8" customFormat="false" ht="15" hidden="false" customHeight="false" outlineLevel="0" collapsed="false">
      <c r="A8" s="9" t="s">
        <v>176</v>
      </c>
      <c r="B8" s="14" t="n">
        <f aca="false">SUMIF('Loan Tape'!$L$6:$L$43,3,'Loan Tape'!$C$6:$C$43)</f>
        <v>434000000</v>
      </c>
      <c r="C8" s="21" t="n">
        <f aca="false">B8/PoolBalance</f>
        <v>0.35</v>
      </c>
    </row>
    <row r="9" customFormat="false" ht="15" hidden="false" customHeight="false" outlineLevel="0" collapsed="false">
      <c r="A9" s="12" t="s">
        <v>177</v>
      </c>
      <c r="B9" s="13" t="n">
        <f aca="false">SUMIF('Loan Tape'!$L$6:$L$43,4,'Loan Tape'!$C$6:$C$43)</f>
        <v>471000000</v>
      </c>
      <c r="C9" s="15" t="n">
        <f aca="false">B9/PoolBalance</f>
        <v>0.379838709677419</v>
      </c>
    </row>
    <row r="10" customFormat="false" ht="15" hidden="false" customHeight="false" outlineLevel="0" collapsed="false">
      <c r="A10" s="9" t="s">
        <v>178</v>
      </c>
      <c r="B10" s="14" t="n">
        <f aca="false">SUMIF('Loan Tape'!$L$6:$L$43,5,'Loan Tape'!$C$6:$C$43)</f>
        <v>124000000</v>
      </c>
      <c r="C10" s="21" t="n">
        <f aca="false">B10/PoolBalance</f>
        <v>0.1</v>
      </c>
    </row>
    <row r="11" customFormat="false" ht="15" hidden="false" customHeight="false" outlineLevel="0" collapsed="false">
      <c r="A11" s="23" t="s">
        <v>179</v>
      </c>
      <c r="B11" s="24" t="n">
        <f aca="false">SUM(B6:B10)</f>
        <v>1240000000</v>
      </c>
      <c r="C11" s="47" t="n">
        <f aca="false">B11/PoolBalance</f>
        <v>1</v>
      </c>
    </row>
    <row r="13" customFormat="false" ht="15" hidden="false" customHeight="false" outlineLevel="0" collapsed="false">
      <c r="A13" s="23" t="s">
        <v>180</v>
      </c>
      <c r="B13" s="24" t="n">
        <f aca="false">B8+B9</f>
        <v>905000000</v>
      </c>
      <c r="C13" s="47" t="n">
        <f aca="false">B13/PoolBalance</f>
        <v>0.729838709677419</v>
      </c>
    </row>
    <row r="14" customFormat="false" ht="15" hidden="false" customHeight="false" outlineLevel="0" collapsed="false">
      <c r="A14" s="22" t="s">
        <v>181</v>
      </c>
    </row>
    <row r="16" customFormat="false" ht="15" hidden="false" customHeight="false" outlineLevel="0" collapsed="false">
      <c r="A16" s="4" t="s">
        <v>182</v>
      </c>
      <c r="B16" s="20"/>
      <c r="C16" s="20"/>
      <c r="D16" s="20"/>
      <c r="E16" s="20"/>
    </row>
    <row r="18" customFormat="false" ht="15" hidden="false" customHeight="false" outlineLevel="0" collapsed="false">
      <c r="A18" s="9" t="s">
        <v>183</v>
      </c>
      <c r="B18" s="18" t="n">
        <f aca="false">SUMPRODUCT('Loan Tape'!$C$6:$C$43,'Loan Tape'!M$6:M$43)/PoolBalance</f>
        <v>3.45967741935484</v>
      </c>
    </row>
    <row r="19" customFormat="false" ht="15" hidden="false" customHeight="false" outlineLevel="0" collapsed="false">
      <c r="A19" s="9" t="s">
        <v>37</v>
      </c>
      <c r="B19" s="18" t="n">
        <f aca="false">SUMPRODUCT('Loan Tape'!$C$6:$C$43,'Loan Tape'!N$6:N$43)/PoolBalance</f>
        <v>5.89679435483871</v>
      </c>
    </row>
    <row r="20" customFormat="false" ht="15" hidden="false" customHeight="false" outlineLevel="0" collapsed="false">
      <c r="A20" s="9" t="s">
        <v>184</v>
      </c>
      <c r="B20" s="18" t="n">
        <f aca="false">B19-B18</f>
        <v>2.43711693548387</v>
      </c>
    </row>
    <row r="21" customFormat="false" ht="15" hidden="false" customHeight="false" outlineLevel="0" collapsed="false">
      <c r="A21" s="22" t="s">
        <v>185</v>
      </c>
    </row>
    <row r="23" customFormat="false" ht="15" hidden="false" customHeight="false" outlineLevel="0" collapsed="false">
      <c r="A23" s="9" t="s">
        <v>186</v>
      </c>
      <c r="B23" s="48" t="n">
        <f aca="false">INDEX('Loan Tape'!$L$6:$L$43,MATCH("Alder Point",'Loan Tape'!$B$6:$B$43,0))</f>
        <v>3</v>
      </c>
    </row>
    <row r="24" customFormat="false" ht="15" hidden="false" customHeight="false" outlineLevel="0" collapsed="false">
      <c r="A24" s="9" t="s">
        <v>187</v>
      </c>
      <c r="B24" s="48" t="n">
        <f aca="false">INDEX('Loan Tape'!$N$6:$N$43,MATCH("Alder Point",'Loan Tape'!$B$6:$B$43,0))</f>
        <v>6</v>
      </c>
    </row>
    <row r="25" customFormat="false" ht="15" hidden="false" customHeight="false" outlineLevel="0" collapsed="false">
      <c r="A25" s="9" t="s">
        <v>188</v>
      </c>
      <c r="B25" s="48" t="n">
        <f aca="false">B24-B23</f>
        <v>3</v>
      </c>
    </row>
    <row r="26" customFormat="false" ht="15" hidden="false" customHeight="false" outlineLevel="0" collapsed="false">
      <c r="A26" s="49" t="s">
        <v>189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18"/>
    <col collapsed="false" customWidth="true" hidden="false" outlineLevel="0" max="5" min="3" style="0" width="12"/>
    <col collapsed="false" customWidth="true" hidden="false" outlineLevel="0" max="6" min="6" style="0" width="14"/>
    <col collapsed="false" customWidth="true" hidden="false" outlineLevel="0" max="8" min="7" style="0" width="16"/>
    <col collapsed="false" customWidth="true" hidden="false" outlineLevel="0" max="9" min="9" style="0" width="14"/>
    <col collapsed="false" customWidth="true" hidden="false" outlineLevel="0" max="10" min="10" style="0" width="18"/>
    <col collapsed="false" customWidth="true" hidden="false" outlineLevel="0" max="11" min="11" style="0" width="12"/>
  </cols>
  <sheetData>
    <row r="1" customFormat="false" ht="24" hidden="false" customHeight="true" outlineLevel="0" collapsed="false">
      <c r="A1" s="1" t="s">
        <v>190</v>
      </c>
    </row>
    <row r="2" customFormat="false" ht="15" hidden="false" customHeight="false" outlineLevel="0" collapsed="false">
      <c r="A2" s="2" t="s">
        <v>191</v>
      </c>
    </row>
    <row r="3" customFormat="false" ht="15" hidden="false" customHeight="false" outlineLevel="0" collapsed="false">
      <c r="A3" s="3"/>
      <c r="B3" s="3"/>
      <c r="C3" s="3"/>
      <c r="D3" s="3"/>
      <c r="E3" s="3"/>
      <c r="F3" s="3"/>
      <c r="G3" s="3"/>
      <c r="H3" s="3"/>
      <c r="I3" s="3"/>
    </row>
    <row r="5" customFormat="false" ht="15" hidden="false" customHeight="false" outlineLevel="0" collapsed="false">
      <c r="A5" s="4" t="s">
        <v>192</v>
      </c>
      <c r="B5" s="20"/>
      <c r="C5" s="20"/>
      <c r="D5" s="20"/>
      <c r="E5" s="20"/>
      <c r="F5" s="20"/>
      <c r="G5" s="20"/>
      <c r="H5" s="20"/>
      <c r="I5" s="20"/>
    </row>
    <row r="7" customFormat="false" ht="15" hidden="false" customHeight="false" outlineLevel="0" collapsed="false">
      <c r="A7" s="9" t="s">
        <v>193</v>
      </c>
      <c r="D7" s="27" t="n">
        <v>0.307</v>
      </c>
    </row>
    <row r="8" customFormat="false" ht="15" hidden="false" customHeight="false" outlineLevel="0" collapsed="false">
      <c r="A8" s="9" t="s">
        <v>194</v>
      </c>
      <c r="D8" s="27" t="n">
        <v>0.25</v>
      </c>
    </row>
    <row r="9" customFormat="false" ht="15" hidden="false" customHeight="false" outlineLevel="0" collapsed="false">
      <c r="A9" s="23" t="s">
        <v>195</v>
      </c>
      <c r="D9" s="24" t="n">
        <f aca="false">PoolBalance*DefaultRate*Severity</f>
        <v>95170000</v>
      </c>
    </row>
    <row r="10" customFormat="false" ht="15" hidden="false" customHeight="false" outlineLevel="0" collapsed="false">
      <c r="A10" s="23" t="s">
        <v>196</v>
      </c>
      <c r="D10" s="50" t="n">
        <f aca="false">D9/PoolBalance</f>
        <v>0.07675</v>
      </c>
    </row>
    <row r="11" customFormat="false" ht="15" hidden="false" customHeight="false" outlineLevel="0" collapsed="false">
      <c r="A11" s="22" t="s">
        <v>197</v>
      </c>
    </row>
    <row r="13" customFormat="false" ht="15" hidden="false" customHeight="false" outlineLevel="0" collapsed="false">
      <c r="A13" s="4" t="s">
        <v>198</v>
      </c>
      <c r="B13" s="20"/>
      <c r="C13" s="20"/>
      <c r="D13" s="20"/>
      <c r="E13" s="20"/>
      <c r="F13" s="20"/>
      <c r="G13" s="20"/>
      <c r="H13" s="20"/>
      <c r="I13" s="20"/>
    </row>
    <row r="15" customFormat="false" ht="30" hidden="false" customHeight="true" outlineLevel="0" collapsed="false">
      <c r="A15" s="7" t="s">
        <v>199</v>
      </c>
      <c r="B15" s="8" t="s">
        <v>200</v>
      </c>
      <c r="C15" s="8" t="s">
        <v>201</v>
      </c>
      <c r="D15" s="8" t="s">
        <v>202</v>
      </c>
      <c r="E15" s="8" t="s">
        <v>203</v>
      </c>
      <c r="F15" s="8" t="s">
        <v>204</v>
      </c>
      <c r="G15" s="8" t="s">
        <v>205</v>
      </c>
      <c r="H15" s="8" t="s">
        <v>206</v>
      </c>
      <c r="I15" s="8" t="s">
        <v>207</v>
      </c>
      <c r="J15" s="51" t="s">
        <v>208</v>
      </c>
      <c r="K15" s="51" t="s">
        <v>209</v>
      </c>
    </row>
    <row r="16" customFormat="false" ht="15" hidden="false" customHeight="false" outlineLevel="0" collapsed="false">
      <c r="A16" s="23" t="s">
        <v>210</v>
      </c>
      <c r="B16" s="14" t="n">
        <f aca="false">(D16-C16)*PoolBalance</f>
        <v>682000000</v>
      </c>
      <c r="C16" s="27" t="n">
        <v>0.45</v>
      </c>
      <c r="D16" s="27" t="n">
        <v>1</v>
      </c>
      <c r="E16" s="21" t="n">
        <f aca="false">D16-C16</f>
        <v>0.55</v>
      </c>
      <c r="F16" s="21" t="n">
        <f aca="false">C16</f>
        <v>0.45</v>
      </c>
      <c r="G16" s="14" t="n">
        <f aca="false">MIN(B16,MAX(0,PoolLoss*PoolBalance-C16*PoolBalance))</f>
        <v>0</v>
      </c>
      <c r="H16" s="21" t="n">
        <f aca="false">G16/B16</f>
        <v>0</v>
      </c>
      <c r="I16" s="52" t="s">
        <v>211</v>
      </c>
      <c r="J16" s="14" t="n">
        <f aca="false">MIN(B16,MAX(0,PoolLoss*PoolBalance+'Waterfall and Control'!$C$34-C16*PoolBalance))</f>
        <v>0</v>
      </c>
      <c r="K16" s="21" t="n">
        <f aca="false">1-J16/B16</f>
        <v>1</v>
      </c>
    </row>
    <row r="17" customFormat="false" ht="15" hidden="false" customHeight="false" outlineLevel="0" collapsed="false">
      <c r="A17" s="53" t="s">
        <v>212</v>
      </c>
      <c r="B17" s="13" t="n">
        <f aca="false">(D17-C17)*PoolBalance</f>
        <v>124000000</v>
      </c>
      <c r="C17" s="36" t="n">
        <v>0.35</v>
      </c>
      <c r="D17" s="36" t="n">
        <v>0.45</v>
      </c>
      <c r="E17" s="15" t="n">
        <f aca="false">D17-C17</f>
        <v>0.1</v>
      </c>
      <c r="F17" s="15" t="n">
        <f aca="false">C17</f>
        <v>0.35</v>
      </c>
      <c r="G17" s="13" t="n">
        <f aca="false">MIN(B17,MAX(0,PoolLoss*PoolBalance-C17*PoolBalance))</f>
        <v>0</v>
      </c>
      <c r="H17" s="15" t="n">
        <f aca="false">G17/B17</f>
        <v>0</v>
      </c>
      <c r="I17" s="54" t="s">
        <v>213</v>
      </c>
      <c r="J17" s="14" t="n">
        <f aca="false">MIN(B17,MAX(0,PoolLoss*PoolBalance+'Waterfall and Control'!$C$34-C17*PoolBalance))</f>
        <v>0</v>
      </c>
      <c r="K17" s="21" t="n">
        <f aca="false">1-J17/B17</f>
        <v>1</v>
      </c>
    </row>
    <row r="18" customFormat="false" ht="15" hidden="false" customHeight="false" outlineLevel="0" collapsed="false">
      <c r="A18" s="23" t="s">
        <v>214</v>
      </c>
      <c r="B18" s="14" t="n">
        <f aca="false">(D18-C18)*PoolBalance</f>
        <v>99200000</v>
      </c>
      <c r="C18" s="27" t="n">
        <v>0.27</v>
      </c>
      <c r="D18" s="27" t="n">
        <v>0.35</v>
      </c>
      <c r="E18" s="21" t="n">
        <f aca="false">D18-C18</f>
        <v>0.08</v>
      </c>
      <c r="F18" s="21" t="n">
        <f aca="false">C18</f>
        <v>0.27</v>
      </c>
      <c r="G18" s="14" t="n">
        <f aca="false">MIN(B18,MAX(0,PoolLoss*PoolBalance-C18*PoolBalance))</f>
        <v>0</v>
      </c>
      <c r="H18" s="21" t="n">
        <f aca="false">G18/B18</f>
        <v>0</v>
      </c>
      <c r="I18" s="52" t="s">
        <v>210</v>
      </c>
      <c r="J18" s="14" t="n">
        <f aca="false">MIN(B18,MAX(0,PoolLoss*PoolBalance+'Waterfall and Control'!$C$34-C18*PoolBalance))</f>
        <v>0</v>
      </c>
      <c r="K18" s="21" t="n">
        <f aca="false">1-J18/B18</f>
        <v>1</v>
      </c>
    </row>
    <row r="19" customFormat="false" ht="15" hidden="false" customHeight="false" outlineLevel="0" collapsed="false">
      <c r="A19" s="53" t="s">
        <v>215</v>
      </c>
      <c r="B19" s="13" t="n">
        <f aca="false">(D19-C19)*PoolBalance</f>
        <v>86800000</v>
      </c>
      <c r="C19" s="36" t="n">
        <v>0.2</v>
      </c>
      <c r="D19" s="36" t="n">
        <v>0.27</v>
      </c>
      <c r="E19" s="15" t="n">
        <f aca="false">D19-C19</f>
        <v>0.07</v>
      </c>
      <c r="F19" s="15" t="n">
        <f aca="false">C19</f>
        <v>0.2</v>
      </c>
      <c r="G19" s="13" t="n">
        <f aca="false">MIN(B19,MAX(0,PoolLoss*PoolBalance-C19*PoolBalance))</f>
        <v>0</v>
      </c>
      <c r="H19" s="15" t="n">
        <f aca="false">G19/B19</f>
        <v>0</v>
      </c>
      <c r="I19" s="54" t="s">
        <v>216</v>
      </c>
      <c r="J19" s="14" t="n">
        <f aca="false">MIN(B19,MAX(0,PoolLoss*PoolBalance+'Waterfall and Control'!$C$34-C19*PoolBalance))</f>
        <v>0</v>
      </c>
      <c r="K19" s="21" t="n">
        <f aca="false">1-J19/B19</f>
        <v>1</v>
      </c>
    </row>
    <row r="20" customFormat="false" ht="15" hidden="false" customHeight="false" outlineLevel="0" collapsed="false">
      <c r="A20" s="23" t="s">
        <v>217</v>
      </c>
      <c r="B20" s="14" t="n">
        <f aca="false">(D20-C20)*PoolBalance</f>
        <v>62000000</v>
      </c>
      <c r="C20" s="27" t="n">
        <v>0.15</v>
      </c>
      <c r="D20" s="27" t="n">
        <v>0.2</v>
      </c>
      <c r="E20" s="21" t="n">
        <f aca="false">D20-C20</f>
        <v>0.05</v>
      </c>
      <c r="F20" s="21" t="n">
        <f aca="false">C20</f>
        <v>0.15</v>
      </c>
      <c r="G20" s="14" t="n">
        <f aca="false">MIN(B20,MAX(0,PoolLoss*PoolBalance-C20*PoolBalance))</f>
        <v>0</v>
      </c>
      <c r="H20" s="21" t="n">
        <f aca="false">G20/B20</f>
        <v>0</v>
      </c>
      <c r="I20" s="52" t="s">
        <v>218</v>
      </c>
      <c r="J20" s="14" t="n">
        <f aca="false">MIN(B20,MAX(0,PoolLoss*PoolBalance+'Waterfall and Control'!$C$34-C20*PoolBalance))</f>
        <v>0</v>
      </c>
      <c r="K20" s="21" t="n">
        <f aca="false">1-J20/B20</f>
        <v>1</v>
      </c>
    </row>
    <row r="21" customFormat="false" ht="15" hidden="false" customHeight="false" outlineLevel="0" collapsed="false">
      <c r="A21" s="53" t="s">
        <v>219</v>
      </c>
      <c r="B21" s="13" t="n">
        <f aca="false">(D21-C21)*PoolBalance</f>
        <v>111600000</v>
      </c>
      <c r="C21" s="36" t="n">
        <v>0.06</v>
      </c>
      <c r="D21" s="36" t="n">
        <v>0.15</v>
      </c>
      <c r="E21" s="15" t="n">
        <f aca="false">D21-C21</f>
        <v>0.09</v>
      </c>
      <c r="F21" s="15" t="n">
        <f aca="false">C21</f>
        <v>0.06</v>
      </c>
      <c r="G21" s="13" t="n">
        <f aca="false">MIN(B21,MAX(0,PoolLoss*PoolBalance-C21*PoolBalance))</f>
        <v>20770000</v>
      </c>
      <c r="H21" s="15" t="n">
        <f aca="false">G21/B21</f>
        <v>0.186111111111111</v>
      </c>
      <c r="I21" s="54" t="s">
        <v>212</v>
      </c>
      <c r="J21" s="14" t="n">
        <f aca="false">MIN(B21,MAX(0,PoolLoss*PoolBalance+'Waterfall and Control'!$C$34-C21*PoolBalance))</f>
        <v>31970000</v>
      </c>
      <c r="K21" s="21" t="n">
        <f aca="false">1-J21/B21</f>
        <v>0.713530465949821</v>
      </c>
    </row>
    <row r="22" customFormat="false" ht="15" hidden="false" customHeight="false" outlineLevel="0" collapsed="false">
      <c r="A22" s="23" t="s">
        <v>220</v>
      </c>
      <c r="B22" s="14" t="n">
        <f aca="false">(D22-C22)*PoolBalance</f>
        <v>74400000</v>
      </c>
      <c r="C22" s="27" t="n">
        <v>0</v>
      </c>
      <c r="D22" s="27" t="n">
        <v>0.06</v>
      </c>
      <c r="E22" s="21" t="n">
        <f aca="false">D22-C22</f>
        <v>0.06</v>
      </c>
      <c r="F22" s="21" t="n">
        <f aca="false">C22</f>
        <v>0</v>
      </c>
      <c r="G22" s="14" t="n">
        <f aca="false">MIN(B22,MAX(0,PoolLoss*PoolBalance-C22*PoolBalance))</f>
        <v>74400000</v>
      </c>
      <c r="H22" s="21" t="n">
        <f aca="false">G22/B22</f>
        <v>1</v>
      </c>
      <c r="I22" s="52" t="s">
        <v>221</v>
      </c>
      <c r="J22" s="14" t="n">
        <f aca="false">MIN(B22,MAX(0,PoolLoss*PoolBalance+'Waterfall and Control'!$C$34-C22*PoolBalance))</f>
        <v>74400000</v>
      </c>
      <c r="K22" s="21" t="n">
        <f aca="false">1-J22/B22</f>
        <v>0</v>
      </c>
    </row>
    <row r="23" customFormat="false" ht="15" hidden="false" customHeight="false" outlineLevel="0" collapsed="false">
      <c r="A23" s="55" t="s">
        <v>179</v>
      </c>
      <c r="B23" s="56" t="n">
        <f aca="false">SUM(B16:B22)</f>
        <v>1240000000</v>
      </c>
      <c r="C23" s="57"/>
      <c r="D23" s="57"/>
      <c r="E23" s="57"/>
      <c r="F23" s="57"/>
      <c r="G23" s="56" t="n">
        <f aca="false">SUM(G16:G22)</f>
        <v>95170000</v>
      </c>
      <c r="H23" s="57"/>
      <c r="I23" s="57"/>
    </row>
    <row r="25" customFormat="false" ht="15" hidden="false" customHeight="false" outlineLevel="0" collapsed="false">
      <c r="A25" s="23" t="s">
        <v>222</v>
      </c>
      <c r="C25" s="58" t="str">
        <f aca="false">IFERROR(INDEX($A$16:$A$22,MATCH(TRUE(),INDEX($G$16:$G$22&gt;0,0),0)),"none")</f>
        <v>F</v>
      </c>
    </row>
    <row r="26" customFormat="false" ht="15" hidden="false" customHeight="false" outlineLevel="0" collapsed="false">
      <c r="A26" s="9" t="s">
        <v>223</v>
      </c>
      <c r="C26" s="10" t="n">
        <f aca="false">COUNTIF($H$16:$H$22,"&gt;=0.9999")</f>
        <v>1</v>
      </c>
    </row>
    <row r="28" customFormat="false" ht="15" hidden="false" customHeight="false" outlineLevel="0" collapsed="false">
      <c r="A28" s="4" t="s">
        <v>224</v>
      </c>
      <c r="B28" s="20"/>
      <c r="C28" s="20"/>
      <c r="D28" s="20"/>
      <c r="E28" s="20"/>
      <c r="F28" s="20"/>
      <c r="G28" s="20"/>
      <c r="H28" s="20"/>
      <c r="I28" s="20"/>
    </row>
    <row r="30" customFormat="false" ht="30" hidden="false" customHeight="true" outlineLevel="0" collapsed="false">
      <c r="A30" s="7" t="s">
        <v>225</v>
      </c>
      <c r="B30" s="8" t="s">
        <v>226</v>
      </c>
      <c r="C30" s="8"/>
      <c r="D30" s="8" t="s">
        <v>72</v>
      </c>
      <c r="E30" s="8" t="s">
        <v>44</v>
      </c>
      <c r="F30" s="8" t="s">
        <v>227</v>
      </c>
      <c r="G30" s="8" t="s">
        <v>228</v>
      </c>
      <c r="H30" s="8" t="s">
        <v>229</v>
      </c>
    </row>
    <row r="31" customFormat="false" ht="15" hidden="false" customHeight="false" outlineLevel="0" collapsed="false">
      <c r="A31" s="9" t="s">
        <v>161</v>
      </c>
      <c r="B31" s="9" t="s">
        <v>230</v>
      </c>
      <c r="D31" s="26" t="n">
        <v>82200000</v>
      </c>
      <c r="E31" s="14" t="n">
        <f aca="false">MAX(0,AlderBalance-D31)</f>
        <v>0</v>
      </c>
      <c r="F31" s="16" t="n">
        <f aca="false">E31/PoolBalance</f>
        <v>0</v>
      </c>
      <c r="G31" s="14" t="n">
        <f aca="false">MIN(B$22,MAX(0,E31-C$22*PoolBalance))</f>
        <v>0</v>
      </c>
      <c r="H31" s="14" t="n">
        <f aca="false">MIN(B$21,MAX(0,E31-C$21*PoolBalance))</f>
        <v>0</v>
      </c>
      <c r="I31" s="59" t="str">
        <f aca="false">IF(E31=0,"no tranche",IF(H31=0,"class G only",IF(H31&lt;B$21,"classes G and F","above class F")))</f>
        <v>no tranche</v>
      </c>
    </row>
    <row r="32" customFormat="false" ht="15" hidden="false" customHeight="false" outlineLevel="0" collapsed="false">
      <c r="A32" s="12" t="s">
        <v>162</v>
      </c>
      <c r="B32" s="12" t="s">
        <v>231</v>
      </c>
      <c r="C32" s="60"/>
      <c r="D32" s="26" t="n">
        <v>60000000</v>
      </c>
      <c r="E32" s="13" t="n">
        <f aca="false">MAX(0,AlderBalance-D32)</f>
        <v>12000000</v>
      </c>
      <c r="F32" s="35" t="n">
        <f aca="false">E32/PoolBalance</f>
        <v>0.00967741935483871</v>
      </c>
      <c r="G32" s="13" t="n">
        <f aca="false">MIN(B$22,MAX(0,E32-C$22*PoolBalance))</f>
        <v>12000000</v>
      </c>
      <c r="H32" s="13" t="n">
        <f aca="false">MIN(B$21,MAX(0,E32-C$21*PoolBalance))</f>
        <v>0</v>
      </c>
      <c r="I32" s="59" t="str">
        <f aca="false">IF(E32=0,"no tranche",IF(H32=0,"class G only",IF(H32&lt;B$21,"classes G and F","above class F")))</f>
        <v>class G only</v>
      </c>
    </row>
    <row r="33" customFormat="false" ht="15" hidden="false" customHeight="false" outlineLevel="0" collapsed="false">
      <c r="A33" s="9" t="s">
        <v>232</v>
      </c>
      <c r="B33" s="9" t="s">
        <v>233</v>
      </c>
      <c r="D33" s="27" t="n">
        <v>0.25</v>
      </c>
      <c r="E33" s="14" t="n">
        <f aca="false">SUM('Loan Tape'!$C$6:$C$10)*D33</f>
        <v>95250000</v>
      </c>
      <c r="F33" s="16" t="n">
        <f aca="false">E33/PoolBalance</f>
        <v>0.0768145161290323</v>
      </c>
      <c r="G33" s="14" t="n">
        <f aca="false">MIN(B$22,MAX(0,E33-C$22*PoolBalance))</f>
        <v>74400000</v>
      </c>
      <c r="H33" s="14" t="n">
        <f aca="false">MIN(B$21,MAX(0,E33-C$21*PoolBalance))</f>
        <v>20850000</v>
      </c>
      <c r="I33" s="59" t="str">
        <f aca="false">IF(E33=0,"no tranche",IF(H33=0,"class G only",IF(H33&lt;B$21,"classes G and F","above class F")))</f>
        <v>classes G and F</v>
      </c>
    </row>
    <row r="35" customFormat="false" ht="15" hidden="false" customHeight="false" outlineLevel="0" collapsed="false">
      <c r="B35" s="9" t="s">
        <v>234</v>
      </c>
      <c r="E35" s="21" t="n">
        <f aca="false">H33/B21</f>
        <v>0.186827956989247</v>
      </c>
    </row>
    <row r="36" customFormat="false" ht="15" hidden="false" customHeight="false" outlineLevel="0" collapsed="false">
      <c r="B36" s="9" t="s">
        <v>235</v>
      </c>
      <c r="E36" s="21" t="n">
        <f aca="false">G32/B22</f>
        <v>0.161290322580645</v>
      </c>
    </row>
    <row r="37" customFormat="false" ht="15" hidden="false" customHeight="false" outlineLevel="0" collapsed="false">
      <c r="A37" s="22" t="s">
        <v>236</v>
      </c>
    </row>
    <row r="39" customFormat="false" ht="15" hidden="false" customHeight="false" outlineLevel="0" collapsed="false">
      <c r="A39" s="4" t="s">
        <v>237</v>
      </c>
      <c r="B39" s="20"/>
      <c r="C39" s="20"/>
      <c r="D39" s="20"/>
      <c r="E39" s="20"/>
      <c r="F39" s="20"/>
      <c r="G39" s="20"/>
      <c r="H39" s="20"/>
      <c r="I39" s="20"/>
    </row>
    <row r="41" customFormat="false" ht="15" hidden="false" customHeight="false" outlineLevel="0" collapsed="false">
      <c r="A41" s="22" t="s">
        <v>238</v>
      </c>
    </row>
    <row r="43" customFormat="false" ht="30" hidden="false" customHeight="true" outlineLevel="0" collapsed="false">
      <c r="A43" s="7" t="s">
        <v>199</v>
      </c>
      <c r="B43" s="8" t="s">
        <v>201</v>
      </c>
      <c r="C43" s="8" t="s">
        <v>239</v>
      </c>
      <c r="D43" s="8" t="s">
        <v>240</v>
      </c>
      <c r="E43" s="8" t="s">
        <v>241</v>
      </c>
    </row>
    <row r="44" customFormat="false" ht="15" hidden="false" customHeight="false" outlineLevel="0" collapsed="false">
      <c r="A44" s="61" t="str">
        <f aca="false">A16</f>
        <v>A</v>
      </c>
      <c r="B44" s="21" t="n">
        <f aca="false">C16</f>
        <v>0.45</v>
      </c>
      <c r="C44" s="14" t="n">
        <f aca="false">C16*PoolBalance</f>
        <v>558000000</v>
      </c>
      <c r="D44" s="10" t="n">
        <f aca="false">IF(B44=0,0,COUNTIF('Loan Tape'!$E$6:$E$43,"&lt;"&amp;B44)+1)</f>
        <v>9</v>
      </c>
      <c r="E44" s="59" t="str">
        <f aca="false">IF(D44=0,"first loss",IF(D44&lt;=5,"reachable by the top five loans alone","needs a broad-based collapse"))</f>
        <v>needs a broad-based collapse</v>
      </c>
    </row>
    <row r="45" customFormat="false" ht="15" hidden="false" customHeight="false" outlineLevel="0" collapsed="false">
      <c r="A45" s="62" t="str">
        <f aca="false">A17</f>
        <v>B</v>
      </c>
      <c r="B45" s="15" t="n">
        <f aca="false">C17</f>
        <v>0.35</v>
      </c>
      <c r="C45" s="13" t="n">
        <f aca="false">C17*PoolBalance</f>
        <v>434000000</v>
      </c>
      <c r="D45" s="63" t="n">
        <f aca="false">IF(B45=0,0,COUNTIF('Loan Tape'!$E$6:$E$43,"&lt;"&amp;B45)+1)</f>
        <v>7</v>
      </c>
      <c r="E45" s="64" t="str">
        <f aca="false">IF(D45=0,"first loss",IF(D45&lt;=5,"reachable by the top five loans alone","needs a broad-based collapse"))</f>
        <v>needs a broad-based collapse</v>
      </c>
    </row>
    <row r="46" customFormat="false" ht="15" hidden="false" customHeight="false" outlineLevel="0" collapsed="false">
      <c r="A46" s="61" t="str">
        <f aca="false">A18</f>
        <v>C</v>
      </c>
      <c r="B46" s="21" t="n">
        <f aca="false">C18</f>
        <v>0.27</v>
      </c>
      <c r="C46" s="14" t="n">
        <f aca="false">C18*PoolBalance</f>
        <v>334800000</v>
      </c>
      <c r="D46" s="10" t="n">
        <f aca="false">IF(B46=0,0,COUNTIF('Loan Tape'!$E$6:$E$43,"&lt;"&amp;B46)+1)</f>
        <v>5</v>
      </c>
      <c r="E46" s="59" t="str">
        <f aca="false">IF(D46=0,"first loss",IF(D46&lt;=5,"reachable by the top five loans alone","needs a broad-based collapse"))</f>
        <v>reachable by the top five loans alone</v>
      </c>
    </row>
    <row r="47" customFormat="false" ht="15" hidden="false" customHeight="false" outlineLevel="0" collapsed="false">
      <c r="A47" s="62" t="str">
        <f aca="false">A19</f>
        <v>D</v>
      </c>
      <c r="B47" s="15" t="n">
        <f aca="false">C19</f>
        <v>0.2</v>
      </c>
      <c r="C47" s="13" t="n">
        <f aca="false">C19*PoolBalance</f>
        <v>248000000</v>
      </c>
      <c r="D47" s="63" t="n">
        <f aca="false">IF(B47=0,0,COUNTIF('Loan Tape'!$E$6:$E$43,"&lt;"&amp;B47)+1)</f>
        <v>3</v>
      </c>
      <c r="E47" s="64" t="str">
        <f aca="false">IF(D47=0,"first loss",IF(D47&lt;=5,"reachable by the top five loans alone","needs a broad-based collapse"))</f>
        <v>reachable by the top five loans alone</v>
      </c>
    </row>
    <row r="48" customFormat="false" ht="15" hidden="false" customHeight="false" outlineLevel="0" collapsed="false">
      <c r="A48" s="61" t="str">
        <f aca="false">A20</f>
        <v>E</v>
      </c>
      <c r="B48" s="21" t="n">
        <f aca="false">C20</f>
        <v>0.15</v>
      </c>
      <c r="C48" s="14" t="n">
        <f aca="false">C20*PoolBalance</f>
        <v>186000000</v>
      </c>
      <c r="D48" s="10" t="n">
        <f aca="false">IF(B48=0,0,COUNTIF('Loan Tape'!$E$6:$E$43,"&lt;"&amp;B48)+1)</f>
        <v>3</v>
      </c>
      <c r="E48" s="59" t="str">
        <f aca="false">IF(D48=0,"first loss",IF(D48&lt;=5,"reachable by the top five loans alone","needs a broad-based collapse"))</f>
        <v>reachable by the top five loans alone</v>
      </c>
    </row>
    <row r="49" customFormat="false" ht="15" hidden="false" customHeight="false" outlineLevel="0" collapsed="false">
      <c r="A49" s="62" t="str">
        <f aca="false">A21</f>
        <v>F</v>
      </c>
      <c r="B49" s="15" t="n">
        <f aca="false">C21</f>
        <v>0.06</v>
      </c>
      <c r="C49" s="13" t="n">
        <f aca="false">C21*PoolBalance</f>
        <v>74400000</v>
      </c>
      <c r="D49" s="63" t="n">
        <f aca="false">IF(B49=0,0,COUNTIF('Loan Tape'!$E$6:$E$43,"&lt;"&amp;B49)+1)</f>
        <v>1</v>
      </c>
      <c r="E49" s="64" t="str">
        <f aca="false">IF(D49=0,"first loss",IF(D49&lt;=5,"reachable by the top five loans alone","needs a broad-based collapse"))</f>
        <v>reachable by the top five loans alone</v>
      </c>
    </row>
    <row r="50" customFormat="false" ht="15" hidden="false" customHeight="false" outlineLevel="0" collapsed="false">
      <c r="A50" s="61" t="str">
        <f aca="false">A22</f>
        <v>G</v>
      </c>
      <c r="B50" s="21" t="n">
        <f aca="false">C22</f>
        <v>0</v>
      </c>
      <c r="C50" s="14" t="n">
        <f aca="false">C22*PoolBalance</f>
        <v>0</v>
      </c>
      <c r="D50" s="10" t="n">
        <f aca="false">IF(B50=0,0,COUNTIF('Loan Tape'!$E$6:$E$43,"&lt;"&amp;B50)+1)</f>
        <v>0</v>
      </c>
      <c r="E50" s="59" t="str">
        <f aca="false">IF(D50=0,"first loss",IF(D50&lt;=5,"reachable by the top five loans alone","needs a broad-based collapse"))</f>
        <v>first loss</v>
      </c>
    </row>
    <row r="52" customFormat="false" ht="15" hidden="false" customHeight="false" outlineLevel="0" collapsed="false">
      <c r="A52" s="22" t="s">
        <v>242</v>
      </c>
    </row>
    <row r="53" customFormat="false" ht="15" hidden="false" customHeight="false" outlineLevel="0" collapsed="false">
      <c r="A53" s="9" t="s">
        <v>243</v>
      </c>
      <c r="C53" s="14" t="n">
        <f aca="false">MAX('Loan Tape'!$C$6:$C$43)</f>
        <v>96000000</v>
      </c>
    </row>
    <row r="54" customFormat="false" ht="15" hidden="false" customHeight="false" outlineLevel="0" collapsed="false">
      <c r="A54" s="9" t="s">
        <v>244</v>
      </c>
      <c r="C54" s="14" t="n">
        <f aca="false">MIN(B16:B22)</f>
        <v>62000000</v>
      </c>
    </row>
    <row r="55" customFormat="false" ht="15" hidden="false" customHeight="false" outlineLevel="0" collapsed="false">
      <c r="A55" s="9" t="s">
        <v>245</v>
      </c>
      <c r="C55" s="10" t="n">
        <f aca="false">COUNTIF($B$16:$B$22,"&lt;"&amp;MAX('Loan Tape'!$C$6:$C$43))</f>
        <v>3</v>
      </c>
    </row>
    <row r="57" customFormat="false" ht="15" hidden="false" customHeight="false" outlineLevel="0" collapsed="false">
      <c r="A57" s="65" t="s">
        <v>246</v>
      </c>
    </row>
    <row r="58" customFormat="false" ht="15" hidden="false" customHeight="false" outlineLevel="0" collapsed="false">
      <c r="A58" s="9" t="s">
        <v>247</v>
      </c>
      <c r="C58" s="16" t="n">
        <f aca="false">MAX('Loan Tape'!$C$6:$C$43)/PoolBalance</f>
        <v>0.0774193548387097</v>
      </c>
    </row>
    <row r="59" customFormat="false" ht="15" hidden="false" customHeight="false" outlineLevel="0" collapsed="false">
      <c r="A59" s="9" t="s">
        <v>227</v>
      </c>
      <c r="C59" s="14" t="n">
        <f aca="false">MIN(B22,MAX(0,MAX('Loan Tape'!$C$6:$C$43)-C22*PoolBalance))</f>
        <v>74400000</v>
      </c>
    </row>
    <row r="60" customFormat="false" ht="15" hidden="false" customHeight="false" outlineLevel="0" collapsed="false">
      <c r="A60" s="9" t="s">
        <v>228</v>
      </c>
      <c r="C60" s="14" t="n">
        <f aca="false">MIN(B21,MAX(0,MAX('Loan Tape'!$C$6:$C$43)-C21*PoolBalance))</f>
        <v>21600000</v>
      </c>
    </row>
    <row r="61" customFormat="false" ht="15" hidden="false" customHeight="false" outlineLevel="0" collapsed="false">
      <c r="A61" s="9" t="s">
        <v>248</v>
      </c>
      <c r="C61" s="21" t="n">
        <f aca="false">C60/B21</f>
        <v>0.193548387096774</v>
      </c>
    </row>
    <row r="62" customFormat="false" ht="15" hidden="false" customHeight="false" outlineLevel="0" collapsed="false">
      <c r="A62" s="9" t="s">
        <v>249</v>
      </c>
      <c r="C62" s="14" t="n">
        <f aca="false">MIN(B20,MAX(0,MAX('Loan Tape'!$C$6:$C$43)-C20*PoolBalance))</f>
        <v>0</v>
      </c>
    </row>
    <row r="63" customFormat="false" ht="15" hidden="false" customHeight="false" outlineLevel="0" collapsed="false">
      <c r="A63" s="9" t="s">
        <v>250</v>
      </c>
      <c r="C63" s="66" t="n">
        <f aca="false">C58/E20</f>
        <v>1.54838709677419</v>
      </c>
    </row>
    <row r="64" customFormat="false" ht="15" hidden="false" customHeight="false" outlineLevel="0" collapsed="false">
      <c r="A64" s="49" t="s">
        <v>251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56"/>
    <col collapsed="false" customWidth="true" hidden="false" outlineLevel="0" max="3" min="3" style="0" width="20"/>
    <col collapsed="false" customWidth="true" hidden="false" outlineLevel="0" max="4" min="4" style="0" width="4"/>
    <col collapsed="false" customWidth="true" hidden="false" outlineLevel="0" max="5" min="5" style="0" width="64"/>
  </cols>
  <sheetData>
    <row r="1" customFormat="false" ht="24" hidden="false" customHeight="true" outlineLevel="0" collapsed="false">
      <c r="A1" s="1" t="s">
        <v>252</v>
      </c>
    </row>
    <row r="2" customFormat="false" ht="15" hidden="false" customHeight="false" outlineLevel="0" collapsed="false">
      <c r="A2" s="2" t="s">
        <v>253</v>
      </c>
    </row>
    <row r="3" customFormat="false" ht="15" hidden="false" customHeight="false" outlineLevel="0" collapsed="false">
      <c r="A3" s="3"/>
      <c r="B3" s="3"/>
      <c r="C3" s="3"/>
      <c r="D3" s="3"/>
      <c r="E3" s="3"/>
    </row>
    <row r="5" customFormat="false" ht="15" hidden="false" customHeight="false" outlineLevel="0" collapsed="false">
      <c r="A5" s="4" t="s">
        <v>254</v>
      </c>
      <c r="B5" s="20"/>
      <c r="C5" s="20"/>
      <c r="D5" s="20"/>
      <c r="E5" s="20"/>
    </row>
    <row r="7" customFormat="false" ht="15" hidden="false" customHeight="false" outlineLevel="0" collapsed="false">
      <c r="A7" s="9" t="s">
        <v>161</v>
      </c>
      <c r="B7" s="9" t="s">
        <v>255</v>
      </c>
    </row>
    <row r="8" customFormat="false" ht="15" hidden="false" customHeight="false" outlineLevel="0" collapsed="false">
      <c r="A8" s="12" t="s">
        <v>162</v>
      </c>
      <c r="B8" s="12" t="s">
        <v>256</v>
      </c>
      <c r="C8" s="60"/>
    </row>
    <row r="9" customFormat="false" ht="15" hidden="false" customHeight="false" outlineLevel="0" collapsed="false">
      <c r="A9" s="9" t="s">
        <v>232</v>
      </c>
      <c r="B9" s="9" t="s">
        <v>257</v>
      </c>
    </row>
    <row r="10" customFormat="false" ht="15" hidden="false" customHeight="false" outlineLevel="0" collapsed="false">
      <c r="A10" s="12" t="s">
        <v>164</v>
      </c>
      <c r="B10" s="12" t="s">
        <v>258</v>
      </c>
      <c r="C10" s="60"/>
    </row>
    <row r="11" customFormat="false" ht="15" hidden="false" customHeight="false" outlineLevel="0" collapsed="false">
      <c r="A11" s="9" t="s">
        <v>165</v>
      </c>
      <c r="B11" s="9" t="s">
        <v>259</v>
      </c>
    </row>
    <row r="12" customFormat="false" ht="15" hidden="false" customHeight="false" outlineLevel="0" collapsed="false">
      <c r="A12" s="12" t="s">
        <v>260</v>
      </c>
      <c r="B12" s="12" t="s">
        <v>261</v>
      </c>
      <c r="C12" s="60"/>
    </row>
    <row r="13" customFormat="false" ht="15" hidden="false" customHeight="false" outlineLevel="0" collapsed="false">
      <c r="A13" s="9" t="s">
        <v>262</v>
      </c>
      <c r="B13" s="9" t="s">
        <v>263</v>
      </c>
    </row>
    <row r="14" customFormat="false" ht="15" hidden="false" customHeight="false" outlineLevel="0" collapsed="false">
      <c r="A14" s="12" t="s">
        <v>264</v>
      </c>
      <c r="B14" s="12" t="s">
        <v>265</v>
      </c>
      <c r="C14" s="60"/>
    </row>
    <row r="15" customFormat="false" ht="15" hidden="false" customHeight="false" outlineLevel="0" collapsed="false">
      <c r="A15" s="9" t="s">
        <v>266</v>
      </c>
      <c r="B15" s="9" t="s">
        <v>267</v>
      </c>
    </row>
    <row r="16" customFormat="false" ht="15" hidden="false" customHeight="false" outlineLevel="0" collapsed="false">
      <c r="A16" s="12" t="s">
        <v>268</v>
      </c>
      <c r="B16" s="12" t="s">
        <v>269</v>
      </c>
      <c r="C16" s="60"/>
    </row>
    <row r="18" customFormat="false" ht="15" hidden="false" customHeight="false" outlineLevel="0" collapsed="false">
      <c r="A18" s="4" t="s">
        <v>270</v>
      </c>
      <c r="B18" s="20"/>
      <c r="C18" s="20"/>
      <c r="D18" s="20"/>
      <c r="E18" s="20"/>
    </row>
    <row r="20" customFormat="false" ht="15" hidden="false" customHeight="false" outlineLevel="0" collapsed="false">
      <c r="A20" s="9" t="s">
        <v>161</v>
      </c>
      <c r="B20" s="9" t="s">
        <v>271</v>
      </c>
    </row>
    <row r="21" customFormat="false" ht="15" hidden="false" customHeight="false" outlineLevel="0" collapsed="false">
      <c r="A21" s="9" t="s">
        <v>162</v>
      </c>
      <c r="B21" s="9" t="s">
        <v>272</v>
      </c>
    </row>
    <row r="22" customFormat="false" ht="15" hidden="false" customHeight="false" outlineLevel="0" collapsed="false">
      <c r="A22" s="9" t="s">
        <v>232</v>
      </c>
      <c r="B22" s="9" t="s">
        <v>273</v>
      </c>
    </row>
    <row r="24" customFormat="false" ht="15" hidden="false" customHeight="false" outlineLevel="0" collapsed="false">
      <c r="A24" s="22" t="s">
        <v>274</v>
      </c>
    </row>
    <row r="26" customFormat="false" ht="15" hidden="false" customHeight="false" outlineLevel="0" collapsed="false">
      <c r="A26" s="4" t="s">
        <v>275</v>
      </c>
      <c r="B26" s="20"/>
      <c r="C26" s="20"/>
      <c r="D26" s="20"/>
      <c r="E26" s="20"/>
    </row>
    <row r="28" customFormat="false" ht="15" hidden="false" customHeight="false" outlineLevel="0" collapsed="false">
      <c r="B28" s="9" t="s">
        <v>276</v>
      </c>
      <c r="C28" s="14" t="n">
        <f aca="false">AlderBalance</f>
        <v>72000000</v>
      </c>
    </row>
    <row r="29" customFormat="false" ht="15" hidden="false" customHeight="false" outlineLevel="0" collapsed="false">
      <c r="B29" s="9" t="s">
        <v>277</v>
      </c>
      <c r="C29" s="26" t="n">
        <v>70000000</v>
      </c>
    </row>
    <row r="30" customFormat="false" ht="15" hidden="false" customHeight="false" outlineLevel="0" collapsed="false">
      <c r="B30" s="9" t="s">
        <v>278</v>
      </c>
      <c r="C30" s="27" t="n">
        <v>0.9</v>
      </c>
    </row>
    <row r="31" customFormat="false" ht="15" hidden="false" customHeight="false" outlineLevel="0" collapsed="false">
      <c r="B31" s="9" t="s">
        <v>279</v>
      </c>
      <c r="C31" s="14" t="n">
        <f aca="false">C29*C30</f>
        <v>63000000</v>
      </c>
    </row>
    <row r="32" customFormat="false" ht="15" hidden="false" customHeight="false" outlineLevel="0" collapsed="false">
      <c r="B32" s="9" t="s">
        <v>280</v>
      </c>
      <c r="C32" s="26" t="n">
        <v>2200000</v>
      </c>
    </row>
    <row r="33" customFormat="false" ht="15" hidden="false" customHeight="false" outlineLevel="0" collapsed="false">
      <c r="B33" s="9" t="s">
        <v>281</v>
      </c>
      <c r="C33" s="14" t="n">
        <f aca="false">C31-C32</f>
        <v>60800000</v>
      </c>
    </row>
    <row r="34" customFormat="false" ht="15" hidden="false" customHeight="false" outlineLevel="0" collapsed="false">
      <c r="B34" s="23" t="s">
        <v>282</v>
      </c>
      <c r="C34" s="24" t="n">
        <f aca="false">MAX(0,AlderBalance-C33)</f>
        <v>11200000</v>
      </c>
    </row>
    <row r="35" customFormat="false" ht="15" hidden="false" customHeight="false" outlineLevel="0" collapsed="false">
      <c r="A35" s="22" t="s">
        <v>283</v>
      </c>
    </row>
    <row r="37" customFormat="false" ht="15" hidden="false" customHeight="false" outlineLevel="0" collapsed="false">
      <c r="A37" s="4" t="s">
        <v>284</v>
      </c>
      <c r="B37" s="20"/>
      <c r="C37" s="20"/>
      <c r="D37" s="20"/>
      <c r="E37" s="20"/>
    </row>
    <row r="39" customFormat="false" ht="15" hidden="false" customHeight="false" outlineLevel="0" collapsed="false">
      <c r="B39" s="67" t="s">
        <v>285</v>
      </c>
    </row>
    <row r="40" customFormat="false" ht="15" hidden="false" customHeight="false" outlineLevel="0" collapsed="false">
      <c r="B40" s="67" t="s">
        <v>286</v>
      </c>
    </row>
    <row r="41" customFormat="false" ht="15" hidden="false" customHeight="false" outlineLevel="0" collapsed="false">
      <c r="B41" s="67" t="s">
        <v>287</v>
      </c>
    </row>
    <row r="43" customFormat="false" ht="15" hidden="false" customHeight="false" outlineLevel="0" collapsed="false">
      <c r="A43" s="4" t="s">
        <v>288</v>
      </c>
      <c r="B43" s="20"/>
      <c r="C43" s="20"/>
      <c r="D43" s="20"/>
      <c r="E43" s="20"/>
    </row>
    <row r="45" customFormat="false" ht="15" hidden="false" customHeight="false" outlineLevel="0" collapsed="false">
      <c r="B45" s="9" t="s">
        <v>289</v>
      </c>
      <c r="C45" s="27" t="n">
        <v>0.25</v>
      </c>
    </row>
    <row r="46" customFormat="false" ht="15" hidden="false" customHeight="false" outlineLevel="0" collapsed="false">
      <c r="B46" s="9" t="s">
        <v>290</v>
      </c>
      <c r="C46" s="58" t="str">
        <f aca="false">IFERROR(LOOKUP(2,1/((1-'Tranches and Loss'!$H$16:$H$22)&gt;=C45),'Tranches and Loss'!$A$16:$A$22),"none")</f>
        <v>F</v>
      </c>
    </row>
    <row r="47" customFormat="false" ht="15" hidden="false" customHeight="false" outlineLevel="0" collapsed="false">
      <c r="A47" s="22" t="s">
        <v>291</v>
      </c>
    </row>
    <row r="49" customFormat="false" ht="15" hidden="false" customHeight="false" outlineLevel="0" collapsed="false">
      <c r="B49" s="9" t="s">
        <v>292</v>
      </c>
      <c r="C49" s="9" t="str">
        <f aca="false">IFERROR(LOOKUP(2,1/('Tranches and Loss'!$K$16:$K$22&gt;=C45),'Tranches and Loss'!$A$16:$A$22),"none")</f>
        <v>F</v>
      </c>
    </row>
    <row r="50" customFormat="false" ht="15" hidden="false" customHeight="false" outlineLevel="0" collapsed="false">
      <c r="B50" s="9" t="s">
        <v>293</v>
      </c>
      <c r="C50" s="14" t="n">
        <f aca="false">(1-C45)*'Tranches and Loss'!B22</f>
        <v>55800000</v>
      </c>
    </row>
    <row r="51" customFormat="false" ht="15" hidden="false" customHeight="false" outlineLevel="0" collapsed="false">
      <c r="A51" s="49" t="s">
        <v>294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4" min="3" style="0" width="20"/>
    <col collapsed="false" customWidth="true" hidden="false" outlineLevel="0" max="5" min="5" style="0" width="16"/>
    <col collapsed="false" customWidth="true" hidden="false" outlineLevel="0" max="6" min="6" style="0" width="12"/>
    <col collapsed="false" customWidth="true" hidden="false" outlineLevel="0" max="7" min="7" style="0" width="58"/>
  </cols>
  <sheetData>
    <row r="1" customFormat="false" ht="19.7" hidden="false" customHeight="false" outlineLevel="0" collapsed="false">
      <c r="A1" s="68" t="s">
        <v>295</v>
      </c>
    </row>
    <row r="2" customFormat="false" ht="15" hidden="false" customHeight="false" outlineLevel="0" collapsed="false">
      <c r="A2" s="69" t="s">
        <v>296</v>
      </c>
    </row>
    <row r="5" customFormat="false" ht="15" hidden="false" customHeight="false" outlineLevel="0" collapsed="false">
      <c r="A5" s="70" t="s">
        <v>297</v>
      </c>
      <c r="B5" s="70" t="s">
        <v>298</v>
      </c>
      <c r="C5" s="70" t="s">
        <v>14</v>
      </c>
      <c r="D5" s="70" t="s">
        <v>299</v>
      </c>
      <c r="E5" s="70" t="s">
        <v>300</v>
      </c>
      <c r="F5" s="70" t="s">
        <v>301</v>
      </c>
      <c r="G5" s="70" t="s">
        <v>302</v>
      </c>
    </row>
    <row r="6" customFormat="false" ht="15" hidden="false" customHeight="false" outlineLevel="0" collapsed="false">
      <c r="A6" s="9" t="s">
        <v>264</v>
      </c>
      <c r="B6" s="5" t="s">
        <v>24</v>
      </c>
      <c r="C6" s="10" t="n">
        <v>38</v>
      </c>
      <c r="D6" s="10" t="n">
        <f aca="false">'Summary Statistics'!B6</f>
        <v>38</v>
      </c>
      <c r="E6" s="10" t="n">
        <f aca="false">D6-C6</f>
        <v>0</v>
      </c>
      <c r="F6" s="71" t="str">
        <f aca="false">IF(ABS(D6-C6)&lt;=0,"PASS","FAIL")</f>
        <v>PASS</v>
      </c>
    </row>
    <row r="7" customFormat="false" ht="15" hidden="false" customHeight="false" outlineLevel="0" collapsed="false">
      <c r="A7" s="9" t="s">
        <v>264</v>
      </c>
      <c r="B7" s="5" t="s">
        <v>26</v>
      </c>
      <c r="C7" s="14" t="n">
        <v>1240000000</v>
      </c>
      <c r="D7" s="14" t="n">
        <f aca="false">PoolBalance</f>
        <v>1240000000</v>
      </c>
      <c r="E7" s="14" t="n">
        <f aca="false">D7-C7</f>
        <v>0</v>
      </c>
      <c r="F7" s="71" t="str">
        <f aca="false">IF(ABS(D7-C7)&lt;=1,"PASS","FAIL")</f>
        <v>PASS</v>
      </c>
    </row>
    <row r="8" customFormat="false" ht="15" hidden="false" customHeight="false" outlineLevel="0" collapsed="false">
      <c r="A8" s="9" t="s">
        <v>264</v>
      </c>
      <c r="B8" s="5" t="s">
        <v>27</v>
      </c>
      <c r="C8" s="14" t="n">
        <v>32631579</v>
      </c>
      <c r="D8" s="14" t="n">
        <f aca="false">ROUND('Summary Statistics'!B8,0)</f>
        <v>32631579</v>
      </c>
      <c r="E8" s="14" t="n">
        <f aca="false">D8-C8</f>
        <v>0</v>
      </c>
      <c r="F8" s="71" t="str">
        <f aca="false">IF(ABS(D8-C8)&lt;=1,"PASS","FAIL")</f>
        <v>PASS</v>
      </c>
    </row>
    <row r="9" customFormat="false" ht="15" hidden="false" customHeight="false" outlineLevel="0" collapsed="false">
      <c r="A9" s="9" t="s">
        <v>264</v>
      </c>
      <c r="B9" s="5" t="s">
        <v>29</v>
      </c>
      <c r="C9" s="21" t="n">
        <v>0.584</v>
      </c>
      <c r="D9" s="21" t="n">
        <f aca="false">ROUND('Summary Statistics'!B9,3)</f>
        <v>0.584</v>
      </c>
      <c r="E9" s="21" t="n">
        <f aca="false">D9-C9</f>
        <v>0</v>
      </c>
      <c r="F9" s="71" t="str">
        <f aca="false">IF(ABS(D9-C9)&lt;=0.0005,"PASS","FAIL")</f>
        <v>PASS</v>
      </c>
    </row>
    <row r="10" customFormat="false" ht="15" hidden="false" customHeight="false" outlineLevel="0" collapsed="false">
      <c r="A10" s="9" t="s">
        <v>264</v>
      </c>
      <c r="B10" s="5" t="s">
        <v>31</v>
      </c>
      <c r="C10" s="16" t="n">
        <v>0.091</v>
      </c>
      <c r="D10" s="16" t="n">
        <f aca="false">ROUND('Summary Statistics'!B10,3)</f>
        <v>0.091</v>
      </c>
      <c r="E10" s="16" t="n">
        <f aca="false">D10-C10</f>
        <v>0</v>
      </c>
      <c r="F10" s="71" t="str">
        <f aca="false">IF(ABS(D10-C10)&lt;=0.0005,"PASS","FAIL")</f>
        <v>PASS</v>
      </c>
    </row>
    <row r="11" customFormat="false" ht="15" hidden="false" customHeight="false" outlineLevel="0" collapsed="false">
      <c r="A11" s="9" t="s">
        <v>264</v>
      </c>
      <c r="B11" s="5" t="s">
        <v>33</v>
      </c>
      <c r="C11" s="66" t="n">
        <v>1.61</v>
      </c>
      <c r="D11" s="66" t="n">
        <f aca="false">ROUND('Summary Statistics'!B11,2)</f>
        <v>1.61</v>
      </c>
      <c r="E11" s="66" t="n">
        <f aca="false">D11-C11</f>
        <v>0</v>
      </c>
      <c r="F11" s="71" t="str">
        <f aca="false">IF(ABS(D11-C11)&lt;=0.005,"PASS","FAIL")</f>
        <v>PASS</v>
      </c>
    </row>
    <row r="12" customFormat="false" ht="15" hidden="false" customHeight="false" outlineLevel="0" collapsed="false">
      <c r="A12" s="9" t="s">
        <v>264</v>
      </c>
      <c r="B12" s="5" t="s">
        <v>37</v>
      </c>
      <c r="C12" s="18" t="n">
        <v>5.9</v>
      </c>
      <c r="D12" s="18" t="n">
        <f aca="false">ROUND('Summary Statistics'!B13,1)</f>
        <v>5.9</v>
      </c>
      <c r="E12" s="18" t="n">
        <f aca="false">D12-C12</f>
        <v>0</v>
      </c>
      <c r="F12" s="71" t="str">
        <f aca="false">IF(ABS(D12-C12)&lt;=0.05,"PASS","FAIL")</f>
        <v>PASS</v>
      </c>
    </row>
    <row r="13" customFormat="false" ht="15" hidden="false" customHeight="false" outlineLevel="0" collapsed="false">
      <c r="A13" s="9" t="s">
        <v>264</v>
      </c>
      <c r="B13" s="5" t="s">
        <v>50</v>
      </c>
      <c r="C13" s="16" t="n">
        <v>0.068</v>
      </c>
      <c r="D13" s="16" t="n">
        <f aca="false">'Summary Statistics'!B27</f>
        <v>0.068</v>
      </c>
      <c r="E13" s="16" t="n">
        <f aca="false">D13-C13</f>
        <v>0</v>
      </c>
      <c r="F13" s="71" t="str">
        <f aca="false">IF(ABS(D13-C13)&lt;=0.00005,"PASS","FAIL")</f>
        <v>PASS</v>
      </c>
    </row>
    <row r="14" customFormat="false" ht="15" hidden="false" customHeight="false" outlineLevel="0" collapsed="false">
      <c r="A14" s="9" t="s">
        <v>264</v>
      </c>
      <c r="B14" s="5" t="s">
        <v>51</v>
      </c>
      <c r="C14" s="16" t="n">
        <v>0.134</v>
      </c>
      <c r="D14" s="16" t="n">
        <f aca="false">'Summary Statistics'!B28</f>
        <v>0.134</v>
      </c>
      <c r="E14" s="16" t="n">
        <f aca="false">D14-C14</f>
        <v>0</v>
      </c>
      <c r="F14" s="71" t="str">
        <f aca="false">IF(ABS(D14-C14)&lt;=0.00005,"PASS","FAIL")</f>
        <v>PASS</v>
      </c>
    </row>
    <row r="15" customFormat="false" ht="15" hidden="false" customHeight="false" outlineLevel="0" collapsed="false">
      <c r="A15" s="9" t="s">
        <v>264</v>
      </c>
      <c r="B15" s="5" t="s">
        <v>303</v>
      </c>
      <c r="C15" s="14" t="n">
        <v>218000000</v>
      </c>
      <c r="D15" s="14" t="n">
        <f aca="false">'Summary Statistics'!B29</f>
        <v>218000000</v>
      </c>
      <c r="E15" s="14" t="n">
        <f aca="false">D15-C15</f>
        <v>0</v>
      </c>
      <c r="F15" s="71" t="str">
        <f aca="false">IF(ABS(D15-C15)&lt;=1,"PASS","FAIL")</f>
        <v>PASS</v>
      </c>
    </row>
    <row r="16" customFormat="false" ht="15" hidden="false" customHeight="false" outlineLevel="0" collapsed="false">
      <c r="A16" s="9" t="s">
        <v>264</v>
      </c>
      <c r="B16" s="5" t="s">
        <v>53</v>
      </c>
      <c r="C16" s="21" t="n">
        <v>0.176</v>
      </c>
      <c r="D16" s="21" t="n">
        <f aca="false">ROUND('Summary Statistics'!B29/PoolBalance,3)</f>
        <v>0.176</v>
      </c>
      <c r="E16" s="21" t="n">
        <f aca="false">D16-C16</f>
        <v>0</v>
      </c>
      <c r="F16" s="71" t="str">
        <f aca="false">IF(ABS(D16-C16)&lt;=0.0005,"PASS","FAIL")</f>
        <v>PASS</v>
      </c>
    </row>
    <row r="17" customFormat="false" ht="15" hidden="false" customHeight="false" outlineLevel="0" collapsed="false">
      <c r="A17" s="9" t="s">
        <v>264</v>
      </c>
      <c r="B17" s="5" t="s">
        <v>304</v>
      </c>
      <c r="C17" s="21" t="n">
        <v>0.71</v>
      </c>
      <c r="D17" s="21" t="n">
        <f aca="false">ROUND('Summary Statistics'!D19,3)</f>
        <v>0.71</v>
      </c>
      <c r="E17" s="21" t="n">
        <f aca="false">D17-C17</f>
        <v>0</v>
      </c>
      <c r="F17" s="71" t="str">
        <f aca="false">IF(ABS(D17-C17)&lt;=0.0005,"PASS","FAIL")</f>
        <v>PASS</v>
      </c>
    </row>
    <row r="18" customFormat="false" ht="15" hidden="false" customHeight="false" outlineLevel="0" collapsed="false">
      <c r="A18" s="9" t="s">
        <v>264</v>
      </c>
      <c r="B18" s="5" t="s">
        <v>243</v>
      </c>
      <c r="C18" s="14" t="n">
        <v>96000000</v>
      </c>
      <c r="D18" s="14" t="n">
        <f aca="false">MAX('Loan Tape'!$C$6:$C$43)</f>
        <v>96000000</v>
      </c>
      <c r="E18" s="14" t="n">
        <f aca="false">D18-C18</f>
        <v>0</v>
      </c>
      <c r="F18" s="71" t="str">
        <f aca="false">IF(ABS(D18-C18)&lt;=1,"PASS","FAIL")</f>
        <v>PASS</v>
      </c>
    </row>
    <row r="19" customFormat="false" ht="15" hidden="false" customHeight="false" outlineLevel="0" collapsed="false">
      <c r="A19" s="9" t="s">
        <v>264</v>
      </c>
      <c r="B19" s="5" t="s">
        <v>305</v>
      </c>
      <c r="C19" s="14" t="n">
        <v>72000000</v>
      </c>
      <c r="D19" s="14" t="n">
        <f aca="false">AlderBalance</f>
        <v>72000000</v>
      </c>
      <c r="E19" s="14" t="n">
        <f aca="false">D19-C19</f>
        <v>0</v>
      </c>
      <c r="F19" s="71" t="str">
        <f aca="false">IF(ABS(D19-C19)&lt;=1,"PASS","FAIL")</f>
        <v>PASS</v>
      </c>
    </row>
    <row r="20" customFormat="false" ht="15" hidden="false" customHeight="false" outlineLevel="0" collapsed="false">
      <c r="A20" s="9" t="s">
        <v>264</v>
      </c>
      <c r="B20" s="5" t="s">
        <v>306</v>
      </c>
      <c r="C20" s="16" t="n">
        <v>0.0581</v>
      </c>
      <c r="D20" s="16" t="n">
        <f aca="false">ROUND(AlderBalance/PoolBalance,4)</f>
        <v>0.0581</v>
      </c>
      <c r="E20" s="16" t="n">
        <f aca="false">D20-C20</f>
        <v>0</v>
      </c>
      <c r="F20" s="71" t="str">
        <f aca="false">IF(ABS(D20-C20)&lt;=0.00005,"PASS","FAIL")</f>
        <v>PASS</v>
      </c>
    </row>
    <row r="21" customFormat="false" ht="15" hidden="false" customHeight="false" outlineLevel="0" collapsed="false">
      <c r="A21" s="9" t="s">
        <v>264</v>
      </c>
      <c r="B21" s="5" t="s">
        <v>307</v>
      </c>
      <c r="C21" s="14" t="n">
        <v>320000000</v>
      </c>
      <c r="D21" s="14" t="n">
        <f aca="false">Concentration!B16</f>
        <v>320000000</v>
      </c>
      <c r="E21" s="14" t="n">
        <f aca="false">D21-C21</f>
        <v>0</v>
      </c>
      <c r="F21" s="71" t="str">
        <f aca="false">IF(ABS(D21-C21)&lt;=1,"PASS","FAIL")</f>
        <v>PASS</v>
      </c>
    </row>
    <row r="22" customFormat="false" ht="15" hidden="false" customHeight="false" outlineLevel="0" collapsed="false">
      <c r="A22" s="9" t="s">
        <v>264</v>
      </c>
      <c r="B22" s="5" t="s">
        <v>53</v>
      </c>
      <c r="C22" s="21" t="n">
        <v>0.258</v>
      </c>
      <c r="D22" s="21" t="n">
        <f aca="false">ROUND(Concentration!C16,3)</f>
        <v>0.258</v>
      </c>
      <c r="E22" s="21" t="n">
        <f aca="false">D22-C22</f>
        <v>0</v>
      </c>
      <c r="F22" s="71" t="str">
        <f aca="false">IF(ABS(D22-C22)&lt;=0.0005,"PASS","FAIL")</f>
        <v>PASS</v>
      </c>
    </row>
    <row r="23" customFormat="false" ht="15" hidden="false" customHeight="false" outlineLevel="0" collapsed="false">
      <c r="A23" s="9" t="s">
        <v>264</v>
      </c>
      <c r="B23" s="5" t="s">
        <v>308</v>
      </c>
      <c r="C23" s="14" t="n">
        <v>381000000</v>
      </c>
      <c r="D23" s="14" t="n">
        <f aca="false">Concentration!B14</f>
        <v>381000000</v>
      </c>
      <c r="E23" s="14" t="n">
        <f aca="false">D23-C23</f>
        <v>0</v>
      </c>
      <c r="F23" s="71" t="str">
        <f aca="false">IF(ABS(D23-C23)&lt;=1,"PASS","FAIL")</f>
        <v>PASS</v>
      </c>
    </row>
    <row r="24" customFormat="false" ht="15" hidden="false" customHeight="false" outlineLevel="0" collapsed="false">
      <c r="A24" s="9" t="s">
        <v>264</v>
      </c>
      <c r="B24" s="5" t="s">
        <v>53</v>
      </c>
      <c r="C24" s="21" t="n">
        <v>0.307</v>
      </c>
      <c r="D24" s="21" t="n">
        <f aca="false">ROUND(Concentration!C14,3)</f>
        <v>0.307</v>
      </c>
      <c r="E24" s="21" t="n">
        <f aca="false">D24-C24</f>
        <v>0</v>
      </c>
      <c r="F24" s="71" t="str">
        <f aca="false">IF(ABS(D24-C24)&lt;=0.0005,"PASS","FAIL")</f>
        <v>PASS</v>
      </c>
    </row>
    <row r="25" customFormat="false" ht="15" hidden="false" customHeight="false" outlineLevel="0" collapsed="false">
      <c r="A25" s="9" t="s">
        <v>264</v>
      </c>
      <c r="B25" s="5" t="s">
        <v>309</v>
      </c>
      <c r="C25" s="14" t="n">
        <v>605000000</v>
      </c>
      <c r="D25" s="14" t="n">
        <f aca="false">Concentration!B15</f>
        <v>605000000</v>
      </c>
      <c r="E25" s="14" t="n">
        <f aca="false">D25-C25</f>
        <v>0</v>
      </c>
      <c r="F25" s="71" t="str">
        <f aca="false">IF(ABS(D25-C25)&lt;=1,"PASS","FAIL")</f>
        <v>PASS</v>
      </c>
    </row>
    <row r="26" customFormat="false" ht="15" hidden="false" customHeight="false" outlineLevel="0" collapsed="false">
      <c r="A26" s="9" t="s">
        <v>264</v>
      </c>
      <c r="B26" s="5" t="s">
        <v>53</v>
      </c>
      <c r="C26" s="21" t="n">
        <v>0.488</v>
      </c>
      <c r="D26" s="21" t="n">
        <f aca="false">ROUND(Concentration!C15,3)</f>
        <v>0.488</v>
      </c>
      <c r="E26" s="21" t="n">
        <f aca="false">D26-C26</f>
        <v>0</v>
      </c>
      <c r="F26" s="71" t="str">
        <f aca="false">IF(ABS(D26-C26)&lt;=0.0005,"PASS","FAIL")</f>
        <v>PASS</v>
      </c>
    </row>
    <row r="27" customFormat="false" ht="15" hidden="false" customHeight="false" outlineLevel="0" collapsed="false">
      <c r="A27" s="9" t="s">
        <v>264</v>
      </c>
      <c r="B27" s="5" t="s">
        <v>310</v>
      </c>
      <c r="C27" s="14" t="n">
        <v>224000000</v>
      </c>
      <c r="D27" s="14" t="n">
        <f aca="false">Concentration!B11</f>
        <v>224000000</v>
      </c>
      <c r="E27" s="14" t="n">
        <f aca="false">D27-C27</f>
        <v>0</v>
      </c>
      <c r="F27" s="71" t="str">
        <f aca="false">IF(ABS(D27-C27)&lt;=1,"PASS","FAIL")</f>
        <v>PASS</v>
      </c>
    </row>
    <row r="28" customFormat="false" ht="15" hidden="false" customHeight="false" outlineLevel="0" collapsed="false">
      <c r="A28" s="9" t="s">
        <v>264</v>
      </c>
      <c r="B28" s="5" t="s">
        <v>311</v>
      </c>
      <c r="C28" s="14" t="n">
        <v>635000000</v>
      </c>
      <c r="D28" s="14" t="n">
        <f aca="false">Concentration!B12</f>
        <v>635000000</v>
      </c>
      <c r="E28" s="14" t="n">
        <f aca="false">D28-C28</f>
        <v>0</v>
      </c>
      <c r="F28" s="71" t="str">
        <f aca="false">IF(ABS(D28-C28)&lt;=1,"PASS","FAIL")</f>
        <v>PASS</v>
      </c>
    </row>
    <row r="29" customFormat="false" ht="15" hidden="false" customHeight="false" outlineLevel="0" collapsed="false">
      <c r="A29" s="9" t="s">
        <v>264</v>
      </c>
      <c r="B29" s="5" t="s">
        <v>312</v>
      </c>
      <c r="C29" s="14" t="n">
        <v>62000000</v>
      </c>
      <c r="D29" s="14" t="n">
        <f aca="false">'Maturity Profile'!B6</f>
        <v>62000000</v>
      </c>
      <c r="E29" s="14" t="n">
        <f aca="false">D29-C29</f>
        <v>0</v>
      </c>
      <c r="F29" s="71" t="str">
        <f aca="false">IF(ABS(D29-C29)&lt;=1,"PASS","FAIL")</f>
        <v>PASS</v>
      </c>
    </row>
    <row r="30" customFormat="false" ht="15" hidden="false" customHeight="false" outlineLevel="0" collapsed="false">
      <c r="A30" s="9" t="s">
        <v>264</v>
      </c>
      <c r="B30" s="5" t="s">
        <v>313</v>
      </c>
      <c r="C30" s="14" t="n">
        <v>149000000</v>
      </c>
      <c r="D30" s="14" t="n">
        <f aca="false">'Maturity Profile'!B7</f>
        <v>149000000</v>
      </c>
      <c r="E30" s="14" t="n">
        <f aca="false">D30-C30</f>
        <v>0</v>
      </c>
      <c r="F30" s="71" t="str">
        <f aca="false">IF(ABS(D30-C30)&lt;=1,"PASS","FAIL")</f>
        <v>PASS</v>
      </c>
    </row>
    <row r="31" customFormat="false" ht="15" hidden="false" customHeight="false" outlineLevel="0" collapsed="false">
      <c r="A31" s="9" t="s">
        <v>264</v>
      </c>
      <c r="B31" s="5" t="s">
        <v>314</v>
      </c>
      <c r="C31" s="14" t="n">
        <v>434000000</v>
      </c>
      <c r="D31" s="14" t="n">
        <f aca="false">'Maturity Profile'!B8</f>
        <v>434000000</v>
      </c>
      <c r="E31" s="14" t="n">
        <f aca="false">D31-C31</f>
        <v>0</v>
      </c>
      <c r="F31" s="71" t="str">
        <f aca="false">IF(ABS(D31-C31)&lt;=1,"PASS","FAIL")</f>
        <v>PASS</v>
      </c>
    </row>
    <row r="32" customFormat="false" ht="15" hidden="false" customHeight="false" outlineLevel="0" collapsed="false">
      <c r="A32" s="9" t="s">
        <v>264</v>
      </c>
      <c r="B32" s="5" t="s">
        <v>315</v>
      </c>
      <c r="C32" s="14" t="n">
        <v>471000000</v>
      </c>
      <c r="D32" s="14" t="n">
        <f aca="false">'Maturity Profile'!B9</f>
        <v>471000000</v>
      </c>
      <c r="E32" s="14" t="n">
        <f aca="false">D32-C32</f>
        <v>0</v>
      </c>
      <c r="F32" s="71" t="str">
        <f aca="false">IF(ABS(D32-C32)&lt;=1,"PASS","FAIL")</f>
        <v>PASS</v>
      </c>
    </row>
    <row r="33" customFormat="false" ht="15" hidden="false" customHeight="false" outlineLevel="0" collapsed="false">
      <c r="A33" s="9" t="s">
        <v>264</v>
      </c>
      <c r="B33" s="5" t="s">
        <v>316</v>
      </c>
      <c r="C33" s="14" t="n">
        <v>124000000</v>
      </c>
      <c r="D33" s="14" t="n">
        <f aca="false">'Maturity Profile'!B10</f>
        <v>124000000</v>
      </c>
      <c r="E33" s="14" t="n">
        <f aca="false">D33-C33</f>
        <v>0</v>
      </c>
      <c r="F33" s="71" t="str">
        <f aca="false">IF(ABS(D33-C33)&lt;=1,"PASS","FAIL")</f>
        <v>PASS</v>
      </c>
    </row>
    <row r="34" customFormat="false" ht="15" hidden="false" customHeight="false" outlineLevel="0" collapsed="false">
      <c r="A34" s="9" t="s">
        <v>264</v>
      </c>
      <c r="B34" s="5" t="s">
        <v>317</v>
      </c>
      <c r="C34" s="21" t="n">
        <v>0.73</v>
      </c>
      <c r="D34" s="21" t="n">
        <f aca="false">ROUND('Maturity Profile'!C13,2)</f>
        <v>0.73</v>
      </c>
      <c r="E34" s="21" t="n">
        <f aca="false">D34-C34</f>
        <v>0</v>
      </c>
      <c r="F34" s="71" t="str">
        <f aca="false">IF(ABS(D34-C34)&lt;=0.005,"PASS","FAIL")</f>
        <v>PASS</v>
      </c>
    </row>
    <row r="35" customFormat="false" ht="15" hidden="false" customHeight="false" outlineLevel="0" collapsed="false">
      <c r="A35" s="9" t="s">
        <v>266</v>
      </c>
      <c r="B35" s="5" t="s">
        <v>318</v>
      </c>
      <c r="C35" s="14" t="n">
        <v>682000000</v>
      </c>
      <c r="D35" s="14" t="n">
        <f aca="false">'Tranches and Loss'!B16</f>
        <v>682000000</v>
      </c>
      <c r="E35" s="14" t="n">
        <f aca="false">D35-C35</f>
        <v>0</v>
      </c>
      <c r="F35" s="71" t="str">
        <f aca="false">IF(ABS(D35-C35)&lt;=1,"PASS","FAIL")</f>
        <v>PASS</v>
      </c>
    </row>
    <row r="36" customFormat="false" ht="15" hidden="false" customHeight="false" outlineLevel="0" collapsed="false">
      <c r="A36" s="9" t="s">
        <v>266</v>
      </c>
      <c r="B36" s="5" t="s">
        <v>319</v>
      </c>
      <c r="C36" s="14" t="n">
        <v>124000000</v>
      </c>
      <c r="D36" s="14" t="n">
        <f aca="false">'Tranches and Loss'!B17</f>
        <v>124000000</v>
      </c>
      <c r="E36" s="14" t="n">
        <f aca="false">D36-C36</f>
        <v>0</v>
      </c>
      <c r="F36" s="71" t="str">
        <f aca="false">IF(ABS(D36-C36)&lt;=1,"PASS","FAIL")</f>
        <v>PASS</v>
      </c>
    </row>
    <row r="37" customFormat="false" ht="15" hidden="false" customHeight="false" outlineLevel="0" collapsed="false">
      <c r="A37" s="9" t="s">
        <v>266</v>
      </c>
      <c r="B37" s="5" t="s">
        <v>320</v>
      </c>
      <c r="C37" s="14" t="n">
        <v>99200000</v>
      </c>
      <c r="D37" s="14" t="n">
        <f aca="false">'Tranches and Loss'!B18</f>
        <v>99200000</v>
      </c>
      <c r="E37" s="14" t="n">
        <f aca="false">D37-C37</f>
        <v>0</v>
      </c>
      <c r="F37" s="71" t="str">
        <f aca="false">IF(ABS(D37-C37)&lt;=1,"PASS","FAIL")</f>
        <v>PASS</v>
      </c>
    </row>
    <row r="38" customFormat="false" ht="15" hidden="false" customHeight="false" outlineLevel="0" collapsed="false">
      <c r="A38" s="9" t="s">
        <v>266</v>
      </c>
      <c r="B38" s="5" t="s">
        <v>321</v>
      </c>
      <c r="C38" s="14" t="n">
        <v>86800000</v>
      </c>
      <c r="D38" s="14" t="n">
        <f aca="false">'Tranches and Loss'!B19</f>
        <v>86800000</v>
      </c>
      <c r="E38" s="14" t="n">
        <f aca="false">D38-C38</f>
        <v>0</v>
      </c>
      <c r="F38" s="71" t="str">
        <f aca="false">IF(ABS(D38-C38)&lt;=1,"PASS","FAIL")</f>
        <v>PASS</v>
      </c>
    </row>
    <row r="39" customFormat="false" ht="15" hidden="false" customHeight="false" outlineLevel="0" collapsed="false">
      <c r="A39" s="9" t="s">
        <v>266</v>
      </c>
      <c r="B39" s="5" t="s">
        <v>322</v>
      </c>
      <c r="C39" s="14" t="n">
        <v>62000000</v>
      </c>
      <c r="D39" s="14" t="n">
        <f aca="false">'Tranches and Loss'!B20</f>
        <v>62000000</v>
      </c>
      <c r="E39" s="14" t="n">
        <f aca="false">D39-C39</f>
        <v>0</v>
      </c>
      <c r="F39" s="71" t="str">
        <f aca="false">IF(ABS(D39-C39)&lt;=1,"PASS","FAIL")</f>
        <v>PASS</v>
      </c>
    </row>
    <row r="40" customFormat="false" ht="15" hidden="false" customHeight="false" outlineLevel="0" collapsed="false">
      <c r="A40" s="9" t="s">
        <v>266</v>
      </c>
      <c r="B40" s="5" t="s">
        <v>323</v>
      </c>
      <c r="C40" s="14" t="n">
        <v>111600000</v>
      </c>
      <c r="D40" s="14" t="n">
        <f aca="false">'Tranches and Loss'!B21</f>
        <v>111600000</v>
      </c>
      <c r="E40" s="14" t="n">
        <f aca="false">D40-C40</f>
        <v>0</v>
      </c>
      <c r="F40" s="71" t="str">
        <f aca="false">IF(ABS(D40-C40)&lt;=1,"PASS","FAIL")</f>
        <v>PASS</v>
      </c>
    </row>
    <row r="41" customFormat="false" ht="15" hidden="false" customHeight="false" outlineLevel="0" collapsed="false">
      <c r="A41" s="9" t="s">
        <v>266</v>
      </c>
      <c r="B41" s="5" t="s">
        <v>324</v>
      </c>
      <c r="C41" s="14" t="n">
        <v>74400000</v>
      </c>
      <c r="D41" s="14" t="n">
        <f aca="false">'Tranches and Loss'!B22</f>
        <v>74400000</v>
      </c>
      <c r="E41" s="14" t="n">
        <f aca="false">D41-C41</f>
        <v>0</v>
      </c>
      <c r="F41" s="71" t="str">
        <f aca="false">IF(ABS(D41-C41)&lt;=1,"PASS","FAIL")</f>
        <v>PASS</v>
      </c>
    </row>
    <row r="42" customFormat="false" ht="15" hidden="false" customHeight="false" outlineLevel="0" collapsed="false">
      <c r="A42" s="9" t="s">
        <v>266</v>
      </c>
      <c r="B42" s="5" t="s">
        <v>325</v>
      </c>
      <c r="C42" s="14" t="n">
        <v>248000000</v>
      </c>
      <c r="D42" s="14" t="n">
        <f aca="false">'Tranches and Loss'!C19*PoolBalance</f>
        <v>248000000</v>
      </c>
      <c r="E42" s="14" t="n">
        <f aca="false">D42-C42</f>
        <v>0</v>
      </c>
      <c r="F42" s="71" t="str">
        <f aca="false">IF(ABS(D42-C42)&lt;=1,"PASS","FAIL")</f>
        <v>PASS</v>
      </c>
    </row>
    <row r="43" customFormat="false" ht="15" hidden="false" customHeight="false" outlineLevel="0" collapsed="false">
      <c r="A43" s="9" t="s">
        <v>266</v>
      </c>
      <c r="B43" s="5" t="s">
        <v>326</v>
      </c>
      <c r="C43" s="14" t="n">
        <v>0</v>
      </c>
      <c r="D43" s="14" t="n">
        <f aca="false">'Tranches and Loss'!E31</f>
        <v>0</v>
      </c>
      <c r="E43" s="14" t="n">
        <f aca="false">D43-C43</f>
        <v>0</v>
      </c>
      <c r="F43" s="71" t="str">
        <f aca="false">IF(ABS(D43-C43)&lt;=1,"PASS","FAIL")</f>
        <v>PASS</v>
      </c>
    </row>
    <row r="44" customFormat="false" ht="15" hidden="false" customHeight="false" outlineLevel="0" collapsed="false">
      <c r="A44" s="9" t="s">
        <v>266</v>
      </c>
      <c r="B44" s="5" t="s">
        <v>327</v>
      </c>
      <c r="C44" s="14" t="n">
        <v>12000000</v>
      </c>
      <c r="D44" s="14" t="n">
        <f aca="false">'Tranches and Loss'!E32</f>
        <v>12000000</v>
      </c>
      <c r="E44" s="14" t="n">
        <f aca="false">D44-C44</f>
        <v>0</v>
      </c>
      <c r="F44" s="71" t="str">
        <f aca="false">IF(ABS(D44-C44)&lt;=1,"PASS","FAIL")</f>
        <v>PASS</v>
      </c>
    </row>
    <row r="45" customFormat="false" ht="15" hidden="false" customHeight="false" outlineLevel="0" collapsed="false">
      <c r="A45" s="9" t="s">
        <v>266</v>
      </c>
      <c r="B45" s="5" t="s">
        <v>328</v>
      </c>
      <c r="C45" s="16" t="n">
        <v>0.0097</v>
      </c>
      <c r="D45" s="16" t="n">
        <f aca="false">ROUND('Tranches and Loss'!F32,4)</f>
        <v>0.0097</v>
      </c>
      <c r="E45" s="16" t="n">
        <f aca="false">D45-C45</f>
        <v>0</v>
      </c>
      <c r="F45" s="71" t="str">
        <f aca="false">IF(ABS(D45-C45)&lt;=0.00005,"PASS","FAIL")</f>
        <v>PASS</v>
      </c>
    </row>
    <row r="46" customFormat="false" ht="15" hidden="false" customHeight="false" outlineLevel="0" collapsed="false">
      <c r="A46" s="9" t="s">
        <v>266</v>
      </c>
      <c r="B46" s="5" t="s">
        <v>329</v>
      </c>
      <c r="C46" s="21" t="n">
        <v>0.16</v>
      </c>
      <c r="D46" s="21" t="n">
        <f aca="false">ROUND('Tranches and Loss'!E36,2)</f>
        <v>0.16</v>
      </c>
      <c r="E46" s="21" t="n">
        <f aca="false">D46-C46</f>
        <v>0</v>
      </c>
      <c r="F46" s="71" t="str">
        <f aca="false">IF(ABS(D46-C46)&lt;=0.005,"PASS","FAIL")</f>
        <v>PASS</v>
      </c>
    </row>
    <row r="47" customFormat="false" ht="15" hidden="false" customHeight="false" outlineLevel="0" collapsed="false">
      <c r="A47" s="9" t="s">
        <v>266</v>
      </c>
      <c r="B47" s="5" t="s">
        <v>330</v>
      </c>
      <c r="C47" s="14" t="n">
        <v>95250000</v>
      </c>
      <c r="D47" s="14" t="n">
        <f aca="false">'Tranches and Loss'!E33</f>
        <v>95250000</v>
      </c>
      <c r="E47" s="14" t="n">
        <f aca="false">D47-C47</f>
        <v>0</v>
      </c>
      <c r="F47" s="71" t="str">
        <f aca="false">IF(ABS(D47-C47)&lt;=1,"PASS","FAIL")</f>
        <v>PASS</v>
      </c>
    </row>
    <row r="48" customFormat="false" ht="15" hidden="false" customHeight="false" outlineLevel="0" collapsed="false">
      <c r="A48" s="9" t="s">
        <v>266</v>
      </c>
      <c r="B48" s="5" t="s">
        <v>331</v>
      </c>
      <c r="C48" s="16" t="n">
        <v>0.0768</v>
      </c>
      <c r="D48" s="16" t="n">
        <f aca="false">ROUND('Tranches and Loss'!F33,4)</f>
        <v>0.0768</v>
      </c>
      <c r="E48" s="16" t="n">
        <f aca="false">D48-C48</f>
        <v>0</v>
      </c>
      <c r="F48" s="71" t="str">
        <f aca="false">IF(ABS(D48-C48)&lt;=0.00005,"PASS","FAIL")</f>
        <v>PASS</v>
      </c>
    </row>
    <row r="49" customFormat="false" ht="15" hidden="false" customHeight="false" outlineLevel="0" collapsed="false">
      <c r="A49" s="9" t="s">
        <v>266</v>
      </c>
      <c r="B49" s="5" t="s">
        <v>332</v>
      </c>
      <c r="C49" s="14" t="n">
        <v>74400000</v>
      </c>
      <c r="D49" s="14" t="n">
        <f aca="false">'Tranches and Loss'!G33</f>
        <v>74400000</v>
      </c>
      <c r="E49" s="14" t="n">
        <f aca="false">D49-C49</f>
        <v>0</v>
      </c>
      <c r="F49" s="71" t="str">
        <f aca="false">IF(ABS(D49-C49)&lt;=1,"PASS","FAIL")</f>
        <v>PASS</v>
      </c>
    </row>
    <row r="50" customFormat="false" ht="15" hidden="false" customHeight="false" outlineLevel="0" collapsed="false">
      <c r="A50" s="9" t="s">
        <v>266</v>
      </c>
      <c r="B50" s="5" t="s">
        <v>333</v>
      </c>
      <c r="C50" s="14" t="n">
        <v>20850000</v>
      </c>
      <c r="D50" s="14" t="n">
        <f aca="false">'Tranches and Loss'!H33</f>
        <v>20850000</v>
      </c>
      <c r="E50" s="14" t="n">
        <f aca="false">D50-C50</f>
        <v>0</v>
      </c>
      <c r="F50" s="71" t="str">
        <f aca="false">IF(ABS(D50-C50)&lt;=1,"PASS","FAIL")</f>
        <v>PASS</v>
      </c>
    </row>
    <row r="51" customFormat="false" ht="15" hidden="false" customHeight="false" outlineLevel="0" collapsed="false">
      <c r="A51" s="9" t="s">
        <v>266</v>
      </c>
      <c r="B51" s="5" t="s">
        <v>334</v>
      </c>
      <c r="C51" s="21" t="n">
        <v>0.187</v>
      </c>
      <c r="D51" s="21" t="n">
        <f aca="false">ROUND('Tranches and Loss'!E35,3)</f>
        <v>0.187</v>
      </c>
      <c r="E51" s="21" t="n">
        <f aca="false">D51-C51</f>
        <v>0</v>
      </c>
      <c r="F51" s="71" t="str">
        <f aca="false">IF(ABS(D51-C51)&lt;=0.0005,"PASS","FAIL")</f>
        <v>PASS</v>
      </c>
    </row>
    <row r="52" customFormat="false" ht="15" hidden="false" customHeight="false" outlineLevel="0" collapsed="false">
      <c r="A52" s="9" t="s">
        <v>268</v>
      </c>
      <c r="B52" s="5" t="s">
        <v>335</v>
      </c>
      <c r="C52" s="14" t="n">
        <v>11200000</v>
      </c>
      <c r="D52" s="14" t="n">
        <f aca="false">'Waterfall and Control'!C34</f>
        <v>11200000</v>
      </c>
      <c r="E52" s="14" t="n">
        <f aca="false">D52-C52</f>
        <v>0</v>
      </c>
      <c r="F52" s="71" t="str">
        <f aca="false">IF(ABS(D52-C52)&lt;=1,"PASS","FAIL")</f>
        <v>PASS</v>
      </c>
    </row>
    <row r="53" customFormat="false" ht="15" hidden="false" customHeight="false" outlineLevel="0" collapsed="false">
      <c r="A53" s="9" t="n">
        <v>8</v>
      </c>
      <c r="B53" s="5" t="s">
        <v>336</v>
      </c>
      <c r="C53" s="48" t="n">
        <v>3.5</v>
      </c>
      <c r="D53" s="48" t="n">
        <f aca="false">ROUND('Summary Statistics'!B12,1)</f>
        <v>3.5</v>
      </c>
      <c r="E53" s="48" t="n">
        <f aca="false">D53-C53</f>
        <v>0</v>
      </c>
      <c r="F53" s="71" t="str">
        <f aca="false">IF(ABS(D53-C53)&lt;=0.05,"PASS","FAIL")</f>
        <v>PASS</v>
      </c>
    </row>
    <row r="54" customFormat="false" ht="15" hidden="false" customHeight="false" outlineLevel="0" collapsed="false">
      <c r="A54" s="9" t="n">
        <v>8</v>
      </c>
      <c r="B54" s="5" t="s">
        <v>337</v>
      </c>
      <c r="C54" s="48" t="n">
        <v>3</v>
      </c>
      <c r="D54" s="48" t="n">
        <f aca="false">'Maturity Profile'!B25</f>
        <v>3</v>
      </c>
      <c r="E54" s="48" t="n">
        <f aca="false">D54-C54</f>
        <v>0</v>
      </c>
      <c r="F54" s="71" t="str">
        <f aca="false">IF(ABS(D54-C54)&lt;=0.001,"PASS","FAIL")</f>
        <v>PASS</v>
      </c>
      <c r="G54" s="72" t="s">
        <v>338</v>
      </c>
    </row>
    <row r="55" customFormat="false" ht="22.35" hidden="false" customHeight="false" outlineLevel="0" collapsed="false">
      <c r="A55" s="9" t="n">
        <v>8</v>
      </c>
      <c r="B55" s="5" t="s">
        <v>339</v>
      </c>
      <c r="C55" s="21" t="n">
        <v>0.203</v>
      </c>
      <c r="D55" s="21" t="n">
        <f aca="false">ROUND(Concentration!D8,3)</f>
        <v>0.203</v>
      </c>
      <c r="E55" s="21" t="n">
        <f aca="false">D55-C55</f>
        <v>0</v>
      </c>
      <c r="F55" s="71" t="str">
        <f aca="false">IF(ABS(D55-C55)&lt;=0.0005,"PASS","FAIL")</f>
        <v>PASS</v>
      </c>
      <c r="G55" s="72" t="s">
        <v>340</v>
      </c>
    </row>
    <row r="56" customFormat="false" ht="15" hidden="false" customHeight="false" outlineLevel="0" collapsed="false">
      <c r="A56" s="9" t="n">
        <v>9</v>
      </c>
      <c r="B56" s="5" t="s">
        <v>341</v>
      </c>
      <c r="C56" s="10" t="n">
        <v>3</v>
      </c>
      <c r="D56" s="10" t="n">
        <f aca="false">'Tranches and Loss'!D47</f>
        <v>3</v>
      </c>
      <c r="E56" s="10" t="n">
        <f aca="false">D56-C56</f>
        <v>0</v>
      </c>
      <c r="F56" s="71" t="str">
        <f aca="false">IF(ABS(D56-C56)&lt;=0,"PASS","FAIL")</f>
        <v>PASS</v>
      </c>
      <c r="G56" s="72" t="s">
        <v>342</v>
      </c>
    </row>
    <row r="57" customFormat="false" ht="15" hidden="false" customHeight="false" outlineLevel="0" collapsed="false">
      <c r="A57" s="9" t="n">
        <v>9</v>
      </c>
      <c r="B57" s="5" t="s">
        <v>343</v>
      </c>
      <c r="C57" s="10" t="n">
        <v>1</v>
      </c>
      <c r="D57" s="10" t="n">
        <f aca="false">'Tranches and Loss'!D49</f>
        <v>1</v>
      </c>
      <c r="E57" s="10" t="n">
        <f aca="false">D57-C57</f>
        <v>0</v>
      </c>
      <c r="F57" s="71" t="str">
        <f aca="false">IF(ABS(D57-C57)&lt;=0,"PASS","FAIL")</f>
        <v>PASS</v>
      </c>
    </row>
    <row r="58" customFormat="false" ht="15" hidden="false" customHeight="false" outlineLevel="0" collapsed="false">
      <c r="A58" s="9" t="n">
        <v>9</v>
      </c>
      <c r="B58" s="5" t="s">
        <v>344</v>
      </c>
      <c r="C58" s="14" t="n">
        <v>21600000</v>
      </c>
      <c r="D58" s="14" t="n">
        <f aca="false">'Tranches and Loss'!C60</f>
        <v>21600000</v>
      </c>
      <c r="E58" s="14" t="n">
        <f aca="false">D58-C58</f>
        <v>0</v>
      </c>
      <c r="F58" s="71" t="str">
        <f aca="false">IF(ABS(D58-C58)&lt;=1,"PASS","FAIL")</f>
        <v>PASS</v>
      </c>
      <c r="G58" s="72" t="s">
        <v>345</v>
      </c>
    </row>
    <row r="59" customFormat="false" ht="15" hidden="false" customHeight="false" outlineLevel="0" collapsed="false">
      <c r="A59" s="9" t="n">
        <v>9</v>
      </c>
      <c r="B59" s="5" t="s">
        <v>248</v>
      </c>
      <c r="C59" s="21" t="n">
        <v>0.194</v>
      </c>
      <c r="D59" s="21" t="n">
        <f aca="false">ROUND('Tranches and Loss'!C61,3)</f>
        <v>0.194</v>
      </c>
      <c r="E59" s="21" t="n">
        <f aca="false">D59-C59</f>
        <v>0</v>
      </c>
      <c r="F59" s="71" t="str">
        <f aca="false">IF(ABS(D59-C59)&lt;=0.0005,"PASS","FAIL")</f>
        <v>PASS</v>
      </c>
    </row>
    <row r="60" customFormat="false" ht="15" hidden="false" customHeight="false" outlineLevel="0" collapsed="false">
      <c r="A60" s="9" t="n">
        <v>9</v>
      </c>
      <c r="B60" s="5" t="s">
        <v>346</v>
      </c>
      <c r="C60" s="14" t="n">
        <v>0</v>
      </c>
      <c r="D60" s="14" t="n">
        <f aca="false">'Tranches and Loss'!C62</f>
        <v>0</v>
      </c>
      <c r="E60" s="14" t="n">
        <f aca="false">D60-C60</f>
        <v>0</v>
      </c>
      <c r="F60" s="71" t="str">
        <f aca="false">IF(ABS(D60-C60)&lt;=0,"PASS","FAIL")</f>
        <v>PASS</v>
      </c>
    </row>
    <row r="61" customFormat="false" ht="15" hidden="false" customHeight="false" outlineLevel="0" collapsed="false">
      <c r="A61" s="9" t="n">
        <v>8</v>
      </c>
      <c r="B61" s="5" t="s">
        <v>347</v>
      </c>
      <c r="C61" s="16" t="n">
        <v>0.0174</v>
      </c>
      <c r="D61" s="16" t="n">
        <f aca="false">ROUND('Tranches and Loss'!C60/PoolBalance,4)</f>
        <v>0.0174</v>
      </c>
      <c r="E61" s="16" t="n">
        <f aca="false">D61-C61</f>
        <v>0</v>
      </c>
      <c r="F61" s="71" t="str">
        <f aca="false">IF(ABS(D61-C61)&lt;=0.00005,"PASS","FAIL")</f>
        <v>PASS</v>
      </c>
    </row>
    <row r="62" customFormat="false" ht="15" hidden="false" customHeight="false" outlineLevel="0" collapsed="false">
      <c r="A62" s="9" t="n">
        <v>9</v>
      </c>
      <c r="B62" s="5" t="s">
        <v>348</v>
      </c>
      <c r="C62" s="9" t="s">
        <v>349</v>
      </c>
      <c r="D62" s="66" t="n">
        <f aca="false">'Tranches and Loss'!C63</f>
        <v>1.54838709677419</v>
      </c>
      <c r="F62" s="71" t="str">
        <f aca="false">IF('Tranches and Loss'!C63&gt;1,"PASS","FAIL")</f>
        <v>PASS</v>
      </c>
    </row>
    <row r="63" customFormat="false" ht="15" hidden="false" customHeight="false" outlineLevel="0" collapsed="false">
      <c r="A63" s="9" t="n">
        <v>10</v>
      </c>
      <c r="B63" s="5" t="s">
        <v>350</v>
      </c>
      <c r="C63" s="9" t="s">
        <v>219</v>
      </c>
      <c r="D63" s="9" t="str">
        <f aca="false">'Waterfall and Control'!C49</f>
        <v>F</v>
      </c>
      <c r="F63" s="71" t="str">
        <f aca="false">IF(D63=C63,"PASS","FAIL")</f>
        <v>PASS</v>
      </c>
      <c r="G63" s="72" t="s">
        <v>351</v>
      </c>
    </row>
    <row r="64" customFormat="false" ht="15" hidden="false" customHeight="false" outlineLevel="0" collapsed="false">
      <c r="A64" s="9" t="n">
        <v>8</v>
      </c>
      <c r="B64" s="5" t="s">
        <v>352</v>
      </c>
      <c r="C64" s="9" t="s">
        <v>349</v>
      </c>
      <c r="D64" s="10" t="n">
        <f aca="false">SUMPRODUCT((COUNTIF('Loan Tape'!$B$6:$B$43,'Loan Tape'!$B$6:$B$43)&gt;1)*1)</f>
        <v>0</v>
      </c>
      <c r="F64" s="71" t="str">
        <f aca="false">IF(SUMPRODUCT((COUNTIF('Loan Tape'!$B$6:$B$43,'Loan Tape'!$B$6:$B$43)&gt;1)*1)=0,"PASS","FAIL")</f>
        <v>PASS</v>
      </c>
      <c r="G64" s="72" t="s">
        <v>353</v>
      </c>
    </row>
    <row r="66" customFormat="false" ht="15" hidden="false" customHeight="false" outlineLevel="0" collapsed="false">
      <c r="B66" s="23" t="s">
        <v>354</v>
      </c>
      <c r="D66" s="73" t="str">
        <f aca="false">COUNTIF(F6:F64,"PASS")&amp;" of 59"</f>
        <v>59 of 59</v>
      </c>
      <c r="F66" s="71" t="str">
        <f aca="false">IF(COUNTIF(F6:F64,"PASS")=59,"ALL OK","SOME FAIL")</f>
        <v>ALL OK</v>
      </c>
    </row>
    <row r="68" customFormat="false" ht="15" hidden="false" customHeight="false" outlineLevel="0" collapsed="false">
      <c r="A68" s="49" t="s">
        <v>355</v>
      </c>
    </row>
  </sheetData>
  <conditionalFormatting sqref="F6:F66">
    <cfRule type="cellIs" priority="2"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2026-08-28T16:33:19Z</dcterms:created>
  <dc:creator>openpyxl</dc:creator>
  <dc:description/>
  <dc:language>en-US</dc:language>
  <cp:lastModifiedBy/>
  <dcterms:modified xsi:type="dcterms:W3CDTF">2026-09-23T22:40:29Z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