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Three Tests" sheetId="3" state="visible" r:id="rId5"/>
    <sheet name="Sensitivity and Cures" sheetId="4" state="visible" r:id="rId6"/>
    <sheet name="When the ranking flips" sheetId="5" state="visible" r:id="rId7"/>
    <sheet name="Checks" sheetId="6" state="visible" r:id="rId8"/>
  </sheets>
  <definedNames>
    <definedName function="false" hidden="false" name="CovDSCR" vbProcedure="false">Inputs!$B$16</definedName>
    <definedName function="false" hidden="false" name="CovDY" vbProcedure="false">Inputs!$B$17</definedName>
    <definedName function="false" hidden="false" name="CovLTV" vbProcedure="false">Inputs!$B$15</definedName>
    <definedName function="false" hidden="false" name="Loan" vbProcedure="false">Inputs!$B$10</definedName>
    <definedName function="false" hidden="false" name="MktYield" vbProcedure="false">Inputs!$B$9</definedName>
    <definedName function="false" hidden="false" name="NOI" vbProcedure="false">Inputs!$B$7</definedName>
    <definedName function="false" hidden="false" name="Rate" vbProcedure="false">Inputs!$B$11</definedName>
    <definedName function="false" hidden="false" name="RateShock" vbProcedure="false">Inputs!$B$21</definedName>
    <definedName function="false" hidden="false" name="SizeDown" vbProcedure="false">Inputs!$B$22</definedName>
    <definedName function="false" hidden="false" name="Value" vbProcedure="false">Inputs!$B$8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<sst xmlns="http://schemas.openxmlformats.org/spreadsheetml/2006/main" count="196" uniqueCount="151">
  <si>
    <t xml:space="preserve">Workbook 2 - Sizing and the Binding Test</t>
  </si>
  <si>
    <t xml:space="preserve">Companion to Real Estate Finance by Julian R. Sterling</t>
  </si>
  <si>
    <t xml:space="preserve">What this workbook does</t>
  </si>
  <si>
    <t xml:space="preserve">It puts loan-to-value, debt service cover and debt yield on one sheet, solves each of them for the movement in income or value that breaches it, and names the binding test automatically.</t>
  </si>
  <si>
    <t xml:space="preserve">How to use it</t>
  </si>
  <si>
    <t xml:space="preserve">1.  Inputs. Income, value, loan, rate and the three covenants.</t>
  </si>
  <si>
    <t xml:space="preserve">2.  The Three Tests. Where each test stands, what breaks it, and the one-line answer to paste into a credit paper.</t>
  </si>
  <si>
    <t xml:space="preserve">3.  Sensitivity and Cures. A rate shock, a yield shock, the cost of curing a breach, and what sizing down buys.</t>
  </si>
  <si>
    <t xml:space="preserve">4.  When the ranking flips. The same engine on three loans side by side, so you can see the ranking change.</t>
  </si>
  <si>
    <t xml:space="preserve">5.  Checks. 26 figures printed in Chapter 4, each reproduced by a formula here.</t>
  </si>
  <si>
    <t xml:space="preserve">The point of the sheet</t>
  </si>
  <si>
    <t xml:space="preserve">Most credit papers report all three tests, tick all three, and never say which one is doing the work. Finding the binding test takes two minutes and tells you more about the credit than the rest of the paper.</t>
  </si>
  <si>
    <t xml:space="preserve">The book</t>
  </si>
  <si>
    <t xml:space="preserve">Real Estate Finance - A Practitioner's Guide to Debt, Credit Structures and What a Property Is Worth to a Lender, by Julian R. Sterling.</t>
  </si>
  <si>
    <t xml:space="preserve">All four companion workbooks: julianrsterling.com/finance</t>
  </si>
  <si>
    <t xml:space="preserve">Revised 24 September 2026.</t>
  </si>
  <si>
    <t xml:space="preserve">Checks added for the secondary retail park, the headroom after sizing down, the exact 25 basis point moves (4.5 per cent wider, 5.0 tighter; the book prints the first-order 4.8) and the consistency of value, income and yield.</t>
  </si>
  <si>
    <t xml:space="preserve">Inputs</t>
  </si>
  <si>
    <t xml:space="preserve">Yellow cells only. Everything else is a formula.</t>
  </si>
  <si>
    <t xml:space="preserve">The asset and the loan</t>
  </si>
  <si>
    <t xml:space="preserve">Net operating income</t>
  </si>
  <si>
    <t xml:space="preserve">Passing rent 6,420,000 less 120,000 of irrecoverable costs.</t>
  </si>
  <si>
    <t xml:space="preserve">Market value</t>
  </si>
  <si>
    <t xml:space="preserve">NOI capitalised at the 5.25 per cent market yield.</t>
  </si>
  <si>
    <t xml:space="preserve">Market yield</t>
  </si>
  <si>
    <t xml:space="preserve">Used to convert a value fall into the equivalent income fall.</t>
  </si>
  <si>
    <t xml:space="preserve">Loan amount</t>
  </si>
  <si>
    <t xml:space="preserve">Ravenscroft Bank senior facility.</t>
  </si>
  <si>
    <t xml:space="preserve">All-in cost of debt</t>
  </si>
  <si>
    <t xml:space="preserve">Interest only, no amortisation.</t>
  </si>
  <si>
    <t xml:space="preserve">The covenants</t>
  </si>
  <si>
    <t xml:space="preserve">Maximum loan-to-value</t>
  </si>
  <si>
    <t xml:space="preserve">Tested against the annual valuation.</t>
  </si>
  <si>
    <t xml:space="preserve">Minimum debt service cover</t>
  </si>
  <si>
    <t xml:space="preserve">Tested quarterly on trailing income.</t>
  </si>
  <si>
    <t xml:space="preserve">Minimum debt yield</t>
  </si>
  <si>
    <t xml:space="preserve">The test that cannot be engineered.</t>
  </si>
  <si>
    <t xml:space="preserve">Scenario levers</t>
  </si>
  <si>
    <t xml:space="preserve">Rate shock, in basis points</t>
  </si>
  <si>
    <t xml:space="preserve">Applied to the all-in cost on the sensitivity sheet.</t>
  </si>
  <si>
    <t xml:space="preserve">Sizing reduction to test</t>
  </si>
  <si>
    <t xml:space="preserve">How much smaller would the loan have to be?</t>
  </si>
  <si>
    <t xml:space="preserve">Three tests, and which one binds</t>
  </si>
  <si>
    <t xml:space="preserve">Chapter 4. All three pass. The question is not how much headroom, but how far the world must move.</t>
  </si>
  <si>
    <t xml:space="preserve">Annual debt service</t>
  </si>
  <si>
    <t xml:space="preserve">Loan x all-in cost, interest only</t>
  </si>
  <si>
    <t xml:space="preserve">The three tests today</t>
  </si>
  <si>
    <t xml:space="preserve">Test</t>
  </si>
  <si>
    <t xml:space="preserve">Calculation</t>
  </si>
  <si>
    <t xml:space="preserve">Result</t>
  </si>
  <si>
    <t xml:space="preserve">Covenant</t>
  </si>
  <si>
    <t xml:space="preserve">Passes?</t>
  </si>
  <si>
    <t xml:space="preserve">Loan-to-value</t>
  </si>
  <si>
    <t xml:space="preserve">Debt service cover</t>
  </si>
  <si>
    <t xml:space="preserve">Debt yield</t>
  </si>
  <si>
    <t xml:space="preserve">Solving for the breach</t>
  </si>
  <si>
    <t xml:space="preserve">Each test is solved for the movement that breaks it, and every movement is restated as an income fall so the three can be compared on one scale.</t>
  </si>
  <si>
    <t xml:space="preserve">Breaches when</t>
  </si>
  <si>
    <t xml:space="preserve">Threshold</t>
  </si>
  <si>
    <t xml:space="preserve">Fall required</t>
  </si>
  <si>
    <t xml:space="preserve">Rank</t>
  </si>
  <si>
    <t xml:space="preserve">Value falls below loan / covenant</t>
  </si>
  <si>
    <t xml:space="preserve">NOI falls below loan x covenant</t>
  </si>
  <si>
    <t xml:space="preserve">NOI falls below debt service x covenant</t>
  </si>
  <si>
    <t xml:space="preserve">Held at a constant yield, a 7.7 per cent value fall is the same 7.7 per cent fall in income - which is what makes the three comparable.</t>
  </si>
  <si>
    <t xml:space="preserve">The answer</t>
  </si>
  <si>
    <t xml:space="preserve">Binding test</t>
  </si>
  <si>
    <t xml:space="preserve">Breaching on a fall of</t>
  </si>
  <si>
    <t xml:space="preserve">Second</t>
  </si>
  <si>
    <t xml:space="preserve">Not a constraint</t>
  </si>
  <si>
    <t xml:space="preserve">The line for the credit paper</t>
  </si>
  <si>
    <t xml:space="preserve">Anyone reading the paper in eighteen months, when something has gone wrong, will know immediately whether what went wrong was the thing you were watching.</t>
  </si>
  <si>
    <t xml:space="preserve">What moves the tests</t>
  </si>
  <si>
    <t xml:space="preserve">Chapter 4: rates move cover, valuations move loan-to-value, and neither moves debt yield.</t>
  </si>
  <si>
    <t xml:space="preserve">A rate shock, on an asset whose income has not moved by a euro</t>
  </si>
  <si>
    <t xml:space="preserve">Today</t>
  </si>
  <si>
    <t xml:space="preserve">After the shock</t>
  </si>
  <si>
    <t xml:space="preserve">Passes the 1.20x covenant?</t>
  </si>
  <si>
    <t xml:space="preserve">This is why interest rate caps are a covenant rather than a suggestion, and why the cap strike should be set by reference to the cover covenant rather than to a view on rates.</t>
  </si>
  <si>
    <t xml:space="preserve">A valuation shock: what a yield move is worth</t>
  </si>
  <si>
    <t xml:space="preserve">Yield move</t>
  </si>
  <si>
    <t xml:space="preserve">Value</t>
  </si>
  <si>
    <t xml:space="preserve">Breach?</t>
  </si>
  <si>
    <t xml:space="preserve">Value moved by 25 bp at the market yield</t>
  </si>
  <si>
    <t xml:space="preserve">Twenty-five basis points is worth most of the headroom in the covenant - which is the whole argument for why loan-to-value can be engineered by valuation.</t>
  </si>
  <si>
    <t xml:space="preserve">Curing a breach</t>
  </si>
  <si>
    <t xml:space="preserve">Cure</t>
  </si>
  <si>
    <t xml:space="preserve">New valuation / NOI</t>
  </si>
  <si>
    <t xml:space="preserve">Loan must fall to</t>
  </si>
  <si>
    <t xml:space="preserve">Payment</t>
  </si>
  <si>
    <t xml:space="preserve">Loan-to-value cure at a lower valuation</t>
  </si>
  <si>
    <t xml:space="preserve">Debt yield cure at a lower NOI</t>
  </si>
  <si>
    <t xml:space="preserve">The first cure is always cheap. That is why cure rights are capped in number and in frequency - the third one is not cheap.</t>
  </si>
  <si>
    <t xml:space="preserve">Sizing to the binding test</t>
  </si>
  <si>
    <t xml:space="preserve">As proposed</t>
  </si>
  <si>
    <t xml:space="preserve">Sized down</t>
  </si>
  <si>
    <t xml:space="preserve">Loan</t>
  </si>
  <si>
    <t xml:space="preserve">Value fall to breach the loan-to-value covenant</t>
  </si>
  <si>
    <t xml:space="preserve">A common failure is to size to the maximum permitted by the least binding test, then discover the binding one has almost no headroom.</t>
  </si>
  <si>
    <t xml:space="preserve">Twenty-five basis points, both ways</t>
  </si>
  <si>
    <t xml:space="preserve">Value change for 25 bp wider</t>
  </si>
  <si>
    <t xml:space="preserve">Value change for 25 bp tighter</t>
  </si>
  <si>
    <t xml:space="preserve">First-order figure (the book's 4.8 per cent)</t>
  </si>
  <si>
    <t xml:space="preserve">A widening of 25 basis points costs 4.5 per cent of value, a tightening adds 5.0; the book prints the first-order 4.8.</t>
  </si>
  <si>
    <t xml:space="preserve">Value implied by the inputs: NOI / market yield</t>
  </si>
  <si>
    <t xml:space="preserve">The market value is typed on the Inputs sheet. Keep it equal to NOI over the yield, or the yield shocks and the tests disagree.</t>
  </si>
  <si>
    <t xml:space="preserve">The same three tests on any loan</t>
  </si>
  <si>
    <t xml:space="preserve">Type a yield, a leverage, a rate and three covenants. The sheet ranks the tests and names the constraint.</t>
  </si>
  <si>
    <t xml:space="preserve">Alder Point</t>
  </si>
  <si>
    <t xml:space="preserve">Secondary retail park</t>
  </si>
  <si>
    <t xml:space="preserve">Your loan</t>
  </si>
  <si>
    <t xml:space="preserve">Asset yield (NOI / value)</t>
  </si>
  <si>
    <t xml:space="preserve">Loan-to-value at origination</t>
  </si>
  <si>
    <t xml:space="preserve">Covenant: maximum loan-to-value</t>
  </si>
  <si>
    <t xml:space="preserve">Covenant: minimum debt service cover</t>
  </si>
  <si>
    <t xml:space="preserve">Covenant: minimum debt yield</t>
  </si>
  <si>
    <t xml:space="preserve">Where each test stands today</t>
  </si>
  <si>
    <t xml:space="preserve">Fall required to breach</t>
  </si>
  <si>
    <t xml:space="preserve">Alder Point is loan-to-value bound because it is a low-yielding asset with a strong lease and cheap debt. Raise the yield, raise the rate and tighten the cover covenant, and cover binds instead - the credit becomes a rate credit as much as a property credit.</t>
  </si>
  <si>
    <t xml:space="preserve">Checks against the printed book</t>
  </si>
  <si>
    <t xml:space="preserve">Every line reproduces a figure printed in Chapter 4.</t>
  </si>
  <si>
    <t xml:space="preserve">Ch.</t>
  </si>
  <si>
    <t xml:space="preserve">Figure</t>
  </si>
  <si>
    <t xml:space="preserve">Workbook</t>
  </si>
  <si>
    <t xml:space="preserve">Difference</t>
  </si>
  <si>
    <t xml:space="preserve">Note</t>
  </si>
  <si>
    <t xml:space="preserve">4</t>
  </si>
  <si>
    <t xml:space="preserve">NOI at which debt service cover breaches</t>
  </si>
  <si>
    <t xml:space="preserve">  fall required</t>
  </si>
  <si>
    <t xml:space="preserve">NOI at which debt yield breaches</t>
  </si>
  <si>
    <t xml:space="preserve">Value at which loan-to-value breaches</t>
  </si>
  <si>
    <t xml:space="preserve">Debt service cover after a 200 bp rise</t>
  </si>
  <si>
    <t xml:space="preserve">Value moved by 25 bp of yield</t>
  </si>
  <si>
    <t xml:space="preserve">Loan-to-value cure: loan must fall to</t>
  </si>
  <si>
    <t xml:space="preserve">Loan-to-value cure: payment</t>
  </si>
  <si>
    <t xml:space="preserve">Debt yield cure: loan must fall to</t>
  </si>
  <si>
    <t xml:space="preserve">Debt yield after sizing down by 5,000,000</t>
  </si>
  <si>
    <t xml:space="preserve">Binding test named by the book</t>
  </si>
  <si>
    <t xml:space="preserve">Value fall to breach LTV after sizing down by 5,000,000</t>
  </si>
  <si>
    <t xml:space="preserve">25 bp wider: value change (exact)</t>
  </si>
  <si>
    <t xml:space="preserve">The book prints the first-order 4.8 per cent.</t>
  </si>
  <si>
    <t xml:space="preserve">Retail park: debt service cover</t>
  </si>
  <si>
    <t xml:space="preserve">Retail park: debt yield</t>
  </si>
  <si>
    <t xml:space="preserve">Retail park: income fall to breach cover</t>
  </si>
  <si>
    <t xml:space="preserve">Retail park: income fall to breach debt yield</t>
  </si>
  <si>
    <t xml:space="preserve">Retail park: value fall to breach loan-to-value</t>
  </si>
  <si>
    <t xml:space="preserve">Retail park: binding test</t>
  </si>
  <si>
    <t xml:space="preserve">Market value on the Inputs sheet equals NOI over the market yield</t>
  </si>
  <si>
    <t xml:space="preserve">not printed</t>
  </si>
  <si>
    <t xml:space="preserve">Checks passing</t>
  </si>
  <si>
    <t xml:space="preserve">Where a figure in the first edition was wrong, column C gives the corrected figure and column G what the first edition printed. Discounts are negative, premiums positive.</t>
  </si>
</sst>
</file>

<file path=xl/styles.xml><?xml version="1.0" encoding="utf-8"?>
<styleSheet xmlns="http://schemas.openxmlformats.org/spreadsheetml/2006/main">
  <numFmts count="9">
    <numFmt numFmtId="164" formatCode="General"/>
    <numFmt numFmtId="165" formatCode="#,##0;\-#,##0"/>
    <numFmt numFmtId="166" formatCode="0.00%;\-0.00%"/>
    <numFmt numFmtId="167" formatCode="0.0%;\-0.0%"/>
    <numFmt numFmtId="168" formatCode="0.00\x"/>
    <numFmt numFmtId="169" formatCode="0&quot; bp&quot;"/>
    <numFmt numFmtId="170" formatCode="0"/>
    <numFmt numFmtId="171" formatCode="@"/>
    <numFmt numFmtId="172" formatCode="\+0&quot; bp&quot;;\-0&quot; bp&quot;;0&quot; bp&quot;"/>
  </numFmts>
  <fonts count="19">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mbria"/>
      <family val="0"/>
      <charset val="1"/>
    </font>
    <font>
      <b val="true"/>
      <sz val="11"/>
      <color rgb="FF1A1A1A"/>
      <name val="Calibri"/>
      <family val="0"/>
      <charset val="1"/>
    </font>
    <font>
      <b val="true"/>
      <sz val="10"/>
      <color rgb="FFFFFFFF"/>
      <name val="Calibri"/>
      <family val="0"/>
      <charset val="1"/>
    </font>
    <font>
      <b val="true"/>
      <sz val="11"/>
      <color rgb="FF1E7A3C"/>
      <name val="Cambria"/>
      <family val="0"/>
      <charset val="1"/>
    </font>
    <font>
      <i val="true"/>
      <sz val="9"/>
      <color rgb="FF5A6A70"/>
      <name val="Calibri"/>
      <family val="0"/>
      <charset val="1"/>
    </font>
    <font>
      <b val="true"/>
      <sz val="11"/>
      <name val="Cambria"/>
      <family val="0"/>
      <charset val="1"/>
    </font>
    <font>
      <b val="true"/>
      <sz val="11"/>
      <color rgb="FFB3261E"/>
      <name val="Cambria"/>
      <family val="0"/>
      <charset val="1"/>
    </font>
    <font>
      <sz val="9"/>
      <color rgb="FF5A6A70"/>
      <name val="Calibri"/>
      <family val="0"/>
      <charset val="1"/>
    </font>
    <font>
      <sz val="10"/>
      <color rgb="FF5A6A70"/>
      <name val="Calibri"/>
      <family val="0"/>
      <charset val="1"/>
    </font>
    <font>
      <b val="true"/>
      <sz val="11"/>
      <color rgb="FF1E7A3C"/>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4" fontId="11" fillId="3" borderId="3" xfId="0" applyFont="true" applyBorder="true" applyAlignment="true" applyProtection="false">
      <alignment horizontal="left" vertical="center" textRotation="0" wrapText="true" indent="0" shrinkToFit="false"/>
      <protection locked="true" hidden="false"/>
    </xf>
    <xf numFmtId="164" fontId="11" fillId="3" borderId="3" xfId="0" applyFont="true" applyBorder="true" applyAlignment="true" applyProtection="false">
      <alignment horizontal="right"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4" fontId="12" fillId="4" borderId="0" xfId="0" applyFont="true" applyBorder="false" applyAlignment="true" applyProtection="false">
      <alignment horizontal="center"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true" applyProtection="false">
      <alignment horizontal="center"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true" applyProtection="false">
      <alignment horizontal="center" vertical="bottom" textRotation="0" wrapText="false" indent="0" shrinkToFit="false"/>
      <protection locked="true" hidden="false"/>
    </xf>
    <xf numFmtId="171" fontId="10" fillId="0" borderId="0" xfId="0" applyFont="true" applyBorder="false" applyAlignment="true" applyProtection="false">
      <alignment horizontal="left"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true" applyProtection="false">
      <alignment horizontal="left"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72" fontId="8" fillId="2" borderId="3"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center" vertical="bottom" textRotation="0" wrapText="false" indent="0" shrinkToFit="false"/>
      <protection locked="true" hidden="false"/>
    </xf>
    <xf numFmtId="172" fontId="8" fillId="4" borderId="3" xfId="0" applyFont="true" applyBorder="true" applyAlignment="fals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center"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B00020"/>
      </font>
    </dxf>
  </dxfs>
  <colors>
    <indexedColors>
      <rgbColor rgb="FF000000"/>
      <rgbColor rgb="FFFFFFFF"/>
      <rgbColor rgb="FFFF0000"/>
      <rgbColor rgb="FF00FF00"/>
      <rgbColor rgb="FF0000FF"/>
      <rgbColor rgb="FFFFFF00"/>
      <rgbColor rgb="FFFF00FF"/>
      <rgbColor rgb="FF00FFFF"/>
      <rgbColor rgb="FFB0002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B3261E"/>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15" hidden="false" customHeight="true" outlineLevel="0" collapsed="false">
      <c r="A11" s="5" t="s">
        <v>5</v>
      </c>
    </row>
    <row r="12" customFormat="false" ht="30" hidden="false" customHeight="true" outlineLevel="0" collapsed="false">
      <c r="A12" s="5" t="s">
        <v>6</v>
      </c>
    </row>
    <row r="13" customFormat="false" ht="30" hidden="false" customHeight="true" outlineLevel="0" collapsed="false">
      <c r="A13" s="5" t="s">
        <v>7</v>
      </c>
    </row>
    <row r="14" customFormat="false" ht="30" hidden="false" customHeight="true" outlineLevel="0" collapsed="false">
      <c r="A14" s="5" t="s">
        <v>8</v>
      </c>
    </row>
    <row r="15" customFormat="false" ht="15" hidden="false" customHeight="true" outlineLevel="0" collapsed="false">
      <c r="A15" s="5" t="s">
        <v>9</v>
      </c>
    </row>
    <row r="17" customFormat="false" ht="15" hidden="false" customHeight="false" outlineLevel="0" collapsed="false">
      <c r="A17" s="4" t="s">
        <v>10</v>
      </c>
    </row>
    <row r="19" customFormat="false" ht="30" hidden="false" customHeight="true" outlineLevel="0" collapsed="false">
      <c r="A19" s="5" t="s">
        <v>11</v>
      </c>
    </row>
    <row r="21" customFormat="false" ht="15" hidden="false" customHeight="false" outlineLevel="0" collapsed="false">
      <c r="A21" s="4" t="s">
        <v>12</v>
      </c>
    </row>
    <row r="23" customFormat="false" ht="30" hidden="false" customHeight="true" outlineLevel="0" collapsed="false">
      <c r="A23" s="5" t="s">
        <v>13</v>
      </c>
    </row>
    <row r="24" customFormat="false" ht="15" hidden="false" customHeight="true" outlineLevel="0" collapsed="false">
      <c r="A24" s="5" t="s">
        <v>14</v>
      </c>
    </row>
    <row r="26" customFormat="false" ht="15" hidden="false" customHeight="false" outlineLevel="0" collapsed="false">
      <c r="A26" s="6" t="s">
        <v>15</v>
      </c>
    </row>
    <row r="27" customFormat="false" ht="28.35" hidden="false" customHeight="false" outlineLevel="0" collapsed="false">
      <c r="A27" s="5"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8"/>
    <col collapsed="false" customWidth="true" hidden="false" outlineLevel="0" max="3" min="3" style="0" width="4"/>
    <col collapsed="false" customWidth="true" hidden="false" outlineLevel="0" max="4" min="4" style="0" width="64"/>
  </cols>
  <sheetData>
    <row r="1" customFormat="false" ht="24" hidden="false" customHeight="true" outlineLevel="0" collapsed="false">
      <c r="A1" s="1" t="s">
        <v>17</v>
      </c>
    </row>
    <row r="2" customFormat="false" ht="15" hidden="false" customHeight="false" outlineLevel="0" collapsed="false">
      <c r="A2" s="2" t="s">
        <v>18</v>
      </c>
    </row>
    <row r="3" customFormat="false" ht="15" hidden="false" customHeight="false" outlineLevel="0" collapsed="false">
      <c r="A3" s="3"/>
      <c r="B3" s="3"/>
      <c r="C3" s="3"/>
      <c r="D3" s="3"/>
    </row>
    <row r="5" customFormat="false" ht="15" hidden="false" customHeight="false" outlineLevel="0" collapsed="false">
      <c r="A5" s="4" t="s">
        <v>19</v>
      </c>
      <c r="B5" s="7"/>
      <c r="C5" s="7"/>
      <c r="D5" s="7"/>
    </row>
    <row r="7" customFormat="false" ht="15" hidden="false" customHeight="false" outlineLevel="0" collapsed="false">
      <c r="A7" s="8" t="s">
        <v>20</v>
      </c>
      <c r="B7" s="9" t="n">
        <v>6300000</v>
      </c>
      <c r="D7" s="10" t="s">
        <v>21</v>
      </c>
    </row>
    <row r="8" customFormat="false" ht="15" hidden="false" customHeight="false" outlineLevel="0" collapsed="false">
      <c r="A8" s="8" t="s">
        <v>22</v>
      </c>
      <c r="B8" s="9" t="n">
        <v>120000000</v>
      </c>
      <c r="D8" s="10" t="s">
        <v>23</v>
      </c>
    </row>
    <row r="9" customFormat="false" ht="15" hidden="false" customHeight="false" outlineLevel="0" collapsed="false">
      <c r="A9" s="8" t="s">
        <v>24</v>
      </c>
      <c r="B9" s="11" t="n">
        <v>0.0525</v>
      </c>
      <c r="D9" s="10" t="s">
        <v>25</v>
      </c>
    </row>
    <row r="10" customFormat="false" ht="15" hidden="false" customHeight="false" outlineLevel="0" collapsed="false">
      <c r="A10" s="8" t="s">
        <v>26</v>
      </c>
      <c r="B10" s="9" t="n">
        <v>72000000</v>
      </c>
      <c r="D10" s="10" t="s">
        <v>27</v>
      </c>
    </row>
    <row r="11" customFormat="false" ht="15" hidden="false" customHeight="false" outlineLevel="0" collapsed="false">
      <c r="A11" s="8" t="s">
        <v>28</v>
      </c>
      <c r="B11" s="11" t="n">
        <v>0.061</v>
      </c>
      <c r="D11" s="10" t="s">
        <v>29</v>
      </c>
    </row>
    <row r="13" customFormat="false" ht="15" hidden="false" customHeight="false" outlineLevel="0" collapsed="false">
      <c r="A13" s="4" t="s">
        <v>30</v>
      </c>
      <c r="B13" s="7"/>
      <c r="C13" s="7"/>
      <c r="D13" s="7"/>
    </row>
    <row r="15" customFormat="false" ht="15" hidden="false" customHeight="false" outlineLevel="0" collapsed="false">
      <c r="A15" s="8" t="s">
        <v>31</v>
      </c>
      <c r="B15" s="12" t="n">
        <v>0.65</v>
      </c>
      <c r="D15" s="10" t="s">
        <v>32</v>
      </c>
    </row>
    <row r="16" customFormat="false" ht="15" hidden="false" customHeight="false" outlineLevel="0" collapsed="false">
      <c r="A16" s="8" t="s">
        <v>33</v>
      </c>
      <c r="B16" s="13" t="n">
        <v>1.2</v>
      </c>
      <c r="D16" s="10" t="s">
        <v>34</v>
      </c>
    </row>
    <row r="17" customFormat="false" ht="15" hidden="false" customHeight="false" outlineLevel="0" collapsed="false">
      <c r="A17" s="8" t="s">
        <v>35</v>
      </c>
      <c r="B17" s="11" t="n">
        <v>0.08</v>
      </c>
      <c r="D17" s="10" t="s">
        <v>36</v>
      </c>
    </row>
    <row r="19" customFormat="false" ht="15" hidden="false" customHeight="false" outlineLevel="0" collapsed="false">
      <c r="A19" s="4" t="s">
        <v>37</v>
      </c>
      <c r="B19" s="7"/>
      <c r="C19" s="7"/>
      <c r="D19" s="7"/>
    </row>
    <row r="21" customFormat="false" ht="15" hidden="false" customHeight="false" outlineLevel="0" collapsed="false">
      <c r="A21" s="8" t="s">
        <v>38</v>
      </c>
      <c r="B21" s="14" t="n">
        <v>200</v>
      </c>
      <c r="D21" s="10" t="s">
        <v>39</v>
      </c>
    </row>
    <row r="22" customFormat="false" ht="15" hidden="false" customHeight="false" outlineLevel="0" collapsed="false">
      <c r="A22" s="8" t="s">
        <v>40</v>
      </c>
      <c r="B22" s="9" t="n">
        <v>5000000</v>
      </c>
      <c r="D22" s="10" t="s">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1" style="0" width="30"/>
    <col collapsed="false" customWidth="true" hidden="false" outlineLevel="0" max="4" min="3" style="0" width="16"/>
    <col collapsed="false" customWidth="true" hidden="false" outlineLevel="0" max="5" min="5" style="0" width="14"/>
    <col collapsed="false" customWidth="true" hidden="false" outlineLevel="0" max="6" min="6" style="0" width="4"/>
    <col collapsed="false" customWidth="true" hidden="false" outlineLevel="0" max="7" min="7" style="0" width="52"/>
  </cols>
  <sheetData>
    <row r="1" customFormat="false" ht="24" hidden="false" customHeight="true" outlineLevel="0" collapsed="false">
      <c r="A1" s="1" t="s">
        <v>42</v>
      </c>
    </row>
    <row r="2" customFormat="false" ht="15" hidden="false" customHeight="false" outlineLevel="0" collapsed="false">
      <c r="A2" s="2" t="s">
        <v>43</v>
      </c>
    </row>
    <row r="3" customFormat="false" ht="15" hidden="false" customHeight="false" outlineLevel="0" collapsed="false">
      <c r="A3" s="3"/>
      <c r="B3" s="3"/>
      <c r="C3" s="3"/>
      <c r="D3" s="3"/>
      <c r="E3" s="3"/>
    </row>
    <row r="5" customFormat="false" ht="15" hidden="false" customHeight="false" outlineLevel="0" collapsed="false">
      <c r="A5" s="4" t="s">
        <v>44</v>
      </c>
      <c r="B5" s="7"/>
      <c r="C5" s="7"/>
      <c r="D5" s="7"/>
      <c r="E5" s="7"/>
    </row>
    <row r="7" customFormat="false" ht="15" hidden="false" customHeight="false" outlineLevel="0" collapsed="false">
      <c r="A7" s="8" t="s">
        <v>45</v>
      </c>
      <c r="C7" s="15" t="n">
        <f aca="false">Loan*Rate</f>
        <v>4392000</v>
      </c>
    </row>
    <row r="9" customFormat="false" ht="15" hidden="false" customHeight="false" outlineLevel="0" collapsed="false">
      <c r="A9" s="4" t="s">
        <v>46</v>
      </c>
      <c r="B9" s="7"/>
      <c r="C9" s="7"/>
      <c r="D9" s="7"/>
      <c r="E9" s="7"/>
    </row>
    <row r="11" customFormat="false" ht="30" hidden="false" customHeight="true" outlineLevel="0" collapsed="false">
      <c r="A11" s="16" t="s">
        <v>47</v>
      </c>
      <c r="B11" s="17" t="s">
        <v>48</v>
      </c>
      <c r="C11" s="17" t="s">
        <v>49</v>
      </c>
      <c r="D11" s="17" t="s">
        <v>50</v>
      </c>
      <c r="E11" s="17" t="s">
        <v>51</v>
      </c>
    </row>
    <row r="12" customFormat="false" ht="15" hidden="false" customHeight="false" outlineLevel="0" collapsed="false">
      <c r="A12" s="18" t="s">
        <v>52</v>
      </c>
      <c r="B12" s="8" t="str">
        <f aca="false">"Loan "&amp;TEXT(Loan,"#,##0")&amp;" / value "&amp;TEXT(Value,"#,##0")</f>
        <v>Loan 72,000,000 / value 120,000,000</v>
      </c>
      <c r="C12" s="19" t="n">
        <f aca="false">Loan/Value</f>
        <v>0.6</v>
      </c>
      <c r="D12" s="19" t="n">
        <f aca="false">CovLTV</f>
        <v>0.65</v>
      </c>
      <c r="E12" s="20" t="str">
        <f aca="false">IF(C12&lt;=CovLTV,"yes","NO")</f>
        <v>yes</v>
      </c>
    </row>
    <row r="13" customFormat="false" ht="15" hidden="false" customHeight="false" outlineLevel="0" collapsed="false">
      <c r="A13" s="21" t="s">
        <v>53</v>
      </c>
      <c r="B13" s="22" t="str">
        <f aca="false">"NOI "&amp;TEXT(NOI,"#,##0")&amp;" / debt service "&amp;TEXT(Loan*Rate,"#,##0")</f>
        <v>NOI 6,300,000 / debt service 4,392,000</v>
      </c>
      <c r="C13" s="23" t="n">
        <f aca="false">NOI/(Loan*Rate)</f>
        <v>1.4344262295082</v>
      </c>
      <c r="D13" s="23" t="n">
        <f aca="false">CovDSCR</f>
        <v>1.2</v>
      </c>
      <c r="E13" s="24" t="str">
        <f aca="false">IF(C13&gt;=CovDSCR,"yes","NO")</f>
        <v>yes</v>
      </c>
    </row>
    <row r="14" customFormat="false" ht="15" hidden="false" customHeight="false" outlineLevel="0" collapsed="false">
      <c r="A14" s="18" t="s">
        <v>54</v>
      </c>
      <c r="B14" s="8" t="str">
        <f aca="false">"NOI "&amp;TEXT(NOI,"#,##0")&amp;" / loan "&amp;TEXT(Loan,"#,##0")</f>
        <v>NOI 6,300,000 / loan 72,000,000</v>
      </c>
      <c r="C14" s="25" t="n">
        <f aca="false">NOI/Loan</f>
        <v>0.0875</v>
      </c>
      <c r="D14" s="25" t="n">
        <f aca="false">CovDY</f>
        <v>0.08</v>
      </c>
      <c r="E14" s="20" t="str">
        <f aca="false">IF(C14&gt;=CovDY,"yes","NO")</f>
        <v>yes</v>
      </c>
    </row>
    <row r="17" customFormat="false" ht="15" hidden="false" customHeight="false" outlineLevel="0" collapsed="false">
      <c r="A17" s="4" t="s">
        <v>55</v>
      </c>
      <c r="B17" s="7"/>
      <c r="C17" s="7"/>
      <c r="D17" s="7"/>
      <c r="E17" s="7"/>
    </row>
    <row r="19" customFormat="false" ht="15" hidden="false" customHeight="false" outlineLevel="0" collapsed="false">
      <c r="A19" s="26" t="s">
        <v>56</v>
      </c>
    </row>
    <row r="21" customFormat="false" ht="30" hidden="false" customHeight="true" outlineLevel="0" collapsed="false">
      <c r="A21" s="16" t="s">
        <v>47</v>
      </c>
      <c r="B21" s="17" t="s">
        <v>57</v>
      </c>
      <c r="C21" s="17" t="s">
        <v>58</v>
      </c>
      <c r="D21" s="17" t="s">
        <v>59</v>
      </c>
      <c r="E21" s="17" t="s">
        <v>60</v>
      </c>
    </row>
    <row r="22" customFormat="false" ht="15" hidden="false" customHeight="false" outlineLevel="0" collapsed="false">
      <c r="A22" s="18" t="s">
        <v>52</v>
      </c>
      <c r="B22" s="8" t="s">
        <v>61</v>
      </c>
      <c r="C22" s="27" t="n">
        <f aca="false">Loan/CovLTV</f>
        <v>110769230.769231</v>
      </c>
      <c r="D22" s="19" t="n">
        <f aca="false">1-C22/Value</f>
        <v>0.076923076923077</v>
      </c>
      <c r="E22" s="28" t="n">
        <f aca="false">RANK(D22,$D$22:$D$24,1)</f>
        <v>1</v>
      </c>
    </row>
    <row r="23" customFormat="false" ht="15" hidden="false" customHeight="false" outlineLevel="0" collapsed="false">
      <c r="A23" s="21" t="s">
        <v>54</v>
      </c>
      <c r="B23" s="22" t="s">
        <v>62</v>
      </c>
      <c r="C23" s="29" t="n">
        <f aca="false">Loan*CovDY</f>
        <v>5760000</v>
      </c>
      <c r="D23" s="30" t="n">
        <f aca="false">1-C23/NOI</f>
        <v>0.0857142857142857</v>
      </c>
      <c r="E23" s="31" t="n">
        <f aca="false">RANK(D23,$D$22:$D$24,1)</f>
        <v>2</v>
      </c>
    </row>
    <row r="24" customFormat="false" ht="15" hidden="false" customHeight="false" outlineLevel="0" collapsed="false">
      <c r="A24" s="18" t="s">
        <v>53</v>
      </c>
      <c r="B24" s="8" t="s">
        <v>63</v>
      </c>
      <c r="C24" s="27" t="n">
        <f aca="false">Loan*Rate*CovDSCR</f>
        <v>5270400</v>
      </c>
      <c r="D24" s="19" t="n">
        <f aca="false">1-C24/NOI</f>
        <v>0.163428571428571</v>
      </c>
      <c r="E24" s="28" t="n">
        <f aca="false">RANK(D24,$D$22:$D$24,1)</f>
        <v>3</v>
      </c>
    </row>
    <row r="26" customFormat="false" ht="15" hidden="false" customHeight="false" outlineLevel="0" collapsed="false">
      <c r="A26" s="26" t="s">
        <v>64</v>
      </c>
    </row>
    <row r="28" customFormat="false" ht="15" hidden="false" customHeight="false" outlineLevel="0" collapsed="false">
      <c r="A28" s="4" t="s">
        <v>65</v>
      </c>
      <c r="B28" s="7"/>
      <c r="C28" s="7"/>
      <c r="D28" s="7"/>
      <c r="E28" s="7"/>
    </row>
    <row r="30" customFormat="false" ht="15" hidden="false" customHeight="false" outlineLevel="0" collapsed="false">
      <c r="A30" s="18" t="s">
        <v>66</v>
      </c>
      <c r="B30" s="32" t="str">
        <f aca="false">INDEX($A$22:$A$24,MATCH(MIN($D$22:$D$24),$D$22:$D$24,0))</f>
        <v>Loan-to-value</v>
      </c>
    </row>
    <row r="31" customFormat="false" ht="15" hidden="false" customHeight="false" outlineLevel="0" collapsed="false">
      <c r="A31" s="8" t="s">
        <v>67</v>
      </c>
      <c r="B31" s="33" t="n">
        <f aca="false">MIN(D22:D24)</f>
        <v>0.076923076923077</v>
      </c>
    </row>
    <row r="32" customFormat="false" ht="15" hidden="false" customHeight="false" outlineLevel="0" collapsed="false">
      <c r="A32" s="8" t="s">
        <v>68</v>
      </c>
      <c r="B32" s="34" t="str">
        <f aca="false">INDEX($A$22:$A$24,MATCH(SMALL($D$22:$D$24,2),$D$22:$D$24,0))</f>
        <v>Debt yield</v>
      </c>
    </row>
    <row r="33" customFormat="false" ht="15" hidden="false" customHeight="false" outlineLevel="0" collapsed="false">
      <c r="A33" s="8" t="s">
        <v>69</v>
      </c>
      <c r="B33" s="34" t="str">
        <f aca="false">INDEX($A$22:$A$24,MATCH(MAX($D$22:$D$24),$D$22:$D$24,0))</f>
        <v>Debt service cover</v>
      </c>
    </row>
    <row r="35" customFormat="false" ht="15" hidden="false" customHeight="false" outlineLevel="0" collapsed="false">
      <c r="A35" s="18" t="s">
        <v>70</v>
      </c>
      <c r="B35" s="34" t="str">
        <f aca="false">"Binding test: "&amp;LOWER(B30)&amp;", breaching on a "&amp;TEXT(B31,"0.0%")&amp;" fall. "&amp;INDEX($A$22:$A$24,MATCH(SMALL($D$22:$D$24,2),$D$22:$D$24,0))&amp;" second at "&amp;TEXT(SMALL($D$22:$D$24,2),"0.0%")&amp;". "&amp;INDEX($A$22:$A$24,MATCH(MAX($D$22:$D$24),$D$22:$D$24,0))&amp;" is not a constraint."</f>
        <v>Binding test: loan-to-value, breaching on a 7.7% fall. Debt yield second at 8.6%. Debt service cover is not a constraint.</v>
      </c>
    </row>
    <row r="36" customFormat="false" ht="15" hidden="false" customHeight="false" outlineLevel="0" collapsed="false">
      <c r="A36" s="26" t="s">
        <v>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20"/>
    <col collapsed="false" customWidth="true" hidden="false" outlineLevel="0" max="4" min="4" style="0" width="18"/>
    <col collapsed="false" customWidth="true" hidden="false" outlineLevel="0" max="5" min="5" style="0" width="4"/>
    <col collapsed="false" customWidth="true" hidden="false" outlineLevel="0" max="6" min="6" style="0" width="54"/>
  </cols>
  <sheetData>
    <row r="1" customFormat="false" ht="24" hidden="false" customHeight="true" outlineLevel="0" collapsed="false">
      <c r="A1" s="1" t="s">
        <v>72</v>
      </c>
    </row>
    <row r="2" customFormat="false" ht="15" hidden="false" customHeight="false" outlineLevel="0" collapsed="false">
      <c r="A2" s="2" t="s">
        <v>73</v>
      </c>
    </row>
    <row r="3" customFormat="false" ht="15" hidden="false" customHeight="false" outlineLevel="0" collapsed="false">
      <c r="A3" s="3"/>
      <c r="B3" s="3"/>
      <c r="C3" s="3"/>
      <c r="D3" s="3"/>
    </row>
    <row r="5" customFormat="false" ht="15" hidden="false" customHeight="false" outlineLevel="0" collapsed="false">
      <c r="A5" s="4" t="s">
        <v>74</v>
      </c>
      <c r="B5" s="7"/>
      <c r="C5" s="7"/>
      <c r="D5" s="7"/>
    </row>
    <row r="7" customFormat="false" ht="30" hidden="false" customHeight="true" outlineLevel="0" collapsed="false">
      <c r="A7" s="16"/>
      <c r="B7" s="17" t="s">
        <v>75</v>
      </c>
      <c r="C7" s="17" t="s">
        <v>76</v>
      </c>
    </row>
    <row r="8" customFormat="false" ht="15" hidden="false" customHeight="false" outlineLevel="0" collapsed="false">
      <c r="A8" s="8" t="s">
        <v>28</v>
      </c>
      <c r="B8" s="25" t="n">
        <f aca="false">Rate</f>
        <v>0.061</v>
      </c>
      <c r="C8" s="25" t="n">
        <f aca="false">Rate+RateShock/10000</f>
        <v>0.081</v>
      </c>
    </row>
    <row r="9" customFormat="false" ht="15" hidden="false" customHeight="false" outlineLevel="0" collapsed="false">
      <c r="A9" s="22" t="s">
        <v>44</v>
      </c>
      <c r="B9" s="29" t="n">
        <f aca="false">Loan*Rate</f>
        <v>4392000</v>
      </c>
      <c r="C9" s="29" t="n">
        <f aca="false">Loan*(Rate+RateShock/10000)</f>
        <v>5832000</v>
      </c>
    </row>
    <row r="10" customFormat="false" ht="15" hidden="false" customHeight="false" outlineLevel="0" collapsed="false">
      <c r="A10" s="8" t="s">
        <v>53</v>
      </c>
      <c r="B10" s="35" t="n">
        <f aca="false">NOI/(Loan*Rate)</f>
        <v>1.4344262295082</v>
      </c>
      <c r="C10" s="35" t="n">
        <f aca="false">NOI/(Loan*(Rate+RateShock/10000))</f>
        <v>1.08024691358025</v>
      </c>
    </row>
    <row r="11" customFormat="false" ht="15" hidden="false" customHeight="false" outlineLevel="0" collapsed="false">
      <c r="A11" s="8" t="s">
        <v>77</v>
      </c>
      <c r="B11" s="36" t="str">
        <f aca="false">IF(B10&gt;=CovDSCR,"yes","BREACH")</f>
        <v>yes</v>
      </c>
      <c r="C11" s="36" t="str">
        <f aca="false">IF(C10&gt;=CovDSCR,"yes","BREACH")</f>
        <v>BREACH</v>
      </c>
    </row>
    <row r="12" customFormat="false" ht="15" hidden="false" customHeight="false" outlineLevel="0" collapsed="false">
      <c r="A12" s="26" t="s">
        <v>78</v>
      </c>
    </row>
    <row r="14" customFormat="false" ht="15" hidden="false" customHeight="false" outlineLevel="0" collapsed="false">
      <c r="A14" s="4" t="s">
        <v>79</v>
      </c>
      <c r="B14" s="7"/>
      <c r="C14" s="7"/>
      <c r="D14" s="7"/>
    </row>
    <row r="16" customFormat="false" ht="30" hidden="false" customHeight="true" outlineLevel="0" collapsed="false">
      <c r="A16" s="16" t="s">
        <v>80</v>
      </c>
      <c r="B16" s="17" t="s">
        <v>81</v>
      </c>
      <c r="C16" s="17" t="s">
        <v>52</v>
      </c>
      <c r="D16" s="17" t="s">
        <v>82</v>
      </c>
    </row>
    <row r="17" customFormat="false" ht="15" hidden="false" customHeight="false" outlineLevel="0" collapsed="false">
      <c r="A17" s="37" t="n">
        <v>-50</v>
      </c>
      <c r="B17" s="27" t="n">
        <f aca="false">NOI/(MktYield+A17/10000)</f>
        <v>132631578.947368</v>
      </c>
      <c r="C17" s="19" t="n">
        <f aca="false">Loan/B17</f>
        <v>0.542857142857143</v>
      </c>
      <c r="D17" s="38" t="str">
        <f aca="false">IF(C17&gt;CovLTV,"BREACH","")</f>
        <v/>
      </c>
    </row>
    <row r="18" customFormat="false" ht="15" hidden="false" customHeight="false" outlineLevel="0" collapsed="false">
      <c r="A18" s="37" t="n">
        <v>-25</v>
      </c>
      <c r="B18" s="27" t="n">
        <f aca="false">NOI/(MktYield+A18/10000)</f>
        <v>126000000</v>
      </c>
      <c r="C18" s="19" t="n">
        <f aca="false">Loan/B18</f>
        <v>0.571428571428571</v>
      </c>
      <c r="D18" s="38" t="str">
        <f aca="false">IF(C18&gt;CovLTV,"BREACH","")</f>
        <v/>
      </c>
    </row>
    <row r="19" customFormat="false" ht="15" hidden="false" customHeight="false" outlineLevel="0" collapsed="false">
      <c r="A19" s="39" t="n">
        <v>0</v>
      </c>
      <c r="B19" s="29" t="n">
        <f aca="false">NOI/(MktYield+A19/10000)</f>
        <v>120000000</v>
      </c>
      <c r="C19" s="30" t="n">
        <f aca="false">Loan/B19</f>
        <v>0.6</v>
      </c>
      <c r="D19" s="40" t="str">
        <f aca="false">IF(C19&gt;CovLTV,"BREACH","")</f>
        <v/>
      </c>
    </row>
    <row r="20" customFormat="false" ht="15" hidden="false" customHeight="false" outlineLevel="0" collapsed="false">
      <c r="A20" s="37" t="n">
        <v>25</v>
      </c>
      <c r="B20" s="27" t="n">
        <f aca="false">NOI/(MktYield+A20/10000)</f>
        <v>114545454.545455</v>
      </c>
      <c r="C20" s="19" t="n">
        <f aca="false">Loan/B20</f>
        <v>0.628571428571429</v>
      </c>
      <c r="D20" s="38" t="str">
        <f aca="false">IF(C20&gt;CovLTV,"BREACH","")</f>
        <v/>
      </c>
    </row>
    <row r="21" customFormat="false" ht="15" hidden="false" customHeight="false" outlineLevel="0" collapsed="false">
      <c r="A21" s="37" t="n">
        <v>50</v>
      </c>
      <c r="B21" s="27" t="n">
        <f aca="false">NOI/(MktYield+A21/10000)</f>
        <v>109565217.391304</v>
      </c>
      <c r="C21" s="19" t="n">
        <f aca="false">Loan/B21</f>
        <v>0.657142857142857</v>
      </c>
      <c r="D21" s="38" t="str">
        <f aca="false">IF(C21&gt;CovLTV,"BREACH","")</f>
        <v>BREACH</v>
      </c>
    </row>
    <row r="22" customFormat="false" ht="15" hidden="false" customHeight="false" outlineLevel="0" collapsed="false">
      <c r="A22" s="37" t="n">
        <v>75</v>
      </c>
      <c r="B22" s="27" t="n">
        <f aca="false">NOI/(MktYield+A22/10000)</f>
        <v>105000000</v>
      </c>
      <c r="C22" s="19" t="n">
        <f aca="false">Loan/B22</f>
        <v>0.685714285714286</v>
      </c>
      <c r="D22" s="38" t="str">
        <f aca="false">IF(C22&gt;CovLTV,"BREACH","")</f>
        <v>BREACH</v>
      </c>
    </row>
    <row r="23" customFormat="false" ht="15" hidden="false" customHeight="false" outlineLevel="0" collapsed="false">
      <c r="A23" s="37" t="n">
        <v>100</v>
      </c>
      <c r="B23" s="27" t="n">
        <f aca="false">NOI/(MktYield+A23/10000)</f>
        <v>100800000</v>
      </c>
      <c r="C23" s="19" t="n">
        <f aca="false">Loan/B23</f>
        <v>0.714285714285714</v>
      </c>
      <c r="D23" s="38" t="str">
        <f aca="false">IF(C23&gt;CovLTV,"BREACH","")</f>
        <v>BREACH</v>
      </c>
    </row>
    <row r="25" customFormat="false" ht="15" hidden="false" customHeight="false" outlineLevel="0" collapsed="false">
      <c r="A25" s="8" t="s">
        <v>83</v>
      </c>
      <c r="B25" s="19" t="n">
        <f aca="false">0.0025/MktYield</f>
        <v>0.0476190476190476</v>
      </c>
    </row>
    <row r="26" customFormat="false" ht="15" hidden="false" customHeight="false" outlineLevel="0" collapsed="false">
      <c r="A26" s="26" t="s">
        <v>84</v>
      </c>
    </row>
    <row r="28" customFormat="false" ht="15" hidden="false" customHeight="false" outlineLevel="0" collapsed="false">
      <c r="A28" s="4" t="s">
        <v>85</v>
      </c>
      <c r="B28" s="7"/>
      <c r="C28" s="7"/>
      <c r="D28" s="7"/>
    </row>
    <row r="30" customFormat="false" ht="30" hidden="false" customHeight="true" outlineLevel="0" collapsed="false">
      <c r="A30" s="16" t="s">
        <v>86</v>
      </c>
      <c r="B30" s="17" t="s">
        <v>87</v>
      </c>
      <c r="C30" s="17" t="s">
        <v>88</v>
      </c>
      <c r="D30" s="17" t="s">
        <v>89</v>
      </c>
    </row>
    <row r="31" customFormat="false" ht="15" hidden="false" customHeight="false" outlineLevel="0" collapsed="false">
      <c r="A31" s="8" t="s">
        <v>90</v>
      </c>
      <c r="B31" s="9" t="n">
        <v>110000000</v>
      </c>
      <c r="C31" s="27" t="n">
        <f aca="false">B31*CovLTV</f>
        <v>71500000</v>
      </c>
      <c r="D31" s="27" t="n">
        <f aca="false">Loan-C31</f>
        <v>500000</v>
      </c>
    </row>
    <row r="32" customFormat="false" ht="15" hidden="false" customHeight="false" outlineLevel="0" collapsed="false">
      <c r="A32" s="22" t="s">
        <v>91</v>
      </c>
      <c r="B32" s="9" t="n">
        <v>5700000</v>
      </c>
      <c r="C32" s="29" t="n">
        <f aca="false">B32/CovDY</f>
        <v>71250000</v>
      </c>
      <c r="D32" s="29" t="n">
        <f aca="false">Loan-C32</f>
        <v>750000</v>
      </c>
    </row>
    <row r="33" customFormat="false" ht="15" hidden="false" customHeight="false" outlineLevel="0" collapsed="false">
      <c r="A33" s="26" t="s">
        <v>92</v>
      </c>
    </row>
    <row r="35" customFormat="false" ht="15" hidden="false" customHeight="false" outlineLevel="0" collapsed="false">
      <c r="A35" s="4" t="s">
        <v>93</v>
      </c>
      <c r="B35" s="7"/>
      <c r="C35" s="7"/>
      <c r="D35" s="7"/>
    </row>
    <row r="37" customFormat="false" ht="30" hidden="false" customHeight="true" outlineLevel="0" collapsed="false">
      <c r="A37" s="16"/>
      <c r="B37" s="17" t="s">
        <v>94</v>
      </c>
      <c r="C37" s="17" t="s">
        <v>95</v>
      </c>
    </row>
    <row r="38" customFormat="false" ht="15" hidden="false" customHeight="false" outlineLevel="0" collapsed="false">
      <c r="A38" s="8" t="s">
        <v>96</v>
      </c>
      <c r="B38" s="27" t="n">
        <f aca="false">Loan</f>
        <v>72000000</v>
      </c>
      <c r="C38" s="27" t="n">
        <f aca="false">Loan-SizeDown</f>
        <v>67000000</v>
      </c>
    </row>
    <row r="39" customFormat="false" ht="15" hidden="false" customHeight="false" outlineLevel="0" collapsed="false">
      <c r="A39" s="22" t="s">
        <v>52</v>
      </c>
      <c r="B39" s="30" t="n">
        <f aca="false">Loan/Value</f>
        <v>0.6</v>
      </c>
      <c r="C39" s="30" t="n">
        <f aca="false">C38/Value</f>
        <v>0.558333333333333</v>
      </c>
    </row>
    <row r="40" customFormat="false" ht="15" hidden="false" customHeight="false" outlineLevel="0" collapsed="false">
      <c r="A40" s="8" t="s">
        <v>97</v>
      </c>
      <c r="B40" s="19" t="n">
        <f aca="false">1-(Loan/CovLTV)/Value</f>
        <v>0.076923076923077</v>
      </c>
      <c r="C40" s="19" t="n">
        <f aca="false">1-(C38/CovLTV)/Value</f>
        <v>0.141025641025641</v>
      </c>
    </row>
    <row r="41" customFormat="false" ht="15" hidden="false" customHeight="false" outlineLevel="0" collapsed="false">
      <c r="A41" s="22" t="s">
        <v>54</v>
      </c>
      <c r="B41" s="41" t="n">
        <f aca="false">NOI/Loan</f>
        <v>0.0875</v>
      </c>
      <c r="C41" s="41" t="n">
        <f aca="false">NOI/C38</f>
        <v>0.0940298507462687</v>
      </c>
    </row>
    <row r="42" customFormat="false" ht="15" hidden="false" customHeight="false" outlineLevel="0" collapsed="false">
      <c r="A42" s="8" t="s">
        <v>53</v>
      </c>
      <c r="B42" s="35" t="n">
        <f aca="false">NOI/(Loan*Rate)</f>
        <v>1.4344262295082</v>
      </c>
      <c r="C42" s="35" t="n">
        <f aca="false">NOI/(C38*Rate)</f>
        <v>1.54147296305358</v>
      </c>
    </row>
    <row r="43" customFormat="false" ht="15" hidden="false" customHeight="false" outlineLevel="0" collapsed="false">
      <c r="A43" s="26" t="s">
        <v>98</v>
      </c>
    </row>
    <row r="45" customFormat="false" ht="15" hidden="false" customHeight="false" outlineLevel="0" collapsed="false">
      <c r="A45" s="42" t="s">
        <v>99</v>
      </c>
    </row>
    <row r="47" customFormat="false" ht="15" hidden="false" customHeight="false" outlineLevel="0" collapsed="false">
      <c r="A47" s="8" t="s">
        <v>100</v>
      </c>
      <c r="B47" s="19" t="n">
        <f aca="false">MktYield/(MktYield+0.0025)-1</f>
        <v>-0.0454545454545455</v>
      </c>
    </row>
    <row r="48" customFormat="false" ht="15" hidden="false" customHeight="false" outlineLevel="0" collapsed="false">
      <c r="A48" s="8" t="s">
        <v>101</v>
      </c>
      <c r="B48" s="19" t="n">
        <f aca="false">MktYield/(MktYield-0.0025)-1</f>
        <v>0.05</v>
      </c>
    </row>
    <row r="49" customFormat="false" ht="15" hidden="false" customHeight="false" outlineLevel="0" collapsed="false">
      <c r="A49" s="8" t="s">
        <v>102</v>
      </c>
      <c r="B49" s="19" t="n">
        <f aca="false">0.0025/MktYield</f>
        <v>0.0476190476190476</v>
      </c>
    </row>
    <row r="50" customFormat="false" ht="15" hidden="false" customHeight="false" outlineLevel="0" collapsed="false">
      <c r="A50" s="43" t="s">
        <v>103</v>
      </c>
    </row>
    <row r="52" customFormat="false" ht="15" hidden="false" customHeight="false" outlineLevel="0" collapsed="false">
      <c r="A52" s="8" t="s">
        <v>104</v>
      </c>
      <c r="B52" s="27" t="n">
        <f aca="false">NOI/MktYield</f>
        <v>120000000</v>
      </c>
    </row>
    <row r="53" customFormat="false" ht="15" hidden="false" customHeight="false" outlineLevel="0" collapsed="false">
      <c r="A53" s="43" t="s">
        <v>105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4" min="2" style="0" width="18"/>
  </cols>
  <sheetData>
    <row r="1" customFormat="false" ht="24" hidden="false" customHeight="true" outlineLevel="0" collapsed="false">
      <c r="A1" s="1" t="s">
        <v>106</v>
      </c>
    </row>
    <row r="2" customFormat="false" ht="15" hidden="false" customHeight="false" outlineLevel="0" collapsed="false">
      <c r="A2" s="2" t="s">
        <v>107</v>
      </c>
    </row>
    <row r="3" customFormat="false" ht="15" hidden="false" customHeight="false" outlineLevel="0" collapsed="false">
      <c r="A3" s="3"/>
      <c r="B3" s="3"/>
      <c r="C3" s="3"/>
      <c r="D3" s="3"/>
    </row>
    <row r="5" customFormat="false" ht="30" hidden="false" customHeight="true" outlineLevel="0" collapsed="false">
      <c r="A5" s="16"/>
      <c r="B5" s="17" t="s">
        <v>108</v>
      </c>
      <c r="C5" s="17" t="s">
        <v>109</v>
      </c>
      <c r="D5" s="17" t="s">
        <v>110</v>
      </c>
    </row>
    <row r="6" customFormat="false" ht="15" hidden="false" customHeight="false" outlineLevel="0" collapsed="false">
      <c r="A6" s="8" t="s">
        <v>111</v>
      </c>
      <c r="B6" s="11" t="n">
        <v>0.0525</v>
      </c>
      <c r="C6" s="11" t="n">
        <v>0.07</v>
      </c>
      <c r="D6" s="11" t="n">
        <v>0.065</v>
      </c>
    </row>
    <row r="7" customFormat="false" ht="15" hidden="false" customHeight="false" outlineLevel="0" collapsed="false">
      <c r="A7" s="8" t="s">
        <v>112</v>
      </c>
      <c r="B7" s="12" t="n">
        <v>0.6</v>
      </c>
      <c r="C7" s="12" t="n">
        <v>0.65</v>
      </c>
      <c r="D7" s="12" t="n">
        <v>0.6</v>
      </c>
    </row>
    <row r="8" customFormat="false" ht="15" hidden="false" customHeight="false" outlineLevel="0" collapsed="false">
      <c r="A8" s="8" t="s">
        <v>28</v>
      </c>
      <c r="B8" s="11" t="n">
        <v>0.061</v>
      </c>
      <c r="C8" s="11" t="n">
        <v>0.075</v>
      </c>
      <c r="D8" s="11" t="n">
        <v>0.065</v>
      </c>
    </row>
    <row r="9" customFormat="false" ht="15" hidden="false" customHeight="false" outlineLevel="0" collapsed="false">
      <c r="A9" s="8" t="s">
        <v>113</v>
      </c>
      <c r="B9" s="12" t="n">
        <v>0.65</v>
      </c>
      <c r="C9" s="12" t="n">
        <v>0.75</v>
      </c>
      <c r="D9" s="12" t="n">
        <v>0.7</v>
      </c>
    </row>
    <row r="10" customFormat="false" ht="15" hidden="false" customHeight="false" outlineLevel="0" collapsed="false">
      <c r="A10" s="8" t="s">
        <v>114</v>
      </c>
      <c r="B10" s="13" t="n">
        <v>1.2</v>
      </c>
      <c r="C10" s="13" t="n">
        <v>1.3</v>
      </c>
      <c r="D10" s="13" t="n">
        <v>1.25</v>
      </c>
    </row>
    <row r="11" customFormat="false" ht="15" hidden="false" customHeight="false" outlineLevel="0" collapsed="false">
      <c r="A11" s="8" t="s">
        <v>115</v>
      </c>
      <c r="B11" s="11" t="n">
        <v>0.08</v>
      </c>
      <c r="C11" s="11" t="n">
        <v>0.095</v>
      </c>
      <c r="D11" s="11" t="n">
        <v>0.085</v>
      </c>
    </row>
    <row r="13" customFormat="false" ht="15" hidden="false" customHeight="false" outlineLevel="0" collapsed="false">
      <c r="A13" s="4" t="s">
        <v>116</v>
      </c>
      <c r="B13" s="7"/>
      <c r="C13" s="7"/>
      <c r="D13" s="7"/>
    </row>
    <row r="15" customFormat="false" ht="15" hidden="false" customHeight="false" outlineLevel="0" collapsed="false">
      <c r="A15" s="8" t="s">
        <v>54</v>
      </c>
      <c r="B15" s="25" t="n">
        <f aca="false">B$6/B$7</f>
        <v>0.0875</v>
      </c>
      <c r="C15" s="25" t="n">
        <f aca="false">C$6/C$7</f>
        <v>0.107692307692308</v>
      </c>
      <c r="D15" s="25" t="n">
        <f aca="false">D$6/D$7</f>
        <v>0.108333333333333</v>
      </c>
    </row>
    <row r="16" customFormat="false" ht="15" hidden="false" customHeight="false" outlineLevel="0" collapsed="false">
      <c r="A16" s="8" t="s">
        <v>53</v>
      </c>
      <c r="B16" s="35" t="n">
        <f aca="false">B$6/(B$8*B$7)</f>
        <v>1.4344262295082</v>
      </c>
      <c r="C16" s="35" t="n">
        <f aca="false">C$6/(C$8*C$7)</f>
        <v>1.43589743589744</v>
      </c>
      <c r="D16" s="35" t="n">
        <f aca="false">D$6/(D$8*D$7)</f>
        <v>1.66666666666667</v>
      </c>
    </row>
    <row r="18" customFormat="false" ht="15" hidden="false" customHeight="false" outlineLevel="0" collapsed="false">
      <c r="A18" s="4" t="s">
        <v>117</v>
      </c>
      <c r="B18" s="7"/>
      <c r="C18" s="7"/>
      <c r="D18" s="7"/>
    </row>
    <row r="20" customFormat="false" ht="15" hidden="false" customHeight="false" outlineLevel="0" collapsed="false">
      <c r="A20" s="8" t="s">
        <v>52</v>
      </c>
      <c r="B20" s="19" t="n">
        <f aca="false">1-B$7/B$9</f>
        <v>0.076923076923077</v>
      </c>
      <c r="C20" s="19" t="n">
        <f aca="false">1-C$7/C$9</f>
        <v>0.133333333333333</v>
      </c>
      <c r="D20" s="19" t="n">
        <f aca="false">1-D$7/D$9</f>
        <v>0.142857142857143</v>
      </c>
    </row>
    <row r="21" customFormat="false" ht="15" hidden="false" customHeight="false" outlineLevel="0" collapsed="false">
      <c r="A21" s="8" t="s">
        <v>54</v>
      </c>
      <c r="B21" s="19" t="n">
        <f aca="false">1-B$11*B$7/B$6</f>
        <v>0.0857142857142856</v>
      </c>
      <c r="C21" s="19" t="n">
        <f aca="false">1-C$11*C$7/C$6</f>
        <v>0.117857142857143</v>
      </c>
      <c r="D21" s="19" t="n">
        <f aca="false">1-D$11*D$7/D$6</f>
        <v>0.215384615384615</v>
      </c>
    </row>
    <row r="22" customFormat="false" ht="15" hidden="false" customHeight="false" outlineLevel="0" collapsed="false">
      <c r="A22" s="8" t="s">
        <v>53</v>
      </c>
      <c r="B22" s="19" t="n">
        <f aca="false">1-B$10*B$8*B$7/B$6</f>
        <v>0.163428571428571</v>
      </c>
      <c r="C22" s="19" t="n">
        <f aca="false">1-C$10*C$8*C$7/C$6</f>
        <v>0.0946428571428573</v>
      </c>
      <c r="D22" s="19" t="n">
        <f aca="false">1-D$10*D$8*D$7/D$6</f>
        <v>0.25</v>
      </c>
    </row>
    <row r="24" customFormat="false" ht="15" hidden="false" customHeight="false" outlineLevel="0" collapsed="false">
      <c r="A24" s="18" t="s">
        <v>66</v>
      </c>
      <c r="B24" s="32" t="str">
        <f aca="false">INDEX($A$20:$A$22,MATCH(MIN(B$20:B$22),B$20:B$22,0))</f>
        <v>Loan-to-value</v>
      </c>
      <c r="C24" s="32" t="str">
        <f aca="false">INDEX($A$20:$A$22,MATCH(MIN(C$20:C$22),C$20:C$22,0))</f>
        <v>Debt service cover</v>
      </c>
      <c r="D24" s="32" t="str">
        <f aca="false">INDEX($A$20:$A$22,MATCH(MIN(D$20:D$22),D$20:D$22,0))</f>
        <v>Loan-to-value</v>
      </c>
    </row>
    <row r="25" customFormat="false" ht="15" hidden="false" customHeight="false" outlineLevel="0" collapsed="false">
      <c r="A25" s="8" t="s">
        <v>67</v>
      </c>
      <c r="B25" s="19" t="n">
        <f aca="false">MIN(B$20:B$22)</f>
        <v>0.076923076923077</v>
      </c>
      <c r="C25" s="19" t="n">
        <f aca="false">MIN(C$20:C$22)</f>
        <v>0.0946428571428573</v>
      </c>
      <c r="D25" s="19" t="n">
        <f aca="false">MIN(D$20:D$22)</f>
        <v>0.142857142857143</v>
      </c>
    </row>
    <row r="27" customFormat="false" ht="15" hidden="false" customHeight="false" outlineLevel="0" collapsed="false">
      <c r="A27" s="26" t="s">
        <v>118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4" min="3" style="0" width="20"/>
    <col collapsed="false" customWidth="true" hidden="false" outlineLevel="0" max="5" min="5" style="0" width="16"/>
    <col collapsed="false" customWidth="true" hidden="false" outlineLevel="0" max="6" min="6" style="0" width="12"/>
    <col collapsed="false" customWidth="true" hidden="false" outlineLevel="0" max="7" min="7" style="0" width="58"/>
  </cols>
  <sheetData>
    <row r="1" customFormat="false" ht="19.7" hidden="false" customHeight="false" outlineLevel="0" collapsed="false">
      <c r="A1" s="44" t="s">
        <v>119</v>
      </c>
    </row>
    <row r="2" customFormat="false" ht="15" hidden="false" customHeight="false" outlineLevel="0" collapsed="false">
      <c r="A2" s="45" t="s">
        <v>120</v>
      </c>
    </row>
    <row r="5" customFormat="false" ht="15" hidden="false" customHeight="false" outlineLevel="0" collapsed="false">
      <c r="A5" s="46" t="s">
        <v>121</v>
      </c>
      <c r="B5" s="46" t="s">
        <v>122</v>
      </c>
      <c r="C5" s="46" t="s">
        <v>12</v>
      </c>
      <c r="D5" s="46" t="s">
        <v>123</v>
      </c>
      <c r="E5" s="46" t="s">
        <v>124</v>
      </c>
      <c r="F5" s="46" t="s">
        <v>49</v>
      </c>
      <c r="G5" s="46" t="s">
        <v>125</v>
      </c>
    </row>
    <row r="6" customFormat="false" ht="15" hidden="false" customHeight="false" outlineLevel="0" collapsed="false">
      <c r="A6" s="8" t="s">
        <v>126</v>
      </c>
      <c r="B6" s="5" t="s">
        <v>44</v>
      </c>
      <c r="C6" s="27" t="n">
        <v>4392000</v>
      </c>
      <c r="D6" s="27" t="n">
        <f aca="false">Loan*Rate</f>
        <v>4392000</v>
      </c>
      <c r="E6" s="27" t="n">
        <f aca="false">D6-C6</f>
        <v>0</v>
      </c>
      <c r="F6" s="47" t="str">
        <f aca="false">IF(ABS(D6-C6)&lt;=1,"PASS","FAIL")</f>
        <v>PASS</v>
      </c>
    </row>
    <row r="7" customFormat="false" ht="15" hidden="false" customHeight="false" outlineLevel="0" collapsed="false">
      <c r="A7" s="8" t="s">
        <v>126</v>
      </c>
      <c r="B7" s="5" t="s">
        <v>52</v>
      </c>
      <c r="C7" s="19" t="n">
        <v>0.6</v>
      </c>
      <c r="D7" s="19" t="n">
        <f aca="false">ROUND(Loan/Value,3)</f>
        <v>0.6</v>
      </c>
      <c r="E7" s="19" t="n">
        <f aca="false">D7-C7</f>
        <v>0</v>
      </c>
      <c r="F7" s="47" t="str">
        <f aca="false">IF(ABS(D7-C7)&lt;=0.0005,"PASS","FAIL")</f>
        <v>PASS</v>
      </c>
    </row>
    <row r="8" customFormat="false" ht="15" hidden="false" customHeight="false" outlineLevel="0" collapsed="false">
      <c r="A8" s="8" t="s">
        <v>126</v>
      </c>
      <c r="B8" s="5" t="s">
        <v>53</v>
      </c>
      <c r="C8" s="35" t="n">
        <v>1.43</v>
      </c>
      <c r="D8" s="35" t="n">
        <f aca="false">ROUND(NOI/(Loan*Rate),2)</f>
        <v>1.43</v>
      </c>
      <c r="E8" s="35" t="n">
        <f aca="false">D8-C8</f>
        <v>0</v>
      </c>
      <c r="F8" s="47" t="str">
        <f aca="false">IF(ABS(D8-C8)&lt;=0.005,"PASS","FAIL")</f>
        <v>PASS</v>
      </c>
    </row>
    <row r="9" customFormat="false" ht="15" hidden="false" customHeight="false" outlineLevel="0" collapsed="false">
      <c r="A9" s="8" t="s">
        <v>126</v>
      </c>
      <c r="B9" s="5" t="s">
        <v>54</v>
      </c>
      <c r="C9" s="25" t="n">
        <v>0.0875</v>
      </c>
      <c r="D9" s="25" t="n">
        <f aca="false">ROUND(NOI/Loan,4)</f>
        <v>0.0875</v>
      </c>
      <c r="E9" s="25" t="n">
        <f aca="false">D9-C9</f>
        <v>0</v>
      </c>
      <c r="F9" s="47" t="str">
        <f aca="false">IF(ABS(D9-C9)&lt;=0.00005,"PASS","FAIL")</f>
        <v>PASS</v>
      </c>
    </row>
    <row r="10" customFormat="false" ht="15" hidden="false" customHeight="false" outlineLevel="0" collapsed="false">
      <c r="A10" s="8" t="s">
        <v>126</v>
      </c>
      <c r="B10" s="5" t="s">
        <v>127</v>
      </c>
      <c r="C10" s="27" t="n">
        <v>5270400</v>
      </c>
      <c r="D10" s="27" t="n">
        <f aca="false">'The Three Tests'!C24</f>
        <v>5270400</v>
      </c>
      <c r="E10" s="27" t="n">
        <f aca="false">D10-C10</f>
        <v>0</v>
      </c>
      <c r="F10" s="47" t="str">
        <f aca="false">IF(ABS(D10-C10)&lt;=1,"PASS","FAIL")</f>
        <v>PASS</v>
      </c>
    </row>
    <row r="11" customFormat="false" ht="15" hidden="false" customHeight="false" outlineLevel="0" collapsed="false">
      <c r="A11" s="8" t="s">
        <v>126</v>
      </c>
      <c r="B11" s="5" t="s">
        <v>128</v>
      </c>
      <c r="C11" s="19" t="n">
        <v>0.163</v>
      </c>
      <c r="D11" s="19" t="n">
        <f aca="false">ROUND('The Three Tests'!D24,3)</f>
        <v>0.163</v>
      </c>
      <c r="E11" s="19" t="n">
        <f aca="false">D11-C11</f>
        <v>0</v>
      </c>
      <c r="F11" s="47" t="str">
        <f aca="false">IF(ABS(D11-C11)&lt;=0.0005,"PASS","FAIL")</f>
        <v>PASS</v>
      </c>
    </row>
    <row r="12" customFormat="false" ht="15" hidden="false" customHeight="false" outlineLevel="0" collapsed="false">
      <c r="A12" s="8" t="s">
        <v>126</v>
      </c>
      <c r="B12" s="5" t="s">
        <v>129</v>
      </c>
      <c r="C12" s="27" t="n">
        <v>5760000</v>
      </c>
      <c r="D12" s="27" t="n">
        <f aca="false">'The Three Tests'!C23</f>
        <v>5760000</v>
      </c>
      <c r="E12" s="27" t="n">
        <f aca="false">D12-C12</f>
        <v>0</v>
      </c>
      <c r="F12" s="47" t="str">
        <f aca="false">IF(ABS(D12-C12)&lt;=1,"PASS","FAIL")</f>
        <v>PASS</v>
      </c>
    </row>
    <row r="13" customFormat="false" ht="15" hidden="false" customHeight="false" outlineLevel="0" collapsed="false">
      <c r="A13" s="8" t="s">
        <v>126</v>
      </c>
      <c r="B13" s="5" t="s">
        <v>128</v>
      </c>
      <c r="C13" s="19" t="n">
        <v>0.086</v>
      </c>
      <c r="D13" s="19" t="n">
        <f aca="false">ROUND('The Three Tests'!D23,3)</f>
        <v>0.086</v>
      </c>
      <c r="E13" s="19" t="n">
        <f aca="false">D13-C13</f>
        <v>0</v>
      </c>
      <c r="F13" s="47" t="str">
        <f aca="false">IF(ABS(D13-C13)&lt;=0.0005,"PASS","FAIL")</f>
        <v>PASS</v>
      </c>
    </row>
    <row r="14" customFormat="false" ht="15" hidden="false" customHeight="false" outlineLevel="0" collapsed="false">
      <c r="A14" s="8" t="s">
        <v>126</v>
      </c>
      <c r="B14" s="5" t="s">
        <v>130</v>
      </c>
      <c r="C14" s="27" t="n">
        <v>110769231</v>
      </c>
      <c r="D14" s="27" t="n">
        <f aca="false">ROUND('The Three Tests'!C22,0)</f>
        <v>110769231</v>
      </c>
      <c r="E14" s="27" t="n">
        <f aca="false">D14-C14</f>
        <v>0</v>
      </c>
      <c r="F14" s="47" t="str">
        <f aca="false">IF(ABS(D14-C14)&lt;=1,"PASS","FAIL")</f>
        <v>PASS</v>
      </c>
    </row>
    <row r="15" customFormat="false" ht="15" hidden="false" customHeight="false" outlineLevel="0" collapsed="false">
      <c r="A15" s="8" t="s">
        <v>126</v>
      </c>
      <c r="B15" s="5" t="s">
        <v>128</v>
      </c>
      <c r="C15" s="19" t="n">
        <v>0.077</v>
      </c>
      <c r="D15" s="19" t="n">
        <f aca="false">ROUND('The Three Tests'!D22,3)</f>
        <v>0.077</v>
      </c>
      <c r="E15" s="19" t="n">
        <f aca="false">D15-C15</f>
        <v>0</v>
      </c>
      <c r="F15" s="47" t="str">
        <f aca="false">IF(ABS(D15-C15)&lt;=0.0005,"PASS","FAIL")</f>
        <v>PASS</v>
      </c>
    </row>
    <row r="16" customFormat="false" ht="15" hidden="false" customHeight="false" outlineLevel="0" collapsed="false">
      <c r="A16" s="8" t="s">
        <v>126</v>
      </c>
      <c r="B16" s="5" t="s">
        <v>131</v>
      </c>
      <c r="C16" s="35" t="n">
        <v>1.08</v>
      </c>
      <c r="D16" s="35" t="n">
        <f aca="false">ROUND('Sensitivity and Cures'!C10,2)</f>
        <v>1.08</v>
      </c>
      <c r="E16" s="35" t="n">
        <f aca="false">D16-C16</f>
        <v>0</v>
      </c>
      <c r="F16" s="47" t="str">
        <f aca="false">IF(ABS(D16-C16)&lt;=0.005,"PASS","FAIL")</f>
        <v>PASS</v>
      </c>
    </row>
    <row r="17" customFormat="false" ht="15" hidden="false" customHeight="false" outlineLevel="0" collapsed="false">
      <c r="A17" s="8" t="s">
        <v>126</v>
      </c>
      <c r="B17" s="5" t="s">
        <v>132</v>
      </c>
      <c r="C17" s="19" t="n">
        <v>0.048</v>
      </c>
      <c r="D17" s="19" t="n">
        <f aca="false">ROUND(0.0025/MktYield,3)</f>
        <v>0.048</v>
      </c>
      <c r="E17" s="19" t="n">
        <f aca="false">D17-C17</f>
        <v>0</v>
      </c>
      <c r="F17" s="47" t="str">
        <f aca="false">IF(ABS(D17-C17)&lt;=0.0005,"PASS","FAIL")</f>
        <v>PASS</v>
      </c>
    </row>
    <row r="18" customFormat="false" ht="15" hidden="false" customHeight="false" outlineLevel="0" collapsed="false">
      <c r="A18" s="8" t="s">
        <v>126</v>
      </c>
      <c r="B18" s="5" t="s">
        <v>133</v>
      </c>
      <c r="C18" s="27" t="n">
        <v>71500000</v>
      </c>
      <c r="D18" s="27" t="n">
        <f aca="false">'Sensitivity and Cures'!C31</f>
        <v>71500000</v>
      </c>
      <c r="E18" s="27" t="n">
        <f aca="false">D18-C18</f>
        <v>0</v>
      </c>
      <c r="F18" s="47" t="str">
        <f aca="false">IF(ABS(D18-C18)&lt;=1,"PASS","FAIL")</f>
        <v>PASS</v>
      </c>
    </row>
    <row r="19" customFormat="false" ht="15" hidden="false" customHeight="false" outlineLevel="0" collapsed="false">
      <c r="A19" s="8" t="s">
        <v>126</v>
      </c>
      <c r="B19" s="5" t="s">
        <v>134</v>
      </c>
      <c r="C19" s="27" t="n">
        <v>500000</v>
      </c>
      <c r="D19" s="27" t="n">
        <f aca="false">'Sensitivity and Cures'!D31</f>
        <v>500000</v>
      </c>
      <c r="E19" s="27" t="n">
        <f aca="false">D19-C19</f>
        <v>0</v>
      </c>
      <c r="F19" s="47" t="str">
        <f aca="false">IF(ABS(D19-C19)&lt;=1,"PASS","FAIL")</f>
        <v>PASS</v>
      </c>
    </row>
    <row r="20" customFormat="false" ht="15" hidden="false" customHeight="false" outlineLevel="0" collapsed="false">
      <c r="A20" s="8" t="s">
        <v>126</v>
      </c>
      <c r="B20" s="5" t="s">
        <v>135</v>
      </c>
      <c r="C20" s="27" t="n">
        <v>71250000</v>
      </c>
      <c r="D20" s="27" t="n">
        <f aca="false">'Sensitivity and Cures'!C32</f>
        <v>71250000</v>
      </c>
      <c r="E20" s="27" t="n">
        <f aca="false">D20-C20</f>
        <v>0</v>
      </c>
      <c r="F20" s="47" t="str">
        <f aca="false">IF(ABS(D20-C20)&lt;=1,"PASS","FAIL")</f>
        <v>PASS</v>
      </c>
    </row>
    <row r="21" customFormat="false" ht="15" hidden="false" customHeight="false" outlineLevel="0" collapsed="false">
      <c r="A21" s="8" t="s">
        <v>126</v>
      </c>
      <c r="B21" s="5" t="s">
        <v>136</v>
      </c>
      <c r="C21" s="25" t="n">
        <v>0.094</v>
      </c>
      <c r="D21" s="25" t="n">
        <f aca="false">ROUND('Sensitivity and Cures'!C41,3)</f>
        <v>0.094</v>
      </c>
      <c r="E21" s="25" t="n">
        <f aca="false">D21-C21</f>
        <v>0</v>
      </c>
      <c r="F21" s="47" t="str">
        <f aca="false">IF(ABS(D21-C21)&lt;=0.0005,"PASS","FAIL")</f>
        <v>PASS</v>
      </c>
    </row>
    <row r="22" customFormat="false" ht="15" hidden="false" customHeight="false" outlineLevel="0" collapsed="false">
      <c r="A22" s="8" t="s">
        <v>126</v>
      </c>
      <c r="B22" s="5" t="s">
        <v>137</v>
      </c>
      <c r="C22" s="8" t="s">
        <v>52</v>
      </c>
      <c r="D22" s="8" t="str">
        <f aca="false">'The Three Tests'!B30</f>
        <v>Loan-to-value</v>
      </c>
      <c r="F22" s="47" t="str">
        <f aca="false">IF(D22=C22,"PASS","FAIL")</f>
        <v>PASS</v>
      </c>
    </row>
    <row r="23" customFormat="false" ht="15" hidden="false" customHeight="false" outlineLevel="0" collapsed="false">
      <c r="A23" s="8" t="n">
        <v>4</v>
      </c>
      <c r="B23" s="5" t="s">
        <v>138</v>
      </c>
      <c r="C23" s="19" t="n">
        <v>0.141</v>
      </c>
      <c r="D23" s="19" t="n">
        <f aca="false">ROUND('Sensitivity and Cures'!C40,3)</f>
        <v>0.141</v>
      </c>
      <c r="E23" s="19" t="n">
        <f aca="false">D23-C23</f>
        <v>0</v>
      </c>
      <c r="F23" s="47" t="str">
        <f aca="false">IF(ABS(D23-C23)&lt;=0.0005,"PASS","FAIL")</f>
        <v>PASS</v>
      </c>
    </row>
    <row r="24" customFormat="false" ht="15" hidden="false" customHeight="false" outlineLevel="0" collapsed="false">
      <c r="A24" s="8" t="n">
        <v>4</v>
      </c>
      <c r="B24" s="5" t="s">
        <v>139</v>
      </c>
      <c r="C24" s="19" t="n">
        <v>-0.045</v>
      </c>
      <c r="D24" s="19" t="n">
        <f aca="false">ROUND('Sensitivity and Cures'!B47,3)</f>
        <v>-0.045</v>
      </c>
      <c r="E24" s="19" t="n">
        <f aca="false">D24-C24</f>
        <v>0</v>
      </c>
      <c r="F24" s="47" t="str">
        <f aca="false">IF(ABS(D24-C24)&lt;=0.0005,"PASS","FAIL")</f>
        <v>PASS</v>
      </c>
      <c r="G24" s="48" t="s">
        <v>140</v>
      </c>
    </row>
    <row r="25" customFormat="false" ht="15" hidden="false" customHeight="false" outlineLevel="0" collapsed="false">
      <c r="A25" s="8" t="n">
        <v>4</v>
      </c>
      <c r="B25" s="5" t="s">
        <v>141</v>
      </c>
      <c r="C25" s="35" t="n">
        <v>1.44</v>
      </c>
      <c r="D25" s="35" t="n">
        <f aca="false">ROUND('When the ranking flips'!C16,2)</f>
        <v>1.44</v>
      </c>
      <c r="E25" s="35" t="n">
        <f aca="false">D25-C25</f>
        <v>0</v>
      </c>
      <c r="F25" s="47" t="str">
        <f aca="false">IF(ABS(D25-C25)&lt;=0.005,"PASS","FAIL")</f>
        <v>PASS</v>
      </c>
    </row>
    <row r="26" customFormat="false" ht="15" hidden="false" customHeight="false" outlineLevel="0" collapsed="false">
      <c r="A26" s="8" t="n">
        <v>4</v>
      </c>
      <c r="B26" s="5" t="s">
        <v>142</v>
      </c>
      <c r="C26" s="19" t="n">
        <v>0.108</v>
      </c>
      <c r="D26" s="19" t="n">
        <f aca="false">ROUND('When the ranking flips'!C15,3)</f>
        <v>0.108</v>
      </c>
      <c r="E26" s="19" t="n">
        <f aca="false">D26-C26</f>
        <v>0</v>
      </c>
      <c r="F26" s="47" t="str">
        <f aca="false">IF(ABS(D26-C26)&lt;=0.0005,"PASS","FAIL")</f>
        <v>PASS</v>
      </c>
    </row>
    <row r="27" customFormat="false" ht="15" hidden="false" customHeight="false" outlineLevel="0" collapsed="false">
      <c r="A27" s="8" t="n">
        <v>4</v>
      </c>
      <c r="B27" s="5" t="s">
        <v>143</v>
      </c>
      <c r="C27" s="19" t="n">
        <v>0.095</v>
      </c>
      <c r="D27" s="19" t="n">
        <f aca="false">ROUND('When the ranking flips'!C22,3)</f>
        <v>0.095</v>
      </c>
      <c r="E27" s="19" t="n">
        <f aca="false">D27-C27</f>
        <v>0</v>
      </c>
      <c r="F27" s="47" t="str">
        <f aca="false">IF(ABS(D27-C27)&lt;=0.0005,"PASS","FAIL")</f>
        <v>PASS</v>
      </c>
    </row>
    <row r="28" customFormat="false" ht="15" hidden="false" customHeight="false" outlineLevel="0" collapsed="false">
      <c r="A28" s="8" t="n">
        <v>4</v>
      </c>
      <c r="B28" s="5" t="s">
        <v>144</v>
      </c>
      <c r="C28" s="19" t="n">
        <v>0.118</v>
      </c>
      <c r="D28" s="19" t="n">
        <f aca="false">ROUND('When the ranking flips'!C21,3)</f>
        <v>0.118</v>
      </c>
      <c r="E28" s="19" t="n">
        <f aca="false">D28-C28</f>
        <v>0</v>
      </c>
      <c r="F28" s="47" t="str">
        <f aca="false">IF(ABS(D28-C28)&lt;=0.0005,"PASS","FAIL")</f>
        <v>PASS</v>
      </c>
    </row>
    <row r="29" customFormat="false" ht="15" hidden="false" customHeight="false" outlineLevel="0" collapsed="false">
      <c r="A29" s="8" t="n">
        <v>4</v>
      </c>
      <c r="B29" s="5" t="s">
        <v>145</v>
      </c>
      <c r="C29" s="19" t="n">
        <v>0.133</v>
      </c>
      <c r="D29" s="19" t="n">
        <f aca="false">ROUND('When the ranking flips'!C20,3)</f>
        <v>0.133</v>
      </c>
      <c r="E29" s="19" t="n">
        <f aca="false">D29-C29</f>
        <v>0</v>
      </c>
      <c r="F29" s="47" t="str">
        <f aca="false">IF(ABS(D29-C29)&lt;=0.0005,"PASS","FAIL")</f>
        <v>PASS</v>
      </c>
    </row>
    <row r="30" customFormat="false" ht="15" hidden="false" customHeight="false" outlineLevel="0" collapsed="false">
      <c r="A30" s="8" t="n">
        <v>4</v>
      </c>
      <c r="B30" s="5" t="s">
        <v>146</v>
      </c>
      <c r="C30" s="8" t="s">
        <v>53</v>
      </c>
      <c r="D30" s="8" t="str">
        <f aca="false">'When the ranking flips'!C24</f>
        <v>Debt service cover</v>
      </c>
      <c r="F30" s="47" t="str">
        <f aca="false">IF(D30=C30,"PASS","FAIL")</f>
        <v>PASS</v>
      </c>
    </row>
    <row r="31" customFormat="false" ht="15" hidden="false" customHeight="false" outlineLevel="0" collapsed="false">
      <c r="A31" s="8" t="n">
        <v>4</v>
      </c>
      <c r="B31" s="5" t="s">
        <v>147</v>
      </c>
      <c r="C31" s="8" t="s">
        <v>148</v>
      </c>
      <c r="D31" s="27" t="n">
        <f aca="false">'Sensitivity and Cures'!B52-Value</f>
        <v>0</v>
      </c>
      <c r="F31" s="47" t="str">
        <f aca="false">IF(ABS('Sensitivity and Cures'!B52-Value)&lt;1,"PASS","FAIL")</f>
        <v>PASS</v>
      </c>
    </row>
    <row r="33" customFormat="false" ht="15" hidden="false" customHeight="false" outlineLevel="0" collapsed="false">
      <c r="B33" s="18" t="s">
        <v>149</v>
      </c>
      <c r="D33" s="49" t="str">
        <f aca="false">COUNTIF(F6:F31,"PASS")&amp;" of 26"</f>
        <v>26 of 26</v>
      </c>
      <c r="F33" s="47" t="str">
        <f aca="false">IF(COUNTIF(F6:F31,"PASS")=26,"ALL OK","SOME FAIL")</f>
        <v>ALL OK</v>
      </c>
    </row>
    <row r="35" customFormat="false" ht="15" hidden="false" customHeight="false" outlineLevel="0" collapsed="false">
      <c r="A35" s="43" t="s">
        <v>150</v>
      </c>
    </row>
  </sheetData>
  <conditionalFormatting sqref="F6:F33">
    <cfRule type="cellIs" priority="2"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2026-08-28T16:26:25Z</dcterms:created>
  <dc:creator>openpyxl</dc:creator>
  <dc:description/>
  <dc:language>en-US</dc:language>
  <cp:lastModifiedBy/>
  <dcterms:modified xsi:type="dcterms:W3CDTF">2026-09-23T22:40:29Z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