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The Bridge" sheetId="3" state="visible" r:id="rId5"/>
    <sheet name="Four Values" sheetId="4" state="visible" r:id="rId6"/>
    <sheet name="Option and Break-even" sheetId="5" state="visible" r:id="rId7"/>
    <sheet name="The Stack" sheetId="6" state="visible" r:id="rId8"/>
    <sheet name="Sale and Leaseback" sheetId="7" state="visible" r:id="rId9"/>
    <sheet name="Checks" sheetId="8" state="visible" r:id="rId10"/>
  </sheets>
  <definedNames>
    <definedName function="false" hidden="false" name="AllInRate" vbProcedure="false">Inputs!$B$18</definedName>
    <definedName function="false" hidden="false" name="AltWidening" vbProcedure="false">Inputs!$B$36</definedName>
    <definedName function="false" hidden="false" name="CreditRate" vbProcedure="false">Inputs!$B$39</definedName>
    <definedName function="false" hidden="false" name="ForcedYield" vbProcedure="false">Inputs!$B$11</definedName>
    <definedName function="false" hidden="false" name="Irrecoverable" vbProcedure="false">Inputs!$B$9</definedName>
    <definedName function="false" hidden="false" name="Junior" vbProcedure="false">Inputs!$B$34</definedName>
    <definedName function="false" hidden="false" name="LeaseTerm" vbProcedure="false">Inputs!$B$38</definedName>
    <definedName function="false" hidden="false" name="LoanAmount" vbProcedure="false">Inputs!$B$17</definedName>
    <definedName function="false" hidden="false" name="MarketRent" vbProcedure="false">Inputs!$B$8</definedName>
    <definedName function="false" hidden="false" name="MarketYield" vbProcedure="false">Inputs!$B$10</definedName>
    <definedName function="false" hidden="false" name="MerOver" vbProcedure="false">Inputs!$B$45</definedName>
    <definedName function="false" hidden="false" name="MerPrice" vbProcedure="false">Inputs!$B$43</definedName>
    <definedName function="false" hidden="false" name="MerRate" vbProcedure="false">Inputs!$B$47</definedName>
    <definedName function="false" hidden="false" name="MerRent" vbProcedure="false">Inputs!$B$44</definedName>
    <definedName function="false" hidden="false" name="MerTerm" vbProcedure="false">Inputs!$B$46</definedName>
    <definedName function="false" hidden="false" name="MerVP" vbProcedure="false">Inputs!$B$48</definedName>
    <definedName function="false" hidden="false" name="PassingRent" vbProcedure="false">Inputs!$B$7</definedName>
    <definedName function="false" hidden="false" name="RealisationCosts" vbProcedure="false">Inputs!$B$12</definedName>
    <definedName function="false" hidden="false" name="RecoveryFactor" vbProcedure="false">Inputs!$B$30</definedName>
    <definedName function="false" hidden="false" name="SLBPrice" vbProcedure="false">Inputs!$B$37</definedName>
    <definedName function="false" hidden="false" name="StressRecovery" vbProcedure="false">Inputs!$B$35</definedName>
    <definedName function="false" hidden="false" name="SwCosts" vbProcedure="false">Inputs!$B$24</definedName>
    <definedName function="false" hidden="false" name="SwOverRent" vbProcedure="false">Inputs!$B$22</definedName>
    <definedName function="false" hidden="false" name="SwYield" vbProcedure="false">Inputs!$B$23</definedName>
    <definedName function="false" hidden="false" name="UnsmoothRatio" vbProcedure="false">'Four Values'!$C$15</definedName>
    <definedName function="false" hidden="false" name="VacantPossession" vbProcedure="false">Inputs!$B$13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<sst xmlns="http://schemas.openxmlformats.org/spreadsheetml/2006/main" count="404" uniqueCount="347">
  <si>
    <t xml:space="preserve">Workbook 1 - Alder Point: The Four Values</t>
  </si>
  <si>
    <t xml:space="preserve">Companion to Real Estate Finance by Julian R. Sterling</t>
  </si>
  <si>
    <t xml:space="preserve">What this workbook does</t>
  </si>
  <si>
    <t xml:space="preserve">It rebuilds the bridge of Chapter 2 - the road from a market value of 120,000,000 to a lender's recovery value of 82,200,000 - with every adjustment separately switchable, and then turns that bridge into the option of Chapter 3.</t>
  </si>
  <si>
    <t xml:space="preserve">How to use it</t>
  </si>
  <si>
    <t xml:space="preserve">1.  Inputs. Yellow cells only. Change the rent, the yields, the costs, the loan.</t>
  </si>
  <si>
    <t xml:space="preserve">2.  The Bridge. Three switches. Set any of them to 0 and watch the recovery value move; the sheet also prices each adjustment on its own.</t>
  </si>
  <si>
    <t xml:space="preserve">3.  Four Values. The same slab of concrete seen by the owner, the lender, the bondholder and the secondary buyer.</t>
  </si>
  <si>
    <t xml:space="preserve">4.  Option and Break-even. The loan as a written put: the strike, the payoff table, and the income fall at which the lender begins to lose.</t>
  </si>
  <si>
    <t xml:space="preserve">5.  The Stack and Sale and Leaseback: Chapters 5, 15 and 16.
6.  Checks. 77 figures printed in the book, each reproduced by a formula here. If one says FAIL, the model is wrong.</t>
  </si>
  <si>
    <t xml:space="preserve">The one rule</t>
  </si>
  <si>
    <t xml:space="preserve">No number in this workbook is typed twice. Every printed figure is a live formula, so if you disagree with an assumption you can change it and see the whole chain move.</t>
  </si>
  <si>
    <t xml:space="preserve">The book</t>
  </si>
  <si>
    <t xml:space="preserve">Real Estate Finance - A Practitioner's Guide to Debt, Credit Structures and What a Property Is Worth to a Lender, by Julian R. Sterling.</t>
  </si>
  <si>
    <t xml:space="preserve">All four companion workbooks: julianrsterling.com/finance</t>
  </si>
  <si>
    <t xml:space="preserve">Revised 24 September 2026.</t>
  </si>
  <si>
    <t xml:space="preserve">Two sheets are new. The Stack puts the Chapter 2 bridge under the Chapter 5 stack. Sale and Leaseback builds Chapters 15 and 16, which no workbook computed before.</t>
  </si>
  <si>
    <t xml:space="preserve">Corrected: the first edition set a price struck on net income against a market-rent value struck on gross rent. On one basis the over-price is 9,904,762, not 7,619,048; the fair price is 114,225,435 and the overpayment 5,774,565. The conclusion stands and is stronger.</t>
  </si>
  <si>
    <t xml:space="preserve">Also: the widest gap between the property values is 37,800,000 (the file counted the loan as a value); the real distance to lender loss is more than two-thirds shorter than the loan-to-value suggests, not 30 to 40 per cent; 25 basis points of yield is exactly 4.5 per cent wider and 5.0 tighter.</t>
  </si>
  <si>
    <t xml:space="preserve">Inputs</t>
  </si>
  <si>
    <t xml:space="preserve">Every yellow cell is editable. Everything else in this workbook is a formula.</t>
  </si>
  <si>
    <t xml:space="preserve">The asset</t>
  </si>
  <si>
    <t xml:space="preserve">Contractual rent under the 2022 lease, six years to run.</t>
  </si>
  <si>
    <t xml:space="preserve">What the space would let for today.</t>
  </si>
  <si>
    <t xml:space="preserve">Owner's share of insurance, structure, management.</t>
  </si>
  <si>
    <t xml:space="preserve">Yield for comparable well-let logistics, properly marketed.</t>
  </si>
  <si>
    <t xml:space="preserve">Market yield widened by 150 bp for an enforcement sale.</t>
  </si>
  <si>
    <t xml:space="preserve">Agency, legal, receivership, holding costs, deferred maintenance.</t>
  </si>
  <si>
    <t xml:space="preserve">What the empty box is worth (Chapter 15 estimate).</t>
  </si>
  <si>
    <t xml:space="preserve">The loan</t>
  </si>
  <si>
    <t xml:space="preserve">Loan amount</t>
  </si>
  <si>
    <t xml:space="preserve">Ravenscroft Bank senior facility, 2022, interest only.</t>
  </si>
  <si>
    <t xml:space="preserve">All-in cost of debt</t>
  </si>
  <si>
    <t xml:space="preserve">SOFR + 210 bp, all-in at the date of the case.</t>
  </si>
  <si>
    <t xml:space="preserve">Bridge switches - turn each adjustment off to see what it costs</t>
  </si>
  <si>
    <t xml:space="preserve">1  Strip the over-rent</t>
  </si>
  <si>
    <t xml:space="preserve">0 = keep capitalising the passing rent, as the owner does.</t>
  </si>
  <si>
    <t xml:space="preserve">2  Widen the yield to the forced-sale yield</t>
  </si>
  <si>
    <t xml:space="preserve">0 = value at the market yield.</t>
  </si>
  <si>
    <t xml:space="preserve">3  Deduct realisation costs</t>
  </si>
  <si>
    <t xml:space="preserve">0 = ignore the cost of getting there.</t>
  </si>
  <si>
    <t xml:space="preserve">With all three switches at 0 the bridge returns the market value, 120,000,000. With all three at 1 it returns the recovery value.</t>
  </si>
  <si>
    <t xml:space="preserve">Option convention</t>
  </si>
  <si>
    <t xml:space="preserve">Recovery factor used in the option table</t>
  </si>
  <si>
    <t xml:space="preserve">The rounded compound factor printed in Chapter 3. The exact bridge factor is shown on 'The Bridge'.</t>
  </si>
  <si>
    <t xml:space="preserve">Stack, stress and sale and leaseback (Chapters 5, 11, 15 and 16)</t>
  </si>
  <si>
    <t xml:space="preserve">Junior tranche behind the senior</t>
  </si>
  <si>
    <t xml:space="preserve">Chapter 5: the lender that advances 12,000,000 behind the senior.</t>
  </si>
  <si>
    <t xml:space="preserve">Recovery value in the stressed case</t>
  </si>
  <si>
    <t xml:space="preserve">Chapter 5: ten per cent below the bridge.</t>
  </si>
  <si>
    <t xml:space="preserve">Forced-sale widening in the Chapter 11 stress</t>
  </si>
  <si>
    <t xml:space="preserve">300 basis points instead of 150.</t>
  </si>
  <si>
    <t xml:space="preserve">Price paid in the 2022 sale and leaseback</t>
  </si>
  <si>
    <t xml:space="preserve">Chapter 15.</t>
  </si>
  <si>
    <t xml:space="preserve">Lease term at the sale, years</t>
  </si>
  <si>
    <t xml:space="preserve">Chapter 15: the lease Northgate took back.</t>
  </si>
  <si>
    <t xml:space="preserve">Discount rate for the over-rent</t>
  </si>
  <si>
    <t xml:space="preserve">Chapter 16: unsecured credit of a solid, unrated operator.</t>
  </si>
  <si>
    <t xml:space="preserve">Meridian Works (Chapters 15 and 16)</t>
  </si>
  <si>
    <t xml:space="preserve">Price</t>
  </si>
  <si>
    <t xml:space="preserve">Sold and leased back in 2023.</t>
  </si>
  <si>
    <t xml:space="preserve">Passing rent</t>
  </si>
  <si>
    <t xml:space="preserve">Twenty-year lease.</t>
  </si>
  <si>
    <t xml:space="preserve">Over-rent against any defensible market level</t>
  </si>
  <si>
    <t xml:space="preserve">Chapter 16.</t>
  </si>
  <si>
    <t xml:space="preserve">Lease term, years</t>
  </si>
  <si>
    <t xml:space="preserve">A weaker covenant, a worse residual.</t>
  </si>
  <si>
    <t xml:space="preserve">Vacant possession value</t>
  </si>
  <si>
    <t xml:space="preserve">The land, less clearing the structure.</t>
  </si>
  <si>
    <t xml:space="preserve">The bridge: market value to recovery value</t>
  </si>
  <si>
    <t xml:space="preserve">Chapter 2. Each step is a separate judgement with a number attached to it.</t>
  </si>
  <si>
    <t xml:space="preserve">Step</t>
  </si>
  <si>
    <t xml:space="preserve">Adjustment</t>
  </si>
  <si>
    <t xml:space="preserve">Running number</t>
  </si>
  <si>
    <t xml:space="preserve">Start</t>
  </si>
  <si>
    <t xml:space="preserve">Net operating income at passing rent</t>
  </si>
  <si>
    <t xml:space="preserve">1</t>
  </si>
  <si>
    <t xml:space="preserve">2</t>
  </si>
  <si>
    <t xml:space="preserve">3</t>
  </si>
  <si>
    <t xml:space="preserve">Recovery value (bridge output)</t>
  </si>
  <si>
    <t xml:space="preserve">As printed in the book (rounded)</t>
  </si>
  <si>
    <t xml:space="preserve">Market value, and the gap</t>
  </si>
  <si>
    <t xml:space="preserve">Market value  (NOI at passing rent / market yield)</t>
  </si>
  <si>
    <t xml:space="preserve">Recovery value</t>
  </si>
  <si>
    <t xml:space="preserve">Gap</t>
  </si>
  <si>
    <t xml:space="preserve">Gap as a percentage of market value</t>
  </si>
  <si>
    <t xml:space="preserve">Compound recovery factor  (recovery / market value)</t>
  </si>
  <si>
    <t xml:space="preserve">Chapter 3 rounds this factor to 0.685 and uses it to build the option table. The rounded factor lives on 'Inputs'.</t>
  </si>
  <si>
    <t xml:space="preserve">What each step costs, taken on its own</t>
  </si>
  <si>
    <t xml:space="preserve">Step removed</t>
  </si>
  <si>
    <t xml:space="preserve">Value if that step is skipped</t>
  </si>
  <si>
    <t xml:space="preserve">Cost of the step</t>
  </si>
  <si>
    <t xml:space="preserve">Over-rent removal</t>
  </si>
  <si>
    <t xml:space="preserve">Yield widening</t>
  </si>
  <si>
    <t xml:space="preserve">Realisation costs</t>
  </si>
  <si>
    <t xml:space="preserve">Each line answers: what would the recovery value be if this one adjustment were not made, the other two standing?</t>
  </si>
  <si>
    <t xml:space="preserve">Loan-to-value on each of the two numbers</t>
  </si>
  <si>
    <t xml:space="preserve">Loan / market value</t>
  </si>
  <si>
    <t xml:space="preserve">Loan / recovery value</t>
  </si>
  <si>
    <t xml:space="preserve">Both are true. The second is the one a credit officer carries in her head.</t>
  </si>
  <si>
    <t xml:space="preserve">Yield sensitivity</t>
  </si>
  <si>
    <t xml:space="preserve">Value lost per basis point at the market yield</t>
  </si>
  <si>
    <t xml:space="preserve">Value lost per basis point at the forced-sale yield</t>
  </si>
  <si>
    <t xml:space="preserve">Value moved by 25 bp at the market yield</t>
  </si>
  <si>
    <t xml:space="preserve">Sensitivity is highest exactly where the market is tightest - which is why over-leveraged prime assets can lose value faster than mid-quality ones.</t>
  </si>
  <si>
    <t xml:space="preserve">Twenty-five basis points, both ways</t>
  </si>
  <si>
    <t xml:space="preserve">Value change for 25 bp wider</t>
  </si>
  <si>
    <t xml:space="preserve">Value change for 25 bp tighter</t>
  </si>
  <si>
    <t xml:space="preserve">First-order figure (the book's 4.8 per cent)</t>
  </si>
  <si>
    <t xml:space="preserve">The book's 4.8 per cent is the first-order figure. A widening costs 4.5 per cent, a tightening adds 5.0: either way most of the 7.7 per cent headroom.</t>
  </si>
  <si>
    <t xml:space="preserve">A wider forced-sale discount (Chapter 11)</t>
  </si>
  <si>
    <t xml:space="preserve">Forced-sale yield tested</t>
  </si>
  <si>
    <t xml:space="preserve">Loss on the loan</t>
  </si>
  <si>
    <t xml:space="preserve">Chapter 11: 300 basis points instead of 150 turns a zero-loss loan into a loss of 4,741,818.</t>
  </si>
  <si>
    <t xml:space="preserve">Four values, one slab of concrete</t>
  </si>
  <si>
    <t xml:space="preserve">Chapter 1 and the Conclusion. None of the four is wrong; they answer different questions.</t>
  </si>
  <si>
    <t xml:space="preserve">Who is looking</t>
  </si>
  <si>
    <t xml:space="preserve">The question being answered</t>
  </si>
  <si>
    <t xml:space="preserve">Value</t>
  </si>
  <si>
    <t xml:space="preserve">vs market</t>
  </si>
  <si>
    <t xml:space="preserve">The owner</t>
  </si>
  <si>
    <t xml:space="preserve">What would this fetch, properly marketed?</t>
  </si>
  <si>
    <t xml:space="preserve">The lender</t>
  </si>
  <si>
    <t xml:space="preserve">What would I get, forced to sell, without the tenant?</t>
  </si>
  <si>
    <t xml:space="preserve">The bondholder</t>
  </si>
  <si>
    <t xml:space="preserve">What is it carried at in the securitised pool? (= the loan)</t>
  </si>
  <si>
    <t xml:space="preserve">The secondary buyer</t>
  </si>
  <si>
    <t xml:space="preserve">What is it carried at once the smoothing is removed?</t>
  </si>
  <si>
    <t xml:space="preserve">Widest gap between the three property values</t>
  </si>
  <si>
    <t xml:space="preserve">The bondholder's row is the loan, not a value of the building (the book: "not a property number at all"). The first file counted it, and showed 48,000,000.</t>
  </si>
  <si>
    <t xml:space="preserve">The unsmoothing ratio used above</t>
  </si>
  <si>
    <t xml:space="preserve">Corrected fund gross value / reported fund gross value  (Chapter 18)</t>
  </si>
  <si>
    <t xml:space="preserve">Workbook 4 derives this ratio from the fund's reported valuation history. 120,000,000 x this ratio is the 115,600,000 of Chapter 18.</t>
  </si>
  <si>
    <t xml:space="preserve">The vacant possession floor</t>
  </si>
  <si>
    <t xml:space="preserve">Market value / vacant possession value</t>
  </si>
  <si>
    <t xml:space="preserve">Diagnostic</t>
  </si>
  <si>
    <t xml:space="preserve">Recovery value vs vacant possession value</t>
  </si>
  <si>
    <t xml:space="preserve">The lender's recovery number sits BELOW the empty-building value: the over-rent strip and the yield widening more than undo the value of the lease.</t>
  </si>
  <si>
    <t xml:space="preserve">The loan as a written put</t>
  </si>
  <si>
    <t xml:space="preserve">Chapter 3. Recovery to the lender is market value x the compound factor, capped at the loan.</t>
  </si>
  <si>
    <t xml:space="preserve">The strike</t>
  </si>
  <si>
    <t xml:space="preserve">Recovery factor</t>
  </si>
  <si>
    <t xml:space="preserve">Strike: market value at which the lender is exactly whole</t>
  </si>
  <si>
    <t xml:space="preserve">Distance from today's market value</t>
  </si>
  <si>
    <t xml:space="preserve">12.4 per cent below today's value, not 40 per cent. The comfortable-sounding 60 per cent loan-to-value has a much thinner cushion than it appears.</t>
  </si>
  <si>
    <t xml:space="preserve">The option payoff table</t>
  </si>
  <si>
    <t xml:space="preserve">Market value at maturity</t>
  </si>
  <si>
    <t xml:space="preserve">Lender receives</t>
  </si>
  <si>
    <t xml:space="preserve">Lender loss</t>
  </si>
  <si>
    <t xml:space="preserve">Borrower equity</t>
  </si>
  <si>
    <t xml:space="preserve">Borrower equity is market value less the loan while the lender is whole, and zero once the borrower walks - limited recourse means it never goes negative.</t>
  </si>
  <si>
    <t xml:space="preserve">Working the bridge backwards: where the lender starts to lose</t>
  </si>
  <si>
    <t xml:space="preserve">Recovery value must fall below</t>
  </si>
  <si>
    <t xml:space="preserve">which requires net operating income below</t>
  </si>
  <si>
    <t xml:space="preserve">a fall from the market-rent NOI of</t>
  </si>
  <si>
    <t xml:space="preserve">a fall from the passing-rent NOI of</t>
  </si>
  <si>
    <t xml:space="preserve">That is the real cushion, and a much more honest description of the credit than "60 per cent loan-to-value".</t>
  </si>
  <si>
    <t xml:space="preserve">The value of a covenant: cash trapped when the debt yield trigger bites</t>
  </si>
  <si>
    <t xml:space="preserve">Net operating income</t>
  </si>
  <si>
    <t xml:space="preserve">Annual debt service</t>
  </si>
  <si>
    <t xml:space="preserve">Surplus cash available to trap, per year</t>
  </si>
  <si>
    <t xml:space="preserve">Roughly 1,900,000 a year of collateral built precisely when the borrower's option is moving into the money - and the borrower pays nothing in cash for it.</t>
  </si>
  <si>
    <t xml:space="preserve">Loan-to-value is not a distance to loss</t>
  </si>
  <si>
    <t xml:space="preserve">Headline cushion: market value less the loan</t>
  </si>
  <si>
    <t xml:space="preserve">Real cushion: market value less the strike</t>
  </si>
  <si>
    <t xml:space="preserve">Headline distance, as a fall in market value</t>
  </si>
  <si>
    <t xml:space="preserve">Real distance to lender loss</t>
  </si>
  <si>
    <t xml:space="preserve">How much smaller the real distance is</t>
  </si>
  <si>
    <t xml:space="preserve">Loan-to-value at which it is 30 per cent smaller</t>
  </si>
  <si>
    <t xml:space="preserve">Loan-to-value at which it is 40 per cent smaller</t>
  </si>
  <si>
    <t xml:space="preserve">The first edition says the real distance is "roughly 30 to 40 per cent smaller". On its own factor that holds only between the two loan-to-values above; at 60 per cent it is more than two-thirds smaller.</t>
  </si>
  <si>
    <t xml:space="preserve">The stack against one bridge</t>
  </si>
  <si>
    <t xml:space="preserve">Chapter 5. Put the Chapter 2 bridge underneath the stack and the positions become obvious.</t>
  </si>
  <si>
    <t xml:space="preserve">Layer</t>
  </si>
  <si>
    <t xml:space="preserve">Amount</t>
  </si>
  <si>
    <t xml:space="preserve">Cumulative</t>
  </si>
  <si>
    <t xml:space="preserve">Cumulative LTV</t>
  </si>
  <si>
    <t xml:space="preserve">Senior</t>
  </si>
  <si>
    <t xml:space="preserve">Junior tranche</t>
  </si>
  <si>
    <t xml:space="preserve">Sponsor equity</t>
  </si>
  <si>
    <t xml:space="preserve">Recovery, layer by layer</t>
  </si>
  <si>
    <t xml:space="preserve">At the bridge</t>
  </si>
  <si>
    <t xml:space="preserve">Stressed</t>
  </si>
  <si>
    <t xml:space="preserve">Senior cover (recovery / senior)</t>
  </si>
  <si>
    <t xml:space="preserve">Senior recovers</t>
  </si>
  <si>
    <t xml:space="preserve">Junior recovers</t>
  </si>
  <si>
    <t xml:space="preserve">Junior recovery rate</t>
  </si>
  <si>
    <t xml:space="preserve">Junior loss</t>
  </si>
  <si>
    <t xml:space="preserve">Equity recovers</t>
  </si>
  <si>
    <t xml:space="preserve">Move in recovery value</t>
  </si>
  <si>
    <t xml:space="preserve">A ten per cent movement in recovery value takes the junior from 85 per cent recovery to 17. It behaves like a bond in good scenarios and like equity in bad ones.</t>
  </si>
  <si>
    <t xml:space="preserve">The rent is chosen, and what it cost</t>
  </si>
  <si>
    <t xml:space="preserve">Chapters 15 and 16. Column C gives what the first edition printed where it differs from the corrected figure.</t>
  </si>
  <si>
    <t xml:space="preserve">The over-price, on one basis</t>
  </si>
  <si>
    <t xml:space="preserve">Corrected</t>
  </si>
  <si>
    <t xml:space="preserve">First edition</t>
  </si>
  <si>
    <t xml:space="preserve">Market rent less irrecoverable costs</t>
  </si>
  <si>
    <t xml:space="preserve">Market-rent value, on the net basis of the 120,000,000</t>
  </si>
  <si>
    <t xml:space="preserve">Market rent capitalised gross (the first edition's market-rent value)</t>
  </si>
  <si>
    <t xml:space="preserve">Price paid</t>
  </si>
  <si>
    <t xml:space="preserve">Over-price: price less market-rent value</t>
  </si>
  <si>
    <t xml:space="preserve">Over-rent capitalised at the market yield</t>
  </si>
  <si>
    <t xml:space="preserve">Over-price is the over-rent capitalised</t>
  </si>
  <si>
    <t xml:space="preserve">The first edition set a price struck on net income (120,000,000) against a market-rent value struck on gross rent (112,380,952). On one basis, net or gross, the over-price is the over-rent capitalised.</t>
  </si>
  <si>
    <t xml:space="preserve">The nominal test</t>
  </si>
  <si>
    <t xml:space="preserve">Over-rent a year</t>
  </si>
  <si>
    <t xml:space="preserve">Over-rent over the lease, undiscounted</t>
  </si>
  <si>
    <t xml:space="preserve">Shortfall against the over-price</t>
  </si>
  <si>
    <t xml:space="preserve">Share of the over-price the over-rent repays</t>
  </si>
  <si>
    <t xml:space="preserve">The over-rent as a finite annuity</t>
  </si>
  <si>
    <t xml:space="preserve">Rounded to the thousand, the 3, 5 and 11 per cent values are 5,176,000, 4,609,000 and 3,376,000.</t>
  </si>
  <si>
    <t xml:space="preserve">The fair price</t>
  </si>
  <si>
    <t xml:space="preserve">Annuity factor at the credit rate</t>
  </si>
  <si>
    <t xml:space="preserve">Present value of the over-rent</t>
  </si>
  <si>
    <t xml:space="preserve">Fair price: market-rent value plus that present value</t>
  </si>
  <si>
    <t xml:space="preserve">Overpayment</t>
  </si>
  <si>
    <t xml:space="preserve">Yield on passing rent at the price paid</t>
  </si>
  <si>
    <t xml:space="preserve">Yield on passing rent at the fair price</t>
  </si>
  <si>
    <t xml:space="preserve">The price of the illusion, basis points</t>
  </si>
  <si>
    <t xml:space="preserve">The over-price as a loan to the tenant</t>
  </si>
  <si>
    <t xml:space="preserve">Over-rent that would repay the over-price at the credit rate</t>
  </si>
  <si>
    <t xml:space="preserve">Rent that implies</t>
  </si>
  <si>
    <t xml:space="preserve">  as a premium to market rent</t>
  </si>
  <si>
    <t xml:space="preserve">Share of the appropriate rate the buyer is paid</t>
  </si>
  <si>
    <t xml:space="preserve">Rental growth a year needed to recover the overpayment at exit</t>
  </si>
  <si>
    <t xml:space="preserve">The tenant fails in year</t>
  </si>
  <si>
    <t xml:space="preserve">Over-rent received</t>
  </si>
  <si>
    <t xml:space="preserve">Present value</t>
  </si>
  <si>
    <t xml:space="preserve">Loss on the over-price</t>
  </si>
  <si>
    <t xml:space="preserve">Northgate's gain in present value: extra proceeds less the over-rent's value</t>
  </si>
  <si>
    <t xml:space="preserve">Meridian Works</t>
  </si>
  <si>
    <t xml:space="preserve">Entry yield</t>
  </si>
  <si>
    <t xml:space="preserve">Price / vacant possession value</t>
  </si>
  <si>
    <t xml:space="preserve">Over-rent capitalised at the entry yield</t>
  </si>
  <si>
    <t xml:space="preserve">  as a share of the price</t>
  </si>
  <si>
    <t xml:space="preserve">Alder Point's overpayment, as a share of its price</t>
  </si>
  <si>
    <t xml:space="preserve">Annuity factor, same term at 5 per cent</t>
  </si>
  <si>
    <t xml:space="preserve">Annuity factor, same term at 9 per cent</t>
  </si>
  <si>
    <t xml:space="preserve">Swing from the rate</t>
  </si>
  <si>
    <t xml:space="preserve">Annuity factor, five more years at the credit rate</t>
  </si>
  <si>
    <t xml:space="preserve">Swing from the term</t>
  </si>
  <si>
    <t xml:space="preserve">The first edition multiplied by a factor rounded to 9.8181; the unrounded factor gives 8,836,333 and 4,020,810.</t>
  </si>
  <si>
    <t xml:space="preserve">Checks against the printed book</t>
  </si>
  <si>
    <t xml:space="preserve">Every line reproduces a figure printed in Real Estate Finance, from Chapters 1 to 3, 5, 11, 15, 16 and the conclusion.</t>
  </si>
  <si>
    <t xml:space="preserve">Ch.</t>
  </si>
  <si>
    <t xml:space="preserve">Figure</t>
  </si>
  <si>
    <t xml:space="preserve">Workbook</t>
  </si>
  <si>
    <t xml:space="preserve">Difference</t>
  </si>
  <si>
    <t xml:space="preserve">Result</t>
  </si>
  <si>
    <t xml:space="preserve">Note</t>
  </si>
  <si>
    <t xml:space="preserve">Market value</t>
  </si>
  <si>
    <t xml:space="preserve">Net operating income at market rent</t>
  </si>
  <si>
    <t xml:space="preserve">Gross value at the forced-sale yield</t>
  </si>
  <si>
    <t xml:space="preserve">Recovery value, unrounded</t>
  </si>
  <si>
    <t xml:space="preserve">Recovery value, as printed</t>
  </si>
  <si>
    <t xml:space="preserve">Gap between market and recovery value</t>
  </si>
  <si>
    <t xml:space="preserve">Realisation costs deducted</t>
  </si>
  <si>
    <t xml:space="preserve">NOI at which the lender starts to lose</t>
  </si>
  <si>
    <t xml:space="preserve">  fall from the market-rent NOI</t>
  </si>
  <si>
    <t xml:space="preserve">  fall from the passing-rent NOI</t>
  </si>
  <si>
    <t xml:space="preserve">Value moved by 25 bp of yield</t>
  </si>
  <si>
    <t xml:space="preserve">Compound recovery factor, rounded</t>
  </si>
  <si>
    <t xml:space="preserve">Strike: value at which the lender is whole</t>
  </si>
  <si>
    <t xml:space="preserve">Strike distance below today's value</t>
  </si>
  <si>
    <t xml:space="preserve">Recovery at a 140,000,000 market value</t>
  </si>
  <si>
    <t xml:space="preserve">Recovery at a 110,000,000 market value</t>
  </si>
  <si>
    <t xml:space="preserve">Borrower equity at the strike</t>
  </si>
  <si>
    <t xml:space="preserve">Lender loss at a 100,000,000 market value</t>
  </si>
  <si>
    <t xml:space="preserve">Lender loss at an 80,000,000 market value</t>
  </si>
  <si>
    <t xml:space="preserve">Cash trapped per year by the debt yield covenant</t>
  </si>
  <si>
    <t xml:space="preserve">15</t>
  </si>
  <si>
    <t xml:space="preserve">18</t>
  </si>
  <si>
    <t xml:space="preserve">Alder Point carried, smoothing removed</t>
  </si>
  <si>
    <t xml:space="preserve">Widest gap between the property values ("nearly forty million")</t>
  </si>
  <si>
    <t xml:space="preserve">25 bp wider: value change (exact)</t>
  </si>
  <si>
    <t xml:space="preserve">The book prints the first-order 4.8 per cent.</t>
  </si>
  <si>
    <t xml:space="preserve">Real distance to loss, shortfall against the headline</t>
  </si>
  <si>
    <t xml:space="preserve">Corrected: the first edition says roughly 30 to 40 per cent smaller.</t>
  </si>
  <si>
    <t xml:space="preserve">Senior cover on the recovery value</t>
  </si>
  <si>
    <t xml:space="preserve">Junior recovers at 82,200,000</t>
  </si>
  <si>
    <t xml:space="preserve">  recovery rate</t>
  </si>
  <si>
    <t xml:space="preserve">  loss</t>
  </si>
  <si>
    <t xml:space="preserve">Junior recovers at 74,000,000</t>
  </si>
  <si>
    <t xml:space="preserve">Recovery at a 300 bp forced-sale widening</t>
  </si>
  <si>
    <t xml:space="preserve">  loss on the loan</t>
  </si>
  <si>
    <t xml:space="preserve">Market-rent value, net of costs</t>
  </si>
  <si>
    <t xml:space="preserve">Market rent capitalised gross</t>
  </si>
  <si>
    <t xml:space="preserve">The first edition's market-rent value; not on the basis of the price.</t>
  </si>
  <si>
    <t xml:space="preserve">Over-price</t>
  </si>
  <si>
    <t xml:space="preserve">Corrected: the first edition prints 7,619,048.</t>
  </si>
  <si>
    <t xml:space="preserve">Over-rent over twelve years, nominal</t>
  </si>
  <si>
    <t xml:space="preserve">Corrected: first edition 1,379,048.</t>
  </si>
  <si>
    <t xml:space="preserve">Share of the over-price repaid, undiscounted</t>
  </si>
  <si>
    <t xml:space="preserve">Corrected: first edition 82 per cent.</t>
  </si>
  <si>
    <t xml:space="preserve">Over-rent annuity at 3 per cent</t>
  </si>
  <si>
    <t xml:space="preserve">The first edition prints 5,177,000.</t>
  </si>
  <si>
    <t xml:space="preserve">Over-rent annuity at 5 per cent</t>
  </si>
  <si>
    <t xml:space="preserve">The first edition prints 4,610,000.</t>
  </si>
  <si>
    <t xml:space="preserve">Over-rent annuity at 7 per cent</t>
  </si>
  <si>
    <t xml:space="preserve">Over-rent annuity at 9 per cent</t>
  </si>
  <si>
    <t xml:space="preserve">Over-rent annuity at 11 per cent</t>
  </si>
  <si>
    <t xml:space="preserve">The first edition prints 3,378,000.</t>
  </si>
  <si>
    <t xml:space="preserve">Annuity factor, twelve years at 7 per cent</t>
  </si>
  <si>
    <t xml:space="preserve">Fair price</t>
  </si>
  <si>
    <t xml:space="preserve">Corrected: first edition 116,511,149.</t>
  </si>
  <si>
    <t xml:space="preserve">Corrected: first edition 3,488,851.</t>
  </si>
  <si>
    <t xml:space="preserve">Yield on passing rent, price paid</t>
  </si>
  <si>
    <t xml:space="preserve">Yield on passing rent, fair price</t>
  </si>
  <si>
    <t xml:space="preserve">Corrected: first edition 5.51 per cent.</t>
  </si>
  <si>
    <t xml:space="preserve">Corrected: first edition 16.</t>
  </si>
  <si>
    <t xml:space="preserve">Over-rent that would repay the over-price at 7 per cent</t>
  </si>
  <si>
    <t xml:space="preserve">Corrected: first edition 959,260.</t>
  </si>
  <si>
    <t xml:space="preserve">  rent that implies</t>
  </si>
  <si>
    <t xml:space="preserve">Corrected: first edition 6,859,260.</t>
  </si>
  <si>
    <t xml:space="preserve">  premium to market rent</t>
  </si>
  <si>
    <t xml:space="preserve">Corrected: first edition 16.3 per cent.</t>
  </si>
  <si>
    <t xml:space="preserve">Share of the appropriate rate paid</t>
  </si>
  <si>
    <t xml:space="preserve">Corrected: first edition 54 per cent.</t>
  </si>
  <si>
    <t xml:space="preserve">Rental growth a year needed</t>
  </si>
  <si>
    <t xml:space="preserve">Corrected: first edition 0.26 per cent.</t>
  </si>
  <si>
    <t xml:space="preserve">Tenant fails in year five: over-rent received</t>
  </si>
  <si>
    <t xml:space="preserve">  present value at 7 per cent</t>
  </si>
  <si>
    <t xml:space="preserve">  loss on the over-price</t>
  </si>
  <si>
    <t xml:space="preserve">Corrected: first edition about 5,487,000.</t>
  </si>
  <si>
    <t xml:space="preserve">Northgate's gain in present value</t>
  </si>
  <si>
    <t xml:space="preserve">Meridian: over-rent capitalised at 7.0 per cent</t>
  </si>
  <si>
    <t xml:space="preserve">Meridian: present value at 8 per cent</t>
  </si>
  <si>
    <t xml:space="preserve">The first edition prints 8,836,290 (factor rounded to 9.8181).</t>
  </si>
  <si>
    <t xml:space="preserve">Meridian: overpayment</t>
  </si>
  <si>
    <t xml:space="preserve">The first edition prints 4,020,853.</t>
  </si>
  <si>
    <t xml:space="preserve">Meridian: overpayment as a share of the price</t>
  </si>
  <si>
    <t xml:space="preserve">Meridian: price / vacant possession value</t>
  </si>
  <si>
    <t xml:space="preserve">Annuity factor, 20 years at 5 per cent</t>
  </si>
  <si>
    <t xml:space="preserve">Annuity factor, 20 years at 9 per cent</t>
  </si>
  <si>
    <t xml:space="preserve">  swing from the rate</t>
  </si>
  <si>
    <t xml:space="preserve">Annuity factor, 25 years at 8 per cent</t>
  </si>
  <si>
    <t xml:space="preserve">  swing from the term</t>
  </si>
  <si>
    <t xml:space="preserve">Meridian is proportionally worse than Alder Point</t>
  </si>
  <si>
    <t xml:space="preserve">not printed</t>
  </si>
  <si>
    <t xml:space="preserve">The over-price equals the over-rent capitalised at the market yield</t>
  </si>
  <si>
    <t xml:space="preserve">Concl.</t>
  </si>
  <si>
    <t xml:space="preserve">Headline cushion at 60 per cent loan-to-value</t>
  </si>
  <si>
    <t xml:space="preserve">Corrected: the first edition says thirty-eight million.</t>
  </si>
  <si>
    <t xml:space="preserve">Lowest figure on the asset in the conclusion table</t>
  </si>
  <si>
    <t xml:space="preserve">Corrected: the first edition says the ten numbers span 91,500,000 to 120,000,000.</t>
  </si>
  <si>
    <t xml:space="preserve">Checks passing</t>
  </si>
  <si>
    <t xml:space="preserve">Where a figure in the first edition was wrong, column C gives the corrected figure and column G what the first edition printed. Discounts are negative, premiums positive.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</si>
</sst>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;\-#,##0"/>
    <numFmt numFmtId="166" formatCode="0.00%;\-0.00%"/>
    <numFmt numFmtId="167" formatCode="0.0%;\-0.0%"/>
    <numFmt numFmtId="168" formatCode="0"/>
    <numFmt numFmtId="169" formatCode="0.000"/>
    <numFmt numFmtId="170" formatCode="0.00000"/>
    <numFmt numFmtId="171" formatCode="0.00\x"/>
    <numFmt numFmtId="172" formatCode="@"/>
    <numFmt numFmtId="173" formatCode="0%"/>
    <numFmt numFmtId="174" formatCode="0.0000"/>
    <numFmt numFmtId="175" formatCode="0.0"/>
    <numFmt numFmtId="176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i val="true"/>
      <sz val="9"/>
      <color rgb="FF5A6A70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i val="true"/>
      <sz val="9"/>
      <color rgb="FF5A6A70"/>
      <name val="Cambria"/>
      <family val="0"/>
      <charset val="1"/>
    </font>
    <font>
      <sz val="9"/>
      <color rgb="FF5A6A7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b val="true"/>
      <sz val="11"/>
      <color rgb="FF1A1A1A"/>
      <name val="Cambria"/>
      <family val="0"/>
      <charset val="1"/>
    </font>
    <font>
      <sz val="10"/>
      <color rgb="FF5A6A70"/>
      <name val="Calibri"/>
      <family val="0"/>
      <charset val="1"/>
    </font>
    <font>
      <b val="true"/>
      <sz val="11"/>
      <color rgb="FF1E7A3C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8"/>
        <bgColor rgb="FFF2F5F7"/>
      </patternFill>
    </fill>
    <fill>
      <patternFill patternType="solid">
        <fgColor rgb="FF1F4E5F"/>
        <bgColor rgb="FF0B4FA0"/>
      </patternFill>
    </fill>
    <fill>
      <patternFill patternType="solid">
        <fgColor rgb="FFF2F5F7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  <border diagonalUp="false" diagonalDown="false">
      <left/>
      <right/>
      <top style="thin">
        <color rgb="FFBFC8CC"/>
      </top>
      <bottom style="thin">
        <color rgb="FFBFC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0002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1E7A3C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F2F5F7"/>
      <rgbColor rgb="FF660066"/>
      <rgbColor rgb="FFFF8080"/>
      <rgbColor rgb="FF0B4F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45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15" hidden="false" customHeight="true" outlineLevel="0" collapsed="false">
      <c r="A11" s="5" t="s">
        <v>5</v>
      </c>
    </row>
    <row r="12" customFormat="false" ht="30" hidden="false" customHeight="true" outlineLevel="0" collapsed="false">
      <c r="A12" s="5" t="s">
        <v>6</v>
      </c>
    </row>
    <row r="13" customFormat="false" ht="30" hidden="false" customHeight="true" outlineLevel="0" collapsed="false">
      <c r="A13" s="5" t="s">
        <v>7</v>
      </c>
    </row>
    <row r="14" customFormat="false" ht="30" hidden="false" customHeight="true" outlineLevel="0" collapsed="false">
      <c r="A14" s="5" t="s">
        <v>8</v>
      </c>
    </row>
    <row r="15" customFormat="false" ht="30" hidden="false" customHeight="true" outlineLevel="0" collapsed="false">
      <c r="A15" s="5" t="s">
        <v>9</v>
      </c>
    </row>
    <row r="17" customFormat="false" ht="15" hidden="false" customHeight="false" outlineLevel="0" collapsed="false">
      <c r="A17" s="4" t="s">
        <v>10</v>
      </c>
    </row>
    <row r="19" customFormat="false" ht="30" hidden="false" customHeight="true" outlineLevel="0" collapsed="false">
      <c r="A19" s="5" t="s">
        <v>11</v>
      </c>
    </row>
    <row r="21" customFormat="false" ht="15" hidden="false" customHeight="false" outlineLevel="0" collapsed="false">
      <c r="A21" s="4" t="s">
        <v>12</v>
      </c>
    </row>
    <row r="23" customFormat="false" ht="30" hidden="false" customHeight="true" outlineLevel="0" collapsed="false">
      <c r="A23" s="5" t="s">
        <v>13</v>
      </c>
    </row>
    <row r="24" customFormat="false" ht="15" hidden="false" customHeight="true" outlineLevel="0" collapsed="false">
      <c r="A24" s="5" t="s">
        <v>14</v>
      </c>
    </row>
    <row r="26" customFormat="false" ht="15" hidden="false" customHeight="false" outlineLevel="0" collapsed="false">
      <c r="A26" s="6" t="s">
        <v>15</v>
      </c>
    </row>
    <row r="27" customFormat="false" ht="28.35" hidden="false" customHeight="false" outlineLevel="0" collapsed="false">
      <c r="A27" s="5" t="s">
        <v>16</v>
      </c>
    </row>
    <row r="28" customFormat="false" ht="41.75" hidden="false" customHeight="false" outlineLevel="0" collapsed="false">
      <c r="A28" s="5" t="s">
        <v>17</v>
      </c>
    </row>
    <row r="29" customFormat="false" ht="41.75" hidden="false" customHeight="false" outlineLevel="0" collapsed="false">
      <c r="A29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62"/>
  </cols>
  <sheetData>
    <row r="1" customFormat="false" ht="24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15" hidden="false" customHeight="false" outlineLevel="0" collapsed="false">
      <c r="A5" s="4" t="s">
        <v>21</v>
      </c>
      <c r="B5" s="7"/>
      <c r="C5" s="7"/>
      <c r="D5" s="7"/>
    </row>
    <row r="7" customFormat="false" ht="15" hidden="false" customHeight="false" outlineLevel="0" collapsed="false">
      <c r="A7" s="8"/>
      <c r="B7" s="9" t="n">
        <v>6420000</v>
      </c>
      <c r="D7" s="10" t="s">
        <v>22</v>
      </c>
    </row>
    <row r="8" customFormat="false" ht="15" hidden="false" customHeight="false" outlineLevel="0" collapsed="false">
      <c r="A8" s="8"/>
      <c r="B8" s="9" t="n">
        <v>5900000</v>
      </c>
      <c r="D8" s="10" t="s">
        <v>23</v>
      </c>
    </row>
    <row r="9" customFormat="false" ht="15" hidden="false" customHeight="false" outlineLevel="0" collapsed="false">
      <c r="A9" s="8"/>
      <c r="B9" s="9" t="n">
        <v>120000</v>
      </c>
      <c r="D9" s="10" t="s">
        <v>24</v>
      </c>
    </row>
    <row r="10" customFormat="false" ht="15" hidden="false" customHeight="false" outlineLevel="0" collapsed="false">
      <c r="A10" s="8"/>
      <c r="B10" s="11" t="n">
        <v>0.0525</v>
      </c>
      <c r="D10" s="10" t="s">
        <v>25</v>
      </c>
    </row>
    <row r="11" customFormat="false" ht="15" hidden="false" customHeight="false" outlineLevel="0" collapsed="false">
      <c r="A11" s="8"/>
      <c r="B11" s="11" t="n">
        <v>0.0675</v>
      </c>
      <c r="D11" s="10" t="s">
        <v>26</v>
      </c>
    </row>
    <row r="12" customFormat="false" ht="15" hidden="false" customHeight="false" outlineLevel="0" collapsed="false">
      <c r="A12" s="8"/>
      <c r="B12" s="12" t="n">
        <v>0.04</v>
      </c>
      <c r="D12" s="10" t="s">
        <v>27</v>
      </c>
    </row>
    <row r="13" customFormat="false" ht="15" hidden="false" customHeight="false" outlineLevel="0" collapsed="false">
      <c r="A13" s="8"/>
      <c r="B13" s="9" t="n">
        <v>91500000</v>
      </c>
      <c r="D13" s="10" t="s">
        <v>28</v>
      </c>
    </row>
    <row r="15" customFormat="false" ht="15" hidden="false" customHeight="false" outlineLevel="0" collapsed="false">
      <c r="A15" s="4" t="s">
        <v>29</v>
      </c>
      <c r="B15" s="7"/>
      <c r="C15" s="7"/>
      <c r="D15" s="7"/>
    </row>
    <row r="17" customFormat="false" ht="15" hidden="false" customHeight="false" outlineLevel="0" collapsed="false">
      <c r="A17" s="13" t="s">
        <v>30</v>
      </c>
      <c r="B17" s="9" t="n">
        <v>72000000</v>
      </c>
      <c r="D17" s="10" t="s">
        <v>31</v>
      </c>
    </row>
    <row r="18" customFormat="false" ht="15" hidden="false" customHeight="false" outlineLevel="0" collapsed="false">
      <c r="A18" s="13" t="s">
        <v>32</v>
      </c>
      <c r="B18" s="11" t="n">
        <v>0.061</v>
      </c>
      <c r="D18" s="10" t="s">
        <v>33</v>
      </c>
    </row>
    <row r="20" customFormat="false" ht="15" hidden="false" customHeight="false" outlineLevel="0" collapsed="false">
      <c r="A20" s="4" t="s">
        <v>34</v>
      </c>
      <c r="B20" s="7"/>
      <c r="C20" s="7"/>
      <c r="D20" s="7"/>
    </row>
    <row r="22" customFormat="false" ht="15" hidden="false" customHeight="false" outlineLevel="0" collapsed="false">
      <c r="A22" s="13" t="s">
        <v>35</v>
      </c>
      <c r="B22" s="14" t="n">
        <v>1</v>
      </c>
      <c r="D22" s="10" t="s">
        <v>36</v>
      </c>
    </row>
    <row r="23" customFormat="false" ht="15" hidden="false" customHeight="false" outlineLevel="0" collapsed="false">
      <c r="A23" s="13" t="s">
        <v>37</v>
      </c>
      <c r="B23" s="14" t="n">
        <v>1</v>
      </c>
      <c r="D23" s="10" t="s">
        <v>38</v>
      </c>
    </row>
    <row r="24" customFormat="false" ht="15" hidden="false" customHeight="false" outlineLevel="0" collapsed="false">
      <c r="A24" s="13" t="s">
        <v>39</v>
      </c>
      <c r="B24" s="14" t="n">
        <v>1</v>
      </c>
      <c r="D24" s="10" t="s">
        <v>40</v>
      </c>
    </row>
    <row r="26" customFormat="false" ht="15" hidden="false" customHeight="false" outlineLevel="0" collapsed="false">
      <c r="A26" s="8" t="s">
        <v>41</v>
      </c>
    </row>
    <row r="28" customFormat="false" ht="15" hidden="false" customHeight="false" outlineLevel="0" collapsed="false">
      <c r="A28" s="4" t="s">
        <v>42</v>
      </c>
      <c r="B28" s="7"/>
      <c r="C28" s="7"/>
      <c r="D28" s="7"/>
    </row>
    <row r="30" customFormat="false" ht="15" hidden="false" customHeight="false" outlineLevel="0" collapsed="false">
      <c r="A30" s="13" t="s">
        <v>43</v>
      </c>
      <c r="B30" s="15" t="n">
        <v>0.685</v>
      </c>
      <c r="D30" s="10" t="s">
        <v>44</v>
      </c>
    </row>
    <row r="32" customFormat="false" ht="15" hidden="false" customHeight="false" outlineLevel="0" collapsed="false">
      <c r="A32" s="16" t="s">
        <v>45</v>
      </c>
    </row>
    <row r="34" customFormat="false" ht="15" hidden="false" customHeight="false" outlineLevel="0" collapsed="false">
      <c r="A34" s="13" t="s">
        <v>46</v>
      </c>
      <c r="B34" s="17" t="n">
        <v>12000000</v>
      </c>
      <c r="D34" s="18" t="s">
        <v>47</v>
      </c>
    </row>
    <row r="35" customFormat="false" ht="15" hidden="false" customHeight="false" outlineLevel="0" collapsed="false">
      <c r="A35" s="13" t="s">
        <v>48</v>
      </c>
      <c r="B35" s="17" t="n">
        <v>74000000</v>
      </c>
      <c r="D35" s="18" t="s">
        <v>49</v>
      </c>
    </row>
    <row r="36" customFormat="false" ht="15" hidden="false" customHeight="false" outlineLevel="0" collapsed="false">
      <c r="A36" s="13" t="s">
        <v>50</v>
      </c>
      <c r="B36" s="19" t="n">
        <v>0.03</v>
      </c>
      <c r="D36" s="18" t="s">
        <v>51</v>
      </c>
    </row>
    <row r="37" customFormat="false" ht="15" hidden="false" customHeight="false" outlineLevel="0" collapsed="false">
      <c r="A37" s="13" t="s">
        <v>52</v>
      </c>
      <c r="B37" s="17" t="n">
        <v>120000000</v>
      </c>
      <c r="D37" s="18" t="s">
        <v>53</v>
      </c>
    </row>
    <row r="38" customFormat="false" ht="15" hidden="false" customHeight="false" outlineLevel="0" collapsed="false">
      <c r="A38" s="13" t="s">
        <v>54</v>
      </c>
      <c r="B38" s="20" t="n">
        <v>12</v>
      </c>
      <c r="D38" s="18" t="s">
        <v>55</v>
      </c>
    </row>
    <row r="39" customFormat="false" ht="15" hidden="false" customHeight="false" outlineLevel="0" collapsed="false">
      <c r="A39" s="13" t="s">
        <v>56</v>
      </c>
      <c r="B39" s="19" t="n">
        <v>0.07</v>
      </c>
      <c r="D39" s="18" t="s">
        <v>57</v>
      </c>
    </row>
    <row r="41" customFormat="false" ht="15" hidden="false" customHeight="false" outlineLevel="0" collapsed="false">
      <c r="A41" s="16" t="s">
        <v>58</v>
      </c>
    </row>
    <row r="43" customFormat="false" ht="15" hidden="false" customHeight="false" outlineLevel="0" collapsed="false">
      <c r="A43" s="13" t="s">
        <v>59</v>
      </c>
      <c r="B43" s="17" t="n">
        <v>64000000</v>
      </c>
      <c r="D43" s="18" t="s">
        <v>60</v>
      </c>
    </row>
    <row r="44" customFormat="false" ht="15" hidden="false" customHeight="false" outlineLevel="0" collapsed="false">
      <c r="A44" s="13" t="s">
        <v>61</v>
      </c>
      <c r="B44" s="17" t="n">
        <v>4480000</v>
      </c>
      <c r="D44" s="18" t="s">
        <v>62</v>
      </c>
    </row>
    <row r="45" customFormat="false" ht="15" hidden="false" customHeight="false" outlineLevel="0" collapsed="false">
      <c r="A45" s="13" t="s">
        <v>63</v>
      </c>
      <c r="B45" s="17" t="n">
        <v>900000</v>
      </c>
      <c r="D45" s="18" t="s">
        <v>64</v>
      </c>
    </row>
    <row r="46" customFormat="false" ht="15" hidden="false" customHeight="false" outlineLevel="0" collapsed="false">
      <c r="A46" s="13" t="s">
        <v>65</v>
      </c>
      <c r="B46" s="20" t="n">
        <v>20</v>
      </c>
      <c r="D46" s="18"/>
    </row>
    <row r="47" customFormat="false" ht="15" hidden="false" customHeight="false" outlineLevel="0" collapsed="false">
      <c r="A47" s="13" t="s">
        <v>56</v>
      </c>
      <c r="B47" s="19" t="n">
        <v>0.08</v>
      </c>
      <c r="D47" s="18" t="s">
        <v>66</v>
      </c>
    </row>
    <row r="48" customFormat="false" ht="15" hidden="false" customHeight="false" outlineLevel="0" collapsed="false">
      <c r="A48" s="13" t="s">
        <v>67</v>
      </c>
      <c r="B48" s="17" t="n">
        <v>14000000</v>
      </c>
      <c r="D48" s="18" t="s">
        <v>68</v>
      </c>
    </row>
  </sheetData>
  <dataValidations count="3">
    <dataValidation allowBlank="false" errorStyle="stop" operator="between" showDropDown="false" showErrorMessage="false" showInputMessage="false" sqref="B22" type="list">
      <formula1>"1,0"</formula1>
      <formula2>0</formula2>
    </dataValidation>
    <dataValidation allowBlank="false" errorStyle="stop" operator="between" showDropDown="false" showErrorMessage="false" showInputMessage="false" sqref="B23" type="list">
      <formula1>"1,0"</formula1>
      <formula2>0</formula2>
    </dataValidation>
    <dataValidation allowBlank="false" errorStyle="stop" operator="between" showDropDown="false" showErrorMessage="false" showInputMessage="false" sqref="B24" type="list">
      <formula1>"1,0"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20"/>
    <col collapsed="false" customWidth="true" hidden="false" outlineLevel="0" max="4" min="4" style="0" width="4"/>
    <col collapsed="false" customWidth="true" hidden="false" outlineLevel="0" max="5" min="5" style="0" width="58"/>
  </cols>
  <sheetData>
    <row r="1" customFormat="false" ht="24" hidden="false" customHeight="tru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3" customFormat="false" ht="15" hidden="false" customHeight="false" outlineLevel="0" collapsed="false">
      <c r="A3" s="3"/>
      <c r="B3" s="3"/>
      <c r="C3" s="3"/>
      <c r="D3" s="3"/>
      <c r="E3" s="3"/>
    </row>
    <row r="5" customFormat="false" ht="30" hidden="false" customHeight="true" outlineLevel="0" collapsed="false">
      <c r="A5" s="21" t="s">
        <v>71</v>
      </c>
      <c r="B5" s="22" t="s">
        <v>72</v>
      </c>
      <c r="C5" s="22" t="s">
        <v>73</v>
      </c>
    </row>
    <row r="6" customFormat="false" ht="15" hidden="false" customHeight="false" outlineLevel="0" collapsed="false">
      <c r="A6" s="23" t="s">
        <v>74</v>
      </c>
      <c r="B6" s="13" t="s">
        <v>75</v>
      </c>
      <c r="C6" s="24" t="n">
        <f aca="false">PassingRent-Irrecoverable</f>
        <v>6300000</v>
      </c>
    </row>
    <row r="7" customFormat="false" ht="15" hidden="false" customHeight="false" outlineLevel="0" collapsed="false">
      <c r="A7" s="25" t="s">
        <v>76</v>
      </c>
      <c r="B7" s="25" t="str">
        <f aca="false">IF(SwOverRent=1,"Remove over-rent ("&amp;TEXT(PassingRent,"#,##0")&amp;" to "&amp;TEXT(MarketRent,"#,##0")&amp;")","Over-rent NOT removed - passing rent kept")</f>
        <v>Remove over-rent (6,420,000 to 5,900,000)</v>
      </c>
      <c r="C7" s="26" t="n">
        <f aca="false">IF(SwOverRent=1,MarketRent,PassingRent)-Irrecoverable</f>
        <v>5780000</v>
      </c>
    </row>
    <row r="8" customFormat="false" ht="15" hidden="false" customHeight="false" outlineLevel="0" collapsed="false">
      <c r="A8" s="13" t="s">
        <v>77</v>
      </c>
      <c r="B8" s="13" t="str">
        <f aca="false">IF(SwYield=1,"Capitalise at forced-sale yield "&amp;TEXT(ForcedYield,"0.00%")&amp;" instead of "&amp;TEXT(MarketYield,"0.00%"),"Capitalise at market yield "&amp;TEXT(MarketYield,"0.00%"))</f>
        <v>Capitalise at forced-sale yield 6.75% instead of 5.25%</v>
      </c>
      <c r="C8" s="24" t="n">
        <f aca="false">C7/IF(SwYield=1,ForcedYield,MarketYield)</f>
        <v>85629629.6296296</v>
      </c>
    </row>
    <row r="9" customFormat="false" ht="15" hidden="false" customHeight="false" outlineLevel="0" collapsed="false">
      <c r="A9" s="25" t="s">
        <v>78</v>
      </c>
      <c r="B9" s="25" t="str">
        <f aca="false">IF(SwCosts=1,"Deduct realisation costs at "&amp;TEXT(RealisationCosts,"0.0%"),"No realisation costs deducted")</f>
        <v>Deduct realisation costs at 4.0%</v>
      </c>
      <c r="C9" s="26" t="n">
        <f aca="false">C8*(1-IF(SwCosts=1,RealisationCosts,0))</f>
        <v>82204444.4444444</v>
      </c>
    </row>
    <row r="10" customFormat="false" ht="15" hidden="false" customHeight="false" outlineLevel="0" collapsed="false">
      <c r="A10" s="27"/>
      <c r="B10" s="28" t="s">
        <v>79</v>
      </c>
      <c r="C10" s="29" t="n">
        <f aca="false">C9</f>
        <v>82204444.4444444</v>
      </c>
    </row>
    <row r="11" customFormat="false" ht="15" hidden="false" customHeight="false" outlineLevel="0" collapsed="false">
      <c r="B11" s="13" t="s">
        <v>80</v>
      </c>
      <c r="C11" s="24" t="n">
        <f aca="false">ROUND(C10,-4)</f>
        <v>82200000</v>
      </c>
    </row>
    <row r="13" customFormat="false" ht="15" hidden="false" customHeight="false" outlineLevel="0" collapsed="false">
      <c r="A13" s="4" t="s">
        <v>81</v>
      </c>
      <c r="B13" s="7"/>
      <c r="C13" s="7"/>
      <c r="D13" s="7"/>
      <c r="E13" s="7"/>
    </row>
    <row r="15" customFormat="false" ht="15" hidden="false" customHeight="false" outlineLevel="0" collapsed="false">
      <c r="B15" s="13" t="s">
        <v>82</v>
      </c>
      <c r="C15" s="24" t="n">
        <f aca="false">(PassingRent-Irrecoverable)/MarketYield</f>
        <v>120000000</v>
      </c>
    </row>
    <row r="16" customFormat="false" ht="15" hidden="false" customHeight="false" outlineLevel="0" collapsed="false">
      <c r="B16" s="13" t="s">
        <v>83</v>
      </c>
      <c r="C16" s="24" t="n">
        <f aca="false">C10</f>
        <v>82204444.4444444</v>
      </c>
    </row>
    <row r="17" customFormat="false" ht="15" hidden="false" customHeight="false" outlineLevel="0" collapsed="false">
      <c r="B17" s="30" t="s">
        <v>84</v>
      </c>
      <c r="C17" s="31" t="n">
        <f aca="false">C15-C10</f>
        <v>37795555.5555556</v>
      </c>
    </row>
    <row r="18" customFormat="false" ht="15" hidden="false" customHeight="false" outlineLevel="0" collapsed="false">
      <c r="B18" s="13" t="s">
        <v>85</v>
      </c>
      <c r="C18" s="32" t="n">
        <f aca="false">C17/C15</f>
        <v>0.314962962962963</v>
      </c>
    </row>
    <row r="19" customFormat="false" ht="15" hidden="false" customHeight="false" outlineLevel="0" collapsed="false">
      <c r="B19" s="13" t="s">
        <v>86</v>
      </c>
      <c r="C19" s="33" t="n">
        <f aca="false">C10/C15</f>
        <v>0.685037037037037</v>
      </c>
    </row>
    <row r="20" customFormat="false" ht="15" hidden="false" customHeight="false" outlineLevel="0" collapsed="false">
      <c r="A20" s="8" t="s">
        <v>87</v>
      </c>
    </row>
    <row r="22" customFormat="false" ht="15" hidden="false" customHeight="false" outlineLevel="0" collapsed="false">
      <c r="A22" s="4" t="s">
        <v>88</v>
      </c>
      <c r="B22" s="7"/>
      <c r="C22" s="7"/>
      <c r="D22" s="7"/>
      <c r="E22" s="7"/>
    </row>
    <row r="24" customFormat="false" ht="30" hidden="false" customHeight="true" outlineLevel="0" collapsed="false">
      <c r="A24" s="21"/>
      <c r="B24" s="22" t="s">
        <v>89</v>
      </c>
      <c r="C24" s="22" t="s">
        <v>90</v>
      </c>
      <c r="D24" s="22"/>
      <c r="E24" s="22" t="s">
        <v>91</v>
      </c>
    </row>
    <row r="25" customFormat="false" ht="15" hidden="false" customHeight="false" outlineLevel="0" collapsed="false">
      <c r="B25" s="13" t="s">
        <v>92</v>
      </c>
      <c r="C25" s="24" t="n">
        <f aca="false">(PassingRent-Irrecoverable)/IF(SwYield=1,ForcedYield,MarketYield)*(1-IF(SwCosts=1,RealisationCosts,0))</f>
        <v>89600000</v>
      </c>
      <c r="E25" s="24" t="n">
        <f aca="false">C25-C10</f>
        <v>7395555.55555555</v>
      </c>
    </row>
    <row r="26" customFormat="false" ht="15" hidden="false" customHeight="false" outlineLevel="0" collapsed="false">
      <c r="B26" s="13" t="s">
        <v>93</v>
      </c>
      <c r="C26" s="24" t="n">
        <f aca="false">C7/MarketYield*(1-IF(SwCosts=1,RealisationCosts,0))</f>
        <v>105691428.571429</v>
      </c>
      <c r="E26" s="24" t="n">
        <f aca="false">C26-C10</f>
        <v>23486984.1269842</v>
      </c>
    </row>
    <row r="27" customFormat="false" ht="15" hidden="false" customHeight="false" outlineLevel="0" collapsed="false">
      <c r="B27" s="13" t="s">
        <v>94</v>
      </c>
      <c r="C27" s="24" t="n">
        <f aca="false">C8</f>
        <v>85629629.6296296</v>
      </c>
      <c r="E27" s="24" t="n">
        <f aca="false">C27-C10</f>
        <v>3425185.18518519</v>
      </c>
    </row>
    <row r="29" customFormat="false" ht="15" hidden="false" customHeight="false" outlineLevel="0" collapsed="false">
      <c r="A29" s="8" t="s">
        <v>95</v>
      </c>
    </row>
    <row r="31" customFormat="false" ht="15" hidden="false" customHeight="false" outlineLevel="0" collapsed="false">
      <c r="A31" s="4" t="s">
        <v>96</v>
      </c>
      <c r="B31" s="7"/>
      <c r="C31" s="7"/>
      <c r="D31" s="7"/>
      <c r="E31" s="7"/>
    </row>
    <row r="33" customFormat="false" ht="15" hidden="false" customHeight="false" outlineLevel="0" collapsed="false">
      <c r="B33" s="13" t="s">
        <v>97</v>
      </c>
      <c r="C33" s="32" t="n">
        <f aca="false">LoanAmount/C15</f>
        <v>0.6</v>
      </c>
    </row>
    <row r="34" customFormat="false" ht="15" hidden="false" customHeight="false" outlineLevel="0" collapsed="false">
      <c r="B34" s="13" t="s">
        <v>98</v>
      </c>
      <c r="C34" s="32" t="n">
        <f aca="false">LoanAmount/C10</f>
        <v>0.875865051903114</v>
      </c>
    </row>
    <row r="35" customFormat="false" ht="15" hidden="false" customHeight="false" outlineLevel="0" collapsed="false">
      <c r="A35" s="8" t="s">
        <v>99</v>
      </c>
    </row>
    <row r="37" customFormat="false" ht="15" hidden="false" customHeight="false" outlineLevel="0" collapsed="false">
      <c r="A37" s="4" t="s">
        <v>100</v>
      </c>
      <c r="B37" s="7"/>
      <c r="C37" s="7"/>
      <c r="D37" s="7"/>
      <c r="E37" s="7"/>
    </row>
    <row r="39" customFormat="false" ht="15" hidden="false" customHeight="false" outlineLevel="0" collapsed="false">
      <c r="B39" s="13" t="s">
        <v>101</v>
      </c>
      <c r="C39" s="34" t="n">
        <f aca="false">0.0001/MarketYield</f>
        <v>0.00190476190476191</v>
      </c>
    </row>
    <row r="40" customFormat="false" ht="15" hidden="false" customHeight="false" outlineLevel="0" collapsed="false">
      <c r="B40" s="13" t="s">
        <v>102</v>
      </c>
      <c r="C40" s="34" t="n">
        <f aca="false">0.0001/ForcedYield</f>
        <v>0.00148148148148148</v>
      </c>
    </row>
    <row r="41" customFormat="false" ht="15" hidden="false" customHeight="false" outlineLevel="0" collapsed="false">
      <c r="B41" s="13" t="s">
        <v>103</v>
      </c>
      <c r="C41" s="32" t="n">
        <f aca="false">0.0025/MarketYield</f>
        <v>0.0476190476190476</v>
      </c>
    </row>
    <row r="42" customFormat="false" ht="15" hidden="false" customHeight="false" outlineLevel="0" collapsed="false">
      <c r="A42" s="8" t="s">
        <v>104</v>
      </c>
    </row>
    <row r="44" customFormat="false" ht="15" hidden="false" customHeight="false" outlineLevel="0" collapsed="false">
      <c r="A44" s="16" t="s">
        <v>105</v>
      </c>
    </row>
    <row r="46" customFormat="false" ht="15" hidden="false" customHeight="false" outlineLevel="0" collapsed="false">
      <c r="B46" s="13" t="s">
        <v>106</v>
      </c>
      <c r="C46" s="32" t="n">
        <f aca="false">MarketYield/(MarketYield+0.0025)-1</f>
        <v>-0.0454545454545455</v>
      </c>
    </row>
    <row r="47" customFormat="false" ht="15" hidden="false" customHeight="false" outlineLevel="0" collapsed="false">
      <c r="B47" s="13" t="s">
        <v>107</v>
      </c>
      <c r="C47" s="32" t="n">
        <f aca="false">MarketYield/(MarketYield-0.0025)-1</f>
        <v>0.05</v>
      </c>
    </row>
    <row r="48" customFormat="false" ht="15" hidden="false" customHeight="false" outlineLevel="0" collapsed="false">
      <c r="B48" s="13" t="s">
        <v>108</v>
      </c>
      <c r="C48" s="32" t="n">
        <f aca="false">0.0025/MarketYield</f>
        <v>0.0476190476190476</v>
      </c>
    </row>
    <row r="49" customFormat="false" ht="15" hidden="false" customHeight="false" outlineLevel="0" collapsed="false">
      <c r="A49" s="18" t="s">
        <v>109</v>
      </c>
    </row>
    <row r="51" customFormat="false" ht="15" hidden="false" customHeight="false" outlineLevel="0" collapsed="false">
      <c r="A51" s="16" t="s">
        <v>110</v>
      </c>
    </row>
    <row r="53" customFormat="false" ht="15" hidden="false" customHeight="false" outlineLevel="0" collapsed="false">
      <c r="B53" s="13" t="s">
        <v>111</v>
      </c>
      <c r="C53" s="34" t="n">
        <f aca="false">MarketYield+AltWidening</f>
        <v>0.0825</v>
      </c>
    </row>
    <row r="54" customFormat="false" ht="15" hidden="false" customHeight="false" outlineLevel="0" collapsed="false">
      <c r="B54" s="13" t="s">
        <v>83</v>
      </c>
      <c r="C54" s="24" t="n">
        <f aca="false">(MarketRent-Irrecoverable)/C53*(1-RealisationCosts)</f>
        <v>67258181.8181818</v>
      </c>
    </row>
    <row r="55" customFormat="false" ht="15" hidden="false" customHeight="false" outlineLevel="0" collapsed="false">
      <c r="B55" s="13" t="s">
        <v>112</v>
      </c>
      <c r="C55" s="24" t="n">
        <f aca="false">MAX(0,LoanAmount-C54)</f>
        <v>4741818.18181819</v>
      </c>
    </row>
    <row r="56" customFormat="false" ht="15" hidden="false" customHeight="false" outlineLevel="0" collapsed="false">
      <c r="A56" s="18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4"/>
    <col collapsed="false" customWidth="true" hidden="false" outlineLevel="0" max="3" min="3" style="0" width="20"/>
    <col collapsed="false" customWidth="true" hidden="false" outlineLevel="0" max="4" min="4" style="0" width="16"/>
  </cols>
  <sheetData>
    <row r="1" customFormat="false" ht="24" hidden="false" customHeight="tru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30" hidden="false" customHeight="true" outlineLevel="0" collapsed="false">
      <c r="A5" s="21" t="s">
        <v>116</v>
      </c>
      <c r="B5" s="22" t="s">
        <v>117</v>
      </c>
      <c r="C5" s="22" t="s">
        <v>118</v>
      </c>
      <c r="D5" s="22" t="s">
        <v>119</v>
      </c>
    </row>
    <row r="6" customFormat="false" ht="15" hidden="false" customHeight="false" outlineLevel="0" collapsed="false">
      <c r="A6" s="30" t="s">
        <v>120</v>
      </c>
      <c r="B6" s="13" t="s">
        <v>121</v>
      </c>
      <c r="C6" s="24" t="n">
        <f aca="false">'The Bridge'!C15</f>
        <v>120000000</v>
      </c>
      <c r="D6" s="32" t="n">
        <f aca="false">C6/'The Bridge'!C15-1</f>
        <v>0</v>
      </c>
    </row>
    <row r="7" customFormat="false" ht="15" hidden="false" customHeight="false" outlineLevel="0" collapsed="false">
      <c r="A7" s="35" t="s">
        <v>122</v>
      </c>
      <c r="B7" s="25" t="s">
        <v>123</v>
      </c>
      <c r="C7" s="26" t="n">
        <f aca="false">'The Bridge'!C10</f>
        <v>82204444.4444444</v>
      </c>
      <c r="D7" s="36" t="n">
        <f aca="false">C7/'The Bridge'!C15-1</f>
        <v>-0.314962962962963</v>
      </c>
    </row>
    <row r="8" customFormat="false" ht="15" hidden="false" customHeight="false" outlineLevel="0" collapsed="false">
      <c r="A8" s="30" t="s">
        <v>124</v>
      </c>
      <c r="B8" s="13" t="s">
        <v>125</v>
      </c>
      <c r="C8" s="24" t="n">
        <f aca="false">LoanAmount</f>
        <v>72000000</v>
      </c>
      <c r="D8" s="32" t="n">
        <f aca="false">C8/'The Bridge'!C15-1</f>
        <v>-0.4</v>
      </c>
    </row>
    <row r="9" customFormat="false" ht="15" hidden="false" customHeight="false" outlineLevel="0" collapsed="false">
      <c r="A9" s="35" t="s">
        <v>126</v>
      </c>
      <c r="B9" s="25" t="s">
        <v>127</v>
      </c>
      <c r="C9" s="26" t="n">
        <f aca="false">'The Bridge'!C15*UnsmoothRatio</f>
        <v>115555555.555556</v>
      </c>
      <c r="D9" s="36" t="n">
        <f aca="false">C9/'The Bridge'!C15-1</f>
        <v>-0.0370370370370371</v>
      </c>
    </row>
    <row r="11" customFormat="false" ht="15" hidden="false" customHeight="false" outlineLevel="0" collapsed="false">
      <c r="A11" s="13" t="s">
        <v>128</v>
      </c>
      <c r="C11" s="24" t="n">
        <f aca="false">MAX(C6,C7,C9)-MIN(C6,C7,C9)</f>
        <v>37795555.5555556</v>
      </c>
    </row>
    <row r="12" customFormat="false" ht="15" hidden="false" customHeight="false" outlineLevel="0" collapsed="false">
      <c r="A12" s="18" t="s">
        <v>129</v>
      </c>
    </row>
    <row r="13" customFormat="false" ht="15" hidden="false" customHeight="false" outlineLevel="0" collapsed="false">
      <c r="A13" s="4" t="s">
        <v>130</v>
      </c>
      <c r="B13" s="7"/>
      <c r="C13" s="7"/>
      <c r="D13" s="7"/>
    </row>
    <row r="15" customFormat="false" ht="15" hidden="false" customHeight="false" outlineLevel="0" collapsed="false">
      <c r="B15" s="13" t="s">
        <v>131</v>
      </c>
      <c r="C15" s="37" t="n">
        <v>0.962962962962963</v>
      </c>
    </row>
    <row r="16" customFormat="false" ht="15" hidden="false" customHeight="false" outlineLevel="0" collapsed="false">
      <c r="A16" s="8" t="s">
        <v>132</v>
      </c>
    </row>
    <row r="18" customFormat="false" ht="15" hidden="false" customHeight="false" outlineLevel="0" collapsed="false">
      <c r="A18" s="4" t="s">
        <v>133</v>
      </c>
      <c r="B18" s="7"/>
      <c r="C18" s="7"/>
      <c r="D18" s="7"/>
    </row>
    <row r="20" customFormat="false" ht="15" hidden="false" customHeight="false" outlineLevel="0" collapsed="false">
      <c r="B20" s="13" t="s">
        <v>67</v>
      </c>
      <c r="C20" s="24" t="n">
        <f aca="false">VacantPossession</f>
        <v>91500000</v>
      </c>
    </row>
    <row r="21" customFormat="false" ht="15" hidden="false" customHeight="false" outlineLevel="0" collapsed="false">
      <c r="B21" s="13" t="s">
        <v>134</v>
      </c>
      <c r="C21" s="38" t="n">
        <f aca="false">'The Bridge'!C15/VacantPossession</f>
        <v>1.31147540983607</v>
      </c>
    </row>
    <row r="22" customFormat="false" ht="15" hidden="false" customHeight="false" outlineLevel="0" collapsed="false">
      <c r="B22" s="13" t="s">
        <v>135</v>
      </c>
      <c r="C22" s="39" t="str">
        <f aca="false">IF(C21&gt;1.5,"Above 1.5x - the building is incidental; this is credit with a building attached","Below 1.5x - a building with a credit overlay")</f>
        <v>Below 1.5x - a building with a credit overlay</v>
      </c>
    </row>
    <row r="23" customFormat="false" ht="15" hidden="false" customHeight="false" outlineLevel="0" collapsed="false">
      <c r="B23" s="13" t="s">
        <v>136</v>
      </c>
      <c r="C23" s="24" t="n">
        <f aca="false">'The Bridge'!C10-VacantPossession</f>
        <v>-9295555.55555557</v>
      </c>
    </row>
    <row r="24" customFormat="false" ht="15" hidden="false" customHeight="false" outlineLevel="0" collapsed="false">
      <c r="A24" s="8" t="s">
        <v>137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22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4"/>
    <col collapsed="false" customWidth="true" hidden="false" outlineLevel="0" max="7" min="7" style="0" width="46"/>
  </cols>
  <sheetData>
    <row r="1" customFormat="false" ht="24" hidden="false" customHeight="true" outlineLevel="0" collapsed="false">
      <c r="A1" s="1" t="s">
        <v>138</v>
      </c>
    </row>
    <row r="2" customFormat="false" ht="15" hidden="false" customHeight="false" outlineLevel="0" collapsed="false">
      <c r="A2" s="2" t="s">
        <v>139</v>
      </c>
    </row>
    <row r="3" customFormat="false" ht="15" hidden="false" customHeight="false" outlineLevel="0" collapsed="false">
      <c r="A3" s="3"/>
      <c r="B3" s="3"/>
      <c r="C3" s="3"/>
      <c r="D3" s="3"/>
      <c r="E3" s="3"/>
    </row>
    <row r="5" customFormat="false" ht="15" hidden="false" customHeight="false" outlineLevel="0" collapsed="false">
      <c r="A5" s="4" t="s">
        <v>140</v>
      </c>
      <c r="B5" s="7"/>
      <c r="C5" s="7"/>
      <c r="D5" s="7"/>
      <c r="E5" s="7"/>
    </row>
    <row r="7" customFormat="false" ht="15" hidden="false" customHeight="false" outlineLevel="0" collapsed="false">
      <c r="A7" s="13" t="s">
        <v>30</v>
      </c>
      <c r="B7" s="24" t="n">
        <f aca="false">LoanAmount</f>
        <v>72000000</v>
      </c>
    </row>
    <row r="8" customFormat="false" ht="15" hidden="false" customHeight="false" outlineLevel="0" collapsed="false">
      <c r="A8" s="13" t="s">
        <v>141</v>
      </c>
      <c r="B8" s="40" t="n">
        <f aca="false">RecoveryFactor</f>
        <v>0.685</v>
      </c>
    </row>
    <row r="9" customFormat="false" ht="15" hidden="false" customHeight="false" outlineLevel="0" collapsed="false">
      <c r="A9" s="30" t="s">
        <v>142</v>
      </c>
      <c r="B9" s="31" t="n">
        <f aca="false">LoanAmount/RecoveryFactor</f>
        <v>105109489.051095</v>
      </c>
    </row>
    <row r="10" customFormat="false" ht="15" hidden="false" customHeight="false" outlineLevel="0" collapsed="false">
      <c r="A10" s="13" t="s">
        <v>143</v>
      </c>
      <c r="B10" s="32" t="n">
        <f aca="false">B9/'The Bridge'!C15-1</f>
        <v>-0.124087591240876</v>
      </c>
    </row>
    <row r="11" customFormat="false" ht="15" hidden="false" customHeight="false" outlineLevel="0" collapsed="false">
      <c r="A11" s="8" t="s">
        <v>144</v>
      </c>
    </row>
    <row r="13" customFormat="false" ht="15" hidden="false" customHeight="false" outlineLevel="0" collapsed="false">
      <c r="A13" s="4" t="s">
        <v>145</v>
      </c>
      <c r="B13" s="7"/>
      <c r="C13" s="7"/>
      <c r="D13" s="7"/>
      <c r="E13" s="7"/>
    </row>
    <row r="15" customFormat="false" ht="30" hidden="false" customHeight="true" outlineLevel="0" collapsed="false">
      <c r="A15" s="21" t="s">
        <v>146</v>
      </c>
      <c r="B15" s="22" t="s">
        <v>83</v>
      </c>
      <c r="C15" s="22" t="s">
        <v>147</v>
      </c>
      <c r="D15" s="22" t="s">
        <v>148</v>
      </c>
      <c r="E15" s="22" t="s">
        <v>149</v>
      </c>
    </row>
    <row r="16" customFormat="false" ht="15" hidden="false" customHeight="false" outlineLevel="0" collapsed="false">
      <c r="A16" s="9" t="n">
        <v>140000000</v>
      </c>
      <c r="B16" s="24" t="n">
        <f aca="false">A16*RecoveryFactor</f>
        <v>95900000</v>
      </c>
      <c r="C16" s="24" t="n">
        <f aca="false">MIN(B16,LoanAmount)</f>
        <v>72000000</v>
      </c>
      <c r="D16" s="24" t="n">
        <f aca="false">LoanAmount-C16</f>
        <v>0</v>
      </c>
      <c r="E16" s="24" t="n">
        <f aca="false">MAX(0,A16-LoanAmount)*IF(B16&gt;=LoanAmount,1,0)</f>
        <v>68000000</v>
      </c>
    </row>
    <row r="17" customFormat="false" ht="15" hidden="false" customHeight="false" outlineLevel="0" collapsed="false">
      <c r="A17" s="41" t="n">
        <v>120000000</v>
      </c>
      <c r="B17" s="26" t="n">
        <f aca="false">A17*RecoveryFactor</f>
        <v>82200000</v>
      </c>
      <c r="C17" s="26" t="n">
        <f aca="false">MIN(B17,LoanAmount)</f>
        <v>72000000</v>
      </c>
      <c r="D17" s="26" t="n">
        <f aca="false">LoanAmount-C17</f>
        <v>0</v>
      </c>
      <c r="E17" s="26" t="n">
        <f aca="false">MAX(0,A17-LoanAmount)*IF(B17&gt;=LoanAmount,1,0)</f>
        <v>48000000</v>
      </c>
    </row>
    <row r="18" customFormat="false" ht="15" hidden="false" customHeight="false" outlineLevel="0" collapsed="false">
      <c r="A18" s="9" t="n">
        <v>110000000</v>
      </c>
      <c r="B18" s="24" t="n">
        <f aca="false">A18*RecoveryFactor</f>
        <v>75350000</v>
      </c>
      <c r="C18" s="24" t="n">
        <f aca="false">MIN(B18,LoanAmount)</f>
        <v>72000000</v>
      </c>
      <c r="D18" s="24" t="n">
        <f aca="false">LoanAmount-C18</f>
        <v>0</v>
      </c>
      <c r="E18" s="24" t="n">
        <f aca="false">MAX(0,A18-LoanAmount)*IF(B18&gt;=LoanAmount,1,0)</f>
        <v>38000000</v>
      </c>
    </row>
    <row r="19" customFormat="false" ht="15" hidden="false" customHeight="false" outlineLevel="0" collapsed="false">
      <c r="A19" s="42" t="n">
        <f aca="false">$B$9</f>
        <v>105109489.051095</v>
      </c>
      <c r="B19" s="26" t="n">
        <f aca="false">A19*RecoveryFactor</f>
        <v>72000000</v>
      </c>
      <c r="C19" s="26" t="n">
        <f aca="false">MIN(B19,LoanAmount)</f>
        <v>72000000</v>
      </c>
      <c r="D19" s="26" t="n">
        <f aca="false">LoanAmount-C19</f>
        <v>0</v>
      </c>
      <c r="E19" s="26" t="n">
        <f aca="false">MAX(0,A19-LoanAmount)*IF(B19&gt;=LoanAmount,1,0)</f>
        <v>33109489.0510949</v>
      </c>
    </row>
    <row r="20" customFormat="false" ht="15" hidden="false" customHeight="false" outlineLevel="0" collapsed="false">
      <c r="A20" s="9" t="n">
        <v>100000000</v>
      </c>
      <c r="B20" s="24" t="n">
        <f aca="false">A20*RecoveryFactor</f>
        <v>68500000</v>
      </c>
      <c r="C20" s="24" t="n">
        <f aca="false">MIN(B20,LoanAmount)</f>
        <v>68500000</v>
      </c>
      <c r="D20" s="24" t="n">
        <f aca="false">LoanAmount-C20</f>
        <v>3500000</v>
      </c>
      <c r="E20" s="24" t="n">
        <f aca="false">MAX(0,A20-LoanAmount)*IF(B20&gt;=LoanAmount,1,0)</f>
        <v>0</v>
      </c>
    </row>
    <row r="21" customFormat="false" ht="15" hidden="false" customHeight="false" outlineLevel="0" collapsed="false">
      <c r="A21" s="41" t="n">
        <v>90000000</v>
      </c>
      <c r="B21" s="26" t="n">
        <f aca="false">A21*RecoveryFactor</f>
        <v>61650000</v>
      </c>
      <c r="C21" s="26" t="n">
        <f aca="false">MIN(B21,LoanAmount)</f>
        <v>61650000</v>
      </c>
      <c r="D21" s="26" t="n">
        <f aca="false">LoanAmount-C21</f>
        <v>10350000</v>
      </c>
      <c r="E21" s="26" t="n">
        <f aca="false">MAX(0,A21-LoanAmount)*IF(B21&gt;=LoanAmount,1,0)</f>
        <v>0</v>
      </c>
    </row>
    <row r="22" customFormat="false" ht="15" hidden="false" customHeight="false" outlineLevel="0" collapsed="false">
      <c r="A22" s="9" t="n">
        <v>80000000</v>
      </c>
      <c r="B22" s="24" t="n">
        <f aca="false">A22*RecoveryFactor</f>
        <v>54800000</v>
      </c>
      <c r="C22" s="24" t="n">
        <f aca="false">MIN(B22,LoanAmount)</f>
        <v>54800000</v>
      </c>
      <c r="D22" s="24" t="n">
        <f aca="false">LoanAmount-C22</f>
        <v>17200000</v>
      </c>
      <c r="E22" s="24" t="n">
        <f aca="false">MAX(0,A22-LoanAmount)*IF(B22&gt;=LoanAmount,1,0)</f>
        <v>0</v>
      </c>
    </row>
    <row r="24" customFormat="false" ht="15" hidden="false" customHeight="false" outlineLevel="0" collapsed="false">
      <c r="A24" s="8" t="s">
        <v>150</v>
      </c>
    </row>
    <row r="26" customFormat="false" ht="15" hidden="false" customHeight="false" outlineLevel="0" collapsed="false">
      <c r="A26" s="4" t="s">
        <v>151</v>
      </c>
      <c r="B26" s="7"/>
      <c r="C26" s="7"/>
      <c r="D26" s="7"/>
      <c r="E26" s="7"/>
    </row>
    <row r="28" customFormat="false" ht="15" hidden="false" customHeight="false" outlineLevel="0" collapsed="false">
      <c r="A28" s="13" t="s">
        <v>152</v>
      </c>
      <c r="B28" s="24" t="n">
        <f aca="false">LoanAmount</f>
        <v>72000000</v>
      </c>
    </row>
    <row r="29" customFormat="false" ht="15" hidden="false" customHeight="false" outlineLevel="0" collapsed="false">
      <c r="A29" s="13" t="s">
        <v>153</v>
      </c>
      <c r="B29" s="24" t="n">
        <f aca="false">LoanAmount*ForcedYield/(1-RealisationCosts)</f>
        <v>5062500</v>
      </c>
    </row>
    <row r="30" customFormat="false" ht="15" hidden="false" customHeight="false" outlineLevel="0" collapsed="false">
      <c r="A30" s="13" t="s">
        <v>154</v>
      </c>
      <c r="B30" s="32" t="n">
        <f aca="false">B29/(MarketRent-Irrecoverable)-1</f>
        <v>-0.124134948096886</v>
      </c>
    </row>
    <row r="31" customFormat="false" ht="15" hidden="false" customHeight="false" outlineLevel="0" collapsed="false">
      <c r="A31" s="13" t="s">
        <v>155</v>
      </c>
      <c r="B31" s="32" t="n">
        <f aca="false">B29/(PassingRent-Irrecoverable)-1</f>
        <v>-0.196428571428571</v>
      </c>
    </row>
    <row r="32" customFormat="false" ht="15" hidden="false" customHeight="false" outlineLevel="0" collapsed="false">
      <c r="A32" s="8" t="s">
        <v>156</v>
      </c>
    </row>
    <row r="34" customFormat="false" ht="15" hidden="false" customHeight="false" outlineLevel="0" collapsed="false">
      <c r="A34" s="4" t="s">
        <v>157</v>
      </c>
      <c r="B34" s="7"/>
      <c r="C34" s="7"/>
      <c r="D34" s="7"/>
      <c r="E34" s="7"/>
    </row>
    <row r="36" customFormat="false" ht="15" hidden="false" customHeight="false" outlineLevel="0" collapsed="false">
      <c r="A36" s="13" t="s">
        <v>158</v>
      </c>
      <c r="B36" s="24" t="n">
        <f aca="false">PassingRent-Irrecoverable</f>
        <v>6300000</v>
      </c>
    </row>
    <row r="37" customFormat="false" ht="15" hidden="false" customHeight="false" outlineLevel="0" collapsed="false">
      <c r="A37" s="13" t="s">
        <v>159</v>
      </c>
      <c r="B37" s="24" t="n">
        <f aca="false">LoanAmount*AllInRate</f>
        <v>4392000</v>
      </c>
    </row>
    <row r="38" customFormat="false" ht="15" hidden="false" customHeight="false" outlineLevel="0" collapsed="false">
      <c r="A38" s="13" t="s">
        <v>160</v>
      </c>
      <c r="B38" s="24" t="n">
        <f aca="false">B36-B37</f>
        <v>1908000</v>
      </c>
    </row>
    <row r="39" customFormat="false" ht="15" hidden="false" customHeight="false" outlineLevel="0" collapsed="false">
      <c r="A39" s="8" t="s">
        <v>161</v>
      </c>
    </row>
    <row r="41" customFormat="false" ht="15" hidden="false" customHeight="false" outlineLevel="0" collapsed="false">
      <c r="A41" s="16" t="s">
        <v>162</v>
      </c>
    </row>
    <row r="43" customFormat="false" ht="15" hidden="false" customHeight="false" outlineLevel="0" collapsed="false">
      <c r="A43" s="13" t="s">
        <v>163</v>
      </c>
      <c r="B43" s="24" t="n">
        <f aca="false">'The Bridge'!$C$15-LoanAmount</f>
        <v>48000000</v>
      </c>
    </row>
    <row r="44" customFormat="false" ht="15" hidden="false" customHeight="false" outlineLevel="0" collapsed="false">
      <c r="A44" s="13" t="s">
        <v>164</v>
      </c>
      <c r="B44" s="24" t="n">
        <f aca="false">'The Bridge'!$C$15-B9</f>
        <v>14890510.9489051</v>
      </c>
    </row>
    <row r="45" customFormat="false" ht="15" hidden="false" customHeight="false" outlineLevel="0" collapsed="false">
      <c r="A45" s="13" t="s">
        <v>165</v>
      </c>
      <c r="B45" s="32" t="n">
        <f aca="false">1-LoanAmount/'The Bridge'!$C$15</f>
        <v>0.4</v>
      </c>
    </row>
    <row r="46" customFormat="false" ht="15" hidden="false" customHeight="false" outlineLevel="0" collapsed="false">
      <c r="A46" s="13" t="s">
        <v>166</v>
      </c>
      <c r="B46" s="32" t="n">
        <f aca="false">1-B9/'The Bridge'!$C$15</f>
        <v>0.124087591240876</v>
      </c>
    </row>
    <row r="47" customFormat="false" ht="15" hidden="false" customHeight="false" outlineLevel="0" collapsed="false">
      <c r="A47" s="13" t="s">
        <v>167</v>
      </c>
      <c r="B47" s="32" t="n">
        <f aca="false">1-B46/B45</f>
        <v>0.68978102189781</v>
      </c>
    </row>
    <row r="48" customFormat="false" ht="15" hidden="false" customHeight="false" outlineLevel="0" collapsed="false">
      <c r="A48" s="13" t="s">
        <v>168</v>
      </c>
      <c r="B48" s="32" t="n">
        <f aca="false">0.3/(1/RecoveryFactor-1+0.3)</f>
        <v>0.394812680115274</v>
      </c>
    </row>
    <row r="49" customFormat="false" ht="15" hidden="false" customHeight="false" outlineLevel="0" collapsed="false">
      <c r="A49" s="13" t="s">
        <v>169</v>
      </c>
      <c r="B49" s="32" t="n">
        <f aca="false">0.4/(1/RecoveryFactor-1+0.4)</f>
        <v>0.465195246179966</v>
      </c>
    </row>
    <row r="50" customFormat="false" ht="15" hidden="false" customHeight="false" outlineLevel="0" collapsed="false">
      <c r="A50" s="18" t="s">
        <v>170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22"/>
    <col collapsed="false" customWidth="true" hidden="false" outlineLevel="0" max="4" min="4" style="0" width="18"/>
  </cols>
  <sheetData>
    <row r="1" customFormat="false" ht="19.7" hidden="false" customHeight="false" outlineLevel="0" collapsed="false">
      <c r="A1" s="43" t="s">
        <v>171</v>
      </c>
    </row>
    <row r="2" customFormat="false" ht="15" hidden="false" customHeight="false" outlineLevel="0" collapsed="false">
      <c r="A2" s="44" t="s">
        <v>172</v>
      </c>
    </row>
    <row r="5" customFormat="false" ht="15" hidden="false" customHeight="false" outlineLevel="0" collapsed="false">
      <c r="A5" s="45" t="s">
        <v>173</v>
      </c>
      <c r="B5" s="45" t="s">
        <v>174</v>
      </c>
      <c r="C5" s="45" t="s">
        <v>175</v>
      </c>
      <c r="D5" s="45" t="s">
        <v>176</v>
      </c>
    </row>
    <row r="6" customFormat="false" ht="15" hidden="false" customHeight="false" outlineLevel="0" collapsed="false">
      <c r="A6" s="13" t="s">
        <v>177</v>
      </c>
      <c r="B6" s="24" t="n">
        <f aca="false">LoanAmount</f>
        <v>72000000</v>
      </c>
      <c r="C6" s="24" t="n">
        <f aca="false">B6</f>
        <v>72000000</v>
      </c>
      <c r="D6" s="32" t="n">
        <f aca="false">C6/'The Bridge'!$C$15</f>
        <v>0.6</v>
      </c>
    </row>
    <row r="7" customFormat="false" ht="15" hidden="false" customHeight="false" outlineLevel="0" collapsed="false">
      <c r="A7" s="13" t="s">
        <v>178</v>
      </c>
      <c r="B7" s="24" t="n">
        <f aca="false">Junior</f>
        <v>12000000</v>
      </c>
      <c r="C7" s="24" t="n">
        <f aca="false">C6+B7</f>
        <v>84000000</v>
      </c>
      <c r="D7" s="32" t="n">
        <f aca="false">C7/'The Bridge'!$C$15</f>
        <v>0.7</v>
      </c>
    </row>
    <row r="8" customFormat="false" ht="15" hidden="false" customHeight="false" outlineLevel="0" collapsed="false">
      <c r="A8" s="13" t="s">
        <v>179</v>
      </c>
      <c r="B8" s="24" t="n">
        <f aca="false">'The Bridge'!$C$15-C7</f>
        <v>36000000</v>
      </c>
      <c r="C8" s="24" t="n">
        <f aca="false">'The Bridge'!$C$15</f>
        <v>120000000</v>
      </c>
      <c r="D8" s="32" t="n">
        <f aca="false">C8/'The Bridge'!$C$15</f>
        <v>1</v>
      </c>
    </row>
    <row r="10" customFormat="false" ht="15" hidden="false" customHeight="false" outlineLevel="0" collapsed="false">
      <c r="A10" s="16" t="s">
        <v>180</v>
      </c>
    </row>
    <row r="12" customFormat="false" ht="15" hidden="false" customHeight="false" outlineLevel="0" collapsed="false">
      <c r="A12" s="45"/>
      <c r="B12" s="45" t="s">
        <v>181</v>
      </c>
      <c r="C12" s="45" t="s">
        <v>182</v>
      </c>
      <c r="D12" s="45"/>
    </row>
    <row r="13" customFormat="false" ht="15" hidden="false" customHeight="false" outlineLevel="0" collapsed="false">
      <c r="A13" s="13" t="s">
        <v>83</v>
      </c>
      <c r="B13" s="24" t="n">
        <f aca="false">ROUND('The Bridge'!C10,-5)</f>
        <v>82200000</v>
      </c>
      <c r="C13" s="24" t="n">
        <f aca="false">StressRecovery</f>
        <v>74000000</v>
      </c>
    </row>
    <row r="14" customFormat="false" ht="15" hidden="false" customHeight="false" outlineLevel="0" collapsed="false">
      <c r="A14" s="13" t="s">
        <v>183</v>
      </c>
      <c r="B14" s="38" t="n">
        <f aca="false">B13/LoanAmount</f>
        <v>1.14166666666667</v>
      </c>
      <c r="C14" s="38" t="n">
        <f aca="false">C13/LoanAmount</f>
        <v>1.02777777777778</v>
      </c>
    </row>
    <row r="15" customFormat="false" ht="15" hidden="false" customHeight="false" outlineLevel="0" collapsed="false">
      <c r="A15" s="13" t="s">
        <v>184</v>
      </c>
      <c r="B15" s="24" t="n">
        <f aca="false">MIN(LoanAmount,B13)</f>
        <v>72000000</v>
      </c>
      <c r="C15" s="24" t="n">
        <f aca="false">MIN(LoanAmount,C13)</f>
        <v>72000000</v>
      </c>
    </row>
    <row r="16" customFormat="false" ht="15" hidden="false" customHeight="false" outlineLevel="0" collapsed="false">
      <c r="A16" s="13" t="s">
        <v>185</v>
      </c>
      <c r="B16" s="24" t="n">
        <f aca="false">MIN(Junior,MAX(0,B13-LoanAmount))</f>
        <v>10200000</v>
      </c>
      <c r="C16" s="24" t="n">
        <f aca="false">MIN(Junior,MAX(0,C13-LoanAmount))</f>
        <v>2000000</v>
      </c>
    </row>
    <row r="17" customFormat="false" ht="15" hidden="false" customHeight="false" outlineLevel="0" collapsed="false">
      <c r="A17" s="13" t="s">
        <v>186</v>
      </c>
      <c r="B17" s="32" t="n">
        <f aca="false">B16/Junior</f>
        <v>0.85</v>
      </c>
      <c r="C17" s="32" t="n">
        <f aca="false">C16/Junior</f>
        <v>0.166666666666667</v>
      </c>
    </row>
    <row r="18" customFormat="false" ht="15" hidden="false" customHeight="false" outlineLevel="0" collapsed="false">
      <c r="A18" s="13" t="s">
        <v>187</v>
      </c>
      <c r="B18" s="24" t="n">
        <f aca="false">Junior-B16</f>
        <v>1800000</v>
      </c>
      <c r="C18" s="24" t="n">
        <f aca="false">Junior-C16</f>
        <v>10000000</v>
      </c>
    </row>
    <row r="19" customFormat="false" ht="15" hidden="false" customHeight="false" outlineLevel="0" collapsed="false">
      <c r="A19" s="13" t="s">
        <v>188</v>
      </c>
      <c r="B19" s="24" t="n">
        <f aca="false">MAX(0,B13-LoanAmount-Junior)</f>
        <v>0</v>
      </c>
      <c r="C19" s="24" t="n">
        <f aca="false">MAX(0,C13-LoanAmount-Junior)</f>
        <v>0</v>
      </c>
    </row>
    <row r="20" customFormat="false" ht="15" hidden="false" customHeight="false" outlineLevel="0" collapsed="false">
      <c r="A20" s="13" t="s">
        <v>189</v>
      </c>
      <c r="C20" s="32" t="n">
        <f aca="false">C13/B13-1</f>
        <v>-0.0997566909975669</v>
      </c>
    </row>
    <row r="22" customFormat="false" ht="15" hidden="false" customHeight="false" outlineLevel="0" collapsed="false">
      <c r="A22" s="18" t="s">
        <v>190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5" min="2" style="0" width="20"/>
  </cols>
  <sheetData>
    <row r="1" customFormat="false" ht="19.7" hidden="false" customHeight="false" outlineLevel="0" collapsed="false">
      <c r="A1" s="43" t="s">
        <v>191</v>
      </c>
    </row>
    <row r="2" customFormat="false" ht="15" hidden="false" customHeight="false" outlineLevel="0" collapsed="false">
      <c r="A2" s="44" t="s">
        <v>192</v>
      </c>
    </row>
    <row r="4" customFormat="false" ht="15" hidden="false" customHeight="false" outlineLevel="0" collapsed="false">
      <c r="A4" s="45" t="s">
        <v>193</v>
      </c>
      <c r="B4" s="45" t="s">
        <v>194</v>
      </c>
      <c r="C4" s="45" t="s">
        <v>195</v>
      </c>
      <c r="D4" s="45"/>
      <c r="E4" s="45"/>
    </row>
    <row r="6" customFormat="false" ht="15" hidden="false" customHeight="false" outlineLevel="0" collapsed="false">
      <c r="A6" s="13" t="s">
        <v>196</v>
      </c>
      <c r="B6" s="24" t="n">
        <f aca="false">MarketRent-Irrecoverable</f>
        <v>5780000</v>
      </c>
    </row>
    <row r="7" customFormat="false" ht="15" hidden="false" customHeight="false" outlineLevel="0" collapsed="false">
      <c r="A7" s="13" t="s">
        <v>197</v>
      </c>
      <c r="B7" s="24" t="n">
        <f aca="false">B6/MarketYield</f>
        <v>110095238.095238</v>
      </c>
    </row>
    <row r="8" customFormat="false" ht="15" hidden="false" customHeight="false" outlineLevel="0" collapsed="false">
      <c r="A8" s="13" t="s">
        <v>198</v>
      </c>
      <c r="B8" s="24" t="n">
        <f aca="false">MarketRent/MarketYield</f>
        <v>112380952.380952</v>
      </c>
    </row>
    <row r="9" customFormat="false" ht="15" hidden="false" customHeight="false" outlineLevel="0" collapsed="false">
      <c r="A9" s="13" t="s">
        <v>199</v>
      </c>
      <c r="B9" s="24" t="n">
        <f aca="false">SLBPrice</f>
        <v>120000000</v>
      </c>
    </row>
    <row r="10" customFormat="false" ht="15" hidden="false" customHeight="false" outlineLevel="0" collapsed="false">
      <c r="A10" s="30" t="s">
        <v>200</v>
      </c>
      <c r="B10" s="31" t="n">
        <f aca="false">B9-B7</f>
        <v>9904761.9047619</v>
      </c>
      <c r="C10" s="24" t="n">
        <v>7619048</v>
      </c>
    </row>
    <row r="11" customFormat="false" ht="15" hidden="false" customHeight="false" outlineLevel="0" collapsed="false">
      <c r="A11" s="13" t="s">
        <v>201</v>
      </c>
      <c r="B11" s="24" t="n">
        <f aca="false">(PassingRent-MarketRent)/MarketYield</f>
        <v>9904761.90476191</v>
      </c>
    </row>
    <row r="12" customFormat="false" ht="15" hidden="false" customHeight="false" outlineLevel="0" collapsed="false">
      <c r="A12" s="13" t="s">
        <v>202</v>
      </c>
      <c r="B12" s="46" t="str">
        <f aca="false">IF(ABS(B10-B11)&lt;1,"yes","no")</f>
        <v>yes</v>
      </c>
    </row>
    <row r="13" customFormat="false" ht="15" hidden="false" customHeight="false" outlineLevel="0" collapsed="false">
      <c r="A13" s="18" t="s">
        <v>203</v>
      </c>
    </row>
    <row r="15" customFormat="false" ht="15" hidden="false" customHeight="false" outlineLevel="0" collapsed="false">
      <c r="A15" s="45" t="s">
        <v>204</v>
      </c>
      <c r="B15" s="45" t="s">
        <v>194</v>
      </c>
      <c r="C15" s="45" t="s">
        <v>195</v>
      </c>
      <c r="D15" s="45"/>
      <c r="E15" s="45"/>
    </row>
    <row r="17" customFormat="false" ht="15" hidden="false" customHeight="false" outlineLevel="0" collapsed="false">
      <c r="A17" s="13" t="s">
        <v>205</v>
      </c>
      <c r="B17" s="24" t="n">
        <f aca="false">PassingRent-MarketRent</f>
        <v>520000</v>
      </c>
    </row>
    <row r="18" customFormat="false" ht="15" hidden="false" customHeight="false" outlineLevel="0" collapsed="false">
      <c r="A18" s="13" t="s">
        <v>206</v>
      </c>
      <c r="B18" s="24" t="n">
        <f aca="false">B17*LeaseTerm</f>
        <v>6240000</v>
      </c>
    </row>
    <row r="19" customFormat="false" ht="15" hidden="false" customHeight="false" outlineLevel="0" collapsed="false">
      <c r="A19" s="13" t="s">
        <v>207</v>
      </c>
      <c r="B19" s="24" t="n">
        <f aca="false">B10-B18</f>
        <v>3664761.9047619</v>
      </c>
      <c r="C19" s="24" t="n">
        <v>1379048</v>
      </c>
    </row>
    <row r="20" customFormat="false" ht="15" hidden="false" customHeight="false" outlineLevel="0" collapsed="false">
      <c r="A20" s="13" t="s">
        <v>208</v>
      </c>
      <c r="B20" s="32" t="n">
        <f aca="false">B18/B10</f>
        <v>0.630000000000001</v>
      </c>
      <c r="C20" s="32" t="n">
        <v>0.82</v>
      </c>
    </row>
    <row r="22" customFormat="false" ht="15" hidden="false" customHeight="false" outlineLevel="0" collapsed="false">
      <c r="A22" s="45" t="s">
        <v>209</v>
      </c>
      <c r="B22" s="45" t="s">
        <v>118</v>
      </c>
      <c r="C22" s="45" t="s">
        <v>195</v>
      </c>
      <c r="D22" s="45"/>
      <c r="E22" s="45"/>
    </row>
    <row r="24" customFormat="false" ht="15" hidden="false" customHeight="false" outlineLevel="0" collapsed="false">
      <c r="A24" s="47" t="n">
        <v>0.03</v>
      </c>
      <c r="B24" s="24" t="n">
        <f aca="false">(PassingRent-MarketRent)*(1-(1+A24)^-LeaseTerm)/A24</f>
        <v>5176082.07665514</v>
      </c>
      <c r="C24" s="24" t="n">
        <v>5177000</v>
      </c>
    </row>
    <row r="25" customFormat="false" ht="15" hidden="false" customHeight="false" outlineLevel="0" collapsed="false">
      <c r="A25" s="47" t="n">
        <v>0.05</v>
      </c>
      <c r="B25" s="24" t="n">
        <f aca="false">(PassingRent-MarketRent)*(1-(1+A25)^-LeaseTerm)/A25</f>
        <v>4608890.85095338</v>
      </c>
      <c r="C25" s="24" t="n">
        <v>4610000</v>
      </c>
    </row>
    <row r="26" customFormat="false" ht="15" hidden="false" customHeight="false" outlineLevel="0" collapsed="false">
      <c r="A26" s="47" t="n">
        <v>0.07</v>
      </c>
      <c r="B26" s="24" t="n">
        <f aca="false">(PassingRent-MarketRent)*(1-(1+A26)^-LeaseTerm)/A26</f>
        <v>4130196.87421168</v>
      </c>
      <c r="C26" s="24" t="n">
        <v>4130197</v>
      </c>
    </row>
    <row r="27" customFormat="false" ht="15" hidden="false" customHeight="false" outlineLevel="0" collapsed="false">
      <c r="A27" s="47" t="n">
        <v>0.09</v>
      </c>
      <c r="B27" s="24" t="n">
        <f aca="false">(PassingRent-MarketRent)*(1-(1+A27)^-LeaseTerm)/A27</f>
        <v>3723577.14384537</v>
      </c>
      <c r="C27" s="24" t="n">
        <v>3724000</v>
      </c>
    </row>
    <row r="28" customFormat="false" ht="15" hidden="false" customHeight="false" outlineLevel="0" collapsed="false">
      <c r="A28" s="47" t="n">
        <v>0.11</v>
      </c>
      <c r="B28" s="24" t="n">
        <f aca="false">(PassingRent-MarketRent)*(1-(1+A28)^-LeaseTerm)/A28</f>
        <v>3376025.19746241</v>
      </c>
      <c r="C28" s="24" t="n">
        <v>3378000</v>
      </c>
    </row>
    <row r="29" customFormat="false" ht="15" hidden="false" customHeight="false" outlineLevel="0" collapsed="false">
      <c r="A29" s="18" t="s">
        <v>210</v>
      </c>
    </row>
    <row r="31" customFormat="false" ht="15" hidden="false" customHeight="false" outlineLevel="0" collapsed="false">
      <c r="A31" s="45" t="s">
        <v>211</v>
      </c>
      <c r="B31" s="45" t="s">
        <v>194</v>
      </c>
      <c r="C31" s="45" t="s">
        <v>195</v>
      </c>
      <c r="D31" s="45"/>
      <c r="E31" s="45"/>
    </row>
    <row r="33" customFormat="false" ht="15" hidden="false" customHeight="false" outlineLevel="0" collapsed="false">
      <c r="A33" s="13" t="s">
        <v>212</v>
      </c>
      <c r="B33" s="48" t="n">
        <f aca="false">(1-(1+CreditRate)^-LeaseTerm)/CreditRate</f>
        <v>7.94268629656093</v>
      </c>
    </row>
    <row r="34" customFormat="false" ht="15" hidden="false" customHeight="false" outlineLevel="0" collapsed="false">
      <c r="A34" s="13" t="s">
        <v>213</v>
      </c>
      <c r="B34" s="24" t="n">
        <f aca="false">B17*B33</f>
        <v>4130196.87421168</v>
      </c>
    </row>
    <row r="35" customFormat="false" ht="15" hidden="false" customHeight="false" outlineLevel="0" collapsed="false">
      <c r="A35" s="30" t="s">
        <v>214</v>
      </c>
      <c r="B35" s="31" t="n">
        <f aca="false">B7+B34</f>
        <v>114225434.96945</v>
      </c>
      <c r="C35" s="24" t="n">
        <v>116511149</v>
      </c>
    </row>
    <row r="36" customFormat="false" ht="15" hidden="false" customHeight="false" outlineLevel="0" collapsed="false">
      <c r="A36" s="30" t="s">
        <v>215</v>
      </c>
      <c r="B36" s="31" t="n">
        <f aca="false">B9-B35</f>
        <v>5774565.03055021</v>
      </c>
      <c r="C36" s="24" t="n">
        <v>3488851</v>
      </c>
    </row>
    <row r="37" customFormat="false" ht="15" hidden="false" customHeight="false" outlineLevel="0" collapsed="false">
      <c r="A37" s="13" t="s">
        <v>216</v>
      </c>
      <c r="B37" s="34" t="n">
        <f aca="false">PassingRent/B9</f>
        <v>0.0535</v>
      </c>
    </row>
    <row r="38" customFormat="false" ht="15" hidden="false" customHeight="false" outlineLevel="0" collapsed="false">
      <c r="A38" s="13" t="s">
        <v>217</v>
      </c>
      <c r="B38" s="34" t="n">
        <f aca="false">PassingRent/B35</f>
        <v>0.056204644803647</v>
      </c>
      <c r="C38" s="34" t="n">
        <v>0.0551</v>
      </c>
    </row>
    <row r="39" customFormat="false" ht="15" hidden="false" customHeight="false" outlineLevel="0" collapsed="false">
      <c r="A39" s="13" t="s">
        <v>218</v>
      </c>
      <c r="B39" s="49" t="n">
        <f aca="false">(B38-B37)*10000</f>
        <v>27.0464480364696</v>
      </c>
      <c r="C39" s="49" t="n">
        <v>16</v>
      </c>
    </row>
    <row r="41" customFormat="false" ht="15" hidden="false" customHeight="false" outlineLevel="0" collapsed="false">
      <c r="A41" s="45" t="s">
        <v>219</v>
      </c>
      <c r="B41" s="45" t="s">
        <v>194</v>
      </c>
      <c r="C41" s="45" t="s">
        <v>195</v>
      </c>
      <c r="D41" s="45"/>
      <c r="E41" s="45"/>
    </row>
    <row r="43" customFormat="false" ht="15" hidden="false" customHeight="false" outlineLevel="0" collapsed="false">
      <c r="A43" s="13" t="s">
        <v>220</v>
      </c>
      <c r="B43" s="24" t="n">
        <f aca="false">B10/B33</f>
        <v>1247029.22096401</v>
      </c>
      <c r="C43" s="24" t="n">
        <v>959260</v>
      </c>
    </row>
    <row r="44" customFormat="false" ht="15" hidden="false" customHeight="false" outlineLevel="0" collapsed="false">
      <c r="A44" s="13" t="s">
        <v>221</v>
      </c>
      <c r="B44" s="24" t="n">
        <f aca="false">MarketRent+B43</f>
        <v>7147029.22096401</v>
      </c>
      <c r="C44" s="24" t="n">
        <v>6859260</v>
      </c>
    </row>
    <row r="45" customFormat="false" ht="15" hidden="false" customHeight="false" outlineLevel="0" collapsed="false">
      <c r="A45" s="13" t="s">
        <v>222</v>
      </c>
      <c r="B45" s="32" t="n">
        <f aca="false">B43/MarketRent</f>
        <v>0.211360884909154</v>
      </c>
      <c r="C45" s="32" t="n">
        <v>0.163</v>
      </c>
    </row>
    <row r="46" customFormat="false" ht="15" hidden="false" customHeight="false" outlineLevel="0" collapsed="false">
      <c r="A46" s="13" t="s">
        <v>223</v>
      </c>
      <c r="B46" s="32" t="n">
        <f aca="false">B17/B43</f>
        <v>0.416991030569449</v>
      </c>
      <c r="C46" s="32" t="n">
        <v>0.54</v>
      </c>
    </row>
    <row r="47" customFormat="false" ht="15" hidden="false" customHeight="false" outlineLevel="0" collapsed="false">
      <c r="A47" s="13" t="s">
        <v>224</v>
      </c>
      <c r="B47" s="34" t="n">
        <f aca="false">(1+B36/B7)^(1/LeaseTerm)-1</f>
        <v>0.0042692023437243</v>
      </c>
      <c r="C47" s="34" t="n">
        <v>0.0026</v>
      </c>
    </row>
    <row r="49" customFormat="false" ht="15" hidden="false" customHeight="false" outlineLevel="0" collapsed="false">
      <c r="A49" s="45" t="s">
        <v>225</v>
      </c>
      <c r="B49" s="45" t="s">
        <v>226</v>
      </c>
      <c r="C49" s="45" t="s">
        <v>227</v>
      </c>
      <c r="D49" s="45" t="s">
        <v>228</v>
      </c>
      <c r="E49" s="45" t="s">
        <v>195</v>
      </c>
    </row>
    <row r="51" customFormat="false" ht="15" hidden="false" customHeight="false" outlineLevel="0" collapsed="false">
      <c r="A51" s="23" t="n">
        <v>3</v>
      </c>
      <c r="B51" s="24" t="n">
        <f aca="false">B$17*A51</f>
        <v>1560000</v>
      </c>
      <c r="C51" s="24" t="n">
        <f aca="false">B$17*(1-(1+CreditRate)^-A51)/CreditRate</f>
        <v>1364644.34309653</v>
      </c>
      <c r="D51" s="24" t="n">
        <f aca="false">B$10-C51</f>
        <v>8540117.56166537</v>
      </c>
    </row>
    <row r="52" customFormat="false" ht="15" hidden="false" customHeight="false" outlineLevel="0" collapsed="false">
      <c r="A52" s="23" t="n">
        <v>5</v>
      </c>
      <c r="B52" s="24" t="n">
        <f aca="false">B$17*A52</f>
        <v>2600000</v>
      </c>
      <c r="C52" s="24" t="n">
        <f aca="false">B$17*(1-(1+CreditRate)^-A52)/CreditRate</f>
        <v>2132102.66669275</v>
      </c>
      <c r="D52" s="24" t="n">
        <f aca="false">B$10-C52</f>
        <v>7772659.23806915</v>
      </c>
      <c r="E52" s="24" t="n">
        <v>5487000</v>
      </c>
    </row>
    <row r="53" customFormat="false" ht="15" hidden="false" customHeight="false" outlineLevel="0" collapsed="false">
      <c r="A53" s="23" t="n">
        <v>8</v>
      </c>
      <c r="B53" s="24" t="n">
        <f aca="false">B$17*A53</f>
        <v>4160000</v>
      </c>
      <c r="C53" s="24" t="n">
        <f aca="false">B$17*(1-(1+CreditRate)^-A53)/CreditRate</f>
        <v>3105075.22323114</v>
      </c>
      <c r="D53" s="24" t="n">
        <f aca="false">B$10-C53</f>
        <v>6799686.68153075</v>
      </c>
    </row>
    <row r="55" customFormat="false" ht="15" hidden="false" customHeight="false" outlineLevel="0" collapsed="false">
      <c r="A55" s="30" t="s">
        <v>229</v>
      </c>
      <c r="B55" s="31" t="n">
        <f aca="false">B10-B34</f>
        <v>5774565.03055021</v>
      </c>
      <c r="C55" s="24" t="n">
        <v>3488851</v>
      </c>
    </row>
    <row r="57" customFormat="false" ht="15" hidden="false" customHeight="false" outlineLevel="0" collapsed="false">
      <c r="A57" s="45" t="s">
        <v>230</v>
      </c>
      <c r="B57" s="45" t="s">
        <v>118</v>
      </c>
      <c r="C57" s="45" t="s">
        <v>195</v>
      </c>
      <c r="D57" s="45"/>
      <c r="E57" s="45"/>
    </row>
    <row r="59" customFormat="false" ht="15" hidden="false" customHeight="false" outlineLevel="0" collapsed="false">
      <c r="A59" s="13" t="s">
        <v>231</v>
      </c>
      <c r="B59" s="32" t="n">
        <f aca="false">MerRent/MerPrice</f>
        <v>0.07</v>
      </c>
    </row>
    <row r="60" customFormat="false" ht="15" hidden="false" customHeight="false" outlineLevel="0" collapsed="false">
      <c r="A60" s="13" t="s">
        <v>232</v>
      </c>
      <c r="B60" s="38" t="n">
        <f aca="false">MerPrice/MerVP</f>
        <v>4.57142857142857</v>
      </c>
    </row>
    <row r="61" customFormat="false" ht="15" hidden="false" customHeight="false" outlineLevel="0" collapsed="false">
      <c r="A61" s="13" t="s">
        <v>233</v>
      </c>
      <c r="B61" s="24" t="n">
        <f aca="false">MerOver/B59</f>
        <v>12857142.8571429</v>
      </c>
    </row>
    <row r="62" customFormat="false" ht="15" hidden="false" customHeight="false" outlineLevel="0" collapsed="false">
      <c r="A62" s="13" t="s">
        <v>212</v>
      </c>
      <c r="B62" s="48" t="n">
        <f aca="false">(1-(1+MerRate)^-MerTerm)/MerRate</f>
        <v>9.81814740744929</v>
      </c>
    </row>
    <row r="63" customFormat="false" ht="15" hidden="false" customHeight="false" outlineLevel="0" collapsed="false">
      <c r="A63" s="13" t="s">
        <v>213</v>
      </c>
      <c r="B63" s="24" t="n">
        <f aca="false">MerOver*B62</f>
        <v>8836332.66670436</v>
      </c>
      <c r="C63" s="24" t="n">
        <v>8836290</v>
      </c>
    </row>
    <row r="64" customFormat="false" ht="15" hidden="false" customHeight="false" outlineLevel="0" collapsed="false">
      <c r="A64" s="13" t="s">
        <v>215</v>
      </c>
      <c r="B64" s="24" t="n">
        <f aca="false">B61-B63</f>
        <v>4020810.19043849</v>
      </c>
      <c r="C64" s="24" t="n">
        <v>4020853</v>
      </c>
    </row>
    <row r="65" customFormat="false" ht="15" hidden="false" customHeight="false" outlineLevel="0" collapsed="false">
      <c r="A65" s="13" t="s">
        <v>234</v>
      </c>
      <c r="B65" s="32" t="n">
        <f aca="false">B64/MerPrice</f>
        <v>0.0628251592256015</v>
      </c>
    </row>
    <row r="66" customFormat="false" ht="15" hidden="false" customHeight="false" outlineLevel="0" collapsed="false">
      <c r="A66" s="13" t="s">
        <v>235</v>
      </c>
      <c r="B66" s="32" t="n">
        <f aca="false">B36/B9</f>
        <v>0.0481213752545851</v>
      </c>
    </row>
    <row r="67" customFormat="false" ht="15" hidden="false" customHeight="false" outlineLevel="0" collapsed="false">
      <c r="A67" s="13" t="s">
        <v>236</v>
      </c>
      <c r="B67" s="50" t="n">
        <f aca="false">(1-1.05^-MerTerm)/0.05</f>
        <v>12.46221034254</v>
      </c>
    </row>
    <row r="68" customFormat="false" ht="15" hidden="false" customHeight="false" outlineLevel="0" collapsed="false">
      <c r="A68" s="13" t="s">
        <v>237</v>
      </c>
      <c r="B68" s="50" t="n">
        <f aca="false">(1-1.09^-MerTerm)/0.09</f>
        <v>9.12854566908592</v>
      </c>
    </row>
    <row r="69" customFormat="false" ht="15" hidden="false" customHeight="false" outlineLevel="0" collapsed="false">
      <c r="A69" s="13" t="s">
        <v>238</v>
      </c>
      <c r="B69" s="32" t="n">
        <f aca="false">1-B68/B67</f>
        <v>0.267501878224166</v>
      </c>
    </row>
    <row r="70" customFormat="false" ht="15" hidden="false" customHeight="false" outlineLevel="0" collapsed="false">
      <c r="A70" s="13" t="s">
        <v>239</v>
      </c>
      <c r="B70" s="50" t="n">
        <f aca="false">(1-(1+MerRate)^-(MerTerm+5))/MerRate</f>
        <v>10.6747761885886</v>
      </c>
    </row>
    <row r="71" customFormat="false" ht="15" hidden="false" customHeight="false" outlineLevel="0" collapsed="false">
      <c r="A71" s="13" t="s">
        <v>240</v>
      </c>
      <c r="B71" s="32" t="n">
        <f aca="false">B70/B62-1</f>
        <v>0.0872495335005199</v>
      </c>
    </row>
    <row r="72" customFormat="false" ht="15" hidden="false" customHeight="false" outlineLevel="0" collapsed="false">
      <c r="A72" s="18" t="s">
        <v>241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2"/>
    <col collapsed="false" customWidth="true" hidden="false" outlineLevel="0" max="4" min="3" style="0" width="20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58"/>
  </cols>
  <sheetData>
    <row r="1" customFormat="false" ht="19.7" hidden="false" customHeight="false" outlineLevel="0" collapsed="false">
      <c r="A1" s="43" t="s">
        <v>242</v>
      </c>
    </row>
    <row r="2" customFormat="false" ht="15" hidden="false" customHeight="false" outlineLevel="0" collapsed="false">
      <c r="A2" s="44" t="s">
        <v>243</v>
      </c>
    </row>
    <row r="5" customFormat="false" ht="15" hidden="false" customHeight="false" outlineLevel="0" collapsed="false">
      <c r="A5" s="45" t="s">
        <v>244</v>
      </c>
      <c r="B5" s="45" t="s">
        <v>245</v>
      </c>
      <c r="C5" s="45" t="s">
        <v>12</v>
      </c>
      <c r="D5" s="45" t="s">
        <v>246</v>
      </c>
      <c r="E5" s="45" t="s">
        <v>247</v>
      </c>
      <c r="F5" s="45" t="s">
        <v>248</v>
      </c>
      <c r="G5" s="45" t="s">
        <v>249</v>
      </c>
    </row>
    <row r="6" customFormat="false" ht="15" hidden="false" customHeight="false" outlineLevel="0" collapsed="false">
      <c r="A6" s="13" t="s">
        <v>76</v>
      </c>
      <c r="B6" s="5" t="s">
        <v>75</v>
      </c>
      <c r="C6" s="24" t="n">
        <v>6300000</v>
      </c>
      <c r="D6" s="24" t="n">
        <f aca="false">PassingRent-Irrecoverable</f>
        <v>6300000</v>
      </c>
      <c r="E6" s="24" t="n">
        <f aca="false">D6-C6</f>
        <v>0</v>
      </c>
      <c r="F6" s="51" t="str">
        <f aca="false">IF(ABS(D6-C6)&lt;=1,"PASS","FAIL")</f>
        <v>PASS</v>
      </c>
    </row>
    <row r="7" customFormat="false" ht="15" hidden="false" customHeight="false" outlineLevel="0" collapsed="false">
      <c r="A7" s="13" t="s">
        <v>76</v>
      </c>
      <c r="B7" s="5" t="s">
        <v>250</v>
      </c>
      <c r="C7" s="24" t="n">
        <v>120000000</v>
      </c>
      <c r="D7" s="24" t="n">
        <f aca="false">'The Bridge'!C15</f>
        <v>120000000</v>
      </c>
      <c r="E7" s="24" t="n">
        <f aca="false">D7-C7</f>
        <v>0</v>
      </c>
      <c r="F7" s="51" t="str">
        <f aca="false">IF(ABS(D7-C7)&lt;=1,"PASS","FAIL")</f>
        <v>PASS</v>
      </c>
    </row>
    <row r="8" customFormat="false" ht="15" hidden="false" customHeight="false" outlineLevel="0" collapsed="false">
      <c r="A8" s="13" t="s">
        <v>76</v>
      </c>
      <c r="B8" s="5" t="s">
        <v>251</v>
      </c>
      <c r="C8" s="24" t="n">
        <v>5780000</v>
      </c>
      <c r="D8" s="24" t="n">
        <f aca="false">'The Bridge'!C7</f>
        <v>5780000</v>
      </c>
      <c r="E8" s="24" t="n">
        <f aca="false">D8-C8</f>
        <v>0</v>
      </c>
      <c r="F8" s="51" t="str">
        <f aca="false">IF(ABS(D8-C8)&lt;=1,"PASS","FAIL")</f>
        <v>PASS</v>
      </c>
    </row>
    <row r="9" customFormat="false" ht="15" hidden="false" customHeight="false" outlineLevel="0" collapsed="false">
      <c r="A9" s="13" t="s">
        <v>76</v>
      </c>
      <c r="B9" s="5" t="s">
        <v>252</v>
      </c>
      <c r="C9" s="24" t="n">
        <v>85629630</v>
      </c>
      <c r="D9" s="24" t="n">
        <f aca="false">'The Bridge'!C8</f>
        <v>85629629.6296296</v>
      </c>
      <c r="E9" s="24" t="n">
        <f aca="false">D9-C9</f>
        <v>-0.370370373129845</v>
      </c>
      <c r="F9" s="51" t="str">
        <f aca="false">IF(ABS(D9-C9)&lt;=1,"PASS","FAIL")</f>
        <v>PASS</v>
      </c>
    </row>
    <row r="10" customFormat="false" ht="15" hidden="false" customHeight="false" outlineLevel="0" collapsed="false">
      <c r="A10" s="13" t="s">
        <v>77</v>
      </c>
      <c r="B10" s="5" t="s">
        <v>253</v>
      </c>
      <c r="C10" s="24" t="n">
        <v>82204444</v>
      </c>
      <c r="D10" s="24" t="n">
        <f aca="false">'The Bridge'!C10</f>
        <v>82204444.4444444</v>
      </c>
      <c r="E10" s="24" t="n">
        <f aca="false">D10-C10</f>
        <v>0.444444432854652</v>
      </c>
      <c r="F10" s="51" t="str">
        <f aca="false">IF(ABS(D10-C10)&lt;=1,"PASS","FAIL")</f>
        <v>PASS</v>
      </c>
    </row>
    <row r="11" customFormat="false" ht="15" hidden="false" customHeight="false" outlineLevel="0" collapsed="false">
      <c r="A11" s="13" t="s">
        <v>77</v>
      </c>
      <c r="B11" s="5" t="s">
        <v>254</v>
      </c>
      <c r="C11" s="24" t="n">
        <v>82200000</v>
      </c>
      <c r="D11" s="24" t="n">
        <f aca="false">'The Bridge'!C11</f>
        <v>82200000</v>
      </c>
      <c r="E11" s="24" t="n">
        <f aca="false">D11-C11</f>
        <v>0</v>
      </c>
      <c r="F11" s="51" t="str">
        <f aca="false">IF(ABS(D11-C11)&lt;=1,"PASS","FAIL")</f>
        <v>PASS</v>
      </c>
    </row>
    <row r="12" customFormat="false" ht="15" hidden="false" customHeight="false" outlineLevel="0" collapsed="false">
      <c r="A12" s="13" t="s">
        <v>77</v>
      </c>
      <c r="B12" s="5" t="s">
        <v>255</v>
      </c>
      <c r="C12" s="24" t="n">
        <v>37800000</v>
      </c>
      <c r="D12" s="24" t="n">
        <f aca="false">ROUND('The Bridge'!C17,-4)</f>
        <v>37800000</v>
      </c>
      <c r="E12" s="24" t="n">
        <f aca="false">D12-C12</f>
        <v>0</v>
      </c>
      <c r="F12" s="51" t="str">
        <f aca="false">IF(ABS(D12-C12)&lt;=1,"PASS","FAIL")</f>
        <v>PASS</v>
      </c>
    </row>
    <row r="13" customFormat="false" ht="15" hidden="false" customHeight="false" outlineLevel="0" collapsed="false">
      <c r="A13" s="13" t="s">
        <v>77</v>
      </c>
      <c r="B13" s="5" t="s">
        <v>85</v>
      </c>
      <c r="C13" s="32" t="n">
        <v>0.315</v>
      </c>
      <c r="D13" s="32" t="n">
        <f aca="false">ROUND(('The Bridge'!C17)/'The Bridge'!C15,3)</f>
        <v>0.315</v>
      </c>
      <c r="E13" s="32" t="n">
        <f aca="false">D13-C13</f>
        <v>0</v>
      </c>
      <c r="F13" s="51" t="str">
        <f aca="false">IF(ABS(D13-C13)&lt;=0.0005,"PASS","FAIL")</f>
        <v>PASS</v>
      </c>
    </row>
    <row r="14" customFormat="false" ht="15" hidden="false" customHeight="false" outlineLevel="0" collapsed="false">
      <c r="A14" s="13" t="s">
        <v>77</v>
      </c>
      <c r="B14" s="5" t="s">
        <v>256</v>
      </c>
      <c r="C14" s="24" t="n">
        <v>3425185</v>
      </c>
      <c r="D14" s="24" t="n">
        <f aca="false">'The Bridge'!C8-'The Bridge'!C10</f>
        <v>3425185.18518519</v>
      </c>
      <c r="E14" s="24" t="n">
        <f aca="false">D14-C14</f>
        <v>0.185185194015503</v>
      </c>
      <c r="F14" s="51" t="str">
        <f aca="false">IF(ABS(D14-C14)&lt;=1,"PASS","FAIL")</f>
        <v>PASS</v>
      </c>
    </row>
    <row r="15" customFormat="false" ht="15" hidden="false" customHeight="false" outlineLevel="0" collapsed="false">
      <c r="A15" s="13" t="s">
        <v>77</v>
      </c>
      <c r="B15" s="5" t="s">
        <v>98</v>
      </c>
      <c r="C15" s="32" t="n">
        <v>0.876</v>
      </c>
      <c r="D15" s="32" t="n">
        <f aca="false">ROUND(LoanAmount/'The Bridge'!C10,3)</f>
        <v>0.876</v>
      </c>
      <c r="E15" s="32" t="n">
        <f aca="false">D15-C15</f>
        <v>0</v>
      </c>
      <c r="F15" s="51" t="str">
        <f aca="false">IF(ABS(D15-C15)&lt;=0.0005,"PASS","FAIL")</f>
        <v>PASS</v>
      </c>
    </row>
    <row r="16" customFormat="false" ht="15" hidden="false" customHeight="false" outlineLevel="0" collapsed="false">
      <c r="A16" s="13" t="s">
        <v>77</v>
      </c>
      <c r="B16" s="5" t="s">
        <v>257</v>
      </c>
      <c r="C16" s="24" t="n">
        <v>5062500</v>
      </c>
      <c r="D16" s="24" t="n">
        <f aca="false">'Option and Break-even'!B29</f>
        <v>5062500</v>
      </c>
      <c r="E16" s="24" t="n">
        <f aca="false">D16-C16</f>
        <v>0</v>
      </c>
      <c r="F16" s="51" t="str">
        <f aca="false">IF(ABS(D16-C16)&lt;=1,"PASS","FAIL")</f>
        <v>PASS</v>
      </c>
    </row>
    <row r="17" customFormat="false" ht="15" hidden="false" customHeight="false" outlineLevel="0" collapsed="false">
      <c r="A17" s="13" t="s">
        <v>77</v>
      </c>
      <c r="B17" s="5" t="s">
        <v>258</v>
      </c>
      <c r="C17" s="32" t="n">
        <v>-0.124</v>
      </c>
      <c r="D17" s="32" t="n">
        <f aca="false">ROUND('Option and Break-even'!B30,3)</f>
        <v>-0.124</v>
      </c>
      <c r="E17" s="32" t="n">
        <f aca="false">D17-C17</f>
        <v>0</v>
      </c>
      <c r="F17" s="51" t="str">
        <f aca="false">IF(ABS(D17-C17)&lt;=0.0005,"PASS","FAIL")</f>
        <v>PASS</v>
      </c>
    </row>
    <row r="18" customFormat="false" ht="15" hidden="false" customHeight="false" outlineLevel="0" collapsed="false">
      <c r="A18" s="13" t="s">
        <v>77</v>
      </c>
      <c r="B18" s="5" t="s">
        <v>259</v>
      </c>
      <c r="C18" s="32" t="n">
        <v>-0.196</v>
      </c>
      <c r="D18" s="32" t="n">
        <f aca="false">ROUND('Option and Break-even'!B31,3)</f>
        <v>-0.196</v>
      </c>
      <c r="E18" s="32" t="n">
        <f aca="false">D18-C18</f>
        <v>0</v>
      </c>
      <c r="F18" s="51" t="str">
        <f aca="false">IF(ABS(D18-C18)&lt;=0.0005,"PASS","FAIL")</f>
        <v>PASS</v>
      </c>
    </row>
    <row r="19" customFormat="false" ht="15" hidden="false" customHeight="false" outlineLevel="0" collapsed="false">
      <c r="A19" s="13" t="s">
        <v>77</v>
      </c>
      <c r="B19" s="5" t="s">
        <v>260</v>
      </c>
      <c r="C19" s="32" t="n">
        <v>0.048</v>
      </c>
      <c r="D19" s="32" t="n">
        <f aca="false">ROUND(0.0025/MarketYield,3)</f>
        <v>0.048</v>
      </c>
      <c r="E19" s="32" t="n">
        <f aca="false">D19-C19</f>
        <v>0</v>
      </c>
      <c r="F19" s="51" t="str">
        <f aca="false">IF(ABS(D19-C19)&lt;=0.0005,"PASS","FAIL")</f>
        <v>PASS</v>
      </c>
    </row>
    <row r="20" customFormat="false" ht="15" hidden="false" customHeight="false" outlineLevel="0" collapsed="false">
      <c r="A20" s="13" t="s">
        <v>78</v>
      </c>
      <c r="B20" s="5" t="s">
        <v>261</v>
      </c>
      <c r="C20" s="40" t="n">
        <v>0.685</v>
      </c>
      <c r="D20" s="40" t="n">
        <f aca="false">ROUND('The Bridge'!C19,3)</f>
        <v>0.685</v>
      </c>
      <c r="E20" s="40" t="n">
        <f aca="false">D20-C20</f>
        <v>0</v>
      </c>
      <c r="F20" s="51" t="str">
        <f aca="false">IF(ABS(D20-C20)&lt;=0.0005,"PASS","FAIL")</f>
        <v>PASS</v>
      </c>
    </row>
    <row r="21" customFormat="false" ht="15" hidden="false" customHeight="false" outlineLevel="0" collapsed="false">
      <c r="A21" s="13" t="s">
        <v>78</v>
      </c>
      <c r="B21" s="5" t="s">
        <v>262</v>
      </c>
      <c r="C21" s="24" t="n">
        <v>105109489</v>
      </c>
      <c r="D21" s="24" t="n">
        <f aca="false">ROUND('Option and Break-even'!B9,0)</f>
        <v>105109489</v>
      </c>
      <c r="E21" s="24" t="n">
        <f aca="false">D21-C21</f>
        <v>0</v>
      </c>
      <c r="F21" s="51" t="str">
        <f aca="false">IF(ABS(D21-C21)&lt;=1,"PASS","FAIL")</f>
        <v>PASS</v>
      </c>
    </row>
    <row r="22" customFormat="false" ht="15" hidden="false" customHeight="false" outlineLevel="0" collapsed="false">
      <c r="A22" s="13" t="s">
        <v>78</v>
      </c>
      <c r="B22" s="5" t="s">
        <v>263</v>
      </c>
      <c r="C22" s="32" t="n">
        <v>-0.124</v>
      </c>
      <c r="D22" s="32" t="n">
        <f aca="false">ROUND('Option and Break-even'!B10,3)</f>
        <v>-0.124</v>
      </c>
      <c r="E22" s="32" t="n">
        <f aca="false">D22-C22</f>
        <v>0</v>
      </c>
      <c r="F22" s="51" t="str">
        <f aca="false">IF(ABS(D22-C22)&lt;=0.0005,"PASS","FAIL")</f>
        <v>PASS</v>
      </c>
    </row>
    <row r="23" customFormat="false" ht="15" hidden="false" customHeight="false" outlineLevel="0" collapsed="false">
      <c r="A23" s="13" t="s">
        <v>78</v>
      </c>
      <c r="B23" s="5" t="s">
        <v>264</v>
      </c>
      <c r="C23" s="24" t="n">
        <v>95900000</v>
      </c>
      <c r="D23" s="24" t="n">
        <f aca="false">'Option and Break-even'!B16</f>
        <v>95900000</v>
      </c>
      <c r="E23" s="24" t="n">
        <f aca="false">D23-C23</f>
        <v>0</v>
      </c>
      <c r="F23" s="51" t="str">
        <f aca="false">IF(ABS(D23-C23)&lt;=1,"PASS","FAIL")</f>
        <v>PASS</v>
      </c>
    </row>
    <row r="24" customFormat="false" ht="15" hidden="false" customHeight="false" outlineLevel="0" collapsed="false">
      <c r="A24" s="13" t="s">
        <v>78</v>
      </c>
      <c r="B24" s="5" t="s">
        <v>265</v>
      </c>
      <c r="C24" s="24" t="n">
        <v>75350000</v>
      </c>
      <c r="D24" s="24" t="n">
        <f aca="false">'Option and Break-even'!B18</f>
        <v>75350000</v>
      </c>
      <c r="E24" s="24" t="n">
        <f aca="false">D24-C24</f>
        <v>0</v>
      </c>
      <c r="F24" s="51" t="str">
        <f aca="false">IF(ABS(D24-C24)&lt;=1,"PASS","FAIL")</f>
        <v>PASS</v>
      </c>
    </row>
    <row r="25" customFormat="false" ht="15" hidden="false" customHeight="false" outlineLevel="0" collapsed="false">
      <c r="A25" s="13" t="s">
        <v>78</v>
      </c>
      <c r="B25" s="5" t="s">
        <v>266</v>
      </c>
      <c r="C25" s="24" t="n">
        <v>33109489</v>
      </c>
      <c r="D25" s="24" t="n">
        <f aca="false">ROUND('Option and Break-even'!E19,0)</f>
        <v>33109489</v>
      </c>
      <c r="E25" s="24" t="n">
        <f aca="false">D25-C25</f>
        <v>0</v>
      </c>
      <c r="F25" s="51" t="str">
        <f aca="false">IF(ABS(D25-C25)&lt;=1,"PASS","FAIL")</f>
        <v>PASS</v>
      </c>
    </row>
    <row r="26" customFormat="false" ht="15" hidden="false" customHeight="false" outlineLevel="0" collapsed="false">
      <c r="A26" s="13" t="s">
        <v>78</v>
      </c>
      <c r="B26" s="5" t="s">
        <v>267</v>
      </c>
      <c r="C26" s="24" t="n">
        <v>3500000</v>
      </c>
      <c r="D26" s="24" t="n">
        <f aca="false">'Option and Break-even'!D20</f>
        <v>3500000</v>
      </c>
      <c r="E26" s="24" t="n">
        <f aca="false">D26-C26</f>
        <v>0</v>
      </c>
      <c r="F26" s="51" t="str">
        <f aca="false">IF(ABS(D26-C26)&lt;=1,"PASS","FAIL")</f>
        <v>PASS</v>
      </c>
    </row>
    <row r="27" customFormat="false" ht="15" hidden="false" customHeight="false" outlineLevel="0" collapsed="false">
      <c r="A27" s="13" t="s">
        <v>78</v>
      </c>
      <c r="B27" s="5" t="s">
        <v>268</v>
      </c>
      <c r="C27" s="24" t="n">
        <v>17200000</v>
      </c>
      <c r="D27" s="24" t="n">
        <f aca="false">'Option and Break-even'!D22</f>
        <v>17200000</v>
      </c>
      <c r="E27" s="24" t="n">
        <f aca="false">D27-C27</f>
        <v>0</v>
      </c>
      <c r="F27" s="51" t="str">
        <f aca="false">IF(ABS(D27-C27)&lt;=1,"PASS","FAIL")</f>
        <v>PASS</v>
      </c>
    </row>
    <row r="28" customFormat="false" ht="15" hidden="false" customHeight="false" outlineLevel="0" collapsed="false">
      <c r="A28" s="13" t="s">
        <v>78</v>
      </c>
      <c r="B28" s="5" t="s">
        <v>269</v>
      </c>
      <c r="C28" s="24" t="n">
        <v>1908000</v>
      </c>
      <c r="D28" s="24" t="n">
        <f aca="false">(PassingRent-Irrecoverable)-LoanAmount*AllInRate</f>
        <v>1908000</v>
      </c>
      <c r="E28" s="24" t="n">
        <f aca="false">D28-C28</f>
        <v>0</v>
      </c>
      <c r="F28" s="51" t="str">
        <f aca="false">IF(ABS(D28-C28)&lt;=1,"PASS","FAIL")</f>
        <v>PASS</v>
      </c>
    </row>
    <row r="29" customFormat="false" ht="15" hidden="false" customHeight="false" outlineLevel="0" collapsed="false">
      <c r="A29" s="13" t="s">
        <v>270</v>
      </c>
      <c r="B29" s="5" t="s">
        <v>67</v>
      </c>
      <c r="C29" s="24" t="n">
        <v>91500000</v>
      </c>
      <c r="D29" s="24" t="n">
        <f aca="false">VacantPossession</f>
        <v>91500000</v>
      </c>
      <c r="E29" s="24" t="n">
        <f aca="false">D29-C29</f>
        <v>0</v>
      </c>
      <c r="F29" s="51" t="str">
        <f aca="false">IF(ABS(D29-C29)&lt;=1,"PASS","FAIL")</f>
        <v>PASS</v>
      </c>
    </row>
    <row r="30" customFormat="false" ht="15" hidden="false" customHeight="false" outlineLevel="0" collapsed="false">
      <c r="A30" s="13" t="s">
        <v>270</v>
      </c>
      <c r="B30" s="5" t="s">
        <v>134</v>
      </c>
      <c r="C30" s="38" t="n">
        <v>1.31</v>
      </c>
      <c r="D30" s="38" t="n">
        <f aca="false">ROUND('Four Values'!C21,2)</f>
        <v>1.31</v>
      </c>
      <c r="E30" s="38" t="n">
        <f aca="false">D30-C30</f>
        <v>0</v>
      </c>
      <c r="F30" s="51" t="str">
        <f aca="false">IF(ABS(D30-C30)&lt;=0.005,"PASS","FAIL")</f>
        <v>PASS</v>
      </c>
    </row>
    <row r="31" customFormat="false" ht="15" hidden="false" customHeight="false" outlineLevel="0" collapsed="false">
      <c r="A31" s="13" t="s">
        <v>271</v>
      </c>
      <c r="B31" s="5" t="s">
        <v>272</v>
      </c>
      <c r="C31" s="24" t="n">
        <v>115600000</v>
      </c>
      <c r="D31" s="24" t="n">
        <f aca="false">ROUND('Four Values'!C9,-5)</f>
        <v>115600000</v>
      </c>
      <c r="E31" s="24" t="n">
        <f aca="false">D31-C31</f>
        <v>0</v>
      </c>
      <c r="F31" s="51" t="str">
        <f aca="false">IF(ABS(D31-C31)&lt;=1,"PASS","FAIL")</f>
        <v>PASS</v>
      </c>
    </row>
    <row r="32" customFormat="false" ht="15" hidden="false" customHeight="false" outlineLevel="0" collapsed="false">
      <c r="A32" s="13" t="n">
        <v>1</v>
      </c>
      <c r="B32" s="5" t="s">
        <v>273</v>
      </c>
      <c r="C32" s="24" t="n">
        <v>37800000</v>
      </c>
      <c r="D32" s="24" t="n">
        <f aca="false">ROUND('Four Values'!C11,-5)</f>
        <v>37800000</v>
      </c>
      <c r="E32" s="24" t="n">
        <f aca="false">D32-C32</f>
        <v>0</v>
      </c>
      <c r="F32" s="51" t="str">
        <f aca="false">IF(ABS(D32-C32)&lt;=1,"PASS","FAIL")</f>
        <v>PASS</v>
      </c>
    </row>
    <row r="33" customFormat="false" ht="15" hidden="false" customHeight="false" outlineLevel="0" collapsed="false">
      <c r="A33" s="13" t="n">
        <v>2</v>
      </c>
      <c r="B33" s="5" t="s">
        <v>274</v>
      </c>
      <c r="C33" s="32" t="n">
        <v>-0.045</v>
      </c>
      <c r="D33" s="32" t="n">
        <f aca="false">ROUND('The Bridge'!C46,3)</f>
        <v>-0.045</v>
      </c>
      <c r="E33" s="32" t="n">
        <f aca="false">D33-C33</f>
        <v>0</v>
      </c>
      <c r="F33" s="51" t="str">
        <f aca="false">IF(ABS(D33-C33)&lt;=0.0005,"PASS","FAIL")</f>
        <v>PASS</v>
      </c>
      <c r="G33" s="52" t="s">
        <v>275</v>
      </c>
    </row>
    <row r="34" customFormat="false" ht="15" hidden="false" customHeight="false" outlineLevel="0" collapsed="false">
      <c r="A34" s="13" t="n">
        <v>3</v>
      </c>
      <c r="B34" s="5" t="s">
        <v>276</v>
      </c>
      <c r="C34" s="32" t="n">
        <v>0.69</v>
      </c>
      <c r="D34" s="32" t="n">
        <f aca="false">ROUND('Option and Break-even'!B47,2)</f>
        <v>0.69</v>
      </c>
      <c r="E34" s="32" t="n">
        <f aca="false">D34-C34</f>
        <v>0</v>
      </c>
      <c r="F34" s="51" t="str">
        <f aca="false">IF(ABS(D34-C34)&lt;=0.005,"PASS","FAIL")</f>
        <v>PASS</v>
      </c>
      <c r="G34" s="52" t="s">
        <v>277</v>
      </c>
    </row>
    <row r="35" customFormat="false" ht="15" hidden="false" customHeight="false" outlineLevel="0" collapsed="false">
      <c r="A35" s="13" t="n">
        <v>5</v>
      </c>
      <c r="B35" s="5" t="s">
        <v>278</v>
      </c>
      <c r="C35" s="38" t="n">
        <v>1.14</v>
      </c>
      <c r="D35" s="38" t="n">
        <f aca="false">ROUND('The Stack'!B14,2)</f>
        <v>1.14</v>
      </c>
      <c r="E35" s="38" t="n">
        <f aca="false">D35-C35</f>
        <v>0</v>
      </c>
      <c r="F35" s="51" t="str">
        <f aca="false">IF(ABS(D35-C35)&lt;=0.005,"PASS","FAIL")</f>
        <v>PASS</v>
      </c>
    </row>
    <row r="36" customFormat="false" ht="15" hidden="false" customHeight="false" outlineLevel="0" collapsed="false">
      <c r="A36" s="13" t="n">
        <v>5</v>
      </c>
      <c r="B36" s="5" t="s">
        <v>279</v>
      </c>
      <c r="C36" s="24" t="n">
        <v>10200000</v>
      </c>
      <c r="D36" s="24" t="n">
        <f aca="false">'The Stack'!B16</f>
        <v>10200000</v>
      </c>
      <c r="E36" s="24" t="n">
        <f aca="false">D36-C36</f>
        <v>0</v>
      </c>
      <c r="F36" s="51" t="str">
        <f aca="false">IF(ABS(D36-C36)&lt;=1,"PASS","FAIL")</f>
        <v>PASS</v>
      </c>
    </row>
    <row r="37" customFormat="false" ht="15" hidden="false" customHeight="false" outlineLevel="0" collapsed="false">
      <c r="A37" s="13" t="n">
        <v>5</v>
      </c>
      <c r="B37" s="5" t="s">
        <v>280</v>
      </c>
      <c r="C37" s="32" t="n">
        <v>0.85</v>
      </c>
      <c r="D37" s="32" t="n">
        <f aca="false">ROUND('The Stack'!B17,2)</f>
        <v>0.85</v>
      </c>
      <c r="E37" s="32" t="n">
        <f aca="false">D37-C37</f>
        <v>0</v>
      </c>
      <c r="F37" s="51" t="str">
        <f aca="false">IF(ABS(D37-C37)&lt;=0.005,"PASS","FAIL")</f>
        <v>PASS</v>
      </c>
    </row>
    <row r="38" customFormat="false" ht="15" hidden="false" customHeight="false" outlineLevel="0" collapsed="false">
      <c r="A38" s="13" t="n">
        <v>5</v>
      </c>
      <c r="B38" s="5" t="s">
        <v>281</v>
      </c>
      <c r="C38" s="24" t="n">
        <v>1800000</v>
      </c>
      <c r="D38" s="24" t="n">
        <f aca="false">'The Stack'!B18</f>
        <v>1800000</v>
      </c>
      <c r="E38" s="24" t="n">
        <f aca="false">D38-C38</f>
        <v>0</v>
      </c>
      <c r="F38" s="51" t="str">
        <f aca="false">IF(ABS(D38-C38)&lt;=1,"PASS","FAIL")</f>
        <v>PASS</v>
      </c>
    </row>
    <row r="39" customFormat="false" ht="15" hidden="false" customHeight="false" outlineLevel="0" collapsed="false">
      <c r="A39" s="13" t="n">
        <v>5</v>
      </c>
      <c r="B39" s="5" t="s">
        <v>282</v>
      </c>
      <c r="C39" s="24" t="n">
        <v>2000000</v>
      </c>
      <c r="D39" s="24" t="n">
        <f aca="false">'The Stack'!C16</f>
        <v>2000000</v>
      </c>
      <c r="E39" s="24" t="n">
        <f aca="false">D39-C39</f>
        <v>0</v>
      </c>
      <c r="F39" s="51" t="str">
        <f aca="false">IF(ABS(D39-C39)&lt;=1,"PASS","FAIL")</f>
        <v>PASS</v>
      </c>
    </row>
    <row r="40" customFormat="false" ht="15" hidden="false" customHeight="false" outlineLevel="0" collapsed="false">
      <c r="A40" s="13" t="n">
        <v>5</v>
      </c>
      <c r="B40" s="5" t="s">
        <v>280</v>
      </c>
      <c r="C40" s="32" t="n">
        <v>0.17</v>
      </c>
      <c r="D40" s="32" t="n">
        <f aca="false">ROUND('The Stack'!C17,2)</f>
        <v>0.17</v>
      </c>
      <c r="E40" s="32" t="n">
        <f aca="false">D40-C40</f>
        <v>0</v>
      </c>
      <c r="F40" s="51" t="str">
        <f aca="false">IF(ABS(D40-C40)&lt;=0.005,"PASS","FAIL")</f>
        <v>PASS</v>
      </c>
    </row>
    <row r="41" customFormat="false" ht="15" hidden="false" customHeight="false" outlineLevel="0" collapsed="false">
      <c r="A41" s="13" t="n">
        <v>11</v>
      </c>
      <c r="B41" s="5" t="s">
        <v>283</v>
      </c>
      <c r="C41" s="24" t="n">
        <v>67258182</v>
      </c>
      <c r="D41" s="24" t="n">
        <f aca="false">ROUND('The Bridge'!C54,0)</f>
        <v>67258182</v>
      </c>
      <c r="E41" s="24" t="n">
        <f aca="false">D41-C41</f>
        <v>0</v>
      </c>
      <c r="F41" s="51" t="str">
        <f aca="false">IF(ABS(D41-C41)&lt;=1,"PASS","FAIL")</f>
        <v>PASS</v>
      </c>
    </row>
    <row r="42" customFormat="false" ht="15" hidden="false" customHeight="false" outlineLevel="0" collapsed="false">
      <c r="A42" s="13" t="n">
        <v>11</v>
      </c>
      <c r="B42" s="5" t="s">
        <v>284</v>
      </c>
      <c r="C42" s="24" t="n">
        <v>4741818</v>
      </c>
      <c r="D42" s="24" t="n">
        <f aca="false">ROUND('The Bridge'!C55,0)</f>
        <v>4741818</v>
      </c>
      <c r="E42" s="24" t="n">
        <f aca="false">D42-C42</f>
        <v>0</v>
      </c>
      <c r="F42" s="51" t="str">
        <f aca="false">IF(ABS(D42-C42)&lt;=1,"PASS","FAIL")</f>
        <v>PASS</v>
      </c>
    </row>
    <row r="43" customFormat="false" ht="15" hidden="false" customHeight="false" outlineLevel="0" collapsed="false">
      <c r="A43" s="13" t="n">
        <v>15</v>
      </c>
      <c r="B43" s="5" t="s">
        <v>285</v>
      </c>
      <c r="C43" s="24" t="n">
        <v>110095238</v>
      </c>
      <c r="D43" s="24" t="n">
        <f aca="false">ROUND('Sale and Leaseback'!B7,0)</f>
        <v>110095238</v>
      </c>
      <c r="E43" s="24" t="n">
        <f aca="false">D43-C43</f>
        <v>0</v>
      </c>
      <c r="F43" s="51" t="str">
        <f aca="false">IF(ABS(D43-C43)&lt;=1,"PASS","FAIL")</f>
        <v>PASS</v>
      </c>
    </row>
    <row r="44" customFormat="false" ht="15" hidden="false" customHeight="false" outlineLevel="0" collapsed="false">
      <c r="A44" s="13" t="n">
        <v>15</v>
      </c>
      <c r="B44" s="5" t="s">
        <v>286</v>
      </c>
      <c r="C44" s="24" t="n">
        <v>112380952</v>
      </c>
      <c r="D44" s="24" t="n">
        <f aca="false">ROUND('Sale and Leaseback'!B8,0)</f>
        <v>112380952</v>
      </c>
      <c r="E44" s="24" t="n">
        <f aca="false">D44-C44</f>
        <v>0</v>
      </c>
      <c r="F44" s="51" t="str">
        <f aca="false">IF(ABS(D44-C44)&lt;=1,"PASS","FAIL")</f>
        <v>PASS</v>
      </c>
      <c r="G44" s="52" t="s">
        <v>287</v>
      </c>
    </row>
    <row r="45" customFormat="false" ht="15" hidden="false" customHeight="false" outlineLevel="0" collapsed="false">
      <c r="A45" s="13" t="n">
        <v>15</v>
      </c>
      <c r="B45" s="5" t="s">
        <v>288</v>
      </c>
      <c r="C45" s="24" t="n">
        <v>9904762</v>
      </c>
      <c r="D45" s="24" t="n">
        <f aca="false">ROUND('Sale and Leaseback'!B10,0)</f>
        <v>9904762</v>
      </c>
      <c r="E45" s="24" t="n">
        <f aca="false">D45-C45</f>
        <v>0</v>
      </c>
      <c r="F45" s="51" t="str">
        <f aca="false">IF(ABS(D45-C45)&lt;=1,"PASS","FAIL")</f>
        <v>PASS</v>
      </c>
      <c r="G45" s="52" t="s">
        <v>289</v>
      </c>
    </row>
    <row r="46" customFormat="false" ht="15" hidden="false" customHeight="false" outlineLevel="0" collapsed="false">
      <c r="A46" s="13" t="n">
        <v>16</v>
      </c>
      <c r="B46" s="5" t="s">
        <v>290</v>
      </c>
      <c r="C46" s="24" t="n">
        <v>6240000</v>
      </c>
      <c r="D46" s="24" t="n">
        <f aca="false">'Sale and Leaseback'!B18</f>
        <v>6240000</v>
      </c>
      <c r="E46" s="24" t="n">
        <f aca="false">D46-C46</f>
        <v>0</v>
      </c>
      <c r="F46" s="51" t="str">
        <f aca="false">IF(ABS(D46-C46)&lt;=1,"PASS","FAIL")</f>
        <v>PASS</v>
      </c>
    </row>
    <row r="47" customFormat="false" ht="15" hidden="false" customHeight="false" outlineLevel="0" collapsed="false">
      <c r="A47" s="13" t="n">
        <v>16</v>
      </c>
      <c r="B47" s="5" t="s">
        <v>207</v>
      </c>
      <c r="C47" s="24" t="n">
        <v>3664762</v>
      </c>
      <c r="D47" s="24" t="n">
        <f aca="false">ROUND('Sale and Leaseback'!B19,0)</f>
        <v>3664762</v>
      </c>
      <c r="E47" s="24" t="n">
        <f aca="false">D47-C47</f>
        <v>0</v>
      </c>
      <c r="F47" s="51" t="str">
        <f aca="false">IF(ABS(D47-C47)&lt;=1,"PASS","FAIL")</f>
        <v>PASS</v>
      </c>
      <c r="G47" s="52" t="s">
        <v>291</v>
      </c>
    </row>
    <row r="48" customFormat="false" ht="15" hidden="false" customHeight="false" outlineLevel="0" collapsed="false">
      <c r="A48" s="13" t="n">
        <v>16</v>
      </c>
      <c r="B48" s="5" t="s">
        <v>292</v>
      </c>
      <c r="C48" s="32" t="n">
        <v>0.63</v>
      </c>
      <c r="D48" s="32" t="n">
        <f aca="false">ROUND('Sale and Leaseback'!B20,2)</f>
        <v>0.63</v>
      </c>
      <c r="E48" s="32" t="n">
        <f aca="false">D48-C48</f>
        <v>0</v>
      </c>
      <c r="F48" s="51" t="str">
        <f aca="false">IF(ABS(D48-C48)&lt;=0.005,"PASS","FAIL")</f>
        <v>PASS</v>
      </c>
      <c r="G48" s="52" t="s">
        <v>293</v>
      </c>
    </row>
    <row r="49" customFormat="false" ht="15" hidden="false" customHeight="false" outlineLevel="0" collapsed="false">
      <c r="A49" s="13" t="n">
        <v>16</v>
      </c>
      <c r="B49" s="5" t="s">
        <v>294</v>
      </c>
      <c r="C49" s="24" t="n">
        <v>5176000</v>
      </c>
      <c r="D49" s="24" t="n">
        <f aca="false">ROUND('Sale and Leaseback'!B24,-3)</f>
        <v>5176000</v>
      </c>
      <c r="E49" s="24" t="n">
        <f aca="false">D49-C49</f>
        <v>0</v>
      </c>
      <c r="F49" s="51" t="str">
        <f aca="false">IF(ABS(D49-C49)&lt;=1,"PASS","FAIL")</f>
        <v>PASS</v>
      </c>
      <c r="G49" s="52" t="s">
        <v>295</v>
      </c>
    </row>
    <row r="50" customFormat="false" ht="15" hidden="false" customHeight="false" outlineLevel="0" collapsed="false">
      <c r="A50" s="13" t="n">
        <v>16</v>
      </c>
      <c r="B50" s="5" t="s">
        <v>296</v>
      </c>
      <c r="C50" s="24" t="n">
        <v>4609000</v>
      </c>
      <c r="D50" s="24" t="n">
        <f aca="false">ROUND('Sale and Leaseback'!B25,-3)</f>
        <v>4609000</v>
      </c>
      <c r="E50" s="24" t="n">
        <f aca="false">D50-C50</f>
        <v>0</v>
      </c>
      <c r="F50" s="51" t="str">
        <f aca="false">IF(ABS(D50-C50)&lt;=1,"PASS","FAIL")</f>
        <v>PASS</v>
      </c>
      <c r="G50" s="52" t="s">
        <v>297</v>
      </c>
    </row>
    <row r="51" customFormat="false" ht="15" hidden="false" customHeight="false" outlineLevel="0" collapsed="false">
      <c r="A51" s="13" t="n">
        <v>16</v>
      </c>
      <c r="B51" s="5" t="s">
        <v>298</v>
      </c>
      <c r="C51" s="24" t="n">
        <v>4130197</v>
      </c>
      <c r="D51" s="24" t="n">
        <f aca="false">ROUND('Sale and Leaseback'!B26,0)</f>
        <v>4130197</v>
      </c>
      <c r="E51" s="24" t="n">
        <f aca="false">D51-C51</f>
        <v>0</v>
      </c>
      <c r="F51" s="51" t="str">
        <f aca="false">IF(ABS(D51-C51)&lt;=1,"PASS","FAIL")</f>
        <v>PASS</v>
      </c>
    </row>
    <row r="52" customFormat="false" ht="15" hidden="false" customHeight="false" outlineLevel="0" collapsed="false">
      <c r="A52" s="13" t="n">
        <v>16</v>
      </c>
      <c r="B52" s="5" t="s">
        <v>299</v>
      </c>
      <c r="C52" s="24" t="n">
        <v>3724000</v>
      </c>
      <c r="D52" s="24" t="n">
        <f aca="false">ROUND('Sale and Leaseback'!B27,-3)</f>
        <v>3724000</v>
      </c>
      <c r="E52" s="24" t="n">
        <f aca="false">D52-C52</f>
        <v>0</v>
      </c>
      <c r="F52" s="51" t="str">
        <f aca="false">IF(ABS(D52-C52)&lt;=1,"PASS","FAIL")</f>
        <v>PASS</v>
      </c>
    </row>
    <row r="53" customFormat="false" ht="15" hidden="false" customHeight="false" outlineLevel="0" collapsed="false">
      <c r="A53" s="13" t="n">
        <v>16</v>
      </c>
      <c r="B53" s="5" t="s">
        <v>300</v>
      </c>
      <c r="C53" s="24" t="n">
        <v>3376000</v>
      </c>
      <c r="D53" s="24" t="n">
        <f aca="false">ROUND('Sale and Leaseback'!B28,-3)</f>
        <v>3376000</v>
      </c>
      <c r="E53" s="24" t="n">
        <f aca="false">D53-C53</f>
        <v>0</v>
      </c>
      <c r="F53" s="51" t="str">
        <f aca="false">IF(ABS(D53-C53)&lt;=1,"PASS","FAIL")</f>
        <v>PASS</v>
      </c>
      <c r="G53" s="52" t="s">
        <v>301</v>
      </c>
    </row>
    <row r="54" customFormat="false" ht="15" hidden="false" customHeight="false" outlineLevel="0" collapsed="false">
      <c r="A54" s="13" t="n">
        <v>16</v>
      </c>
      <c r="B54" s="5" t="s">
        <v>302</v>
      </c>
      <c r="C54" s="48" t="n">
        <v>7.9427</v>
      </c>
      <c r="D54" s="48" t="n">
        <f aca="false">ROUND('Sale and Leaseback'!B33,4)</f>
        <v>7.9427</v>
      </c>
      <c r="E54" s="48" t="n">
        <f aca="false">D54-C54</f>
        <v>0</v>
      </c>
      <c r="F54" s="51" t="str">
        <f aca="false">IF(ABS(D54-C54)&lt;=0.00005,"PASS","FAIL")</f>
        <v>PASS</v>
      </c>
    </row>
    <row r="55" customFormat="false" ht="15" hidden="false" customHeight="false" outlineLevel="0" collapsed="false">
      <c r="A55" s="13" t="n">
        <v>16</v>
      </c>
      <c r="B55" s="5" t="s">
        <v>303</v>
      </c>
      <c r="C55" s="24" t="n">
        <v>114225435</v>
      </c>
      <c r="D55" s="24" t="n">
        <f aca="false">ROUND('Sale and Leaseback'!B35,0)</f>
        <v>114225435</v>
      </c>
      <c r="E55" s="24" t="n">
        <f aca="false">D55-C55</f>
        <v>0</v>
      </c>
      <c r="F55" s="51" t="str">
        <f aca="false">IF(ABS(D55-C55)&lt;=1,"PASS","FAIL")</f>
        <v>PASS</v>
      </c>
      <c r="G55" s="52" t="s">
        <v>304</v>
      </c>
    </row>
    <row r="56" customFormat="false" ht="15" hidden="false" customHeight="false" outlineLevel="0" collapsed="false">
      <c r="A56" s="13" t="n">
        <v>16</v>
      </c>
      <c r="B56" s="5" t="s">
        <v>215</v>
      </c>
      <c r="C56" s="24" t="n">
        <v>5774565</v>
      </c>
      <c r="D56" s="24" t="n">
        <f aca="false">ROUND('Sale and Leaseback'!B36,0)</f>
        <v>5774565</v>
      </c>
      <c r="E56" s="24" t="n">
        <f aca="false">D56-C56</f>
        <v>0</v>
      </c>
      <c r="F56" s="51" t="str">
        <f aca="false">IF(ABS(D56-C56)&lt;=1,"PASS","FAIL")</f>
        <v>PASS</v>
      </c>
      <c r="G56" s="52" t="s">
        <v>305</v>
      </c>
    </row>
    <row r="57" customFormat="false" ht="15" hidden="false" customHeight="false" outlineLevel="0" collapsed="false">
      <c r="A57" s="13" t="n">
        <v>16</v>
      </c>
      <c r="B57" s="5" t="s">
        <v>306</v>
      </c>
      <c r="C57" s="34" t="n">
        <v>0.0535</v>
      </c>
      <c r="D57" s="34" t="n">
        <f aca="false">ROUND('Sale and Leaseback'!B37,4)</f>
        <v>0.0535</v>
      </c>
      <c r="E57" s="34" t="n">
        <f aca="false">D57-C57</f>
        <v>0</v>
      </c>
      <c r="F57" s="51" t="str">
        <f aca="false">IF(ABS(D57-C57)&lt;=0.00005,"PASS","FAIL")</f>
        <v>PASS</v>
      </c>
    </row>
    <row r="58" customFormat="false" ht="15" hidden="false" customHeight="false" outlineLevel="0" collapsed="false">
      <c r="A58" s="13" t="n">
        <v>16</v>
      </c>
      <c r="B58" s="5" t="s">
        <v>307</v>
      </c>
      <c r="C58" s="34" t="n">
        <v>0.0562</v>
      </c>
      <c r="D58" s="34" t="n">
        <f aca="false">ROUND('Sale and Leaseback'!B38,4)</f>
        <v>0.0562</v>
      </c>
      <c r="E58" s="34" t="n">
        <f aca="false">D58-C58</f>
        <v>0</v>
      </c>
      <c r="F58" s="51" t="str">
        <f aca="false">IF(ABS(D58-C58)&lt;=0.00005,"PASS","FAIL")</f>
        <v>PASS</v>
      </c>
      <c r="G58" s="52" t="s">
        <v>308</v>
      </c>
    </row>
    <row r="59" customFormat="false" ht="15" hidden="false" customHeight="false" outlineLevel="0" collapsed="false">
      <c r="A59" s="13" t="n">
        <v>16</v>
      </c>
      <c r="B59" s="5" t="s">
        <v>218</v>
      </c>
      <c r="C59" s="53" t="n">
        <v>27</v>
      </c>
      <c r="D59" s="53" t="n">
        <f aca="false">ROUND('Sale and Leaseback'!B39,0)</f>
        <v>27</v>
      </c>
      <c r="E59" s="53" t="n">
        <f aca="false">D59-C59</f>
        <v>0</v>
      </c>
      <c r="F59" s="51" t="str">
        <f aca="false">IF(ABS(D59-C59)&lt;=0.5,"PASS","FAIL")</f>
        <v>PASS</v>
      </c>
      <c r="G59" s="52" t="s">
        <v>309</v>
      </c>
    </row>
    <row r="60" customFormat="false" ht="15" hidden="false" customHeight="false" outlineLevel="0" collapsed="false">
      <c r="A60" s="13" t="n">
        <v>16</v>
      </c>
      <c r="B60" s="5" t="s">
        <v>310</v>
      </c>
      <c r="C60" s="24" t="n">
        <v>1247029</v>
      </c>
      <c r="D60" s="24" t="n">
        <f aca="false">ROUND('Sale and Leaseback'!B43,0)</f>
        <v>1247029</v>
      </c>
      <c r="E60" s="24" t="n">
        <f aca="false">D60-C60</f>
        <v>0</v>
      </c>
      <c r="F60" s="51" t="str">
        <f aca="false">IF(ABS(D60-C60)&lt;=1,"PASS","FAIL")</f>
        <v>PASS</v>
      </c>
      <c r="G60" s="52" t="s">
        <v>311</v>
      </c>
    </row>
    <row r="61" customFormat="false" ht="15" hidden="false" customHeight="false" outlineLevel="0" collapsed="false">
      <c r="A61" s="13" t="n">
        <v>16</v>
      </c>
      <c r="B61" s="5" t="s">
        <v>312</v>
      </c>
      <c r="C61" s="24" t="n">
        <v>7147029</v>
      </c>
      <c r="D61" s="24" t="n">
        <f aca="false">ROUND('Sale and Leaseback'!B44,0)</f>
        <v>7147029</v>
      </c>
      <c r="E61" s="24" t="n">
        <f aca="false">D61-C61</f>
        <v>0</v>
      </c>
      <c r="F61" s="51" t="str">
        <f aca="false">IF(ABS(D61-C61)&lt;=1,"PASS","FAIL")</f>
        <v>PASS</v>
      </c>
      <c r="G61" s="52" t="s">
        <v>313</v>
      </c>
    </row>
    <row r="62" customFormat="false" ht="15" hidden="false" customHeight="false" outlineLevel="0" collapsed="false">
      <c r="A62" s="13" t="n">
        <v>16</v>
      </c>
      <c r="B62" s="5" t="s">
        <v>314</v>
      </c>
      <c r="C62" s="32" t="n">
        <v>0.211</v>
      </c>
      <c r="D62" s="32" t="n">
        <f aca="false">ROUND('Sale and Leaseback'!B45,3)</f>
        <v>0.211</v>
      </c>
      <c r="E62" s="32" t="n">
        <f aca="false">D62-C62</f>
        <v>0</v>
      </c>
      <c r="F62" s="51" t="str">
        <f aca="false">IF(ABS(D62-C62)&lt;=0.0005,"PASS","FAIL")</f>
        <v>PASS</v>
      </c>
      <c r="G62" s="52" t="s">
        <v>315</v>
      </c>
    </row>
    <row r="63" customFormat="false" ht="15" hidden="false" customHeight="false" outlineLevel="0" collapsed="false">
      <c r="A63" s="13" t="n">
        <v>16</v>
      </c>
      <c r="B63" s="5" t="s">
        <v>316</v>
      </c>
      <c r="C63" s="32" t="n">
        <v>0.42</v>
      </c>
      <c r="D63" s="32" t="n">
        <f aca="false">ROUND('Sale and Leaseback'!B46,2)</f>
        <v>0.42</v>
      </c>
      <c r="E63" s="32" t="n">
        <f aca="false">D63-C63</f>
        <v>0</v>
      </c>
      <c r="F63" s="51" t="str">
        <f aca="false">IF(ABS(D63-C63)&lt;=0.005,"PASS","FAIL")</f>
        <v>PASS</v>
      </c>
      <c r="G63" s="52" t="s">
        <v>317</v>
      </c>
    </row>
    <row r="64" customFormat="false" ht="15" hidden="false" customHeight="false" outlineLevel="0" collapsed="false">
      <c r="A64" s="13" t="n">
        <v>16</v>
      </c>
      <c r="B64" s="5" t="s">
        <v>318</v>
      </c>
      <c r="C64" s="34" t="n">
        <v>0.0043</v>
      </c>
      <c r="D64" s="34" t="n">
        <f aca="false">ROUND('Sale and Leaseback'!B47,4)</f>
        <v>0.0043</v>
      </c>
      <c r="E64" s="34" t="n">
        <f aca="false">D64-C64</f>
        <v>0</v>
      </c>
      <c r="F64" s="51" t="str">
        <f aca="false">IF(ABS(D64-C64)&lt;=0.00005,"PASS","FAIL")</f>
        <v>PASS</v>
      </c>
      <c r="G64" s="52" t="s">
        <v>319</v>
      </c>
    </row>
    <row r="65" customFormat="false" ht="15" hidden="false" customHeight="false" outlineLevel="0" collapsed="false">
      <c r="A65" s="13" t="n">
        <v>16</v>
      </c>
      <c r="B65" s="5" t="s">
        <v>320</v>
      </c>
      <c r="C65" s="24" t="n">
        <v>2600000</v>
      </c>
      <c r="D65" s="24" t="n">
        <f aca="false">'Sale and Leaseback'!B52</f>
        <v>2600000</v>
      </c>
      <c r="E65" s="24" t="n">
        <f aca="false">D65-C65</f>
        <v>0</v>
      </c>
      <c r="F65" s="51" t="str">
        <f aca="false">IF(ABS(D65-C65)&lt;=1,"PASS","FAIL")</f>
        <v>PASS</v>
      </c>
    </row>
    <row r="66" customFormat="false" ht="15" hidden="false" customHeight="false" outlineLevel="0" collapsed="false">
      <c r="A66" s="13" t="n">
        <v>16</v>
      </c>
      <c r="B66" s="5" t="s">
        <v>321</v>
      </c>
      <c r="C66" s="24" t="n">
        <v>2132000</v>
      </c>
      <c r="D66" s="24" t="n">
        <f aca="false">ROUND('Sale and Leaseback'!C52,-3)</f>
        <v>2132000</v>
      </c>
      <c r="E66" s="24" t="n">
        <f aca="false">D66-C66</f>
        <v>0</v>
      </c>
      <c r="F66" s="51" t="str">
        <f aca="false">IF(ABS(D66-C66)&lt;=1,"PASS","FAIL")</f>
        <v>PASS</v>
      </c>
    </row>
    <row r="67" customFormat="false" ht="15" hidden="false" customHeight="false" outlineLevel="0" collapsed="false">
      <c r="A67" s="13" t="n">
        <v>16</v>
      </c>
      <c r="B67" s="5" t="s">
        <v>322</v>
      </c>
      <c r="C67" s="24" t="n">
        <v>7773000</v>
      </c>
      <c r="D67" s="24" t="n">
        <f aca="false">ROUND('Sale and Leaseback'!D52,-3)</f>
        <v>7773000</v>
      </c>
      <c r="E67" s="24" t="n">
        <f aca="false">D67-C67</f>
        <v>0</v>
      </c>
      <c r="F67" s="51" t="str">
        <f aca="false">IF(ABS(D67-C67)&lt;=1,"PASS","FAIL")</f>
        <v>PASS</v>
      </c>
      <c r="G67" s="52" t="s">
        <v>323</v>
      </c>
    </row>
    <row r="68" customFormat="false" ht="15" hidden="false" customHeight="false" outlineLevel="0" collapsed="false">
      <c r="A68" s="13" t="n">
        <v>16</v>
      </c>
      <c r="B68" s="5" t="s">
        <v>324</v>
      </c>
      <c r="C68" s="24" t="n">
        <v>5774565</v>
      </c>
      <c r="D68" s="24" t="n">
        <f aca="false">ROUND('Sale and Leaseback'!B55,0)</f>
        <v>5774565</v>
      </c>
      <c r="E68" s="24" t="n">
        <f aca="false">D68-C68</f>
        <v>0</v>
      </c>
      <c r="F68" s="51" t="str">
        <f aca="false">IF(ABS(D68-C68)&lt;=1,"PASS","FAIL")</f>
        <v>PASS</v>
      </c>
      <c r="G68" s="52" t="s">
        <v>305</v>
      </c>
    </row>
    <row r="69" customFormat="false" ht="15" hidden="false" customHeight="false" outlineLevel="0" collapsed="false">
      <c r="A69" s="13" t="n">
        <v>16</v>
      </c>
      <c r="B69" s="5" t="s">
        <v>325</v>
      </c>
      <c r="C69" s="24" t="n">
        <v>12857143</v>
      </c>
      <c r="D69" s="24" t="n">
        <f aca="false">ROUND('Sale and Leaseback'!B61,0)</f>
        <v>12857143</v>
      </c>
      <c r="E69" s="24" t="n">
        <f aca="false">D69-C69</f>
        <v>0</v>
      </c>
      <c r="F69" s="51" t="str">
        <f aca="false">IF(ABS(D69-C69)&lt;=1,"PASS","FAIL")</f>
        <v>PASS</v>
      </c>
    </row>
    <row r="70" customFormat="false" ht="15" hidden="false" customHeight="false" outlineLevel="0" collapsed="false">
      <c r="A70" s="13" t="n">
        <v>16</v>
      </c>
      <c r="B70" s="5" t="s">
        <v>326</v>
      </c>
      <c r="C70" s="24" t="n">
        <v>8836333</v>
      </c>
      <c r="D70" s="24" t="n">
        <f aca="false">ROUND('Sale and Leaseback'!B63,0)</f>
        <v>8836333</v>
      </c>
      <c r="E70" s="24" t="n">
        <f aca="false">D70-C70</f>
        <v>0</v>
      </c>
      <c r="F70" s="51" t="str">
        <f aca="false">IF(ABS(D70-C70)&lt;=1,"PASS","FAIL")</f>
        <v>PASS</v>
      </c>
      <c r="G70" s="52" t="s">
        <v>327</v>
      </c>
    </row>
    <row r="71" customFormat="false" ht="15" hidden="false" customHeight="false" outlineLevel="0" collapsed="false">
      <c r="A71" s="13" t="n">
        <v>16</v>
      </c>
      <c r="B71" s="5" t="s">
        <v>328</v>
      </c>
      <c r="C71" s="24" t="n">
        <v>4020810</v>
      </c>
      <c r="D71" s="24" t="n">
        <f aca="false">ROUND('Sale and Leaseback'!B64,0)</f>
        <v>4020810</v>
      </c>
      <c r="E71" s="24" t="n">
        <f aca="false">D71-C71</f>
        <v>0</v>
      </c>
      <c r="F71" s="51" t="str">
        <f aca="false">IF(ABS(D71-C71)&lt;=1,"PASS","FAIL")</f>
        <v>PASS</v>
      </c>
      <c r="G71" s="52" t="s">
        <v>329</v>
      </c>
    </row>
    <row r="72" customFormat="false" ht="15" hidden="false" customHeight="false" outlineLevel="0" collapsed="false">
      <c r="A72" s="13" t="n">
        <v>16</v>
      </c>
      <c r="B72" s="5" t="s">
        <v>330</v>
      </c>
      <c r="C72" s="32" t="n">
        <v>0.063</v>
      </c>
      <c r="D72" s="32" t="n">
        <f aca="false">ROUND('Sale and Leaseback'!B65,3)</f>
        <v>0.063</v>
      </c>
      <c r="E72" s="32" t="n">
        <f aca="false">D72-C72</f>
        <v>0</v>
      </c>
      <c r="F72" s="51" t="str">
        <f aca="false">IF(ABS(D72-C72)&lt;=0.0005,"PASS","FAIL")</f>
        <v>PASS</v>
      </c>
    </row>
    <row r="73" customFormat="false" ht="15" hidden="false" customHeight="false" outlineLevel="0" collapsed="false">
      <c r="A73" s="13" t="n">
        <v>15</v>
      </c>
      <c r="B73" s="5" t="s">
        <v>331</v>
      </c>
      <c r="C73" s="50" t="n">
        <v>4.6</v>
      </c>
      <c r="D73" s="50" t="n">
        <f aca="false">ROUND('Sale and Leaseback'!B60,1)</f>
        <v>4.6</v>
      </c>
      <c r="E73" s="50" t="n">
        <f aca="false">D73-C73</f>
        <v>0</v>
      </c>
      <c r="F73" s="51" t="str">
        <f aca="false">IF(ABS(D73-C73)&lt;=0.05,"PASS","FAIL")</f>
        <v>PASS</v>
      </c>
    </row>
    <row r="74" customFormat="false" ht="15" hidden="false" customHeight="false" outlineLevel="0" collapsed="false">
      <c r="A74" s="13" t="n">
        <v>16</v>
      </c>
      <c r="B74" s="5" t="s">
        <v>332</v>
      </c>
      <c r="C74" s="50" t="n">
        <v>12.46</v>
      </c>
      <c r="D74" s="50" t="n">
        <f aca="false">ROUND('Sale and Leaseback'!B67,2)</f>
        <v>12.46</v>
      </c>
      <c r="E74" s="50" t="n">
        <f aca="false">D74-C74</f>
        <v>0</v>
      </c>
      <c r="F74" s="51" t="str">
        <f aca="false">IF(ABS(D74-C74)&lt;=0.005,"PASS","FAIL")</f>
        <v>PASS</v>
      </c>
    </row>
    <row r="75" customFormat="false" ht="15" hidden="false" customHeight="false" outlineLevel="0" collapsed="false">
      <c r="A75" s="13" t="n">
        <v>16</v>
      </c>
      <c r="B75" s="5" t="s">
        <v>333</v>
      </c>
      <c r="C75" s="50" t="n">
        <v>9.13</v>
      </c>
      <c r="D75" s="50" t="n">
        <f aca="false">ROUND('Sale and Leaseback'!B68,2)</f>
        <v>9.13</v>
      </c>
      <c r="E75" s="50" t="n">
        <f aca="false">D75-C75</f>
        <v>0</v>
      </c>
      <c r="F75" s="51" t="str">
        <f aca="false">IF(ABS(D75-C75)&lt;=0.005,"PASS","FAIL")</f>
        <v>PASS</v>
      </c>
    </row>
    <row r="76" customFormat="false" ht="15" hidden="false" customHeight="false" outlineLevel="0" collapsed="false">
      <c r="A76" s="13" t="n">
        <v>16</v>
      </c>
      <c r="B76" s="5" t="s">
        <v>334</v>
      </c>
      <c r="C76" s="32" t="n">
        <v>0.27</v>
      </c>
      <c r="D76" s="32" t="n">
        <f aca="false">ROUND('Sale and Leaseback'!B69,2)</f>
        <v>0.27</v>
      </c>
      <c r="E76" s="32" t="n">
        <f aca="false">D76-C76</f>
        <v>0</v>
      </c>
      <c r="F76" s="51" t="str">
        <f aca="false">IF(ABS(D76-C76)&lt;=0.005,"PASS","FAIL")</f>
        <v>PASS</v>
      </c>
    </row>
    <row r="77" customFormat="false" ht="15" hidden="false" customHeight="false" outlineLevel="0" collapsed="false">
      <c r="A77" s="13" t="n">
        <v>16</v>
      </c>
      <c r="B77" s="5" t="s">
        <v>335</v>
      </c>
      <c r="C77" s="50" t="n">
        <v>10.67</v>
      </c>
      <c r="D77" s="50" t="n">
        <f aca="false">ROUND('Sale and Leaseback'!B70,2)</f>
        <v>10.67</v>
      </c>
      <c r="E77" s="50" t="n">
        <f aca="false">D77-C77</f>
        <v>0</v>
      </c>
      <c r="F77" s="51" t="str">
        <f aca="false">IF(ABS(D77-C77)&lt;=0.005,"PASS","FAIL")</f>
        <v>PASS</v>
      </c>
    </row>
    <row r="78" customFormat="false" ht="15" hidden="false" customHeight="false" outlineLevel="0" collapsed="false">
      <c r="A78" s="13" t="n">
        <v>16</v>
      </c>
      <c r="B78" s="5" t="s">
        <v>336</v>
      </c>
      <c r="C78" s="32" t="n">
        <v>0.09</v>
      </c>
      <c r="D78" s="32" t="n">
        <f aca="false">ROUND('Sale and Leaseback'!B71,2)</f>
        <v>0.09</v>
      </c>
      <c r="E78" s="32" t="n">
        <f aca="false">D78-C78</f>
        <v>0</v>
      </c>
      <c r="F78" s="51" t="str">
        <f aca="false">IF(ABS(D78-C78)&lt;=0.005,"PASS","FAIL")</f>
        <v>PASS</v>
      </c>
    </row>
    <row r="79" customFormat="false" ht="15" hidden="false" customHeight="false" outlineLevel="0" collapsed="false">
      <c r="A79" s="13" t="n">
        <v>16</v>
      </c>
      <c r="B79" s="5" t="s">
        <v>337</v>
      </c>
      <c r="C79" s="13" t="s">
        <v>338</v>
      </c>
      <c r="D79" s="32" t="n">
        <f aca="false">'Sale and Leaseback'!B65-'Sale and Leaseback'!B66</f>
        <v>0.0147037839710163</v>
      </c>
      <c r="F79" s="51" t="str">
        <f aca="false">IF('Sale and Leaseback'!B65&gt;'Sale and Leaseback'!B66,"PASS","FAIL")</f>
        <v>PASS</v>
      </c>
    </row>
    <row r="80" customFormat="false" ht="15" hidden="false" customHeight="false" outlineLevel="0" collapsed="false">
      <c r="A80" s="13" t="n">
        <v>16</v>
      </c>
      <c r="B80" s="5" t="s">
        <v>339</v>
      </c>
      <c r="C80" s="13" t="s">
        <v>338</v>
      </c>
      <c r="D80" s="24" t="n">
        <f aca="false">'Sale and Leaseback'!B10-'Sale and Leaseback'!B11</f>
        <v>0</v>
      </c>
      <c r="F80" s="51" t="str">
        <f aca="false">IF(ABS('Sale and Leaseback'!B10-'Sale and Leaseback'!B11)&lt;1,"PASS","FAIL")</f>
        <v>PASS</v>
      </c>
    </row>
    <row r="81" customFormat="false" ht="15" hidden="false" customHeight="false" outlineLevel="0" collapsed="false">
      <c r="A81" s="13" t="s">
        <v>340</v>
      </c>
      <c r="B81" s="5" t="s">
        <v>341</v>
      </c>
      <c r="C81" s="24" t="n">
        <v>48000000</v>
      </c>
      <c r="D81" s="24" t="n">
        <f aca="false">'Option and Break-even'!B43</f>
        <v>48000000</v>
      </c>
      <c r="E81" s="24" t="n">
        <f aca="false">D81-C81</f>
        <v>0</v>
      </c>
      <c r="F81" s="51" t="str">
        <f aca="false">IF(ABS(D81-C81)&lt;=1,"PASS","FAIL")</f>
        <v>PASS</v>
      </c>
      <c r="G81" s="52" t="s">
        <v>342</v>
      </c>
    </row>
    <row r="82" customFormat="false" ht="15" hidden="false" customHeight="false" outlineLevel="0" collapsed="false">
      <c r="A82" s="13" t="s">
        <v>340</v>
      </c>
      <c r="B82" s="5" t="s">
        <v>343</v>
      </c>
      <c r="C82" s="24" t="n">
        <v>82200000</v>
      </c>
      <c r="D82" s="24" t="n">
        <f aca="false">'The Bridge'!C11</f>
        <v>82200000</v>
      </c>
      <c r="E82" s="24" t="n">
        <f aca="false">D82-C82</f>
        <v>0</v>
      </c>
      <c r="F82" s="51" t="str">
        <f aca="false">IF(ABS(D82-C82)&lt;=1,"PASS","FAIL")</f>
        <v>PASS</v>
      </c>
      <c r="G82" s="52" t="s">
        <v>344</v>
      </c>
    </row>
    <row r="84" customFormat="false" ht="15" hidden="false" customHeight="false" outlineLevel="0" collapsed="false">
      <c r="B84" s="30" t="s">
        <v>345</v>
      </c>
      <c r="D84" s="54" t="str">
        <f aca="false">COUNTIF(F6:F82,"PASS")&amp;" of 77"</f>
        <v>77 of 77</v>
      </c>
      <c r="F84" s="51" t="str">
        <f aca="false">IF(COUNTIF(F6:F82,"PASS")=77,"ALL OK","SOME FAIL")</f>
        <v>ALL OK</v>
      </c>
    </row>
    <row r="86" customFormat="false" ht="15" hidden="false" customHeight="false" outlineLevel="0" collapsed="false">
      <c r="A86" s="18" t="s">
        <v>346</v>
      </c>
    </row>
  </sheetData>
  <conditionalFormatting sqref="F6:F84">
    <cfRule type="cellIs" priority="2" operator="equal" aboveAverage="0" equalAverage="0" bottom="0" percent="0" rank="0" text="" dxfId="0">
      <formula>"FAIL"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2026-08-28T16:23:24Z</dcterms:created>
  <dc:creator>openpyxl</dc:creator>
  <dc:description/>
  <dc:language>en-US</dc:language>
  <cp:lastModifiedBy/>
  <dcterms:modified xsi:type="dcterms:W3CDTF">2026-09-23T22:40:29Z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