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1. The Inputs" sheetId="2" state="visible" r:id="rId4"/>
    <sheet name="2. The Segmentation" sheetId="3" state="visible" r:id="rId5"/>
    <sheet name="3. The Effort" sheetId="4" state="visible" r:id="rId6"/>
    <sheet name="4. Two Plans" sheetId="5" state="visible" r:id="rId7"/>
    <sheet name="5. The Asymmetry" sheetId="6" state="visible" r:id="rId8"/>
    <sheet name="6. Outreach" sheetId="7" state="visible" r:id="rId9"/>
    <sheet name="7. The Premium" sheetId="8" state="visible" r:id="rId10"/>
    <sheet name="8. Checks" sheetId="9" state="visible" r:id="rId11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<sst xmlns="http://schemas.openxmlformats.org/spreadsheetml/2006/main" count="213" uniqueCount="196">
  <si>
    <t xml:space="preserve">The Back Book, Sized — The EU AML Handbook, Chapter 16 and Appendix F</t>
  </si>
  <si>
    <t xml:space="preserve">Chapter 16 makes three claims and turns none of them into a number: that the back book is the most</t>
  </si>
  <si>
    <t xml:space="preserve">expensive part of the transition, that reaching several hundred thousand customers is a problem of</t>
  </si>
  <si>
    <t xml:space="preserve">contact rates and staffing, and that assuming the longer transition and being wrong is asymmetric.</t>
  </si>
  <si>
    <t xml:space="preserve">This file computes all three. Amber cells are inputs; grey cells are formulas.</t>
  </si>
  <si>
    <t xml:space="preserve">Sheet 1 holds every input. The segmentation, the tranching and the dates are the book's own. The</t>
  </si>
  <si>
    <t xml:space="preserve">throughput rates, the response rates, the analyst cost and the recruitment lead time are ADDED,</t>
  </si>
  <si>
    <t xml:space="preserve">because the chapter states none of them.</t>
  </si>
  <si>
    <t xml:space="preserve">Sheet 2 reconciles the two cuts the chapter uses — three components by remediation route, four</t>
  </si>
  <si>
    <t xml:space="preserve">tranches by priority — so that no customer is counted twice.</t>
  </si>
  <si>
    <t xml:space="preserve">Sheet 3 converts the tranches into analyst-days. Sheet 4 puts the five-year plan and the one-year</t>
  </si>
  <si>
    <t xml:space="preserve">plan side by side. Sheet 5 is the one to read before anything else: it computes, month by month,</t>
  </si>
  <si>
    <t xml:space="preserve">the headcount multiple needed to recover the one-year window if the adopted standard lands then,</t>
  </si>
  <si>
    <t xml:space="preserve">and it shows the month beyond which no headcount recovers it at all.</t>
  </si>
  <si>
    <t xml:space="preserve">Sheet 6 is the outreach funnel and the exceptions register that falls out of it. Sheet 7 prices the</t>
  </si>
  <si>
    <t xml:space="preserve">base plan the chapter recommends, as a premium against the plan that depends on the draft.</t>
  </si>
  <si>
    <t xml:space="preserve">EVERYTHING IS LINEAR IN PORTFOLIO SIZE. Change the customer count on sheet 1 and the whole file</t>
  </si>
  <si>
    <t xml:space="preserve">rescales. Sheet 7 also states the answer per hundred thousand customers.</t>
  </si>
  <si>
    <t xml:space="preserve">Sheet 8 carries the controls. Three of them exist to make the chapter's central claim measurable.</t>
  </si>
  <si>
    <t xml:space="preserve">Nothing is locked, protected or watermarked. The firm is invented, as every firm in the book is.</t>
  </si>
  <si>
    <t xml:space="preserve">Revised 22 September 2026. Sheet 5 now counts the work the standing team does while new analysts</t>
  </si>
  <si>
    <t xml:space="preserve">are recruited and trained (the first edition left it out, which overstated every multiple by about a</t>
  </si>
  <si>
    <t xml:space="preserve">tenth; the deadline, month 8, does not move). Sheet 7 compares the base plan with the whole year-one</t>
  </si>
  <si>
    <t xml:space="preserve">team of the five-year plan, which already carries a fifth of tranche 2: the premium is 21.8 analysts,</t>
  </si>
  <si>
    <t xml:space="preserve">not 27.3. And sheet 4 shows that both plans buy the same analyst-days: the difference is when.</t>
  </si>
  <si>
    <t xml:space="preserve">The portfolio, the throughput, and the clock</t>
  </si>
  <si>
    <t xml:space="preserve">Input</t>
  </si>
  <si>
    <t xml:space="preserve">Value</t>
  </si>
  <si>
    <t xml:space="preserve">Where it comes from</t>
  </si>
  <si>
    <t xml:space="preserve">Customers in scope</t>
  </si>
  <si>
    <t xml:space="preserve">ADDED — the chapter says 'several hundred thousand'</t>
  </si>
  <si>
    <t xml:space="preserve">A: superseded national rules, contact needed</t>
  </si>
  <si>
    <t xml:space="preserve">Chapter 16 — first component</t>
  </si>
  <si>
    <t xml:space="preserve">B: missing data, closable without contact</t>
  </si>
  <si>
    <t xml:space="preserve">Chapter 16 — second component</t>
  </si>
  <si>
    <t xml:space="preserve">C: legal treatment changed, re-rating only</t>
  </si>
  <si>
    <t xml:space="preserve">Chapter 16 — third component</t>
  </si>
  <si>
    <t xml:space="preserve">Share attracting enhanced due diligence (Art 34)</t>
  </si>
  <si>
    <t xml:space="preserve">ADDED — tranche 1 of the chapter</t>
  </si>
  <si>
    <t xml:space="preserve">Share captured by a RULE change</t>
  </si>
  <si>
    <t xml:space="preserve">ADDED — tranche 2: Art 19(6), Art 34(5), removed national simplified</t>
  </si>
  <si>
    <t xml:space="preserve">Files per analyst-day: re-rating</t>
  </si>
  <si>
    <t xml:space="preserve">ADDED</t>
  </si>
  <si>
    <t xml:space="preserve">Files per analyst-day: closed without contact</t>
  </si>
  <si>
    <t xml:space="preserve">Files per analyst-day: standard, contact required</t>
  </si>
  <si>
    <t xml:space="preserve">Files per analyst-day: enhanced due diligence</t>
  </si>
  <si>
    <t xml:space="preserve">Working days per year</t>
  </si>
  <si>
    <t xml:space="preserve">Fully loaded analyst cost, EUR</t>
  </si>
  <si>
    <t xml:space="preserve">Outreach response rate, attempt 1</t>
  </si>
  <si>
    <t xml:space="preserve">Outreach response rate, attempt 2</t>
  </si>
  <si>
    <t xml:space="preserve">ADDED — of those still outstanding</t>
  </si>
  <si>
    <t xml:space="preserve">Outreach response rate, attempt 3</t>
  </si>
  <si>
    <t xml:space="preserve">Recruit-and-train lead time, weeks</t>
  </si>
  <si>
    <t xml:space="preserve">Higher-risk window, years</t>
  </si>
  <si>
    <t xml:space="preserve">Article 26(2) via the draft RTS under Art 28(1)</t>
  </si>
  <si>
    <t xml:space="preserve">Everyone-else window, years</t>
  </si>
  <si>
    <t xml:space="preserve">The window is a DRAFT technical standard. It is not law and not an entitlement. This file treats it as an assumption, which is what Chapter 16 insists on.</t>
  </si>
  <si>
    <t xml:space="preserve">The chapter's two cuts, reconciled</t>
  </si>
  <si>
    <t xml:space="preserve">Three components by remediation route; four tranches by priority. No customer counted twice.</t>
  </si>
  <si>
    <t xml:space="preserve">Component</t>
  </si>
  <si>
    <t xml:space="preserve">Customers</t>
  </si>
  <si>
    <t xml:space="preserve">Share</t>
  </si>
  <si>
    <t xml:space="preserve">A superseded national rules</t>
  </si>
  <si>
    <t xml:space="preserve">B missing data, no contact</t>
  </si>
  <si>
    <t xml:space="preserve">C legal treatment changed</t>
  </si>
  <si>
    <t xml:space="preserve">total</t>
  </si>
  <si>
    <t xml:space="preserve">Tranche</t>
  </si>
  <si>
    <t xml:space="preserve">Route</t>
  </si>
  <si>
    <t xml:space="preserve">1 enhanced due diligence (Art 34)</t>
  </si>
  <si>
    <t xml:space="preserve">contact, enhanced</t>
  </si>
  <si>
    <t xml:space="preserve">2 captured by a rule change</t>
  </si>
  <si>
    <t xml:space="preserve">contact, standard</t>
  </si>
  <si>
    <t xml:space="preserve">3 structural data gaps</t>
  </si>
  <si>
    <t xml:space="preserve">no contact</t>
  </si>
  <si>
    <t xml:space="preserve">4 everyone else</t>
  </si>
  <si>
    <t xml:space="preserve">split between contact and re-rating</t>
  </si>
  <si>
    <t xml:space="preserve">Tranche 4 split</t>
  </si>
  <si>
    <t xml:space="preserve">contact files</t>
  </si>
  <si>
    <t xml:space="preserve">re-rating only</t>
  </si>
  <si>
    <t xml:space="preserve">Population that must be contacted</t>
  </si>
  <si>
    <t xml:space="preserve">Population closable without contact</t>
  </si>
  <si>
    <t xml:space="preserve">share closable without contact</t>
  </si>
  <si>
    <t xml:space="preserve">Analyst-days by tranche</t>
  </si>
  <si>
    <t xml:space="preserve">Analyst-days</t>
  </si>
  <si>
    <t xml:space="preserve">1 enhanced due diligence</t>
  </si>
  <si>
    <t xml:space="preserve">2 rule change</t>
  </si>
  <si>
    <t xml:space="preserve">TOTAL</t>
  </si>
  <si>
    <t xml:space="preserve">analyst-years</t>
  </si>
  <si>
    <t xml:space="preserve">The three routes differ by a factor of fifteen in throughput. That is why the chapter says to size the components separately.</t>
  </si>
  <si>
    <t xml:space="preserve">The five-year plan against the one-year plan</t>
  </si>
  <si>
    <t xml:space="preserve">Five-year plan</t>
  </si>
  <si>
    <t xml:space="preserve">Years two to five</t>
  </si>
  <si>
    <t xml:space="preserve">tranche 1, inside one year — analysts</t>
  </si>
  <si>
    <t xml:space="preserve">tranche 1 is finished — analysts</t>
  </si>
  <si>
    <t xml:space="preserve">the rest, across five years — analysts</t>
  </si>
  <si>
    <t xml:space="preserve">the rest, still running — analysts</t>
  </si>
  <si>
    <t xml:space="preserve">steady-state team</t>
  </si>
  <si>
    <t xml:space="preserve">team, each year</t>
  </si>
  <si>
    <t xml:space="preserve">year-one cost, EUR</t>
  </si>
  <si>
    <t xml:space="preserve">cost, each year, EUR</t>
  </si>
  <si>
    <t xml:space="preserve">One-year plan</t>
  </si>
  <si>
    <t xml:space="preserve">Over the whole programme</t>
  </si>
  <si>
    <t xml:space="preserve">analysts</t>
  </si>
  <si>
    <t xml:space="preserve">five-year plan, analyst-years</t>
  </si>
  <si>
    <t xml:space="preserve">annual cost, EUR</t>
  </si>
  <si>
    <t xml:space="preserve">one-year plan, analyst-years</t>
  </si>
  <si>
    <t xml:space="preserve">difference</t>
  </si>
  <si>
    <t xml:space="preserve">FACTOR BETWEEN THE TWO TEAMS</t>
  </si>
  <si>
    <t xml:space="preserve">Cost of being wrong the cheap way</t>
  </si>
  <si>
    <t xml:space="preserve">over-staffing in year one, EUR</t>
  </si>
  <si>
    <t xml:space="preserve">and the programme finishes in month 12 instead of month 60.</t>
  </si>
  <si>
    <t xml:space="preserve">Over five years the two plans buy the same analyst-days (column E): the over-staffing is spending brought</t>
  </si>
  <si>
    <t xml:space="preserve">forward, not spending added. What the cheap branch really costs is priced in the first companion case.</t>
  </si>
  <si>
    <t xml:space="preserve">If the adopted standard lands in month N and the window is one year</t>
  </si>
  <si>
    <t xml:space="preserve">Staffed for five years. The standing team keeps working while new analysts train; the lead time is what makes this unrecoverable.</t>
  </si>
  <si>
    <t xml:space="preserve">Month the news lands</t>
  </si>
  <si>
    <t xml:space="preserve">Days delivered</t>
  </si>
  <si>
    <t xml:space="preserve">Days remaining when the news lands</t>
  </si>
  <si>
    <t xml:space="preserve">Productive months left</t>
  </si>
  <si>
    <t xml:space="preserve">Analysts required</t>
  </si>
  <si>
    <t xml:space="preserve">Multiple of the standing team</t>
  </si>
  <si>
    <t xml:space="preserve">Of which the standing team delivers during the lead time</t>
  </si>
  <si>
    <t xml:space="preserve">As first published (that work left out)</t>
  </si>
  <si>
    <t xml:space="preserve">LAST MONTH THAT IS STILL RECOVERABLE</t>
  </si>
  <si>
    <t xml:space="preserve">Beyond this month no headcount recovers the one-year window. The trigger must be armed before it.</t>
  </si>
  <si>
    <t xml:space="preserve">If the standing team were taken off the files entirely to train the new analysts, column H would be the answer.</t>
  </si>
  <si>
    <t xml:space="preserve">Contact is the constraint</t>
  </si>
  <si>
    <t xml:space="preserve">Attempt</t>
  </si>
  <si>
    <t xml:space="preserve">Response rate</t>
  </si>
  <si>
    <t xml:space="preserve">Cumulative reached</t>
  </si>
  <si>
    <t xml:space="preserve">Still outstanding</t>
  </si>
  <si>
    <t xml:space="preserve">Population to contact</t>
  </si>
  <si>
    <t xml:space="preserve">NEVER RESPOND</t>
  </si>
  <si>
    <t xml:space="preserve">share of the outreach population</t>
  </si>
  <si>
    <t xml:space="preserve">share of the whole portfolio</t>
  </si>
  <si>
    <t xml:space="preserve">That is the exceptions register. Each file needs a decision to restrict, escalate or exit — which is why the chapter says to approve the non-response policy in advance.</t>
  </si>
  <si>
    <t xml:space="preserve">What the base plan costs, and what it buys</t>
  </si>
  <si>
    <t xml:space="preserve">Five-year plan, year one: the whole team (tranche 1, plus a fifth of the rest) — analysts</t>
  </si>
  <si>
    <t xml:space="preserve">Base plan, year one: tranches 1 and 2 inside one year, 3 and 4 across five — analysts</t>
  </si>
  <si>
    <t xml:space="preserve">INCREMENT, analysts</t>
  </si>
  <si>
    <t xml:space="preserve">INCREMENT, EUR in year one</t>
  </si>
  <si>
    <t xml:space="preserve">as a share of the five-year plan's year-one cost</t>
  </si>
  <si>
    <t xml:space="preserve">What it buys: complete immunity for tranches 1 and 2 if the final standard removes the transition for those categories — the branch where the alternative demands ten times the standing team.</t>
  </si>
  <si>
    <t xml:space="preserve">Years two to five: the base plan needs this many fewer analysts each year</t>
  </si>
  <si>
    <t xml:space="preserve">As first published: 84.1 against 56.8, which counted tranche 2 twice (27.3 analysts, EUR 2.32 million)</t>
  </si>
  <si>
    <t xml:space="preserve">Per hundred thousand customers</t>
  </si>
  <si>
    <t xml:space="preserve">analyst-days</t>
  </si>
  <si>
    <t xml:space="preserve">five-year team</t>
  </si>
  <si>
    <t xml:space="preserve">one-year team</t>
  </si>
  <si>
    <t xml:space="preserve">outreach population</t>
  </si>
  <si>
    <t xml:space="preserve">exceptions register</t>
  </si>
  <si>
    <t xml:space="preserve">premium, year one, EUR</t>
  </si>
  <si>
    <t xml:space="preserve">Every figure in Appendix F, recomputed here</t>
  </si>
  <si>
    <t xml:space="preserve">Figure</t>
  </si>
  <si>
    <t xml:space="preserve">Appendix F</t>
  </si>
  <si>
    <t xml:space="preserve">This file</t>
  </si>
  <si>
    <t xml:space="preserve">Status</t>
  </si>
  <si>
    <t xml:space="preserve">Note</t>
  </si>
  <si>
    <t xml:space="preserve">Components sum to the portfolio</t>
  </si>
  <si>
    <t xml:space="preserve">Tranches sum to the portfolio</t>
  </si>
  <si>
    <t xml:space="preserve">the two cuts reconcile</t>
  </si>
  <si>
    <t xml:space="preserve">Tranche 1, customers</t>
  </si>
  <si>
    <t xml:space="preserve">Tranche 2, customers</t>
  </si>
  <si>
    <t xml:space="preserve">Tranche 3, customers</t>
  </si>
  <si>
    <t xml:space="preserve">Tranche 4, customers</t>
  </si>
  <si>
    <t xml:space="preserve">Total effort, analyst-days</t>
  </si>
  <si>
    <t xml:space="preserve">Total effort, analyst-years</t>
  </si>
  <si>
    <t xml:space="preserve">Five-year steady-state team</t>
  </si>
  <si>
    <t xml:space="preserve">Five-year plan, year-one cost, EUR</t>
  </si>
  <si>
    <t xml:space="preserve">One-year team</t>
  </si>
  <si>
    <t xml:space="preserve">Factor between the teams</t>
  </si>
  <si>
    <t xml:space="preserve">Cheap-branch over-staffing, year one, EUR</t>
  </si>
  <si>
    <t xml:space="preserve">the cost of being wrong the recoverable way</t>
  </si>
  <si>
    <t xml:space="preserve">Multiple required if news lands at month 6</t>
  </si>
  <si>
    <t xml:space="preserve">corrected 22 Sep 2026: 11.3 as first published, without the standing team's output during the lead time</t>
  </si>
  <si>
    <t xml:space="preserve">Last recoverable month</t>
  </si>
  <si>
    <t xml:space="preserve">Cumulative outreach response, three attempts</t>
  </si>
  <si>
    <t xml:space="preserve">Exceptions register, customers</t>
  </si>
  <si>
    <t xml:space="preserve">Exceptions register, share of portfolio</t>
  </si>
  <si>
    <t xml:space="preserve">Closable without contact, share</t>
  </si>
  <si>
    <t xml:space="preserve">Base plan, year one, analysts</t>
  </si>
  <si>
    <t xml:space="preserve">corrected 22 Sep 2026: 84.1 as first published, without the rest of the year-one team</t>
  </si>
  <si>
    <t xml:space="preserve">Insurance premium, EUR year one</t>
  </si>
  <si>
    <t xml:space="preserve">corrected: 2,318,182 as first published</t>
  </si>
  <si>
    <t xml:space="preserve">Premium as a share of the full plan</t>
  </si>
  <si>
    <t xml:space="preserve">corrected: 22.7% as first published</t>
  </si>
  <si>
    <t xml:space="preserve">Per 100k: analyst-days</t>
  </si>
  <si>
    <t xml:space="preserve">Per 100k: exceptions register</t>
  </si>
  <si>
    <t xml:space="preserve">Three controls that make the chapter's central claim measurable</t>
  </si>
  <si>
    <t xml:space="preserve">The one-year team is more than three times the five-year team</t>
  </si>
  <si>
    <t xml:space="preserve">must be 1 — the chapter says 'asymmetric' and this is the size of it</t>
  </si>
  <si>
    <t xml:space="preserve">The recovery multiple becomes unreachable before month 12</t>
  </si>
  <si>
    <t xml:space="preserve">must be 1 — there is a month after which no headcount recovers the window</t>
  </si>
  <si>
    <t xml:space="preserve">The exceptions register exceeds a tenth of the portfolio</t>
  </si>
  <si>
    <t xml:space="preserve">must be 1 — non-response is a programme, not an edge case</t>
  </si>
  <si>
    <t xml:space="preserve">CONTROLS PASSING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</si>
</sst>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"/>
    <numFmt numFmtId="166" formatCode="0%"/>
    <numFmt numFmtId="167" formatCode="0.0"/>
    <numFmt numFmtId="168" formatCode="0"/>
    <numFmt numFmtId="169" formatCode="0.0%"/>
    <numFmt numFmtId="170" formatCode="0.00\x"/>
    <numFmt numFmtId="171" formatCode="0.0\x"/>
    <numFmt numFmtId="172" formatCode="0.00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mbria"/>
      <family val="0"/>
      <charset val="1"/>
    </font>
    <font>
      <i val="true"/>
      <sz val="11"/>
      <color rgb="FF555555"/>
      <name val="Cambria"/>
      <family val="0"/>
      <charset val="1"/>
    </font>
    <font>
      <b val="true"/>
      <sz val="12"/>
      <name val="Cambria"/>
      <family val="0"/>
      <charset val="1"/>
    </font>
    <font>
      <i val="true"/>
      <sz val="9"/>
      <color rgb="FF606060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777777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EDEDED"/>
      </patternFill>
    </fill>
    <fill>
      <patternFill patternType="solid">
        <fgColor rgb="FFEDEDED"/>
        <bgColor rgb="FFFFF2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DEDED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0606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55555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16"/>
  </cols>
  <sheetData>
    <row r="1" customFormat="false" ht="17.35" hidden="false" customHeight="false" outlineLevel="0" collapsed="false">
      <c r="A1" s="1" t="s">
        <v>0</v>
      </c>
    </row>
    <row r="3" customFormat="false" ht="15" hidden="false" customHeight="false" outlineLevel="0" collapsed="false">
      <c r="A3" s="0" t="s">
        <v>1</v>
      </c>
    </row>
    <row r="4" customFormat="false" ht="15" hidden="false" customHeight="false" outlineLevel="0" collapsed="false">
      <c r="A4" s="0" t="s">
        <v>2</v>
      </c>
    </row>
    <row r="5" customFormat="false" ht="15" hidden="false" customHeight="false" outlineLevel="0" collapsed="false">
      <c r="A5" s="0" t="s">
        <v>3</v>
      </c>
    </row>
    <row r="7" customFormat="false" ht="15" hidden="false" customHeight="false" outlineLevel="0" collapsed="false">
      <c r="A7" s="0" t="s">
        <v>4</v>
      </c>
    </row>
    <row r="9" customFormat="false" ht="15" hidden="false" customHeight="false" outlineLevel="0" collapsed="false">
      <c r="A9" s="0" t="s">
        <v>5</v>
      </c>
    </row>
    <row r="10" customFormat="false" ht="15" hidden="false" customHeight="false" outlineLevel="0" collapsed="false">
      <c r="A10" s="0" t="s">
        <v>6</v>
      </c>
    </row>
    <row r="11" customFormat="false" ht="15" hidden="false" customHeight="false" outlineLevel="0" collapsed="false">
      <c r="A11" s="0" t="s">
        <v>7</v>
      </c>
    </row>
    <row r="13" customFormat="false" ht="15" hidden="false" customHeight="false" outlineLevel="0" collapsed="false">
      <c r="A13" s="0" t="s">
        <v>8</v>
      </c>
    </row>
    <row r="14" customFormat="false" ht="15" hidden="false" customHeight="false" outlineLevel="0" collapsed="false">
      <c r="A14" s="0" t="s">
        <v>9</v>
      </c>
    </row>
    <row r="16" customFormat="false" ht="15" hidden="false" customHeight="false" outlineLevel="0" collapsed="false">
      <c r="A16" s="0" t="s">
        <v>10</v>
      </c>
    </row>
    <row r="17" customFormat="false" ht="15" hidden="false" customHeight="false" outlineLevel="0" collapsed="false">
      <c r="A17" s="0" t="s">
        <v>11</v>
      </c>
    </row>
    <row r="18" customFormat="false" ht="15" hidden="false" customHeight="false" outlineLevel="0" collapsed="false">
      <c r="A18" s="0" t="s">
        <v>12</v>
      </c>
    </row>
    <row r="19" customFormat="false" ht="15" hidden="false" customHeight="false" outlineLevel="0" collapsed="false">
      <c r="A19" s="0" t="s">
        <v>13</v>
      </c>
    </row>
    <row r="21" customFormat="false" ht="15" hidden="false" customHeight="false" outlineLevel="0" collapsed="false">
      <c r="A21" s="0" t="s">
        <v>14</v>
      </c>
    </row>
    <row r="22" customFormat="false" ht="15" hidden="false" customHeight="false" outlineLevel="0" collapsed="false">
      <c r="A22" s="0" t="s">
        <v>15</v>
      </c>
    </row>
    <row r="24" customFormat="false" ht="15" hidden="false" customHeight="false" outlineLevel="0" collapsed="false">
      <c r="A24" s="0" t="s">
        <v>16</v>
      </c>
    </row>
    <row r="25" customFormat="false" ht="15" hidden="false" customHeight="false" outlineLevel="0" collapsed="false">
      <c r="A25" s="0" t="s">
        <v>17</v>
      </c>
    </row>
    <row r="27" customFormat="false" ht="15" hidden="false" customHeight="false" outlineLevel="0" collapsed="false">
      <c r="A27" s="0" t="s">
        <v>18</v>
      </c>
    </row>
    <row r="29" customFormat="false" ht="15" hidden="false" customHeight="false" outlineLevel="0" collapsed="false">
      <c r="A29" s="0" t="s">
        <v>19</v>
      </c>
    </row>
    <row r="31" customFormat="false" ht="15" hidden="false" customHeight="false" outlineLevel="0" collapsed="false">
      <c r="A31" s="2" t="s">
        <v>20</v>
      </c>
    </row>
    <row r="32" customFormat="false" ht="15" hidden="false" customHeight="false" outlineLevel="0" collapsed="false">
      <c r="A32" s="2" t="s">
        <v>21</v>
      </c>
    </row>
    <row r="33" customFormat="false" ht="15" hidden="false" customHeight="false" outlineLevel="0" collapsed="false">
      <c r="A33" s="2" t="s">
        <v>22</v>
      </c>
    </row>
    <row r="34" customFormat="false" ht="15" hidden="false" customHeight="false" outlineLevel="0" collapsed="false">
      <c r="A34" s="2" t="s">
        <v>23</v>
      </c>
    </row>
    <row r="35" customFormat="false" ht="15" hidden="false" customHeight="false" outlineLevel="0" collapsed="false">
      <c r="A35" s="2" t="s">
        <v>24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5"/>
    <col collapsed="false" customWidth="true" hidden="false" outlineLevel="0" max="3" min="3" style="0" width="64"/>
  </cols>
  <sheetData>
    <row r="1" customFormat="false" ht="17.35" hidden="false" customHeight="false" outlineLevel="0" collapsed="false">
      <c r="A1" s="1" t="s">
        <v>25</v>
      </c>
    </row>
    <row r="3" customFormat="false" ht="15" hidden="false" customHeight="false" outlineLevel="0" collapsed="false">
      <c r="A3" s="3" t="s">
        <v>26</v>
      </c>
      <c r="B3" s="3" t="s">
        <v>27</v>
      </c>
      <c r="C3" s="3" t="s">
        <v>28</v>
      </c>
    </row>
    <row r="4" customFormat="false" ht="15" hidden="false" customHeight="false" outlineLevel="0" collapsed="false">
      <c r="A4" s="0" t="s">
        <v>29</v>
      </c>
      <c r="B4" s="4" t="n">
        <v>250000</v>
      </c>
      <c r="C4" s="5" t="s">
        <v>30</v>
      </c>
    </row>
    <row r="5" customFormat="false" ht="15" hidden="false" customHeight="false" outlineLevel="0" collapsed="false">
      <c r="A5" s="0" t="s">
        <v>31</v>
      </c>
      <c r="B5" s="6" t="n">
        <v>0.55</v>
      </c>
      <c r="C5" s="5" t="s">
        <v>32</v>
      </c>
    </row>
    <row r="6" customFormat="false" ht="15" hidden="false" customHeight="false" outlineLevel="0" collapsed="false">
      <c r="A6" s="0" t="s">
        <v>33</v>
      </c>
      <c r="B6" s="6" t="n">
        <v>0.3</v>
      </c>
      <c r="C6" s="5" t="s">
        <v>34</v>
      </c>
    </row>
    <row r="7" customFormat="false" ht="15" hidden="false" customHeight="false" outlineLevel="0" collapsed="false">
      <c r="A7" s="0" t="s">
        <v>35</v>
      </c>
      <c r="B7" s="6" t="n">
        <v>0.15</v>
      </c>
      <c r="C7" s="5" t="s">
        <v>36</v>
      </c>
    </row>
    <row r="8" customFormat="false" ht="15" hidden="false" customHeight="false" outlineLevel="0" collapsed="false">
      <c r="A8" s="0" t="s">
        <v>37</v>
      </c>
      <c r="B8" s="6" t="n">
        <v>0.04</v>
      </c>
      <c r="C8" s="5" t="s">
        <v>38</v>
      </c>
    </row>
    <row r="9" customFormat="false" ht="15" hidden="false" customHeight="false" outlineLevel="0" collapsed="false">
      <c r="A9" s="0" t="s">
        <v>39</v>
      </c>
      <c r="B9" s="6" t="n">
        <v>0.06</v>
      </c>
      <c r="C9" s="5" t="s">
        <v>40</v>
      </c>
    </row>
    <row r="10" customFormat="false" ht="15" hidden="false" customHeight="false" outlineLevel="0" collapsed="false">
      <c r="A10" s="0" t="s">
        <v>41</v>
      </c>
      <c r="B10" s="7" t="n">
        <v>12</v>
      </c>
      <c r="C10" s="5" t="s">
        <v>42</v>
      </c>
    </row>
    <row r="11" customFormat="false" ht="15" hidden="false" customHeight="false" outlineLevel="0" collapsed="false">
      <c r="A11" s="0" t="s">
        <v>43</v>
      </c>
      <c r="B11" s="7" t="n">
        <v>6</v>
      </c>
      <c r="C11" s="5" t="s">
        <v>42</v>
      </c>
    </row>
    <row r="12" customFormat="false" ht="15" hidden="false" customHeight="false" outlineLevel="0" collapsed="false">
      <c r="A12" s="0" t="s">
        <v>44</v>
      </c>
      <c r="B12" s="7" t="n">
        <v>2.5</v>
      </c>
      <c r="C12" s="5" t="s">
        <v>42</v>
      </c>
    </row>
    <row r="13" customFormat="false" ht="15" hidden="false" customHeight="false" outlineLevel="0" collapsed="false">
      <c r="A13" s="0" t="s">
        <v>45</v>
      </c>
      <c r="B13" s="7" t="n">
        <v>0.8</v>
      </c>
      <c r="C13" s="5" t="s">
        <v>42</v>
      </c>
    </row>
    <row r="14" customFormat="false" ht="15" hidden="false" customHeight="false" outlineLevel="0" collapsed="false">
      <c r="A14" s="0" t="s">
        <v>46</v>
      </c>
      <c r="B14" s="8" t="n">
        <v>220</v>
      </c>
      <c r="C14" s="5" t="s">
        <v>42</v>
      </c>
    </row>
    <row r="15" customFormat="false" ht="15" hidden="false" customHeight="false" outlineLevel="0" collapsed="false">
      <c r="A15" s="0" t="s">
        <v>47</v>
      </c>
      <c r="B15" s="4" t="n">
        <v>85000</v>
      </c>
      <c r="C15" s="5" t="s">
        <v>42</v>
      </c>
    </row>
    <row r="16" customFormat="false" ht="15" hidden="false" customHeight="false" outlineLevel="0" collapsed="false">
      <c r="A16" s="0" t="s">
        <v>48</v>
      </c>
      <c r="B16" s="6" t="n">
        <v>0.45</v>
      </c>
      <c r="C16" s="5" t="s">
        <v>42</v>
      </c>
    </row>
    <row r="17" customFormat="false" ht="15" hidden="false" customHeight="false" outlineLevel="0" collapsed="false">
      <c r="A17" s="0" t="s">
        <v>49</v>
      </c>
      <c r="B17" s="6" t="n">
        <v>0.25</v>
      </c>
      <c r="C17" s="5" t="s">
        <v>50</v>
      </c>
    </row>
    <row r="18" customFormat="false" ht="15" hidden="false" customHeight="false" outlineLevel="0" collapsed="false">
      <c r="A18" s="0" t="s">
        <v>51</v>
      </c>
      <c r="B18" s="6" t="n">
        <v>0.15</v>
      </c>
      <c r="C18" s="5" t="s">
        <v>50</v>
      </c>
    </row>
    <row r="19" customFormat="false" ht="15" hidden="false" customHeight="false" outlineLevel="0" collapsed="false">
      <c r="A19" s="0" t="s">
        <v>52</v>
      </c>
      <c r="B19" s="8" t="n">
        <v>14</v>
      </c>
      <c r="C19" s="5" t="s">
        <v>42</v>
      </c>
    </row>
    <row r="20" customFormat="false" ht="15" hidden="false" customHeight="false" outlineLevel="0" collapsed="false">
      <c r="A20" s="0" t="s">
        <v>53</v>
      </c>
      <c r="B20" s="8" t="n">
        <v>1</v>
      </c>
      <c r="C20" s="5" t="s">
        <v>54</v>
      </c>
    </row>
    <row r="21" customFormat="false" ht="15" hidden="false" customHeight="false" outlineLevel="0" collapsed="false">
      <c r="A21" s="0" t="s">
        <v>55</v>
      </c>
      <c r="B21" s="8" t="n">
        <v>5</v>
      </c>
      <c r="C21" s="5" t="s">
        <v>54</v>
      </c>
    </row>
    <row r="23" customFormat="false" ht="32.8" hidden="false" customHeight="false" outlineLevel="0" collapsed="false">
      <c r="A23" s="5" t="s">
        <v>56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18"/>
    <col collapsed="false" customWidth="true" hidden="false" outlineLevel="0" max="4" min="4" style="0" width="50"/>
  </cols>
  <sheetData>
    <row r="1" customFormat="false" ht="17.35" hidden="false" customHeight="false" outlineLevel="0" collapsed="false">
      <c r="A1" s="1" t="s">
        <v>57</v>
      </c>
    </row>
    <row r="2" customFormat="false" ht="15" hidden="false" customHeight="false" outlineLevel="0" collapsed="false">
      <c r="A2" s="9" t="s">
        <v>58</v>
      </c>
    </row>
    <row r="4" customFormat="false" ht="15" hidden="false" customHeight="false" outlineLevel="0" collapsed="false">
      <c r="A4" s="3" t="s">
        <v>59</v>
      </c>
      <c r="B4" s="3" t="s">
        <v>60</v>
      </c>
      <c r="C4" s="3" t="s">
        <v>61</v>
      </c>
    </row>
    <row r="5" customFormat="false" ht="15" hidden="false" customHeight="false" outlineLevel="0" collapsed="false">
      <c r="A5" s="0" t="s">
        <v>62</v>
      </c>
      <c r="B5" s="10" t="n">
        <f aca="false">'1. The Inputs'!$B$4*'1. The Inputs'!$B$5</f>
        <v>137500</v>
      </c>
      <c r="C5" s="11" t="n">
        <f aca="false">'1. The Inputs'!$B$5</f>
        <v>0.55</v>
      </c>
    </row>
    <row r="6" customFormat="false" ht="15" hidden="false" customHeight="false" outlineLevel="0" collapsed="false">
      <c r="A6" s="0" t="s">
        <v>63</v>
      </c>
      <c r="B6" s="10" t="n">
        <f aca="false">'1. The Inputs'!$B$4*'1. The Inputs'!$B$6</f>
        <v>75000</v>
      </c>
      <c r="C6" s="11" t="n">
        <f aca="false">'1. The Inputs'!$B$6</f>
        <v>0.3</v>
      </c>
    </row>
    <row r="7" customFormat="false" ht="15" hidden="false" customHeight="false" outlineLevel="0" collapsed="false">
      <c r="A7" s="0" t="s">
        <v>64</v>
      </c>
      <c r="B7" s="10" t="n">
        <f aca="false">'1. The Inputs'!$B$4*'1. The Inputs'!$B$7</f>
        <v>37500</v>
      </c>
      <c r="C7" s="11" t="n">
        <f aca="false">'1. The Inputs'!$B$7</f>
        <v>0.15</v>
      </c>
    </row>
    <row r="8" customFormat="false" ht="15" hidden="false" customHeight="false" outlineLevel="0" collapsed="false">
      <c r="A8" s="0" t="s">
        <v>65</v>
      </c>
      <c r="B8" s="10" t="n">
        <f aca="false">SUM(B5:B7)</f>
        <v>250000</v>
      </c>
      <c r="C8" s="11" t="n">
        <f aca="false">SUM(C5:C7)</f>
        <v>1</v>
      </c>
    </row>
    <row r="10" customFormat="false" ht="15" hidden="false" customHeight="false" outlineLevel="0" collapsed="false">
      <c r="A10" s="3" t="s">
        <v>66</v>
      </c>
      <c r="B10" s="3" t="s">
        <v>60</v>
      </c>
      <c r="C10" s="3" t="s">
        <v>61</v>
      </c>
      <c r="D10" s="3" t="s">
        <v>67</v>
      </c>
    </row>
    <row r="11" customFormat="false" ht="15" hidden="false" customHeight="false" outlineLevel="0" collapsed="false">
      <c r="A11" s="0" t="s">
        <v>68</v>
      </c>
      <c r="B11" s="10" t="n">
        <f aca="false">'1. The Inputs'!$B$4*'1. The Inputs'!$B$8</f>
        <v>10000</v>
      </c>
      <c r="C11" s="12" t="n">
        <f aca="false">B11/'1. The Inputs'!$B$4</f>
        <v>0.04</v>
      </c>
      <c r="D11" s="9" t="s">
        <v>69</v>
      </c>
    </row>
    <row r="12" customFormat="false" ht="15" hidden="false" customHeight="false" outlineLevel="0" collapsed="false">
      <c r="A12" s="0" t="s">
        <v>70</v>
      </c>
      <c r="B12" s="10" t="n">
        <f aca="false">'1. The Inputs'!$B$4*'1. The Inputs'!$B$9</f>
        <v>15000</v>
      </c>
      <c r="C12" s="12" t="n">
        <f aca="false">B12/'1. The Inputs'!$B$4</f>
        <v>0.06</v>
      </c>
      <c r="D12" s="9" t="s">
        <v>71</v>
      </c>
    </row>
    <row r="13" customFormat="false" ht="15" hidden="false" customHeight="false" outlineLevel="0" collapsed="false">
      <c r="A13" s="0" t="s">
        <v>72</v>
      </c>
      <c r="B13" s="10" t="n">
        <f aca="false">'1. The Inputs'!$B$4*'1. The Inputs'!$B$6*(1-'1. The Inputs'!$B$8-'1. The Inputs'!$B$9)</f>
        <v>67500</v>
      </c>
      <c r="C13" s="12" t="n">
        <f aca="false">B13/'1. The Inputs'!$B$4</f>
        <v>0.27</v>
      </c>
      <c r="D13" s="9" t="s">
        <v>73</v>
      </c>
    </row>
    <row r="14" customFormat="false" ht="15" hidden="false" customHeight="false" outlineLevel="0" collapsed="false">
      <c r="A14" s="0" t="s">
        <v>74</v>
      </c>
      <c r="B14" s="10" t="n">
        <f aca="false">'1. The Inputs'!$B$4-B11-B12-B13</f>
        <v>157500</v>
      </c>
      <c r="C14" s="12" t="n">
        <f aca="false">B14/'1. The Inputs'!$B$4</f>
        <v>0.63</v>
      </c>
      <c r="D14" s="9" t="s">
        <v>75</v>
      </c>
    </row>
    <row r="15" customFormat="false" ht="15" hidden="false" customHeight="false" outlineLevel="0" collapsed="false">
      <c r="A15" s="0" t="s">
        <v>65</v>
      </c>
      <c r="B15" s="10" t="n">
        <f aca="false">SUM(B11:B14)</f>
        <v>250000</v>
      </c>
      <c r="C15" s="11" t="n">
        <f aca="false">SUM(C11:C14)</f>
        <v>1</v>
      </c>
    </row>
    <row r="17" customFormat="false" ht="15" hidden="false" customHeight="false" outlineLevel="0" collapsed="false">
      <c r="A17" s="3" t="s">
        <v>76</v>
      </c>
    </row>
    <row r="18" customFormat="false" ht="15" hidden="false" customHeight="false" outlineLevel="0" collapsed="false">
      <c r="A18" s="0" t="s">
        <v>77</v>
      </c>
      <c r="B18" s="10" t="n">
        <f aca="false">B14*'1. The Inputs'!$B$5/('1. The Inputs'!$B$5+'1. The Inputs'!$B$7)</f>
        <v>123750</v>
      </c>
    </row>
    <row r="19" customFormat="false" ht="15" hidden="false" customHeight="false" outlineLevel="0" collapsed="false">
      <c r="A19" s="0" t="s">
        <v>78</v>
      </c>
      <c r="B19" s="10" t="n">
        <f aca="false">B14*'1. The Inputs'!$B$7/('1. The Inputs'!$B$5+'1. The Inputs'!$B$7)</f>
        <v>33750</v>
      </c>
    </row>
    <row r="21" customFormat="false" ht="15" hidden="false" customHeight="false" outlineLevel="0" collapsed="false">
      <c r="A21" s="0" t="s">
        <v>79</v>
      </c>
      <c r="B21" s="10" t="n">
        <f aca="false">B11+B12+B18</f>
        <v>148750</v>
      </c>
    </row>
    <row r="22" customFormat="false" ht="15" hidden="false" customHeight="false" outlineLevel="0" collapsed="false">
      <c r="A22" s="0" t="s">
        <v>80</v>
      </c>
      <c r="B22" s="10" t="n">
        <f aca="false">B13+B19</f>
        <v>101250</v>
      </c>
    </row>
    <row r="23" customFormat="false" ht="15" hidden="false" customHeight="false" outlineLevel="0" collapsed="false">
      <c r="A23" s="0" t="s">
        <v>81</v>
      </c>
      <c r="B23" s="12" t="n">
        <f aca="false">B22/'1. The Inputs'!$B$4</f>
        <v>0.405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20"/>
    <col collapsed="false" customWidth="true" hidden="false" outlineLevel="0" max="4" min="4" style="0" width="48"/>
  </cols>
  <sheetData>
    <row r="1" customFormat="false" ht="17.35" hidden="false" customHeight="false" outlineLevel="0" collapsed="false">
      <c r="A1" s="1" t="s">
        <v>82</v>
      </c>
    </row>
    <row r="3" customFormat="false" ht="15" hidden="false" customHeight="false" outlineLevel="0" collapsed="false">
      <c r="A3" s="3" t="s">
        <v>66</v>
      </c>
      <c r="B3" s="3" t="s">
        <v>60</v>
      </c>
      <c r="C3" s="3" t="s">
        <v>83</v>
      </c>
    </row>
    <row r="4" customFormat="false" ht="15" hidden="false" customHeight="false" outlineLevel="0" collapsed="false">
      <c r="A4" s="0" t="s">
        <v>84</v>
      </c>
      <c r="B4" s="10" t="n">
        <f aca="false">'2. The Segmentation'!B11</f>
        <v>10000</v>
      </c>
      <c r="C4" s="10" t="n">
        <f aca="false">B4/'1. The Inputs'!$B$13</f>
        <v>12500</v>
      </c>
    </row>
    <row r="5" customFormat="false" ht="15" hidden="false" customHeight="false" outlineLevel="0" collapsed="false">
      <c r="A5" s="0" t="s">
        <v>85</v>
      </c>
      <c r="B5" s="10" t="n">
        <f aca="false">'2. The Segmentation'!B12</f>
        <v>15000</v>
      </c>
      <c r="C5" s="10" t="n">
        <f aca="false">B5/'1. The Inputs'!$B$12</f>
        <v>6000</v>
      </c>
    </row>
    <row r="6" customFormat="false" ht="15" hidden="false" customHeight="false" outlineLevel="0" collapsed="false">
      <c r="A6" s="0" t="s">
        <v>72</v>
      </c>
      <c r="B6" s="10" t="n">
        <f aca="false">'2. The Segmentation'!B13</f>
        <v>67500</v>
      </c>
      <c r="C6" s="10" t="n">
        <f aca="false">B6/'1. The Inputs'!$B$11</f>
        <v>11250</v>
      </c>
    </row>
    <row r="7" customFormat="false" ht="15" hidden="false" customHeight="false" outlineLevel="0" collapsed="false">
      <c r="A7" s="0" t="s">
        <v>74</v>
      </c>
      <c r="B7" s="10" t="n">
        <f aca="false">'2. The Segmentation'!B14</f>
        <v>157500</v>
      </c>
      <c r="C7" s="10" t="n">
        <f aca="false">'2. The Segmentation'!B18/'1. The Inputs'!$B$12+'2. The Segmentation'!B19/'1. The Inputs'!$B$10</f>
        <v>52312.5</v>
      </c>
    </row>
    <row r="8" customFormat="false" ht="15" hidden="false" customHeight="false" outlineLevel="0" collapsed="false">
      <c r="A8" s="3" t="s">
        <v>86</v>
      </c>
      <c r="B8" s="10" t="n">
        <f aca="false">SUM(B4:B7)</f>
        <v>250000</v>
      </c>
      <c r="C8" s="10" t="n">
        <f aca="false">SUM(C4:C7)</f>
        <v>82062.5</v>
      </c>
    </row>
    <row r="9" customFormat="false" ht="15" hidden="false" customHeight="false" outlineLevel="0" collapsed="false">
      <c r="A9" s="0" t="s">
        <v>87</v>
      </c>
      <c r="C9" s="13" t="n">
        <f aca="false">C8/'1. The Inputs'!$B$14</f>
        <v>373.011363636364</v>
      </c>
    </row>
    <row r="11" customFormat="false" ht="22.35" hidden="false" customHeight="false" outlineLevel="0" collapsed="false">
      <c r="A11" s="5" t="s">
        <v>88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3" min="2" style="0" width="20"/>
    <col collapsed="false" customWidth="true" hidden="false" outlineLevel="0" max="4" min="4" style="0" width="36"/>
    <col collapsed="false" customWidth="true" hidden="false" outlineLevel="0" max="5" min="5" style="0" width="14"/>
  </cols>
  <sheetData>
    <row r="1" customFormat="false" ht="17.35" hidden="false" customHeight="false" outlineLevel="0" collapsed="false">
      <c r="A1" s="1" t="s">
        <v>89</v>
      </c>
    </row>
    <row r="3" customFormat="false" ht="15" hidden="false" customHeight="false" outlineLevel="0" collapsed="false">
      <c r="A3" s="3" t="s">
        <v>90</v>
      </c>
      <c r="D3" s="14" t="s">
        <v>91</v>
      </c>
    </row>
    <row r="4" customFormat="false" ht="15" hidden="false" customHeight="false" outlineLevel="0" collapsed="false">
      <c r="A4" s="0" t="s">
        <v>92</v>
      </c>
      <c r="B4" s="13" t="n">
        <f aca="false">'3. The Effort'!C4/'1. The Inputs'!$B$14/'1. The Inputs'!$B$20</f>
        <v>56.8181818181818</v>
      </c>
      <c r="D4" s="15" t="s">
        <v>93</v>
      </c>
      <c r="E4" s="13" t="n">
        <v>0</v>
      </c>
    </row>
    <row r="5" customFormat="false" ht="15" hidden="false" customHeight="false" outlineLevel="0" collapsed="false">
      <c r="A5" s="0" t="s">
        <v>94</v>
      </c>
      <c r="B5" s="13" t="n">
        <f aca="false">('3. The Effort'!C5+'3. The Effort'!C6+'3. The Effort'!C7)/'1. The Inputs'!$B$14/'1. The Inputs'!$B$21</f>
        <v>63.2386363636364</v>
      </c>
      <c r="D5" s="15" t="s">
        <v>95</v>
      </c>
      <c r="E5" s="13" t="n">
        <f aca="false">B5</f>
        <v>63.2386363636364</v>
      </c>
    </row>
    <row r="6" customFormat="false" ht="15" hidden="false" customHeight="false" outlineLevel="0" collapsed="false">
      <c r="A6" s="3" t="s">
        <v>96</v>
      </c>
      <c r="B6" s="13" t="n">
        <f aca="false">B4+B5</f>
        <v>120.056818181818</v>
      </c>
      <c r="D6" s="15" t="s">
        <v>97</v>
      </c>
      <c r="E6" s="13" t="n">
        <f aca="false">E4+E5</f>
        <v>63.2386363636364</v>
      </c>
    </row>
    <row r="7" customFormat="false" ht="15" hidden="false" customHeight="false" outlineLevel="0" collapsed="false">
      <c r="A7" s="0" t="s">
        <v>98</v>
      </c>
      <c r="B7" s="10" t="n">
        <f aca="false">B6*'1. The Inputs'!$B$15</f>
        <v>10204829.5454545</v>
      </c>
      <c r="D7" s="15" t="s">
        <v>99</v>
      </c>
      <c r="E7" s="10" t="n">
        <f aca="false">E6*'1. The Inputs'!$B$15</f>
        <v>5375284.09090909</v>
      </c>
    </row>
    <row r="9" customFormat="false" ht="15" hidden="false" customHeight="false" outlineLevel="0" collapsed="false">
      <c r="A9" s="3" t="s">
        <v>100</v>
      </c>
      <c r="D9" s="14" t="s">
        <v>101</v>
      </c>
    </row>
    <row r="10" customFormat="false" ht="15" hidden="false" customHeight="false" outlineLevel="0" collapsed="false">
      <c r="A10" s="0" t="s">
        <v>102</v>
      </c>
      <c r="B10" s="13" t="n">
        <f aca="false">'3. The Effort'!C8/'1. The Inputs'!$B$14/'1. The Inputs'!$B$20</f>
        <v>373.011363636364</v>
      </c>
      <c r="D10" s="15" t="s">
        <v>103</v>
      </c>
      <c r="E10" s="13" t="n">
        <f aca="false">B6*'1. The Inputs'!$B$20+E6*('1. The Inputs'!$B$21-'1. The Inputs'!$B$20)</f>
        <v>373.011363636364</v>
      </c>
    </row>
    <row r="11" customFormat="false" ht="15" hidden="false" customHeight="false" outlineLevel="0" collapsed="false">
      <c r="A11" s="0" t="s">
        <v>104</v>
      </c>
      <c r="B11" s="10" t="n">
        <f aca="false">B10*'1. The Inputs'!$B$15</f>
        <v>31705965.9090909</v>
      </c>
      <c r="D11" s="15" t="s">
        <v>105</v>
      </c>
      <c r="E11" s="13" t="n">
        <f aca="false">B10*'1. The Inputs'!$B$20</f>
        <v>373.011363636364</v>
      </c>
    </row>
    <row r="12" customFormat="false" ht="15" hidden="false" customHeight="false" outlineLevel="0" collapsed="false">
      <c r="D12" s="0" t="s">
        <v>106</v>
      </c>
      <c r="E12" s="16" t="n">
        <f aca="false">E10-E11</f>
        <v>0</v>
      </c>
    </row>
    <row r="13" customFormat="false" ht="15" hidden="false" customHeight="false" outlineLevel="0" collapsed="false">
      <c r="A13" s="3" t="s">
        <v>107</v>
      </c>
      <c r="B13" s="17" t="n">
        <f aca="false">B10/B6</f>
        <v>3.10695693327023</v>
      </c>
    </row>
    <row r="15" customFormat="false" ht="15" hidden="false" customHeight="false" outlineLevel="0" collapsed="false">
      <c r="A15" s="3" t="s">
        <v>108</v>
      </c>
    </row>
    <row r="16" customFormat="false" ht="15" hidden="false" customHeight="false" outlineLevel="0" collapsed="false">
      <c r="A16" s="0" t="s">
        <v>109</v>
      </c>
      <c r="B16" s="10" t="n">
        <f aca="false">(B10-B6)*'1. The Inputs'!$B$15</f>
        <v>21501136.3636364</v>
      </c>
    </row>
    <row r="17" customFormat="false" ht="15" hidden="false" customHeight="false" outlineLevel="0" collapsed="false">
      <c r="A17" s="9" t="s">
        <v>110</v>
      </c>
    </row>
    <row r="18" customFormat="false" ht="15" hidden="false" customHeight="false" outlineLevel="0" collapsed="false">
      <c r="A18" s="2" t="s">
        <v>111</v>
      </c>
    </row>
    <row r="19" customFormat="false" ht="15" hidden="false" customHeight="false" outlineLevel="0" collapsed="false">
      <c r="A19" s="2" t="s">
        <v>112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18"/>
    <col collapsed="false" customWidth="true" hidden="false" outlineLevel="0" max="6" min="6" style="0" width="44"/>
    <col collapsed="false" customWidth="true" hidden="false" outlineLevel="0" max="7" min="7" style="0" width="22"/>
    <col collapsed="false" customWidth="true" hidden="false" outlineLevel="0" max="8" min="8" style="0" width="18"/>
  </cols>
  <sheetData>
    <row r="1" customFormat="false" ht="17.35" hidden="false" customHeight="false" outlineLevel="0" collapsed="false">
      <c r="A1" s="1" t="s">
        <v>113</v>
      </c>
    </row>
    <row r="2" customFormat="false" ht="15" hidden="false" customHeight="false" outlineLevel="0" collapsed="false">
      <c r="A2" s="9" t="s">
        <v>114</v>
      </c>
    </row>
    <row r="4" customFormat="false" ht="15" hidden="false" customHeight="false" outlineLevel="0" collapsed="false">
      <c r="A4" s="3" t="s">
        <v>115</v>
      </c>
      <c r="B4" s="3" t="s">
        <v>116</v>
      </c>
      <c r="C4" s="3" t="s">
        <v>117</v>
      </c>
      <c r="D4" s="3" t="s">
        <v>118</v>
      </c>
      <c r="E4" s="3" t="s">
        <v>119</v>
      </c>
      <c r="F4" s="3" t="s">
        <v>120</v>
      </c>
      <c r="G4" s="3" t="s">
        <v>121</v>
      </c>
      <c r="H4" s="3" t="s">
        <v>122</v>
      </c>
    </row>
    <row r="5" customFormat="false" ht="15" hidden="false" customHeight="false" outlineLevel="0" collapsed="false">
      <c r="A5" s="8" t="n">
        <v>1</v>
      </c>
      <c r="B5" s="10" t="n">
        <f aca="false">'4. Two Plans'!$B$6*'1. The Inputs'!$B$14*(A5/12)</f>
        <v>2201.04166666667</v>
      </c>
      <c r="C5" s="10" t="n">
        <f aca="false">MAX(0,'3. The Effort'!$C$8-B5)</f>
        <v>79861.4583333333</v>
      </c>
      <c r="D5" s="13" t="n">
        <f aca="false">MAX(0,('1. The Inputs'!$B$20*12-A5)-'1. The Inputs'!$B$19/4.33)</f>
        <v>7.76674364896074</v>
      </c>
      <c r="E5" s="10" t="n">
        <f aca="false">IF(D5&lt;=0,"unreachable",(C5-G5)/'1. The Inputs'!$B$14/(D5/12))</f>
        <v>510.884001703025</v>
      </c>
      <c r="F5" s="18" t="n">
        <f aca="false">IF(D5&lt;=0,"unreachable",E5/'4. Two Plans'!$B$6)</f>
        <v>4.25535183623911</v>
      </c>
      <c r="G5" s="10" t="n">
        <f aca="false">IF(D5&lt;=0,"",'4. Two Plans'!$B$6*'1. The Inputs'!$B$14*('1. The Inputs'!$B$19/4.33)/12)</f>
        <v>7116.53194765204</v>
      </c>
      <c r="H5" s="19" t="n">
        <f aca="false">IF(D5&lt;=0,"unreachable",C5/'1. The Inputs'!$B$14/(D5/12)/'4. Two Plans'!$B$6)</f>
        <v>4.67164681096406</v>
      </c>
    </row>
    <row r="6" customFormat="false" ht="15" hidden="false" customHeight="false" outlineLevel="0" collapsed="false">
      <c r="A6" s="8" t="n">
        <v>2</v>
      </c>
      <c r="B6" s="10" t="n">
        <f aca="false">'4. Two Plans'!$B$6*'1. The Inputs'!$B$14*(A6/12)</f>
        <v>4402.08333333333</v>
      </c>
      <c r="C6" s="10" t="n">
        <f aca="false">MAX(0,'3. The Effort'!$C$8-B6)</f>
        <v>77660.4166666667</v>
      </c>
      <c r="D6" s="13" t="n">
        <f aca="false">MAX(0,('1. The Inputs'!$B$20*12-A6)-'1. The Inputs'!$B$19/4.33)</f>
        <v>6.76674364896074</v>
      </c>
      <c r="E6" s="10" t="n">
        <f aca="false">IF(D6&lt;=0,"unreachable",(C6-G6)/'1. The Inputs'!$B$14/(D6/12))</f>
        <v>568.641056469128</v>
      </c>
      <c r="F6" s="18" t="n">
        <f aca="false">IF(D6&lt;=0,"unreachable",E6/'4. Two Plans'!$B$6)</f>
        <v>4.7364328413898</v>
      </c>
      <c r="G6" s="10" t="n">
        <f aca="false">IF(D6&lt;=0,"",'4. Two Plans'!$B$6*'1. The Inputs'!$B$14*('1. The Inputs'!$B$19/4.33)/12)</f>
        <v>7116.53194765204</v>
      </c>
      <c r="H6" s="19" t="n">
        <f aca="false">IF(D6&lt;=0,"unreachable",C6/'1. The Inputs'!$B$14/(D6/12)/'4. Two Plans'!$B$6)</f>
        <v>5.21424854104851</v>
      </c>
    </row>
    <row r="7" customFormat="false" ht="15" hidden="false" customHeight="false" outlineLevel="0" collapsed="false">
      <c r="A7" s="8" t="n">
        <v>3</v>
      </c>
      <c r="B7" s="10" t="n">
        <f aca="false">'4. Two Plans'!$B$6*'1. The Inputs'!$B$14*(A7/12)</f>
        <v>6603.125</v>
      </c>
      <c r="C7" s="10" t="n">
        <f aca="false">MAX(0,'3. The Effort'!$C$8-B7)</f>
        <v>75459.375</v>
      </c>
      <c r="D7" s="13" t="n">
        <f aca="false">MAX(0,('1. The Inputs'!$B$20*12-A7)-'1. The Inputs'!$B$19/4.33)</f>
        <v>5.76674364896074</v>
      </c>
      <c r="E7" s="10" t="n">
        <f aca="false">IF(D7&lt;=0,"unreachable",(C7-G7)/'1. The Inputs'!$B$14/(D7/12))</f>
        <v>646.429192303491</v>
      </c>
      <c r="F7" s="18" t="n">
        <f aca="false">IF(D7&lt;=0,"unreachable",E7/'4. Two Plans'!$B$6)</f>
        <v>5.38436052273613</v>
      </c>
      <c r="G7" s="10" t="n">
        <f aca="false">IF(D7&lt;=0,"",'4. Two Plans'!$B$6*'1. The Inputs'!$B$14*('1. The Inputs'!$B$19/4.33)/12)</f>
        <v>7116.53194765204</v>
      </c>
      <c r="H7" s="19" t="n">
        <f aca="false">IF(D7&lt;=0,"unreachable",C7/'1. The Inputs'!$B$14/(D7/12)/'4. Two Plans'!$B$6)</f>
        <v>5.94503333010498</v>
      </c>
    </row>
    <row r="8" customFormat="false" ht="15" hidden="false" customHeight="false" outlineLevel="0" collapsed="false">
      <c r="A8" s="8" t="n">
        <v>4</v>
      </c>
      <c r="B8" s="10" t="n">
        <f aca="false">'4. Two Plans'!$B$6*'1. The Inputs'!$B$14*(A8/12)</f>
        <v>8804.16666666667</v>
      </c>
      <c r="C8" s="10" t="n">
        <f aca="false">MAX(0,'3. The Effort'!$C$8-B8)</f>
        <v>73258.3333333333</v>
      </c>
      <c r="D8" s="13" t="n">
        <f aca="false">MAX(0,('1. The Inputs'!$B$20*12-A8)-'1. The Inputs'!$B$19/4.33)</f>
        <v>4.76674364896074</v>
      </c>
      <c r="E8" s="10" t="n">
        <f aca="false">IF(D8&lt;=0,"unreachable",(C8-G8)/'1. The Inputs'!$B$14/(D8/12))</f>
        <v>756.855179704017</v>
      </c>
      <c r="F8" s="18" t="n">
        <f aca="false">IF(D8&lt;=0,"unreachable",E8/'4. Two Plans'!$B$6)</f>
        <v>6.30414158201169</v>
      </c>
      <c r="G8" s="10" t="n">
        <f aca="false">IF(D8&lt;=0,"",'4. Two Plans'!$B$6*'1. The Inputs'!$B$14*('1. The Inputs'!$B$19/4.33)/12)</f>
        <v>7116.53194765204</v>
      </c>
      <c r="H8" s="19" t="n">
        <f aca="false">IF(D8&lt;=0,"unreachable",C8/'1. The Inputs'!$B$14/(D8/12)/'4. Two Plans'!$B$6)</f>
        <v>6.9824361556551</v>
      </c>
    </row>
    <row r="9" customFormat="false" ht="15" hidden="false" customHeight="false" outlineLevel="0" collapsed="false">
      <c r="A9" s="8" t="n">
        <v>5</v>
      </c>
      <c r="B9" s="10" t="n">
        <f aca="false">'4. Two Plans'!$B$6*'1. The Inputs'!$B$14*(A9/12)</f>
        <v>11005.2083333333</v>
      </c>
      <c r="C9" s="10" t="n">
        <f aca="false">MAX(0,'3. The Effort'!$C$8-B9)</f>
        <v>71057.2916666667</v>
      </c>
      <c r="D9" s="13" t="n">
        <f aca="false">MAX(0,('1. The Inputs'!$B$20*12-A9)-'1. The Inputs'!$B$19/4.33)</f>
        <v>3.76674364896074</v>
      </c>
      <c r="E9" s="10" t="n">
        <f aca="false">IF(D9&lt;=0,"unreachable",(C9-G9)/'1. The Inputs'!$B$14/(D9/12))</f>
        <v>925.91323644167</v>
      </c>
      <c r="F9" s="18" t="n">
        <f aca="false">IF(D9&lt;=0,"unreachable",E9/'4. Two Plans'!$B$6)</f>
        <v>7.71229198361259</v>
      </c>
      <c r="G9" s="10" t="n">
        <f aca="false">IF(D9&lt;=0,"",'4. Two Plans'!$B$6*'1. The Inputs'!$B$14*('1. The Inputs'!$B$19/4.33)/12)</f>
        <v>7116.53194765204</v>
      </c>
      <c r="H9" s="19" t="n">
        <f aca="false">IF(D9&lt;=0,"unreachable",C9/'1. The Inputs'!$B$14/(D9/12)/'4. Two Plans'!$B$6)</f>
        <v>8.57066108232503</v>
      </c>
    </row>
    <row r="10" customFormat="false" ht="15" hidden="false" customHeight="false" outlineLevel="0" collapsed="false">
      <c r="A10" s="8" t="n">
        <v>6</v>
      </c>
      <c r="B10" s="10" t="n">
        <f aca="false">'4. Two Plans'!$B$6*'1. The Inputs'!$B$14*(A10/12)</f>
        <v>13206.25</v>
      </c>
      <c r="C10" s="10" t="n">
        <f aca="false">MAX(0,'3. The Effort'!$C$8-B10)</f>
        <v>68856.25</v>
      </c>
      <c r="D10" s="13" t="n">
        <f aca="false">MAX(0,('1. The Inputs'!$B$20*12-A10)-'1. The Inputs'!$B$19/4.33)</f>
        <v>2.76674364896074</v>
      </c>
      <c r="E10" s="10" t="n">
        <f aca="false">IF(D10&lt;=0,"unreachable",(C10-G10)/'1. The Inputs'!$B$14/(D10/12))</f>
        <v>1217.17853619669</v>
      </c>
      <c r="F10" s="18" t="n">
        <f aca="false">IF(D10&lt;=0,"unreachable",E10/'4. Two Plans'!$B$6)</f>
        <v>10.1383541112455</v>
      </c>
      <c r="G10" s="10" t="n">
        <f aca="false">IF(D10&lt;=0,"",'4. Two Plans'!$B$6*'1. The Inputs'!$B$14*('1. The Inputs'!$B$19/4.33)/12)</f>
        <v>7116.53194765204</v>
      </c>
      <c r="H10" s="19" t="n">
        <f aca="false">IF(D10&lt;=0,"unreachable",C10/'1. The Inputs'!$B$14/(D10/12)/'4. Two Plans'!$B$6)</f>
        <v>11.3069684685076</v>
      </c>
    </row>
    <row r="11" customFormat="false" ht="15" hidden="false" customHeight="false" outlineLevel="0" collapsed="false">
      <c r="A11" s="8" t="n">
        <v>7</v>
      </c>
      <c r="B11" s="10" t="n">
        <f aca="false">'4. Two Plans'!$B$6*'1. The Inputs'!$B$14*(A11/12)</f>
        <v>15407.2916666667</v>
      </c>
      <c r="C11" s="10" t="n">
        <f aca="false">MAX(0,'3. The Effort'!$C$8-B11)</f>
        <v>66655.2083333333</v>
      </c>
      <c r="D11" s="13" t="n">
        <f aca="false">MAX(0,('1. The Inputs'!$B$20*12-A11)-'1. The Inputs'!$B$19/4.33)</f>
        <v>1.76674364896074</v>
      </c>
      <c r="E11" s="10" t="n">
        <f aca="false">IF(D11&lt;=0,"unreachable",(C11-G11)/'1. The Inputs'!$B$14/(D11/12))</f>
        <v>1838.16377005348</v>
      </c>
      <c r="F11" s="18" t="n">
        <f aca="false">IF(D11&lt;=0,"unreachable",E11/'4. Two Plans'!$B$6)</f>
        <v>15.3107819938198</v>
      </c>
      <c r="G11" s="10" t="n">
        <f aca="false">IF(D11&lt;=0,"",'4. Two Plans'!$B$6*'1. The Inputs'!$B$14*('1. The Inputs'!$B$19/4.33)/12)</f>
        <v>7116.53194765204</v>
      </c>
      <c r="H11" s="19" t="n">
        <f aca="false">IF(D11&lt;=0,"unreachable",C11/'1. The Inputs'!$B$14/(D11/12)/'4. Two Plans'!$B$6)</f>
        <v>17.1408473532969</v>
      </c>
    </row>
    <row r="12" customFormat="false" ht="15" hidden="false" customHeight="false" outlineLevel="0" collapsed="false">
      <c r="A12" s="8" t="n">
        <v>8</v>
      </c>
      <c r="B12" s="10" t="n">
        <f aca="false">'4. Two Plans'!$B$6*'1. The Inputs'!$B$14*(A12/12)</f>
        <v>17608.3333333333</v>
      </c>
      <c r="C12" s="10" t="n">
        <f aca="false">MAX(0,'3. The Effort'!$C$8-B12)</f>
        <v>64454.1666666667</v>
      </c>
      <c r="D12" s="13" t="n">
        <f aca="false">MAX(0,('1. The Inputs'!$B$20*12-A12)-'1. The Inputs'!$B$19/4.33)</f>
        <v>0.766743648960739</v>
      </c>
      <c r="E12" s="10" t="n">
        <f aca="false">IF(D12&lt;=0,"unreachable",(C12-G12)/'1. The Inputs'!$B$14/(D12/12))</f>
        <v>4078.94783680175</v>
      </c>
      <c r="F12" s="18" t="n">
        <f aca="false">IF(D12&lt;=0,"unreachable",E12/'4. Two Plans'!$B$6)</f>
        <v>33.9751452568438</v>
      </c>
      <c r="G12" s="10" t="n">
        <f aca="false">IF(D12&lt;=0,"",'4. Two Plans'!$B$6*'1. The Inputs'!$B$14*('1. The Inputs'!$B$19/4.33)/12)</f>
        <v>7116.53194765204</v>
      </c>
      <c r="H12" s="19" t="n">
        <f aca="false">IF(D12&lt;=0,"unreachable",C12/'1. The Inputs'!$B$14/(D12/12)/'4. Two Plans'!$B$6)</f>
        <v>38.1920127267233</v>
      </c>
    </row>
    <row r="13" customFormat="false" ht="15" hidden="false" customHeight="false" outlineLevel="0" collapsed="false">
      <c r="A13" s="8" t="n">
        <v>9</v>
      </c>
      <c r="B13" s="10" t="n">
        <f aca="false">'4. Two Plans'!$B$6*'1. The Inputs'!$B$14*(A13/12)</f>
        <v>19809.375</v>
      </c>
      <c r="C13" s="10" t="n">
        <f aca="false">MAX(0,'3. The Effort'!$C$8-B13)</f>
        <v>62253.125</v>
      </c>
      <c r="D13" s="13" t="n">
        <f aca="false">MAX(0,('1. The Inputs'!$B$20*12-A13)-'1. The Inputs'!$B$19/4.33)</f>
        <v>0</v>
      </c>
      <c r="E13" s="10" t="str">
        <f aca="false">IF(D13&lt;=0,"unreachable",(C13-G13)/'1. The Inputs'!$B$14/(D13/12))</f>
        <v>unreachable</v>
      </c>
      <c r="F13" s="18" t="str">
        <f aca="false">IF(D13&lt;=0,"unreachable",E13/'4. Two Plans'!$B$6)</f>
        <v>unreachable</v>
      </c>
      <c r="G13" s="10" t="str">
        <f aca="false">IF(D13&lt;=0,"",'4. Two Plans'!$B$6*'1. The Inputs'!$B$14*('1. The Inputs'!$B$19/4.33)/12)</f>
        <v/>
      </c>
      <c r="H13" s="19" t="str">
        <f aca="false">IF(D13&lt;=0,"unreachable",C13/'1. The Inputs'!$B$14/(D13/12)/'4. Two Plans'!$B$6)</f>
        <v>unreachable</v>
      </c>
    </row>
    <row r="14" customFormat="false" ht="15" hidden="false" customHeight="false" outlineLevel="0" collapsed="false">
      <c r="A14" s="8" t="n">
        <v>10</v>
      </c>
      <c r="B14" s="10" t="n">
        <f aca="false">'4. Two Plans'!$B$6*'1. The Inputs'!$B$14*(A14/12)</f>
        <v>22010.4166666667</v>
      </c>
      <c r="C14" s="10" t="n">
        <f aca="false">MAX(0,'3. The Effort'!$C$8-B14)</f>
        <v>60052.0833333333</v>
      </c>
      <c r="D14" s="13" t="n">
        <f aca="false">MAX(0,('1. The Inputs'!$B$20*12-A14)-'1. The Inputs'!$B$19/4.33)</f>
        <v>0</v>
      </c>
      <c r="E14" s="10" t="str">
        <f aca="false">IF(D14&lt;=0,"unreachable",(C14-G14)/'1. The Inputs'!$B$14/(D14/12))</f>
        <v>unreachable</v>
      </c>
      <c r="F14" s="18" t="str">
        <f aca="false">IF(D14&lt;=0,"unreachable",E14/'4. Two Plans'!$B$6)</f>
        <v>unreachable</v>
      </c>
      <c r="G14" s="10" t="str">
        <f aca="false">IF(D14&lt;=0,"",'4. Two Plans'!$B$6*'1. The Inputs'!$B$14*('1. The Inputs'!$B$19/4.33)/12)</f>
        <v/>
      </c>
      <c r="H14" s="19" t="str">
        <f aca="false">IF(D14&lt;=0,"unreachable",C14/'1. The Inputs'!$B$14/(D14/12)/'4. Two Plans'!$B$6)</f>
        <v>unreachable</v>
      </c>
    </row>
    <row r="15" customFormat="false" ht="15" hidden="false" customHeight="false" outlineLevel="0" collapsed="false">
      <c r="A15" s="8" t="n">
        <v>11</v>
      </c>
      <c r="B15" s="10" t="n">
        <f aca="false">'4. Two Plans'!$B$6*'1. The Inputs'!$B$14*(A15/12)</f>
        <v>24211.4583333333</v>
      </c>
      <c r="C15" s="10" t="n">
        <f aca="false">MAX(0,'3. The Effort'!$C$8-B15)</f>
        <v>57851.0416666667</v>
      </c>
      <c r="D15" s="13" t="n">
        <f aca="false">MAX(0,('1. The Inputs'!$B$20*12-A15)-'1. The Inputs'!$B$19/4.33)</f>
        <v>0</v>
      </c>
      <c r="E15" s="10" t="str">
        <f aca="false">IF(D15&lt;=0,"unreachable",(C15-G15)/'1. The Inputs'!$B$14/(D15/12))</f>
        <v>unreachable</v>
      </c>
      <c r="F15" s="18" t="str">
        <f aca="false">IF(D15&lt;=0,"unreachable",E15/'4. Two Plans'!$B$6)</f>
        <v>unreachable</v>
      </c>
      <c r="G15" s="10" t="str">
        <f aca="false">IF(D15&lt;=0,"",'4. Two Plans'!$B$6*'1. The Inputs'!$B$14*('1. The Inputs'!$B$19/4.33)/12)</f>
        <v/>
      </c>
      <c r="H15" s="19" t="str">
        <f aca="false">IF(D15&lt;=0,"unreachable",C15/'1. The Inputs'!$B$14/(D15/12)/'4. Two Plans'!$B$6)</f>
        <v>unreachable</v>
      </c>
    </row>
    <row r="16" customFormat="false" ht="15" hidden="false" customHeight="false" outlineLevel="0" collapsed="false">
      <c r="A16" s="8" t="n">
        <v>12</v>
      </c>
      <c r="B16" s="10" t="n">
        <f aca="false">'4. Two Plans'!$B$6*'1. The Inputs'!$B$14*(A16/12)</f>
        <v>26412.5</v>
      </c>
      <c r="C16" s="10" t="n">
        <f aca="false">MAX(0,'3. The Effort'!$C$8-B16)</f>
        <v>55650</v>
      </c>
      <c r="D16" s="13" t="n">
        <f aca="false">MAX(0,('1. The Inputs'!$B$20*12-A16)-'1. The Inputs'!$B$19/4.33)</f>
        <v>0</v>
      </c>
      <c r="E16" s="10" t="str">
        <f aca="false">IF(D16&lt;=0,"unreachable",(C16-G16)/'1. The Inputs'!$B$14/(D16/12))</f>
        <v>unreachable</v>
      </c>
      <c r="F16" s="18" t="str">
        <f aca="false">IF(D16&lt;=0,"unreachable",E16/'4. Two Plans'!$B$6)</f>
        <v>unreachable</v>
      </c>
      <c r="G16" s="10" t="str">
        <f aca="false">IF(D16&lt;=0,"",'4. Two Plans'!$B$6*'1. The Inputs'!$B$14*('1. The Inputs'!$B$19/4.33)/12)</f>
        <v/>
      </c>
      <c r="H16" s="19" t="str">
        <f aca="false">IF(D16&lt;=0,"unreachable",C16/'1. The Inputs'!$B$14/(D16/12)/'4. Two Plans'!$B$6)</f>
        <v>unreachable</v>
      </c>
    </row>
    <row r="18" customFormat="false" ht="22.35" hidden="false" customHeight="false" outlineLevel="0" collapsed="false">
      <c r="A18" s="3" t="s">
        <v>123</v>
      </c>
      <c r="B18" s="20" t="n">
        <f aca="false">'1. The Inputs'!$B$20*12-ROUNDUP('1. The Inputs'!$B$19/4.33,0)</f>
        <v>8</v>
      </c>
      <c r="F18" s="5" t="s">
        <v>124</v>
      </c>
    </row>
    <row r="20" customFormat="false" ht="15" hidden="false" customHeight="false" outlineLevel="0" collapsed="false">
      <c r="A20" s="2" t="s">
        <v>125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3" min="2" style="0" width="18"/>
    <col collapsed="false" customWidth="true" hidden="false" outlineLevel="0" max="4" min="4" style="0" width="48"/>
  </cols>
  <sheetData>
    <row r="1" customFormat="false" ht="17.35" hidden="false" customHeight="false" outlineLevel="0" collapsed="false">
      <c r="A1" s="1" t="s">
        <v>126</v>
      </c>
    </row>
    <row r="3" customFormat="false" ht="15" hidden="false" customHeight="false" outlineLevel="0" collapsed="false">
      <c r="A3" s="3" t="s">
        <v>127</v>
      </c>
      <c r="B3" s="3" t="s">
        <v>128</v>
      </c>
      <c r="C3" s="3" t="s">
        <v>129</v>
      </c>
      <c r="D3" s="3" t="s">
        <v>130</v>
      </c>
    </row>
    <row r="4" customFormat="false" ht="15" hidden="false" customHeight="false" outlineLevel="0" collapsed="false">
      <c r="A4" s="21" t="n">
        <v>1</v>
      </c>
      <c r="B4" s="11" t="n">
        <f aca="false">'1. The Inputs'!$B$16</f>
        <v>0.45</v>
      </c>
      <c r="C4" s="12" t="n">
        <f aca="false">B4</f>
        <v>0.45</v>
      </c>
      <c r="D4" s="12" t="n">
        <f aca="false">1-C4</f>
        <v>0.55</v>
      </c>
    </row>
    <row r="5" customFormat="false" ht="15" hidden="false" customHeight="false" outlineLevel="0" collapsed="false">
      <c r="A5" s="21" t="n">
        <v>2</v>
      </c>
      <c r="B5" s="11" t="n">
        <f aca="false">'1. The Inputs'!$B$17</f>
        <v>0.25</v>
      </c>
      <c r="C5" s="12" t="n">
        <f aca="false">C4+D4*B5</f>
        <v>0.5875</v>
      </c>
      <c r="D5" s="12" t="n">
        <f aca="false">1-C5</f>
        <v>0.4125</v>
      </c>
    </row>
    <row r="6" customFormat="false" ht="15" hidden="false" customHeight="false" outlineLevel="0" collapsed="false">
      <c r="A6" s="21" t="n">
        <v>3</v>
      </c>
      <c r="B6" s="11" t="n">
        <f aca="false">'1. The Inputs'!$B$18</f>
        <v>0.15</v>
      </c>
      <c r="C6" s="12" t="n">
        <f aca="false">C5+D5*B6</f>
        <v>0.649375</v>
      </c>
      <c r="D6" s="12" t="n">
        <f aca="false">1-C6</f>
        <v>0.350625</v>
      </c>
    </row>
    <row r="8" customFormat="false" ht="15" hidden="false" customHeight="false" outlineLevel="0" collapsed="false">
      <c r="A8" s="0" t="s">
        <v>131</v>
      </c>
      <c r="B8" s="10" t="n">
        <f aca="false">'2. The Segmentation'!B21</f>
        <v>148750</v>
      </c>
    </row>
    <row r="9" customFormat="false" ht="15" hidden="false" customHeight="false" outlineLevel="0" collapsed="false">
      <c r="A9" s="3" t="s">
        <v>132</v>
      </c>
      <c r="B9" s="10" t="n">
        <f aca="false">B8*D6</f>
        <v>52155.46875</v>
      </c>
    </row>
    <row r="10" customFormat="false" ht="15" hidden="false" customHeight="false" outlineLevel="0" collapsed="false">
      <c r="A10" s="0" t="s">
        <v>133</v>
      </c>
      <c r="B10" s="12" t="n">
        <f aca="false">D6</f>
        <v>0.350625</v>
      </c>
    </row>
    <row r="11" customFormat="false" ht="15" hidden="false" customHeight="false" outlineLevel="0" collapsed="false">
      <c r="A11" s="0" t="s">
        <v>134</v>
      </c>
      <c r="B11" s="12" t="n">
        <f aca="false">B9/'1. The Inputs'!$B$4</f>
        <v>0.208621875</v>
      </c>
    </row>
    <row r="13" customFormat="false" ht="32.8" hidden="false" customHeight="false" outlineLevel="0" collapsed="false">
      <c r="A13" s="5" t="s">
        <v>135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3" min="2" style="0" width="20"/>
    <col collapsed="false" customWidth="true" hidden="false" outlineLevel="0" max="4" min="4" style="0" width="48"/>
  </cols>
  <sheetData>
    <row r="1" customFormat="false" ht="17.35" hidden="false" customHeight="false" outlineLevel="0" collapsed="false">
      <c r="A1" s="1" t="s">
        <v>136</v>
      </c>
    </row>
    <row r="3" customFormat="false" ht="15" hidden="false" customHeight="false" outlineLevel="0" collapsed="false">
      <c r="A3" s="0" t="s">
        <v>137</v>
      </c>
      <c r="B3" s="13" t="n">
        <f aca="false">'4. Two Plans'!B6</f>
        <v>120.056818181818</v>
      </c>
    </row>
    <row r="4" customFormat="false" ht="15" hidden="false" customHeight="false" outlineLevel="0" collapsed="false">
      <c r="A4" s="0" t="s">
        <v>138</v>
      </c>
      <c r="B4" s="13" t="n">
        <f aca="false">('3. The Effort'!C4+'3. The Effort'!C5)/'1. The Inputs'!$B$14/'1. The Inputs'!$B$20+('3. The Effort'!C6+'3. The Effort'!C7)/'1. The Inputs'!$B$14/'1. The Inputs'!$B$21</f>
        <v>141.875</v>
      </c>
    </row>
    <row r="5" customFormat="false" ht="15" hidden="false" customHeight="false" outlineLevel="0" collapsed="false">
      <c r="A5" s="3" t="s">
        <v>139</v>
      </c>
      <c r="B5" s="13" t="n">
        <f aca="false">B4-B3</f>
        <v>21.8181818181818</v>
      </c>
    </row>
    <row r="6" customFormat="false" ht="15" hidden="false" customHeight="false" outlineLevel="0" collapsed="false">
      <c r="A6" s="3" t="s">
        <v>140</v>
      </c>
      <c r="B6" s="10" t="n">
        <f aca="false">B5*'1. The Inputs'!$B$15</f>
        <v>1854545.45454545</v>
      </c>
    </row>
    <row r="7" customFormat="false" ht="15" hidden="false" customHeight="false" outlineLevel="0" collapsed="false">
      <c r="A7" s="0" t="s">
        <v>141</v>
      </c>
      <c r="B7" s="12" t="n">
        <f aca="false">B6/'4. Two Plans'!B7</f>
        <v>0.181732134406058</v>
      </c>
    </row>
    <row r="9" customFormat="false" ht="32.8" hidden="false" customHeight="false" outlineLevel="0" collapsed="false">
      <c r="A9" s="5" t="s">
        <v>142</v>
      </c>
    </row>
    <row r="10" customFormat="false" ht="15" hidden="false" customHeight="false" outlineLevel="0" collapsed="false">
      <c r="A10" s="0" t="s">
        <v>143</v>
      </c>
      <c r="B10" s="13" t="n">
        <f aca="false">'4. Two Plans'!E6-('3. The Effort'!C6+'3. The Effort'!C7)/'1. The Inputs'!$B$14/'1. The Inputs'!$B$21</f>
        <v>5.45454545454546</v>
      </c>
    </row>
    <row r="11" customFormat="false" ht="15" hidden="false" customHeight="false" outlineLevel="0" collapsed="false">
      <c r="A11" s="2" t="s">
        <v>144</v>
      </c>
    </row>
    <row r="12" customFormat="false" ht="15" hidden="false" customHeight="false" outlineLevel="0" collapsed="false">
      <c r="A12" s="3" t="s">
        <v>145</v>
      </c>
    </row>
    <row r="13" customFormat="false" ht="15" hidden="false" customHeight="false" outlineLevel="0" collapsed="false">
      <c r="A13" s="0" t="s">
        <v>146</v>
      </c>
      <c r="B13" s="10" t="n">
        <f aca="false">'3. The Effort'!C8*100000/'1. The Inputs'!$B$4</f>
        <v>32825</v>
      </c>
    </row>
    <row r="14" customFormat="false" ht="15" hidden="false" customHeight="false" outlineLevel="0" collapsed="false">
      <c r="A14" s="0" t="s">
        <v>147</v>
      </c>
      <c r="B14" s="13" t="n">
        <f aca="false">'4. Two Plans'!B6*100000/'1. The Inputs'!$B$4</f>
        <v>48.0227272727273</v>
      </c>
    </row>
    <row r="15" customFormat="false" ht="15" hidden="false" customHeight="false" outlineLevel="0" collapsed="false">
      <c r="A15" s="0" t="s">
        <v>148</v>
      </c>
      <c r="B15" s="13" t="n">
        <f aca="false">'4. Two Plans'!B10*100000/'1. The Inputs'!$B$4</f>
        <v>149.204545454545</v>
      </c>
    </row>
    <row r="16" customFormat="false" ht="15" hidden="false" customHeight="false" outlineLevel="0" collapsed="false">
      <c r="A16" s="0" t="s">
        <v>149</v>
      </c>
      <c r="B16" s="10" t="n">
        <f aca="false">'2. The Segmentation'!B21*100000/'1. The Inputs'!$B$4</f>
        <v>59500</v>
      </c>
    </row>
    <row r="17" customFormat="false" ht="15" hidden="false" customHeight="false" outlineLevel="0" collapsed="false">
      <c r="A17" s="0" t="s">
        <v>150</v>
      </c>
      <c r="B17" s="10" t="n">
        <f aca="false">'6. Outreach'!B9*100000/'1. The Inputs'!$B$4</f>
        <v>20862.1875</v>
      </c>
    </row>
    <row r="18" customFormat="false" ht="15" hidden="false" customHeight="false" outlineLevel="0" collapsed="false">
      <c r="A18" s="0" t="s">
        <v>151</v>
      </c>
      <c r="B18" s="10" t="n">
        <f aca="false">B6*100000/'1. The Inputs'!$B$4</f>
        <v>741818.181818182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3" min="2" style="0" width="20"/>
    <col collapsed="false" customWidth="true" hidden="false" outlineLevel="0" max="4" min="4" style="0" width="12"/>
    <col collapsed="false" customWidth="true" hidden="false" outlineLevel="0" max="5" min="5" style="0" width="52"/>
  </cols>
  <sheetData>
    <row r="1" customFormat="false" ht="17.35" hidden="false" customHeight="false" outlineLevel="0" collapsed="false">
      <c r="A1" s="1" t="s">
        <v>152</v>
      </c>
    </row>
    <row r="3" customFormat="false" ht="15" hidden="false" customHeight="false" outlineLevel="0" collapsed="false">
      <c r="A3" s="3" t="s">
        <v>153</v>
      </c>
      <c r="B3" s="3" t="s">
        <v>154</v>
      </c>
      <c r="C3" s="3" t="s">
        <v>155</v>
      </c>
      <c r="D3" s="3" t="s">
        <v>156</v>
      </c>
      <c r="E3" s="3" t="s">
        <v>157</v>
      </c>
    </row>
    <row r="4" customFormat="false" ht="15" hidden="false" customHeight="false" outlineLevel="0" collapsed="false">
      <c r="A4" s="0" t="s">
        <v>158</v>
      </c>
      <c r="B4" s="22" t="n">
        <v>250000</v>
      </c>
      <c r="C4" s="10" t="n">
        <f aca="false">'2. The Segmentation'!B8</f>
        <v>250000</v>
      </c>
      <c r="D4" s="23" t="str">
        <f aca="false">IF(ABS(C4-B4)&lt;=1,"OK","CHECK")</f>
        <v>OK</v>
      </c>
      <c r="E4" s="5"/>
    </row>
    <row r="5" customFormat="false" ht="15" hidden="false" customHeight="false" outlineLevel="0" collapsed="false">
      <c r="A5" s="0" t="s">
        <v>159</v>
      </c>
      <c r="B5" s="22" t="n">
        <v>250000</v>
      </c>
      <c r="C5" s="10" t="n">
        <f aca="false">'2. The Segmentation'!B15</f>
        <v>250000</v>
      </c>
      <c r="D5" s="23" t="str">
        <f aca="false">IF(ABS(C5-B5)&lt;=1,"OK","CHECK")</f>
        <v>OK</v>
      </c>
      <c r="E5" s="5" t="s">
        <v>160</v>
      </c>
    </row>
    <row r="6" customFormat="false" ht="15" hidden="false" customHeight="false" outlineLevel="0" collapsed="false">
      <c r="A6" s="0" t="s">
        <v>161</v>
      </c>
      <c r="B6" s="22" t="n">
        <v>10000</v>
      </c>
      <c r="C6" s="10" t="n">
        <f aca="false">'2. The Segmentation'!B11</f>
        <v>10000</v>
      </c>
      <c r="D6" s="23" t="str">
        <f aca="false">IF(ABS(C6-B6)&lt;=1,"OK","CHECK")</f>
        <v>OK</v>
      </c>
      <c r="E6" s="5"/>
    </row>
    <row r="7" customFormat="false" ht="15" hidden="false" customHeight="false" outlineLevel="0" collapsed="false">
      <c r="A7" s="0" t="s">
        <v>162</v>
      </c>
      <c r="B7" s="22" t="n">
        <v>15000</v>
      </c>
      <c r="C7" s="10" t="n">
        <f aca="false">'2. The Segmentation'!B12</f>
        <v>15000</v>
      </c>
      <c r="D7" s="23" t="str">
        <f aca="false">IF(ABS(C7-B7)&lt;=1,"OK","CHECK")</f>
        <v>OK</v>
      </c>
      <c r="E7" s="5"/>
    </row>
    <row r="8" customFormat="false" ht="15" hidden="false" customHeight="false" outlineLevel="0" collapsed="false">
      <c r="A8" s="0" t="s">
        <v>163</v>
      </c>
      <c r="B8" s="22" t="n">
        <v>67500</v>
      </c>
      <c r="C8" s="10" t="n">
        <f aca="false">'2. The Segmentation'!B13</f>
        <v>67500</v>
      </c>
      <c r="D8" s="23" t="str">
        <f aca="false">IF(ABS(C8-B8)&lt;=1,"OK","CHECK")</f>
        <v>OK</v>
      </c>
      <c r="E8" s="5"/>
    </row>
    <row r="9" customFormat="false" ht="15" hidden="false" customHeight="false" outlineLevel="0" collapsed="false">
      <c r="A9" s="0" t="s">
        <v>164</v>
      </c>
      <c r="B9" s="22" t="n">
        <v>157500</v>
      </c>
      <c r="C9" s="10" t="n">
        <f aca="false">'2. The Segmentation'!B14</f>
        <v>157500</v>
      </c>
      <c r="D9" s="23" t="str">
        <f aca="false">IF(ABS(C9-B9)&lt;=1,"OK","CHECK")</f>
        <v>OK</v>
      </c>
      <c r="E9" s="5"/>
    </row>
    <row r="10" customFormat="false" ht="15" hidden="false" customHeight="false" outlineLevel="0" collapsed="false">
      <c r="A10" s="0" t="s">
        <v>165</v>
      </c>
      <c r="B10" s="22" t="n">
        <v>82062</v>
      </c>
      <c r="C10" s="10" t="n">
        <f aca="false">'3. The Effort'!C8</f>
        <v>82062.5</v>
      </c>
      <c r="D10" s="23" t="str">
        <f aca="false">IF(ABS(C10-B10)&lt;=50,"OK","CHECK")</f>
        <v>OK</v>
      </c>
      <c r="E10" s="5"/>
    </row>
    <row r="11" customFormat="false" ht="15" hidden="false" customHeight="false" outlineLevel="0" collapsed="false">
      <c r="A11" s="0" t="s">
        <v>166</v>
      </c>
      <c r="B11" s="24" t="n">
        <v>373</v>
      </c>
      <c r="C11" s="13" t="n">
        <f aca="false">'3. The Effort'!C9</f>
        <v>373.011363636364</v>
      </c>
      <c r="D11" s="23" t="str">
        <f aca="false">IF(ABS(C11-B11)&lt;=0.5,"OK","CHECK")</f>
        <v>OK</v>
      </c>
      <c r="E11" s="5"/>
    </row>
    <row r="12" customFormat="false" ht="15" hidden="false" customHeight="false" outlineLevel="0" collapsed="false">
      <c r="A12" s="0" t="s">
        <v>167</v>
      </c>
      <c r="B12" s="24" t="n">
        <v>120.1</v>
      </c>
      <c r="C12" s="13" t="n">
        <f aca="false">'4. Two Plans'!B6</f>
        <v>120.056818181818</v>
      </c>
      <c r="D12" s="23" t="str">
        <f aca="false">IF(ABS(C12-B12)&lt;=0.5,"OK","CHECK")</f>
        <v>OK</v>
      </c>
      <c r="E12" s="5"/>
    </row>
    <row r="13" customFormat="false" ht="15" hidden="false" customHeight="false" outlineLevel="0" collapsed="false">
      <c r="A13" s="0" t="s">
        <v>168</v>
      </c>
      <c r="B13" s="22" t="n">
        <v>10204830</v>
      </c>
      <c r="C13" s="10" t="n">
        <f aca="false">'4. Two Plans'!B7</f>
        <v>10204829.5454545</v>
      </c>
      <c r="D13" s="23" t="str">
        <f aca="false">IF(ABS(C13-B13)&lt;=50000,"OK","CHECK")</f>
        <v>OK</v>
      </c>
      <c r="E13" s="5"/>
    </row>
    <row r="14" customFormat="false" ht="15" hidden="false" customHeight="false" outlineLevel="0" collapsed="false">
      <c r="A14" s="0" t="s">
        <v>169</v>
      </c>
      <c r="B14" s="24" t="n">
        <v>373</v>
      </c>
      <c r="C14" s="13" t="n">
        <f aca="false">'4. Two Plans'!B10</f>
        <v>373.011363636364</v>
      </c>
      <c r="D14" s="23" t="str">
        <f aca="false">IF(ABS(C14-B14)&lt;=0.5,"OK","CHECK")</f>
        <v>OK</v>
      </c>
      <c r="E14" s="5"/>
    </row>
    <row r="15" customFormat="false" ht="15" hidden="false" customHeight="false" outlineLevel="0" collapsed="false">
      <c r="A15" s="0" t="s">
        <v>170</v>
      </c>
      <c r="B15" s="25" t="n">
        <v>3.11</v>
      </c>
      <c r="C15" s="26" t="n">
        <f aca="false">'4. Two Plans'!B13</f>
        <v>3.10695693327023</v>
      </c>
      <c r="D15" s="23" t="str">
        <f aca="false">IF(ABS(C15-B15)&lt;=0.02,"OK","CHECK")</f>
        <v>OK</v>
      </c>
      <c r="E15" s="5"/>
    </row>
    <row r="16" customFormat="false" ht="15" hidden="false" customHeight="false" outlineLevel="0" collapsed="false">
      <c r="A16" s="0" t="s">
        <v>171</v>
      </c>
      <c r="B16" s="22" t="n">
        <v>21501136</v>
      </c>
      <c r="C16" s="10" t="n">
        <f aca="false">'4. Two Plans'!B16</f>
        <v>21501136.3636364</v>
      </c>
      <c r="D16" s="23" t="str">
        <f aca="false">IF(ABS(C16-B16)&lt;=60000,"OK","CHECK")</f>
        <v>OK</v>
      </c>
      <c r="E16" s="5" t="s">
        <v>172</v>
      </c>
    </row>
    <row r="17" customFormat="false" ht="22.35" hidden="false" customHeight="false" outlineLevel="0" collapsed="false">
      <c r="A17" s="0" t="s">
        <v>173</v>
      </c>
      <c r="B17" s="24" t="n">
        <v>10.1</v>
      </c>
      <c r="C17" s="13" t="n">
        <f aca="false">'5. The Asymmetry'!F10</f>
        <v>10.1383541112455</v>
      </c>
      <c r="D17" s="23" t="str">
        <f aca="false">IF(ABS(C17-B17)&lt;=0.2,"OK","CHECK")</f>
        <v>OK</v>
      </c>
      <c r="E17" s="5" t="s">
        <v>174</v>
      </c>
    </row>
    <row r="18" customFormat="false" ht="15" hidden="false" customHeight="false" outlineLevel="0" collapsed="false">
      <c r="A18" s="0" t="s">
        <v>175</v>
      </c>
      <c r="B18" s="21" t="n">
        <v>8</v>
      </c>
      <c r="C18" s="20" t="n">
        <f aca="false">'5. The Asymmetry'!B18</f>
        <v>8</v>
      </c>
      <c r="D18" s="23" t="str">
        <f aca="false">IF(ABS(C18-B18)&lt;=0,"OK","CHECK")</f>
        <v>OK</v>
      </c>
      <c r="E18" s="5"/>
    </row>
    <row r="19" customFormat="false" ht="15" hidden="false" customHeight="false" outlineLevel="0" collapsed="false">
      <c r="A19" s="0" t="s">
        <v>176</v>
      </c>
      <c r="B19" s="27" t="n">
        <v>0.649</v>
      </c>
      <c r="C19" s="12" t="n">
        <f aca="false">'6. Outreach'!C6</f>
        <v>0.649375</v>
      </c>
      <c r="D19" s="23" t="str">
        <f aca="false">IF(ABS(C19-B19)&lt;=0.002,"OK","CHECK")</f>
        <v>OK</v>
      </c>
      <c r="E19" s="5"/>
    </row>
    <row r="20" customFormat="false" ht="15" hidden="false" customHeight="false" outlineLevel="0" collapsed="false">
      <c r="A20" s="0" t="s">
        <v>131</v>
      </c>
      <c r="B20" s="22" t="n">
        <v>148750</v>
      </c>
      <c r="C20" s="10" t="n">
        <f aca="false">'2. The Segmentation'!B21</f>
        <v>148750</v>
      </c>
      <c r="D20" s="23" t="str">
        <f aca="false">IF(ABS(C20-B20)&lt;=50,"OK","CHECK")</f>
        <v>OK</v>
      </c>
      <c r="E20" s="5"/>
    </row>
    <row r="21" customFormat="false" ht="15" hidden="false" customHeight="false" outlineLevel="0" collapsed="false">
      <c r="A21" s="0" t="s">
        <v>177</v>
      </c>
      <c r="B21" s="22" t="n">
        <v>52155</v>
      </c>
      <c r="C21" s="10" t="n">
        <f aca="false">'6. Outreach'!B9</f>
        <v>52155.46875</v>
      </c>
      <c r="D21" s="23" t="str">
        <f aca="false">IF(ABS(C21-B21)&lt;=100,"OK","CHECK")</f>
        <v>OK</v>
      </c>
      <c r="E21" s="5"/>
    </row>
    <row r="22" customFormat="false" ht="15" hidden="false" customHeight="false" outlineLevel="0" collapsed="false">
      <c r="A22" s="0" t="s">
        <v>178</v>
      </c>
      <c r="B22" s="27" t="n">
        <v>0.209</v>
      </c>
      <c r="C22" s="12" t="n">
        <f aca="false">'6. Outreach'!B11</f>
        <v>0.208621875</v>
      </c>
      <c r="D22" s="23" t="str">
        <f aca="false">IF(ABS(C22-B22)&lt;=0.002,"OK","CHECK")</f>
        <v>OK</v>
      </c>
      <c r="E22" s="5"/>
    </row>
    <row r="23" customFormat="false" ht="15" hidden="false" customHeight="false" outlineLevel="0" collapsed="false">
      <c r="A23" s="0" t="s">
        <v>179</v>
      </c>
      <c r="B23" s="27" t="n">
        <v>0.405</v>
      </c>
      <c r="C23" s="12" t="n">
        <f aca="false">'2. The Segmentation'!B23</f>
        <v>0.405</v>
      </c>
      <c r="D23" s="23" t="str">
        <f aca="false">IF(ABS(C23-B23)&lt;=0.002,"OK","CHECK")</f>
        <v>OK</v>
      </c>
      <c r="E23" s="5"/>
    </row>
    <row r="24" customFormat="false" ht="22.35" hidden="false" customHeight="false" outlineLevel="0" collapsed="false">
      <c r="A24" s="0" t="s">
        <v>180</v>
      </c>
      <c r="B24" s="24" t="n">
        <v>141.9</v>
      </c>
      <c r="C24" s="13" t="n">
        <f aca="false">'7. The Premium'!B4</f>
        <v>141.875</v>
      </c>
      <c r="D24" s="23" t="str">
        <f aca="false">IF(ABS(C24-B24)&lt;=0.3,"OK","CHECK")</f>
        <v>OK</v>
      </c>
      <c r="E24" s="5" t="s">
        <v>181</v>
      </c>
    </row>
    <row r="25" customFormat="false" ht="15" hidden="false" customHeight="false" outlineLevel="0" collapsed="false">
      <c r="A25" s="0" t="s">
        <v>182</v>
      </c>
      <c r="B25" s="22" t="n">
        <v>1854545</v>
      </c>
      <c r="C25" s="10" t="n">
        <f aca="false">'7. The Premium'!B6</f>
        <v>1854545.45454545</v>
      </c>
      <c r="D25" s="23" t="str">
        <f aca="false">IF(ABS(C25-B25)&lt;=20000,"OK","CHECK")</f>
        <v>OK</v>
      </c>
      <c r="E25" s="5" t="s">
        <v>183</v>
      </c>
    </row>
    <row r="26" customFormat="false" ht="15" hidden="false" customHeight="false" outlineLevel="0" collapsed="false">
      <c r="A26" s="0" t="s">
        <v>184</v>
      </c>
      <c r="B26" s="27" t="n">
        <v>0.182</v>
      </c>
      <c r="C26" s="12" t="n">
        <f aca="false">'7. The Premium'!B7</f>
        <v>0.181732134406058</v>
      </c>
      <c r="D26" s="23" t="str">
        <f aca="false">IF(ABS(C26-B26)&lt;=0.003,"OK","CHECK")</f>
        <v>OK</v>
      </c>
      <c r="E26" s="5" t="s">
        <v>185</v>
      </c>
    </row>
    <row r="27" customFormat="false" ht="15" hidden="false" customHeight="false" outlineLevel="0" collapsed="false">
      <c r="A27" s="0" t="s">
        <v>186</v>
      </c>
      <c r="B27" s="22" t="n">
        <v>32825</v>
      </c>
      <c r="C27" s="10" t="n">
        <f aca="false">'7. The Premium'!B13</f>
        <v>32825</v>
      </c>
      <c r="D27" s="23" t="str">
        <f aca="false">IF(ABS(C27-B27)&lt;=50,"OK","CHECK")</f>
        <v>OK</v>
      </c>
      <c r="E27" s="5"/>
    </row>
    <row r="28" customFormat="false" ht="15" hidden="false" customHeight="false" outlineLevel="0" collapsed="false">
      <c r="A28" s="0" t="s">
        <v>187</v>
      </c>
      <c r="B28" s="22" t="n">
        <v>20862</v>
      </c>
      <c r="C28" s="10" t="n">
        <f aca="false">'7. The Premium'!B17</f>
        <v>20862.1875</v>
      </c>
      <c r="D28" s="23" t="str">
        <f aca="false">IF(ABS(C28-B28)&lt;=50,"OK","CHECK")</f>
        <v>OK</v>
      </c>
      <c r="E28" s="5"/>
    </row>
    <row r="30" customFormat="false" ht="15" hidden="false" customHeight="false" outlineLevel="0" collapsed="false">
      <c r="A30" s="3" t="s">
        <v>188</v>
      </c>
    </row>
    <row r="31" customFormat="false" ht="15" hidden="false" customHeight="false" outlineLevel="0" collapsed="false">
      <c r="A31" s="0" t="s">
        <v>189</v>
      </c>
      <c r="C31" s="20" t="n">
        <f aca="false">IF('4. Two Plans'!B13&gt;3,1,0)</f>
        <v>1</v>
      </c>
      <c r="D31" s="23" t="str">
        <f aca="false">IF(C31=1,"OK","CHECK")</f>
        <v>OK</v>
      </c>
      <c r="E31" s="5" t="s">
        <v>190</v>
      </c>
    </row>
    <row r="32" customFormat="false" ht="22.35" hidden="false" customHeight="false" outlineLevel="0" collapsed="false">
      <c r="A32" s="0" t="s">
        <v>191</v>
      </c>
      <c r="C32" s="20" t="n">
        <f aca="false">IF('5. The Asymmetry'!B18&lt;12,1,0)</f>
        <v>1</v>
      </c>
      <c r="D32" s="23" t="str">
        <f aca="false">IF(C32=1,"OK","CHECK")</f>
        <v>OK</v>
      </c>
      <c r="E32" s="5" t="s">
        <v>192</v>
      </c>
    </row>
    <row r="33" customFormat="false" ht="15" hidden="false" customHeight="false" outlineLevel="0" collapsed="false">
      <c r="A33" s="0" t="s">
        <v>193</v>
      </c>
      <c r="C33" s="20" t="n">
        <f aca="false">IF('6. Outreach'!B11&gt;0.1,1,0)</f>
        <v>1</v>
      </c>
      <c r="D33" s="23" t="str">
        <f aca="false">IF(C33=1,"OK","CHECK")</f>
        <v>OK</v>
      </c>
      <c r="E33" s="5" t="s">
        <v>194</v>
      </c>
    </row>
    <row r="35" customFormat="false" ht="15" hidden="false" customHeight="false" outlineLevel="0" collapsed="false">
      <c r="A35" s="3" t="s">
        <v>195</v>
      </c>
      <c r="B35" s="20" t="n">
        <f aca="false">COUNTIF(D4:D33,"OK")</f>
        <v>28</v>
      </c>
      <c r="C35" s="20" t="n">
        <f aca="false">COUNTA(D4:D33)</f>
        <v>28</v>
      </c>
      <c r="D35" s="23" t="str">
        <f aca="false">IF(B35=C35,"ALL PASS","SEE ABOVE")</f>
        <v>ALL PASS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2026-08-22T14:22:43Z</dcterms:created>
  <dc:creator>openpyxl</dc:creator>
  <dc:description/>
  <dc:language>en-US</dc:language>
  <cp:lastModifiedBy/>
  <dcterms:modified xsi:type="dcterms:W3CDTF">2026-09-22T18:38:03Z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