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ent roll" sheetId="3" state="visible" r:id="rId5"/>
    <sheet name="Income account" sheetId="4" state="visible" r:id="rId6"/>
    <sheet name="Cash flows" sheetId="5" state="visible" r:id="rId7"/>
    <sheet name="Sixteen runs" sheetId="6" state="visible" r:id="rId8"/>
    <sheet name="Orders" sheetId="7" state="visible" r:id="rId9"/>
    <sheet name="Ladders" sheetId="8" state="visible" r:id="rId10"/>
    <sheet name="Hold period" sheetId="9" state="visible" r:id="rId11"/>
    <sheet name="Checks" sheetId="10" state="visible" r:id="rId12"/>
  </sheets>
  <definedNames>
    <definedName function="false" hidden="false" name="AcqPct" vbProcedure="false">Inputs!$B$9</definedName>
    <definedName function="false" hidden="false" name="AllIn" vbProcedure="false">Inputs!$B$12</definedName>
    <definedName function="false" hidden="false" name="AMFee" vbProcedure="false">Inputs!$B$38</definedName>
    <definedName function="false" hidden="false" name="AMPct" vbProcedure="false">Inputs!$B$37</definedName>
    <definedName function="false" hidden="false" name="AMTotal" vbProcedure="false">Inputs!$B$40</definedName>
    <definedName function="false" hidden="false" name="Area" vbProcedure="false">Inputs!$B$7</definedName>
    <definedName function="false" hidden="false" name="AreaTot" vbProcedure="false">'Rent roll'!$B$18</definedName>
    <definedName function="false" hidden="false" name="ArrFee" vbProcedure="false">Inputs!$B$32</definedName>
    <definedName function="false" hidden="false" name="ArrPct" vbProcedure="false">Inputs!$B$31</definedName>
    <definedName function="false" hidden="false" name="Baseline" vbProcedure="false">Orders!$C$7</definedName>
    <definedName function="false" hidden="false" name="CapexAmt" vbProcedure="false">Inputs!$C$49:$C$51</definedName>
    <definedName function="false" hidden="false" name="CapexTot" vbProcedure="false">Inputs!$B$11</definedName>
    <definedName function="false" hidden="false" name="CapexYr" vbProcedure="false">Inputs!$B$49:$B$51</definedName>
    <definedName function="false" hidden="false" name="CatchUp" vbProcedure="false">Inputs!$B$43</definedName>
    <definedName function="false" hidden="false" name="Debt" vbProcedure="false">Inputs!$B$28</definedName>
    <definedName function="false" hidden="false" name="DebtRate" vbProcedure="false">Inputs!$B$29</definedName>
    <definedName function="false" hidden="false" name="DriverHead" vbProcedure="false">Orders!$F$13:$I$13</definedName>
    <definedName function="false" hidden="false" name="EqFlows" vbProcedure="false">'Cash flows'!$B$28:$L$28</definedName>
    <definedName function="false" hidden="false" name="Equity0" vbProcedure="false">Inputs!$B$33</definedName>
    <definedName function="false" hidden="false" name="ErvTot" vbProcedure="false">'Rent roll'!$D$18</definedName>
    <definedName function="false" hidden="false" name="ExitNOI" vbProcedure="false">'Cash flows'!$B$7</definedName>
    <definedName function="false" hidden="false" name="ExitYld" vbProcedure="false">Inputs!$B$21</definedName>
    <definedName function="false" hidden="false" name="GearAlt" vbProcedure="false">Inputs!$B$44</definedName>
    <definedName function="false" hidden="false" name="Gearing" vbProcedure="false">Inputs!$B$27</definedName>
    <definedName function="false" hidden="false" name="GrossExit" vbProcedure="false">'Cash flows'!$B$9</definedName>
    <definedName function="false" hidden="false" name="Growth" vbProcedure="false">Inputs!$B$16</definedName>
    <definedName function="false" hidden="false" name="Hold" vbProcedure="false">Inputs!$B$39</definedName>
    <definedName function="false" hidden="false" name="Interest" vbProcedure="false">Inputs!$B$30</definedName>
    <definedName function="false" hidden="false" name="LetFee" vbProcedure="false">Inputs!$B$18</definedName>
    <definedName function="false" hidden="false" name="LetFrac" vbProcedure="false">Inputs!$B$23</definedName>
    <definedName function="false" hidden="false" name="MgmtFee" vbProcedure="false">Inputs!$B$20</definedName>
    <definedName function="false" hidden="false" name="NetExit" vbProcedure="false">'Cash flows'!$B$11</definedName>
    <definedName function="false" hidden="false" name="NonRec" vbProcedure="false">Inputs!$B$19</definedName>
    <definedName function="false" hidden="false" name="OrderNo" vbProcedure="false">Orders!$A$14:$A$37</definedName>
    <definedName function="false" hidden="false" name="PassRent" vbProcedure="false">'Rent roll'!$C$18</definedName>
    <definedName function="false" hidden="false" name="Pref" vbProcedure="false">Inputs!$B$41</definedName>
    <definedName function="false" hidden="false" name="Price" vbProcedure="false">Inputs!$B$8</definedName>
    <definedName function="false" hidden="false" name="Promote" vbProcedure="false">Inputs!$B$42</definedName>
    <definedName function="false" hidden="false" name="PropFlows" vbProcedure="false">'Cash flows'!$B$24:$L$24</definedName>
    <definedName function="false" hidden="false" name="RunIRR" vbProcedure="false">'Sixteen runs'!$R$91:$R$106</definedName>
    <definedName function="false" hidden="false" name="SaleCost" vbProcedure="false">Inputs!$B$22</definedName>
    <definedName function="false" hidden="false" name="StabNOI" vbProcedure="false">'Rent roll'!$C$25</definedName>
    <definedName function="false" hidden="false" name="Steps" vbProcedure="false">Orders!$F$14:$I$37</definedName>
    <definedName function="false" hidden="false" name="TotCost" vbProcedure="false">Inputs!$B$10</definedName>
    <definedName function="false" hidden="false" name="VoidMth" vbProcedure="false">Inputs!$B$17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<sst xmlns="http://schemas.openxmlformats.org/spreadsheetml/2006/main" count="522" uniqueCount="304">
  <si>
    <t xml:space="preserve">Commercial Real Estate Investing - Attribution</t>
  </si>
  <si>
    <t xml:space="preserve">Companion workbook 3, by Julian R. Sterling</t>
  </si>
  <si>
    <t xml:space="preserve">What this workbook does</t>
  </si>
  <si>
    <t xml:space="preserve">It takes the equity return apart four ways, twenty-four times. The two ladders printed in the book are read out of the table of orders by formula; the minima, maxima, ranges and averages are computed over it; and the arrival is the IRR worksheet function over the equity flows, which is the same number whichever order you use.</t>
  </si>
  <si>
    <t xml:space="preserve">Nothing is carried</t>
  </si>
  <si>
    <t xml:space="preserve">The first edition carried the twenty-four times four steps as typed figures, on the view that no spreadsheet could rebuild them. It can: there are only sixteen distinct versions of the deal, and the Sixteen runs sheet builds all of them, each with its own income account, flows and IRR. Every step on the Orders sheet is now a live difference between two of those runs. Change any input and the whole attribution moves.</t>
  </si>
  <si>
    <t xml:space="preserve">The first experiment to run</t>
  </si>
  <si>
    <t xml:space="preserve">On the Ladders sheet, change the row of the Orders table being read from 1 to any number between 1 and 24. The four steps change, the labels change with them, and the arrival does not move. That is the finding: the total is a fact, the split is a choice.</t>
  </si>
  <si>
    <t xml:space="preserve">The second</t>
  </si>
  <si>
    <t xml:space="preserve">Read the leverage row on the Orders sheet: minus 1.1977 points at worst, plus 1.8441 at best, a swing of 3.0419 points on the same deal, produced by nothing but the order of the columns in a slide. Then read the average column, which sums to exactly the 5.1986 points there are to explain. Only the average is order-independent.</t>
  </si>
  <si>
    <t xml:space="preserve">On the checks</t>
  </si>
  <si>
    <t xml:space="preserve">The Checks sheet reproduces by formula each figure printed in the book. Column C is typed from the page; column D is computed here. If a check says FAIL, the workbook is wrong, not the book.</t>
  </si>
  <si>
    <t xml:space="preserve">Inputs, and what is derived from them</t>
  </si>
  <si>
    <t xml:space="preserve">Blue figures on a yellow ground are inputs. Everything else, on every sheet, is a live formula.</t>
  </si>
  <si>
    <t xml:space="preserve">The asset and the purchase</t>
  </si>
  <si>
    <t xml:space="preserve">Lettable area, square metres</t>
  </si>
  <si>
    <t xml:space="preserve">Purchase price</t>
  </si>
  <si>
    <t xml:space="preserve">Acquisition costs, share of the price</t>
  </si>
  <si>
    <t xml:space="preserve">Total cost = price x (1 + acquisition costs)</t>
  </si>
  <si>
    <t xml:space="preserve">the price of revenue, not the headline price</t>
  </si>
  <si>
    <t xml:space="preserve">Capital programme, the three years below</t>
  </si>
  <si>
    <t xml:space="preserve">All-in capital = total cost + capital programme</t>
  </si>
  <si>
    <t xml:space="preserve">the capital an exit yield has to be compared against</t>
  </si>
  <si>
    <t xml:space="preserve">The seven market assumptions, and there are no others</t>
  </si>
  <si>
    <t xml:space="preserve">Rental value growth, a year</t>
  </si>
  <si>
    <t xml:space="preserve">Void between two leases, months</t>
  </si>
  <si>
    <t xml:space="preserve">applied without exception, including the two units empty at acquisition</t>
  </si>
  <si>
    <t xml:space="preserve">Letting fee, share of the new annual rent</t>
  </si>
  <si>
    <t xml:space="preserve">charged in the year the letting completes</t>
  </si>
  <si>
    <t xml:space="preserve">Non-recoverable costs, share of passing rent</t>
  </si>
  <si>
    <t xml:space="preserve">Management fee, share of passing rent</t>
  </si>
  <si>
    <t xml:space="preserve">Exit yield, central case</t>
  </si>
  <si>
    <t xml:space="preserve">Cost of sale, share of the gross price</t>
  </si>
  <si>
    <t xml:space="preserve">Share of a year collected after a void = (12 - void) / 12</t>
  </si>
  <si>
    <t xml:space="preserve">three twelfths: the year after an expiry collects a quarter of the new rent</t>
  </si>
  <si>
    <t xml:space="preserve">The debt</t>
  </si>
  <si>
    <t xml:space="preserve">Loan to value, on the PRICE and not on the cost</t>
  </si>
  <si>
    <t xml:space="preserve">Debt = price x loan to value</t>
  </si>
  <si>
    <t xml:space="preserve">Fixed rate, interest only, repaid at exit</t>
  </si>
  <si>
    <t xml:space="preserve">Interest each year = debt x rate</t>
  </si>
  <si>
    <t xml:space="preserve">Arrangement fee, share of the debt</t>
  </si>
  <si>
    <t xml:space="preserve">Arrangement fee = debt x share</t>
  </si>
  <si>
    <t xml:space="preserve">Equity at completion = total cost + arrangement fee - debt</t>
  </si>
  <si>
    <t xml:space="preserve">The manager</t>
  </si>
  <si>
    <t xml:space="preserve">Asset management fee, share of total cost, a year</t>
  </si>
  <si>
    <t xml:space="preserve">Asset management fee each year = total cost x share</t>
  </si>
  <si>
    <t xml:space="preserve">Hold period, years</t>
  </si>
  <si>
    <t xml:space="preserve">Asset management fees over the hold</t>
  </si>
  <si>
    <t xml:space="preserve">Preferred return, on unreturned capital</t>
  </si>
  <si>
    <t xml:space="preserve">Promote, above the preferred return</t>
  </si>
  <si>
    <t xml:space="preserve">Catch-up multiple = promote / (1 - promote)</t>
  </si>
  <si>
    <t xml:space="preserve">the manager's share of the preferred return once the catch-up is complete</t>
  </si>
  <si>
    <t xml:space="preserve">Second gearing, for the convention test</t>
  </si>
  <si>
    <t xml:space="preserve">the 35 per cent case of chapter 13</t>
  </si>
  <si>
    <t xml:space="preserve">The capital programme</t>
  </si>
  <si>
    <t xml:space="preserve">Year</t>
  </si>
  <si>
    <t xml:space="preserve">What it pays for</t>
  </si>
  <si>
    <t xml:space="preserve">Phase 1</t>
  </si>
  <si>
    <t xml:space="preserve">Refurbishment of Units 9 and 12</t>
  </si>
  <si>
    <t xml:space="preserve">Phase 2</t>
  </si>
  <si>
    <t xml:space="preserve">Estate roof and service yard</t>
  </si>
  <si>
    <t xml:space="preserve">Phase 3</t>
  </si>
  <si>
    <t xml:space="preserve">Second phase of the refurbishment</t>
  </si>
  <si>
    <t xml:space="preserve">Total</t>
  </si>
  <si>
    <t xml:space="preserve">The rent roll at acquisition</t>
  </si>
  <si>
    <t xml:space="preserve">Ten units. The re-let rent is derived from the rule, not typed.</t>
  </si>
  <si>
    <t xml:space="preserve">A lease expiring at the end of year e is re-let at the greater of the passing rent and the unit's rental value indexed to year e. A unit empty at acquisition is let in year one at its rental value indexed one year. Change an expiry year or a rental value and every line on every sheet moves.</t>
  </si>
  <si>
    <t xml:space="preserve">Unit</t>
  </si>
  <si>
    <t xml:space="preserve">Area (m2)</t>
  </si>
  <si>
    <t xml:space="preserve">Passing rent</t>
  </si>
  <si>
    <t xml:space="preserve">Rental value</t>
  </si>
  <si>
    <t xml:space="preserve">Lease expires end of year</t>
  </si>
  <si>
    <t xml:space="preserve">Re-let in year</t>
  </si>
  <si>
    <t xml:space="preserve">Re-let rent</t>
  </si>
  <si>
    <t xml:space="preserve">Letting fee</t>
  </si>
  <si>
    <t xml:space="preserve">Ardgour Logistics</t>
  </si>
  <si>
    <t xml:space="preserve">Kilmory Print</t>
  </si>
  <si>
    <t xml:space="preserve">Tannoch Foods</t>
  </si>
  <si>
    <t xml:space="preserve">Struan Instruments</t>
  </si>
  <si>
    <t xml:space="preserve">Balvaig Textiles</t>
  </si>
  <si>
    <t xml:space="preserve">Corrour Systems</t>
  </si>
  <si>
    <t xml:space="preserve">Dunardry Media</t>
  </si>
  <si>
    <t xml:space="preserve">Eilanreach Labs</t>
  </si>
  <si>
    <t xml:space="preserve">Unit 9 (empty at acquisition)</t>
  </si>
  <si>
    <t xml:space="preserve">Unit 12 (empty at acquisition)</t>
  </si>
  <si>
    <t xml:space="preserve">TOTAL</t>
  </si>
  <si>
    <t xml:space="preserve">What the roll says before a single formula is run</t>
  </si>
  <si>
    <t xml:space="preserve">Vacant area, share of the estate</t>
  </si>
  <si>
    <t xml:space="preserve">two units, 2,920 square metres</t>
  </si>
  <si>
    <t xml:space="preserve">Vacant rental value, share of the estate</t>
  </si>
  <si>
    <t xml:space="preserve">Reversion, rental value over passing rent</t>
  </si>
  <si>
    <t xml:space="preserve">Stabilised net income = rental value net of costs and management</t>
  </si>
  <si>
    <t xml:space="preserve">the only income an exit yield can be compared with</t>
  </si>
  <si>
    <t xml:space="preserve">The income account, eleven years</t>
  </si>
  <si>
    <t xml:space="preserve">Built from the rent roll and the void convention. Nothing on this sheet is typed.</t>
  </si>
  <si>
    <t xml:space="preserve">A lease expiring at the end of year e pays its old rent to year e, three twelfths of the new rent in year e+1, and the whole of the new rent after that. Year eleven is here because the sale is priced on it.</t>
  </si>
  <si>
    <t xml:space="preserve">What each unit pays, year by year</t>
  </si>
  <si>
    <t xml:space="preserve">Total rent</t>
  </si>
  <si>
    <t xml:space="preserve">The letting fees, unit by unit</t>
  </si>
  <si>
    <t xml:space="preserve">Total letting fees</t>
  </si>
  <si>
    <t xml:space="preserve">Letting fees over the eleven years</t>
  </si>
  <si>
    <t xml:space="preserve">The income account</t>
  </si>
  <si>
    <t xml:space="preserve">Rent received</t>
  </si>
  <si>
    <t xml:space="preserve">Non-recoverable costs</t>
  </si>
  <si>
    <t xml:space="preserve">Management</t>
  </si>
  <si>
    <t xml:space="preserve">Net operating income</t>
  </si>
  <si>
    <t xml:space="preserve">Letting fees</t>
  </si>
  <si>
    <t xml:space="preserve">Capital expenditure</t>
  </si>
  <si>
    <t xml:space="preserve">Net income from the estate</t>
  </si>
  <si>
    <t xml:space="preserve">The rent line falls in years three, four, six, eight and ten. Those are the years after an expiry, and the fall is the nine-month void, not a fall in rents.</t>
  </si>
  <si>
    <t xml:space="preserve">The sale, the flows and the returns</t>
  </si>
  <si>
    <t xml:space="preserve">The estate is sold on the net operating income of year eleven.</t>
  </si>
  <si>
    <t xml:space="preserve">The sale</t>
  </si>
  <si>
    <t xml:space="preserve">Net operating income of year eleven</t>
  </si>
  <si>
    <t xml:space="preserve">Exit yield</t>
  </si>
  <si>
    <t xml:space="preserve">Gross value on year eleven</t>
  </si>
  <si>
    <t xml:space="preserve">Cost of sale</t>
  </si>
  <si>
    <t xml:space="preserve">Net proceeds of the sale</t>
  </si>
  <si>
    <t xml:space="preserve">Net operating income of year ten</t>
  </si>
  <si>
    <t xml:space="preserve">the year of a re-letting, and therefore of a void</t>
  </si>
  <si>
    <t xml:space="preserve">Gross value if the sale were priced on year ten</t>
  </si>
  <si>
    <t xml:space="preserve">What pricing on year ten would cost</t>
  </si>
  <si>
    <t xml:space="preserve">The flows</t>
  </si>
  <si>
    <t xml:space="preserve">Acquisition, at total cost</t>
  </si>
  <si>
    <t xml:space="preserve">Asset management fee</t>
  </si>
  <si>
    <t xml:space="preserve">Property cash flow</t>
  </si>
  <si>
    <t xml:space="preserve">Arrangement fee</t>
  </si>
  <si>
    <t xml:space="preserve">Debt drawn and repaid</t>
  </si>
  <si>
    <t xml:space="preserve">Interest</t>
  </si>
  <si>
    <t xml:space="preserve">Equity cash flow</t>
  </si>
  <si>
    <t xml:space="preserve">What the flows earn</t>
  </si>
  <si>
    <t xml:space="preserve">Property return, unlevered</t>
  </si>
  <si>
    <t xml:space="preserve">the IRR worksheet function, over the property flows above</t>
  </si>
  <si>
    <t xml:space="preserve">Equity return, levered</t>
  </si>
  <si>
    <t xml:space="preserve">Equity multiple</t>
  </si>
  <si>
    <t xml:space="preserve">Equity profit</t>
  </si>
  <si>
    <t xml:space="preserve">Equity called in total, completion and later</t>
  </si>
  <si>
    <t xml:space="preserve">13,834,920 at completion and 1,108,947 at the end of year one</t>
  </si>
  <si>
    <t xml:space="preserve">Sixteen runs</t>
  </si>
  <si>
    <t xml:space="preserve">Four drivers, on or off: sixteen complete versions of the deal, each with its own income account, flows and IRR.</t>
  </si>
  <si>
    <t xml:space="preserve">Every step on the Orders sheet is the difference between two of these runs. Nothing here is typed: change any input and all sixteen recompute.</t>
  </si>
  <si>
    <t xml:space="preserve">The re-let rent of each unit, with growth off and on</t>
  </si>
  <si>
    <t xml:space="preserve">Growth off</t>
  </si>
  <si>
    <t xml:space="preserve">Growth on</t>
  </si>
  <si>
    <t xml:space="preserve">Income account 1: growth off, business plan off</t>
  </si>
  <si>
    <t xml:space="preserve">Rent</t>
  </si>
  <si>
    <t xml:space="preserve">Net income</t>
  </si>
  <si>
    <t xml:space="preserve">Income account 2: growth off, business plan on</t>
  </si>
  <si>
    <t xml:space="preserve">Income account 3: growth on, business plan off</t>
  </si>
  <si>
    <t xml:space="preserve">Income account 4: growth on, business plan on</t>
  </si>
  <si>
    <t xml:space="preserve">The sixteen runs</t>
  </si>
  <si>
    <t xml:space="preserve">Run number = 1 + 8 x growth + 4 x plan + 2 x yield + leverage. Run 1 is the do-nothing estate; run 16 is the deal as modelled.</t>
  </si>
  <si>
    <t xml:space="preserve">Run</t>
  </si>
  <si>
    <t xml:space="preserve">Growth</t>
  </si>
  <si>
    <t xml:space="preserve">Plan</t>
  </si>
  <si>
    <t xml:space="preserve">Yield</t>
  </si>
  <si>
    <t xml:space="preserve">Leverage</t>
  </si>
  <si>
    <t xml:space="preserve">Loan</t>
  </si>
  <si>
    <t xml:space="preserve">Year 0</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</si>
  <si>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</si>
  <si>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</si>
  <si>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</si>
  <si>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</si>
  <si>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</si>
  <si>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</si>
  <si>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</si>
  <si>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</si>
  <si>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</si>
  <si>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t>
  </si>
  <si>
    <t xml:space="preserve">Equity return</t>
  </si>
  <si>
    <t xml:space="preserve">Property return with every driver on, leverage off (run 15)</t>
  </si>
  <si>
    <t xml:space="preserve">The twenty-four orders</t>
  </si>
  <si>
    <t xml:space="preserve">Four drivers, switched on one at a time. There are twenty-four ways to do it and they do not agree.</t>
  </si>
  <si>
    <t xml:space="preserve">COMPUTED. Each step is the difference between two of the sixteen complete runs on the Sixteen runs sheet, read by INDEX. Columns M to P give the position of each driver in the order.</t>
  </si>
  <si>
    <t xml:space="preserve">Starting point, every driver switched off</t>
  </si>
  <si>
    <t xml:space="preserve">computed: run 1 of the Sixteen runs sheet, the deal with no growth, no plan, no yield movement and no debt</t>
  </si>
  <si>
    <t xml:space="preserve">Arrival, every driver switched on</t>
  </si>
  <si>
    <t xml:space="preserve">computed here, by the IRR worksheet function over the equity flows</t>
  </si>
  <si>
    <t xml:space="preserve">Points there are to explain</t>
  </si>
  <si>
    <t xml:space="preserve">The twenty-four orders, each step in points of equity return</t>
  </si>
  <si>
    <t xml:space="preserve">No.</t>
  </si>
  <si>
    <t xml:space="preserve">First</t>
  </si>
  <si>
    <t xml:space="preserve">Second</t>
  </si>
  <si>
    <t xml:space="preserve">Third</t>
  </si>
  <si>
    <t xml:space="preserve">Fourth</t>
  </si>
  <si>
    <t xml:space="preserve">Rental growth</t>
  </si>
  <si>
    <t xml:space="preserve">Business plan</t>
  </si>
  <si>
    <t xml:space="preserve">Sum of the steps</t>
  </si>
  <si>
    <t xml:space="preserve">Arrival</t>
  </si>
  <si>
    <t xml:space="preserve">Pos. growth</t>
  </si>
  <si>
    <t xml:space="preserve">Pos. plan</t>
  </si>
  <si>
    <t xml:space="preserve">Pos. yield</t>
  </si>
  <si>
    <t xml:space="preserve">Pos. leverage</t>
  </si>
  <si>
    <t xml:space="preserve">The arrival column is the same number on all twenty-four rows. The columns that add up to it are not.</t>
  </si>
  <si>
    <t xml:space="preserve">Each driver, across all twenty-four orders</t>
  </si>
  <si>
    <t xml:space="preserve">Driver</t>
  </si>
  <si>
    <t xml:space="preserve">Minimum</t>
  </si>
  <si>
    <t xml:space="preserve">Maximum</t>
  </si>
  <si>
    <t xml:space="preserve">Range</t>
  </si>
  <si>
    <t xml:space="preserve">Average of the 24</t>
  </si>
  <si>
    <t xml:space="preserve">Sum of the four averages</t>
  </si>
  <si>
    <t xml:space="preserve">order-independent, and the only attribution that is</t>
  </si>
  <si>
    <t xml:space="preserve">Difference</t>
  </si>
  <si>
    <t xml:space="preserve">The two ladders</t>
  </si>
  <si>
    <t xml:space="preserve">The same deal, the same four drivers, two orders of switching them on.</t>
  </si>
  <si>
    <t xml:space="preserve">Every step below is read out of the Orders table by INDEX and MATCH. Nothing on this sheet is typed except the number of the order being read.</t>
  </si>
  <si>
    <t xml:space="preserve">Order A: growth, then the business plan, then the yield, then leverage</t>
  </si>
  <si>
    <t xml:space="preserve">Row of the Orders table being read</t>
  </si>
  <si>
    <t xml:space="preserve">Order B: leverage, then the yield, then the business plan, then growth</t>
  </si>
  <si>
    <t xml:space="preserve">What the two ladders disagree about</t>
  </si>
  <si>
    <t xml:space="preserve">Leverage is worth plus 1.8441 points in order A and minus 1.1977 in order B. Nothing about the deal changed between the two columns; only the order of the slide did.</t>
  </si>
  <si>
    <t xml:space="preserve">Hold period</t>
  </si>
  <si>
    <t xml:space="preserve">Chapters 12 and 16. The deal sold after three to fifteen years, each sale priced on the year after the hold.</t>
  </si>
  <si>
    <t xml:space="preserve">The income account runs to year sixteen by the same re-letting rule. A re-let lease is assumed to run to the end of the model.</t>
  </si>
  <si>
    <t xml:space="preserve">The equity flows of each hold</t>
  </si>
  <si>
    <t xml:space="preserve">Hold, years</t>
  </si>
  <si>
    <t xml:space="preserve">Year 11</t>
  </si>
  <si>
    <t xml:space="preserve">Year 12</t>
  </si>
  <si>
    <t xml:space="preserve">Year 13</t>
  </si>
  <si>
    <t xml:space="preserve">Year 14</t>
  </si>
  <si>
    <t xml:space="preserve">Year 15</t>
  </si>
  <si>
    <t xml:space="preserve">The table</t>
  </si>
  <si>
    <t xml:space="preserve">Multiple</t>
  </si>
  <si>
    <t xml:space="preserve">Priced on year</t>
  </si>
  <si>
    <t xml:space="preserve">Net operating income of that year</t>
  </si>
  <si>
    <t xml:space="preserve">Letting fee in that year</t>
  </si>
  <si>
    <t xml:space="preserve">Asset management fees earned</t>
  </si>
  <si>
    <t xml:space="preserve">Best hold in the table, years</t>
  </si>
  <si>
    <t xml:space="preserve">Holding from six to seven years costs, net sale proceeds</t>
  </si>
  <si>
    <t xml:space="preserve">The same, in points of equity return</t>
  </si>
  <si>
    <t xml:space="preserve">The sale is priced on the net operating income of the year after the hold, before that year's letting fee: a one-off payment is never capitalised.</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</si>
  <si>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</si>
  <si>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</si>
  <si>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</si>
  <si>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</si>
  <si>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</si>
  <si>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</si>
  <si>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</si>
  <si>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Result</t>
  </si>
  <si>
    <t xml:space="preserve">6</t>
  </si>
  <si>
    <t xml:space="preserve">8</t>
  </si>
  <si>
    <t xml:space="preserve">Ladder A, rental growth</t>
  </si>
  <si>
    <t xml:space="preserve">Ladder A, business plan</t>
  </si>
  <si>
    <t xml:space="preserve">Ladder A, exit yield</t>
  </si>
  <si>
    <t xml:space="preserve">Ladder A, leverage</t>
  </si>
  <si>
    <t xml:space="preserve">Ladder A, arrival</t>
  </si>
  <si>
    <t xml:space="preserve">Ladder B, leverage</t>
  </si>
  <si>
    <t xml:space="preserve">Ladder B, exit yield</t>
  </si>
  <si>
    <t xml:space="preserve">Ladder B, business plan</t>
  </si>
  <si>
    <t xml:space="preserve">Ladder B, rental growth</t>
  </si>
  <si>
    <t xml:space="preserve">Ladder B, arrival</t>
  </si>
  <si>
    <t xml:space="preserve">Rental growth, minimum across the 24</t>
  </si>
  <si>
    <t xml:space="preserve">Rental growth, maximum across the 24</t>
  </si>
  <si>
    <t xml:space="preserve">Rental growth, range</t>
  </si>
  <si>
    <t xml:space="preserve">Business plan, minimum across the 24</t>
  </si>
  <si>
    <t xml:space="preserve">Business plan, maximum across the 24</t>
  </si>
  <si>
    <t xml:space="preserve">Business plan, range</t>
  </si>
  <si>
    <t xml:space="preserve">Exit yield, minimum across the 24</t>
  </si>
  <si>
    <t xml:space="preserve">Exit yield, maximum across the 24</t>
  </si>
  <si>
    <t xml:space="preserve">Exit yield, range</t>
  </si>
  <si>
    <t xml:space="preserve">11</t>
  </si>
  <si>
    <t xml:space="preserve">Leverage, minimum across the 24</t>
  </si>
  <si>
    <t xml:space="preserve">Leverage, maximum across the 24</t>
  </si>
  <si>
    <t xml:space="preserve">Leverage, range, the swing on the same deal</t>
  </si>
  <si>
    <t xml:space="preserve">Average of the 24, rental growth</t>
  </si>
  <si>
    <t xml:space="preserve">Average of the 24, business plan</t>
  </si>
  <si>
    <t xml:space="preserve">Average of the 24, exit yield</t>
  </si>
  <si>
    <t xml:space="preserve">Average of the 24, leverage</t>
  </si>
  <si>
    <t xml:space="preserve">The four averages, added up</t>
  </si>
  <si>
    <t xml:space="preserve">Arrival of order 1</t>
  </si>
  <si>
    <t xml:space="preserve">Arrival of order 24</t>
  </si>
  <si>
    <t xml:space="preserve">Order 12, exit yield step</t>
  </si>
  <si>
    <t xml:space="preserve">Order 17, rental growth step</t>
  </si>
  <si>
    <t xml:space="preserve">Order 21, business plan step</t>
  </si>
  <si>
    <t xml:space="preserve">9</t>
  </si>
  <si>
    <t xml:space="preserve">Equity return, business plan off</t>
  </si>
  <si>
    <t xml:space="preserve">Property return, business plan off</t>
  </si>
  <si>
    <t xml:space="preserve">10</t>
  </si>
  <si>
    <t xml:space="preserve">Equity return, growth off</t>
  </si>
  <si>
    <t xml:space="preserve">Property return, growth off</t>
  </si>
  <si>
    <t xml:space="preserve">14</t>
  </si>
  <si>
    <t xml:space="preserve">Equity return, sold at the like-for-like entry yield</t>
  </si>
  <si>
    <t xml:space="preserve">7</t>
  </si>
  <si>
    <t xml:space="preserve">Property return, sold at the like-for-like entry yield</t>
  </si>
  <si>
    <t xml:space="preserve">Run 16 equals the equity return of the Cash flows sheet</t>
  </si>
  <si>
    <t xml:space="preserve">Sum of the four steps when each goes on first (the book adds four rounded steps)</t>
  </si>
  <si>
    <t xml:space="preserve">Sum of the four steps when each goes on last</t>
  </si>
  <si>
    <t xml:space="preserve">12</t>
  </si>
  <si>
    <t xml:space="preserve">Equity return, three-year hold</t>
  </si>
  <si>
    <t xml:space="preserve">Equity multiple, three-year hold</t>
  </si>
  <si>
    <t xml:space="preserve">Equity return, six-year hold</t>
  </si>
  <si>
    <t xml:space="preserve">Equity return, seven-year hold</t>
  </si>
  <si>
    <t xml:space="preserve">Equity return, eight-year hold</t>
  </si>
  <si>
    <t xml:space="preserve">Equity return, ten-year hold</t>
  </si>
  <si>
    <t xml:space="preserve">Equity return, eleven-year hold</t>
  </si>
  <si>
    <t xml:space="preserve">Equity return, twelve-year hold</t>
  </si>
  <si>
    <t xml:space="preserve">Equity return, fifteen-year hold</t>
  </si>
  <si>
    <t xml:space="preserve">Equity multiple, fifteen-year hold</t>
  </si>
  <si>
    <t xml:space="preserve">Equity profit, fifteen-year hold</t>
  </si>
  <si>
    <t xml:space="preserve">Net operating income the seven-year sale is priced on (first edition: 1,816,235, after the fee)</t>
  </si>
  <si>
    <t xml:space="preserve">Holding from six to seven costs, net proceeds (first edition: 6,025,963)</t>
  </si>
  <si>
    <t xml:space="preserve">Checks that pass</t>
  </si>
  <si>
    <t xml:space="preserve">Checks that fail</t>
  </si>
  <si>
    <t xml:space="preserve">All checks</t>
  </si>
</sst>
</file>

<file path=xl/styles.xml><?xml version="1.0" encoding="utf-8"?>
<styleSheet xmlns="http://schemas.openxmlformats.org/spreadsheetml/2006/main">
  <numFmts count="13">
    <numFmt numFmtId="164" formatCode="General"/>
    <numFmt numFmtId="165" formatCode="#,##0"/>
    <numFmt numFmtId="166" formatCode="#,##0;\-#,##0"/>
    <numFmt numFmtId="167" formatCode="0.00%;\-0.00%"/>
    <numFmt numFmtId="168" formatCode="0"/>
    <numFmt numFmtId="169" formatCode="0.0%;\-0.0%"/>
    <numFmt numFmtId="170" formatCode="0.0000"/>
    <numFmt numFmtId="171" formatCode="#,##0.00;\-#,##0.00"/>
    <numFmt numFmtId="172" formatCode="0.0000%;\-0.0000%"/>
    <numFmt numFmtId="173" formatCode="0.00\x"/>
    <numFmt numFmtId="174" formatCode="#,##0.00"/>
    <numFmt numFmtId="175" formatCode="0.00000000"/>
    <numFmt numFmtId="176" formatCode="@"/>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b val="true"/>
      <sz val="10"/>
      <color rgb="FFFFFFFF"/>
      <name val="Calibri"/>
      <family val="0"/>
      <charset val="1"/>
    </font>
    <font>
      <i val="true"/>
      <sz val="9"/>
      <color rgb="FF5A6A70"/>
      <name val="Calibri"/>
      <family val="0"/>
      <charset val="1"/>
    </font>
    <font>
      <sz val="10"/>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4" fontId="10" fillId="3" borderId="2" xfId="0" applyFont="true" applyBorder="true" applyAlignment="true" applyProtection="false">
      <alignment horizontal="right"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left" vertical="center" textRotation="0" wrapText="true" indent="0" shrinkToFit="false"/>
      <protection locked="true" hidden="false"/>
    </xf>
    <xf numFmtId="164" fontId="10" fillId="3" borderId="0" xfId="0" applyFont="true" applyBorder="false" applyAlignment="true" applyProtection="false">
      <alignment horizontal="right" vertical="center" textRotation="0" wrapText="tru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right" vertical="bottom" textRotation="0" wrapText="false" indent="0" shrinkToFit="false"/>
      <protection locked="true" hidden="false"/>
    </xf>
    <xf numFmtId="172" fontId="7" fillId="0" borderId="3" xfId="0" applyFont="true" applyBorder="tru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0" fontId="7" fillId="0" borderId="3" xfId="0" applyFont="true" applyBorder="tru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9"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6" fontId="9"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6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60"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3" min="3" style="0" width="3"/>
    <col collapsed="false" customWidth="true" hidden="false" outlineLevel="0" max="4" min="4" style="0" width="62"/>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row>
    <row r="5" customFormat="false" ht="15" hidden="false" customHeight="false" outlineLevel="0" collapsed="false">
      <c r="A5" s="4" t="s">
        <v>14</v>
      </c>
      <c r="B5" s="6"/>
      <c r="C5" s="6"/>
      <c r="D5" s="6"/>
    </row>
    <row r="7" customFormat="false" ht="15" hidden="false" customHeight="false" outlineLevel="0" collapsed="false">
      <c r="A7" s="7" t="s">
        <v>15</v>
      </c>
      <c r="B7" s="8" t="n">
        <v>14200</v>
      </c>
    </row>
    <row r="8" customFormat="false" ht="15" hidden="false" customHeight="false" outlineLevel="0" collapsed="false">
      <c r="A8" s="7" t="s">
        <v>16</v>
      </c>
      <c r="B8" s="9" t="n">
        <v>26400000</v>
      </c>
    </row>
    <row r="9" customFormat="false" ht="15" hidden="false" customHeight="false" outlineLevel="0" collapsed="false">
      <c r="A9" s="7" t="s">
        <v>17</v>
      </c>
      <c r="B9" s="10" t="n">
        <v>0.068</v>
      </c>
    </row>
    <row r="10" customFormat="false" ht="15" hidden="false" customHeight="false" outlineLevel="0" collapsed="false">
      <c r="A10" s="11" t="s">
        <v>18</v>
      </c>
      <c r="B10" s="12" t="n">
        <f aca="false">Price*(1+AcqPct)</f>
        <v>28195200</v>
      </c>
      <c r="D10" s="7" t="s">
        <v>19</v>
      </c>
    </row>
    <row r="11" customFormat="false" ht="15" hidden="false" customHeight="false" outlineLevel="0" collapsed="false">
      <c r="A11" s="11" t="s">
        <v>20</v>
      </c>
      <c r="B11" s="12" t="n">
        <f aca="false">SUM(CapexAmt)</f>
        <v>3400000</v>
      </c>
    </row>
    <row r="12" customFormat="false" ht="15" hidden="false" customHeight="false" outlineLevel="0" collapsed="false">
      <c r="A12" s="11" t="s">
        <v>21</v>
      </c>
      <c r="B12" s="12" t="n">
        <f aca="false">TotCost+CapexTot</f>
        <v>31595200</v>
      </c>
      <c r="D12" s="7" t="s">
        <v>22</v>
      </c>
    </row>
    <row r="14" customFormat="false" ht="15" hidden="false" customHeight="false" outlineLevel="0" collapsed="false">
      <c r="A14" s="4" t="s">
        <v>23</v>
      </c>
      <c r="B14" s="6"/>
      <c r="C14" s="6"/>
      <c r="D14" s="6"/>
    </row>
    <row r="16" customFormat="false" ht="15" hidden="false" customHeight="false" outlineLevel="0" collapsed="false">
      <c r="A16" s="7" t="s">
        <v>24</v>
      </c>
      <c r="B16" s="10" t="n">
        <v>0.0225</v>
      </c>
    </row>
    <row r="17" customFormat="false" ht="15" hidden="false" customHeight="false" outlineLevel="0" collapsed="false">
      <c r="A17" s="7" t="s">
        <v>25</v>
      </c>
      <c r="B17" s="13" t="n">
        <v>9</v>
      </c>
      <c r="D17" s="7" t="s">
        <v>26</v>
      </c>
    </row>
    <row r="18" customFormat="false" ht="15" hidden="false" customHeight="false" outlineLevel="0" collapsed="false">
      <c r="A18" s="7" t="s">
        <v>27</v>
      </c>
      <c r="B18" s="14" t="n">
        <v>0.15</v>
      </c>
      <c r="D18" s="7" t="s">
        <v>28</v>
      </c>
    </row>
    <row r="19" customFormat="false" ht="15" hidden="false" customHeight="false" outlineLevel="0" collapsed="false">
      <c r="A19" s="7" t="s">
        <v>29</v>
      </c>
      <c r="B19" s="10" t="n">
        <v>0.0165</v>
      </c>
    </row>
    <row r="20" customFormat="false" ht="15" hidden="false" customHeight="false" outlineLevel="0" collapsed="false">
      <c r="A20" s="7" t="s">
        <v>30</v>
      </c>
      <c r="B20" s="10" t="n">
        <v>0.0075</v>
      </c>
    </row>
    <row r="21" customFormat="false" ht="15" hidden="false" customHeight="false" outlineLevel="0" collapsed="false">
      <c r="A21" s="7" t="s">
        <v>31</v>
      </c>
      <c r="B21" s="10" t="n">
        <v>0.0665</v>
      </c>
    </row>
    <row r="22" customFormat="false" ht="15" hidden="false" customHeight="false" outlineLevel="0" collapsed="false">
      <c r="A22" s="7" t="s">
        <v>32</v>
      </c>
      <c r="B22" s="10" t="n">
        <v>0.0125</v>
      </c>
    </row>
    <row r="23" customFormat="false" ht="15" hidden="false" customHeight="false" outlineLevel="0" collapsed="false">
      <c r="A23" s="11" t="s">
        <v>33</v>
      </c>
      <c r="B23" s="15" t="n">
        <f aca="false">(12-VoidMth)/12</f>
        <v>0.25</v>
      </c>
      <c r="D23" s="7" t="s">
        <v>34</v>
      </c>
    </row>
    <row r="25" customFormat="false" ht="15" hidden="false" customHeight="false" outlineLevel="0" collapsed="false">
      <c r="A25" s="4" t="s">
        <v>35</v>
      </c>
      <c r="B25" s="6"/>
      <c r="C25" s="6"/>
      <c r="D25" s="6"/>
    </row>
    <row r="27" customFormat="false" ht="15" hidden="false" customHeight="false" outlineLevel="0" collapsed="false">
      <c r="A27" s="7" t="s">
        <v>36</v>
      </c>
      <c r="B27" s="14" t="n">
        <v>0.55</v>
      </c>
    </row>
    <row r="28" customFormat="false" ht="15" hidden="false" customHeight="false" outlineLevel="0" collapsed="false">
      <c r="A28" s="11" t="s">
        <v>37</v>
      </c>
      <c r="B28" s="12" t="n">
        <f aca="false">Price*Gearing</f>
        <v>14520000</v>
      </c>
    </row>
    <row r="29" customFormat="false" ht="15" hidden="false" customHeight="false" outlineLevel="0" collapsed="false">
      <c r="A29" s="7" t="s">
        <v>38</v>
      </c>
      <c r="B29" s="10" t="n">
        <v>0.0435</v>
      </c>
    </row>
    <row r="30" customFormat="false" ht="15" hidden="false" customHeight="false" outlineLevel="0" collapsed="false">
      <c r="A30" s="11" t="s">
        <v>39</v>
      </c>
      <c r="B30" s="12" t="n">
        <f aca="false">Debt*DebtRate</f>
        <v>631620</v>
      </c>
    </row>
    <row r="31" customFormat="false" ht="15" hidden="false" customHeight="false" outlineLevel="0" collapsed="false">
      <c r="A31" s="7" t="s">
        <v>40</v>
      </c>
      <c r="B31" s="10" t="n">
        <v>0.011</v>
      </c>
    </row>
    <row r="32" customFormat="false" ht="15" hidden="false" customHeight="false" outlineLevel="0" collapsed="false">
      <c r="A32" s="11" t="s">
        <v>41</v>
      </c>
      <c r="B32" s="12" t="n">
        <f aca="false">Debt*ArrPct</f>
        <v>159720</v>
      </c>
    </row>
    <row r="33" customFormat="false" ht="15" hidden="false" customHeight="false" outlineLevel="0" collapsed="false">
      <c r="A33" s="11" t="s">
        <v>42</v>
      </c>
      <c r="B33" s="12" t="n">
        <f aca="false">TotCost+ArrFee-Debt</f>
        <v>13834920</v>
      </c>
    </row>
    <row r="35" customFormat="false" ht="15" hidden="false" customHeight="false" outlineLevel="0" collapsed="false">
      <c r="A35" s="4" t="s">
        <v>43</v>
      </c>
      <c r="B35" s="6"/>
      <c r="C35" s="6"/>
      <c r="D35" s="6"/>
    </row>
    <row r="37" customFormat="false" ht="15" hidden="false" customHeight="false" outlineLevel="0" collapsed="false">
      <c r="A37" s="7" t="s">
        <v>44</v>
      </c>
      <c r="B37" s="10" t="n">
        <v>0.0075</v>
      </c>
    </row>
    <row r="38" customFormat="false" ht="15" hidden="false" customHeight="false" outlineLevel="0" collapsed="false">
      <c r="A38" s="11" t="s">
        <v>45</v>
      </c>
      <c r="B38" s="12" t="n">
        <f aca="false">TotCost*AMPct</f>
        <v>211464</v>
      </c>
    </row>
    <row r="39" customFormat="false" ht="15" hidden="false" customHeight="false" outlineLevel="0" collapsed="false">
      <c r="A39" s="7" t="s">
        <v>46</v>
      </c>
      <c r="B39" s="13" t="n">
        <v>10</v>
      </c>
    </row>
    <row r="40" customFormat="false" ht="15" hidden="false" customHeight="false" outlineLevel="0" collapsed="false">
      <c r="A40" s="11" t="s">
        <v>47</v>
      </c>
      <c r="B40" s="12" t="n">
        <f aca="false">AMFee*Hold</f>
        <v>2114640</v>
      </c>
    </row>
    <row r="41" customFormat="false" ht="15" hidden="false" customHeight="false" outlineLevel="0" collapsed="false">
      <c r="A41" s="7" t="s">
        <v>48</v>
      </c>
      <c r="B41" s="14" t="n">
        <v>0.08</v>
      </c>
    </row>
    <row r="42" customFormat="false" ht="15" hidden="false" customHeight="false" outlineLevel="0" collapsed="false">
      <c r="A42" s="7" t="s">
        <v>49</v>
      </c>
      <c r="B42" s="14" t="n">
        <v>0.2</v>
      </c>
    </row>
    <row r="43" customFormat="false" ht="15" hidden="false" customHeight="false" outlineLevel="0" collapsed="false">
      <c r="A43" s="11" t="s">
        <v>50</v>
      </c>
      <c r="B43" s="15" t="n">
        <f aca="false">Promote/(1-Promote)</f>
        <v>0.25</v>
      </c>
      <c r="D43" s="7" t="s">
        <v>51</v>
      </c>
    </row>
    <row r="44" customFormat="false" ht="15" hidden="false" customHeight="false" outlineLevel="0" collapsed="false">
      <c r="A44" s="7" t="s">
        <v>52</v>
      </c>
      <c r="B44" s="14" t="n">
        <v>0.35</v>
      </c>
      <c r="D44" s="7" t="s">
        <v>53</v>
      </c>
    </row>
    <row r="46" customFormat="false" ht="15" hidden="false" customHeight="false" outlineLevel="0" collapsed="false">
      <c r="A46" s="4" t="s">
        <v>54</v>
      </c>
      <c r="B46" s="6"/>
      <c r="C46" s="6"/>
      <c r="D46" s="6"/>
    </row>
    <row r="48" customFormat="false" ht="30" hidden="false" customHeight="true" outlineLevel="0" collapsed="false">
      <c r="A48" s="16" t="s">
        <v>54</v>
      </c>
      <c r="B48" s="17" t="s">
        <v>55</v>
      </c>
      <c r="C48" s="17"/>
      <c r="D48" s="17" t="s">
        <v>56</v>
      </c>
    </row>
    <row r="49" customFormat="false" ht="15" hidden="false" customHeight="false" outlineLevel="0" collapsed="false">
      <c r="A49" s="7" t="s">
        <v>57</v>
      </c>
      <c r="B49" s="13" t="n">
        <v>1</v>
      </c>
      <c r="C49" s="9" t="n">
        <v>1850000</v>
      </c>
      <c r="D49" s="7" t="s">
        <v>58</v>
      </c>
    </row>
    <row r="50" customFormat="false" ht="15" hidden="false" customHeight="false" outlineLevel="0" collapsed="false">
      <c r="A50" s="7" t="s">
        <v>59</v>
      </c>
      <c r="B50" s="13" t="n">
        <v>2</v>
      </c>
      <c r="C50" s="9" t="n">
        <v>940000</v>
      </c>
      <c r="D50" s="7" t="s">
        <v>60</v>
      </c>
    </row>
    <row r="51" customFormat="false" ht="15" hidden="false" customHeight="false" outlineLevel="0" collapsed="false">
      <c r="A51" s="7" t="s">
        <v>61</v>
      </c>
      <c r="B51" s="13" t="n">
        <v>3</v>
      </c>
      <c r="C51" s="9" t="n">
        <v>610000</v>
      </c>
      <c r="D51" s="7" t="s">
        <v>62</v>
      </c>
    </row>
    <row r="52" customFormat="false" ht="15" hidden="false" customHeight="false" outlineLevel="0" collapsed="false">
      <c r="A52" s="11" t="s">
        <v>63</v>
      </c>
      <c r="C52" s="12" t="n">
        <f aca="false">SUM(C49:C51)</f>
        <v>3400000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4" min="3" style="0" width="15"/>
    <col collapsed="false" customWidth="true" hidden="false" outlineLevel="0" max="5" min="5" style="0" width="13"/>
    <col collapsed="false" customWidth="true" hidden="false" outlineLevel="0" max="6" min="6" style="0" width="12"/>
    <col collapsed="false" customWidth="true" hidden="false" outlineLevel="0" max="7" min="7" style="0" width="16"/>
    <col collapsed="false" customWidth="true" hidden="false" outlineLevel="0" max="8" min="8" style="0" width="13"/>
  </cols>
  <sheetData>
    <row r="1" customFormat="false" ht="24" hidden="false" customHeight="true" outlineLevel="0" collapsed="false">
      <c r="A1" s="1" t="s">
        <v>64</v>
      </c>
    </row>
    <row r="2" customFormat="false" ht="15" hidden="false" customHeight="false" outlineLevel="0" collapsed="false">
      <c r="A2" s="2" t="s">
        <v>65</v>
      </c>
    </row>
    <row r="3" customFormat="false" ht="15" hidden="false" customHeight="false" outlineLevel="0" collapsed="false">
      <c r="A3" s="3"/>
      <c r="B3" s="3"/>
      <c r="C3" s="3"/>
      <c r="D3" s="3"/>
      <c r="E3" s="3"/>
      <c r="F3" s="3"/>
      <c r="G3" s="3"/>
      <c r="H3" s="3"/>
    </row>
    <row r="5" customFormat="false" ht="15" hidden="false" customHeight="false" outlineLevel="0" collapsed="false">
      <c r="A5" s="18" t="s">
        <v>66</v>
      </c>
    </row>
    <row r="7" customFormat="false" ht="30" hidden="false" customHeight="true" outlineLevel="0" collapsed="false">
      <c r="A7" s="16" t="s">
        <v>67</v>
      </c>
      <c r="B7" s="17" t="s">
        <v>68</v>
      </c>
      <c r="C7" s="17" t="s">
        <v>69</v>
      </c>
      <c r="D7" s="17" t="s">
        <v>70</v>
      </c>
      <c r="E7" s="17" t="s">
        <v>71</v>
      </c>
      <c r="F7" s="17" t="s">
        <v>72</v>
      </c>
      <c r="G7" s="17" t="s">
        <v>73</v>
      </c>
      <c r="H7" s="17" t="s">
        <v>74</v>
      </c>
    </row>
    <row r="8" customFormat="false" ht="15" hidden="false" customHeight="false" outlineLevel="0" collapsed="false">
      <c r="A8" s="7" t="s">
        <v>75</v>
      </c>
      <c r="B8" s="8" t="n">
        <v>3150</v>
      </c>
      <c r="C8" s="9" t="n">
        <v>472500</v>
      </c>
      <c r="D8" s="9" t="n">
        <v>504000</v>
      </c>
      <c r="E8" s="13" t="n">
        <v>7</v>
      </c>
      <c r="F8" s="19" t="n">
        <f aca="false">IF($E8=0,1,$E8+1)</f>
        <v>8</v>
      </c>
      <c r="G8" s="20" t="n">
        <f aca="false">IF($E8=0,$D8*(1+Growth),MAX($C8,$D8*(1+Growth)^$E8))</f>
        <v>588943.663055956</v>
      </c>
      <c r="H8" s="21" t="n">
        <f aca="false">$G8*LetFee</f>
        <v>88341.5494583934</v>
      </c>
    </row>
    <row r="9" customFormat="false" ht="15" hidden="false" customHeight="false" outlineLevel="0" collapsed="false">
      <c r="A9" s="7" t="s">
        <v>76</v>
      </c>
      <c r="B9" s="8" t="n">
        <v>1980</v>
      </c>
      <c r="C9" s="9" t="n">
        <v>257400</v>
      </c>
      <c r="D9" s="9" t="n">
        <v>316800</v>
      </c>
      <c r="E9" s="13" t="n">
        <v>3</v>
      </c>
      <c r="F9" s="19" t="n">
        <f aca="false">IF($E9=0,1,$E9+1)</f>
        <v>4</v>
      </c>
      <c r="G9" s="20" t="n">
        <f aca="false">IF($E9=0,$D9*(1+Growth),MAX($C9,$D9*(1+Growth)^$E9))</f>
        <v>338668.74855</v>
      </c>
      <c r="H9" s="21" t="n">
        <f aca="false">$G9*LetFee</f>
        <v>50800.3122825</v>
      </c>
    </row>
    <row r="10" customFormat="false" ht="15" hidden="false" customHeight="false" outlineLevel="0" collapsed="false">
      <c r="A10" s="7" t="s">
        <v>77</v>
      </c>
      <c r="B10" s="8" t="n">
        <v>1640</v>
      </c>
      <c r="C10" s="9" t="n">
        <v>229600</v>
      </c>
      <c r="D10" s="9" t="n">
        <v>262400</v>
      </c>
      <c r="E10" s="13" t="n">
        <v>9</v>
      </c>
      <c r="F10" s="19" t="n">
        <f aca="false">IF($E10=0,1,$E10+1)</f>
        <v>10</v>
      </c>
      <c r="G10" s="20" t="n">
        <f aca="false">IF($E10=0,$D10*(1+Growth),MAX($C10,$D10*(1+Growth)^$E10))</f>
        <v>320577.974673508</v>
      </c>
      <c r="H10" s="21" t="n">
        <f aca="false">$G10*LetFee</f>
        <v>48086.6962010262</v>
      </c>
    </row>
    <row r="11" customFormat="false" ht="15" hidden="false" customHeight="false" outlineLevel="0" collapsed="false">
      <c r="A11" s="7" t="s">
        <v>78</v>
      </c>
      <c r="B11" s="8" t="n">
        <v>1310</v>
      </c>
      <c r="C11" s="9" t="n">
        <v>183400</v>
      </c>
      <c r="D11" s="9" t="n">
        <v>209600</v>
      </c>
      <c r="E11" s="13" t="n">
        <v>5</v>
      </c>
      <c r="F11" s="19" t="n">
        <f aca="false">IF($E11=0,1,$E11+1)</f>
        <v>6</v>
      </c>
      <c r="G11" s="20" t="n">
        <f aca="false">IF($E11=0,$D11*(1+Growth),MAX($C11,$D11*(1+Growth)^$E11))</f>
        <v>234265.244549597</v>
      </c>
      <c r="H11" s="21" t="n">
        <f aca="false">$G11*LetFee</f>
        <v>35139.7866824395</v>
      </c>
    </row>
    <row r="12" customFormat="false" ht="15" hidden="false" customHeight="false" outlineLevel="0" collapsed="false">
      <c r="A12" s="7" t="s">
        <v>79</v>
      </c>
      <c r="B12" s="8" t="n">
        <v>980</v>
      </c>
      <c r="C12" s="9" t="n">
        <v>117600</v>
      </c>
      <c r="D12" s="9" t="n">
        <v>156800</v>
      </c>
      <c r="E12" s="13" t="n">
        <v>2</v>
      </c>
      <c r="F12" s="19" t="n">
        <f aca="false">IF($E12=0,1,$E12+1)</f>
        <v>3</v>
      </c>
      <c r="G12" s="20" t="n">
        <f aca="false">IF($E12=0,$D12*(1+Growth),MAX($C12,$D12*(1+Growth)^$E12))</f>
        <v>163935.38</v>
      </c>
      <c r="H12" s="21" t="n">
        <f aca="false">$G12*LetFee</f>
        <v>24590.307</v>
      </c>
    </row>
    <row r="13" customFormat="false" ht="15" hidden="false" customHeight="false" outlineLevel="0" collapsed="false">
      <c r="A13" s="7" t="s">
        <v>80</v>
      </c>
      <c r="B13" s="8" t="n">
        <v>860</v>
      </c>
      <c r="C13" s="9" t="n">
        <v>129000</v>
      </c>
      <c r="D13" s="9" t="n">
        <v>137600</v>
      </c>
      <c r="E13" s="13" t="n">
        <v>11</v>
      </c>
      <c r="F13" s="19" t="n">
        <f aca="false">IF($E13=0,1,$E13+1)</f>
        <v>12</v>
      </c>
      <c r="G13" s="20" t="n">
        <f aca="false">IF($E13=0,$D13*(1+Growth),MAX($C13,$D13*(1+Growth)^$E13))</f>
        <v>175757.925289515</v>
      </c>
      <c r="H13" s="21" t="n">
        <f aca="false">$G13*LetFee</f>
        <v>26363.6887934273</v>
      </c>
    </row>
    <row r="14" customFormat="false" ht="15" hidden="false" customHeight="false" outlineLevel="0" collapsed="false">
      <c r="A14" s="7" t="s">
        <v>81</v>
      </c>
      <c r="B14" s="8" t="n">
        <v>720</v>
      </c>
      <c r="C14" s="9" t="n">
        <v>93600</v>
      </c>
      <c r="D14" s="9" t="n">
        <v>115200</v>
      </c>
      <c r="E14" s="13" t="n">
        <v>4</v>
      </c>
      <c r="F14" s="19" t="n">
        <f aca="false">IF($E14=0,1,$E14+1)</f>
        <v>5</v>
      </c>
      <c r="G14" s="20" t="n">
        <f aca="false">IF($E14=0,$D14*(1+Growth),MAX($C14,$D14*(1+Growth)^$E14))</f>
        <v>125923.1983245</v>
      </c>
      <c r="H14" s="21" t="n">
        <f aca="false">$G14*LetFee</f>
        <v>18888.479748675</v>
      </c>
    </row>
    <row r="15" customFormat="false" ht="15" hidden="false" customHeight="false" outlineLevel="0" collapsed="false">
      <c r="A15" s="7" t="s">
        <v>82</v>
      </c>
      <c r="B15" s="8" t="n">
        <v>640</v>
      </c>
      <c r="C15" s="9" t="n">
        <v>92800</v>
      </c>
      <c r="D15" s="9" t="n">
        <v>102400</v>
      </c>
      <c r="E15" s="13" t="n">
        <v>8</v>
      </c>
      <c r="F15" s="19" t="n">
        <f aca="false">IF($E15=0,1,$E15+1)</f>
        <v>9</v>
      </c>
      <c r="G15" s="20" t="n">
        <f aca="false">IF($E15=0,$D15*(1+Growth),MAX($C15,$D15*(1+Growth)^$E15))</f>
        <v>122350.708921847</v>
      </c>
      <c r="H15" s="21" t="n">
        <f aca="false">$G15*LetFee</f>
        <v>18352.606338277</v>
      </c>
    </row>
    <row r="16" customFormat="false" ht="15" hidden="false" customHeight="false" outlineLevel="0" collapsed="false">
      <c r="A16" s="7" t="s">
        <v>83</v>
      </c>
      <c r="B16" s="8" t="n">
        <v>1420</v>
      </c>
      <c r="C16" s="9" t="n">
        <v>0</v>
      </c>
      <c r="D16" s="9" t="n">
        <v>227200</v>
      </c>
      <c r="E16" s="13" t="n">
        <v>0</v>
      </c>
      <c r="F16" s="19" t="n">
        <f aca="false">IF($E16=0,1,$E16+1)</f>
        <v>1</v>
      </c>
      <c r="G16" s="20" t="n">
        <f aca="false">IF($E16=0,$D16*(1+Growth),MAX($C16,$D16*(1+Growth)^$E16))</f>
        <v>232312</v>
      </c>
      <c r="H16" s="21" t="n">
        <f aca="false">$G16*LetFee</f>
        <v>34846.8</v>
      </c>
    </row>
    <row r="17" customFormat="false" ht="15" hidden="false" customHeight="false" outlineLevel="0" collapsed="false">
      <c r="A17" s="7" t="s">
        <v>84</v>
      </c>
      <c r="B17" s="8" t="n">
        <v>1500</v>
      </c>
      <c r="C17" s="9" t="n">
        <v>0</v>
      </c>
      <c r="D17" s="9" t="n">
        <v>252000</v>
      </c>
      <c r="E17" s="13" t="n">
        <v>0</v>
      </c>
      <c r="F17" s="19" t="n">
        <f aca="false">IF($E17=0,1,$E17+1)</f>
        <v>1</v>
      </c>
      <c r="G17" s="20" t="n">
        <f aca="false">IF($E17=0,$D17*(1+Growth),MAX($C17,$D17*(1+Growth)^$E17))</f>
        <v>257670</v>
      </c>
      <c r="H17" s="21" t="n">
        <f aca="false">$G17*LetFee</f>
        <v>38650.5</v>
      </c>
    </row>
    <row r="18" customFormat="false" ht="15" hidden="false" customHeight="false" outlineLevel="0" collapsed="false">
      <c r="A18" s="11" t="s">
        <v>85</v>
      </c>
      <c r="B18" s="22" t="n">
        <f aca="false">SUM(B8:B17)</f>
        <v>14200</v>
      </c>
      <c r="C18" s="12" t="n">
        <f aca="false">SUM(C8:C17)</f>
        <v>1575900</v>
      </c>
      <c r="D18" s="12" t="n">
        <f aca="false">SUM(D8:D17)</f>
        <v>2284000</v>
      </c>
    </row>
    <row r="20" customFormat="false" ht="15" hidden="false" customHeight="false" outlineLevel="0" collapsed="false">
      <c r="A20" s="4" t="s">
        <v>86</v>
      </c>
      <c r="B20" s="6"/>
      <c r="C20" s="6"/>
      <c r="D20" s="6"/>
      <c r="E20" s="6"/>
      <c r="F20" s="6"/>
      <c r="G20" s="6"/>
      <c r="H20" s="6"/>
    </row>
    <row r="22" customFormat="false" ht="15" hidden="false" customHeight="false" outlineLevel="0" collapsed="false">
      <c r="A22" s="7" t="s">
        <v>87</v>
      </c>
      <c r="C22" s="23" t="n">
        <f aca="false">SUMIF($C$8:$C$17,0,$B$8:$B$17)/AreaTot</f>
        <v>0.205633802816901</v>
      </c>
      <c r="D22" s="7" t="s">
        <v>88</v>
      </c>
    </row>
    <row r="23" customFormat="false" ht="15" hidden="false" customHeight="false" outlineLevel="0" collapsed="false">
      <c r="A23" s="7" t="s">
        <v>89</v>
      </c>
      <c r="C23" s="23" t="n">
        <f aca="false">SUMIF($C$8:$C$17,0,$D$8:$D$17)/ErvTot</f>
        <v>0.209807355516637</v>
      </c>
    </row>
    <row r="24" customFormat="false" ht="15" hidden="false" customHeight="false" outlineLevel="0" collapsed="false">
      <c r="A24" s="7" t="s">
        <v>90</v>
      </c>
      <c r="C24" s="23" t="n">
        <f aca="false">ErvTot/PassRent-1</f>
        <v>0.449330541278</v>
      </c>
    </row>
    <row r="25" customFormat="false" ht="15" hidden="false" customHeight="false" outlineLevel="0" collapsed="false">
      <c r="A25" s="11" t="s">
        <v>91</v>
      </c>
      <c r="C25" s="12" t="n">
        <f aca="false">ErvTot*(1-NonRec-MgmtFee)</f>
        <v>2229184</v>
      </c>
      <c r="D25" s="7" t="s">
        <v>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12" min="2" style="0" width="13"/>
  </cols>
  <sheetData>
    <row r="1" customFormat="false" ht="24" hidden="false" customHeight="true" outlineLevel="0" collapsed="false">
      <c r="A1" s="1" t="s">
        <v>93</v>
      </c>
    </row>
    <row r="2" customFormat="false" ht="15" hidden="false" customHeight="false" outlineLevel="0" collapsed="false">
      <c r="A2" s="2" t="s">
        <v>94</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18" t="s">
        <v>95</v>
      </c>
    </row>
    <row r="7" customFormat="false" ht="15" hidden="false" customHeight="false" outlineLevel="0" collapsed="false">
      <c r="A7" s="4" t="s">
        <v>96</v>
      </c>
      <c r="B7" s="6"/>
      <c r="C7" s="6"/>
      <c r="D7" s="6"/>
      <c r="E7" s="6"/>
      <c r="F7" s="6"/>
      <c r="G7" s="6"/>
      <c r="H7" s="6"/>
      <c r="I7" s="6"/>
      <c r="J7" s="6"/>
      <c r="K7" s="6"/>
      <c r="L7" s="6"/>
    </row>
    <row r="9" customFormat="false" ht="15" hidden="false" customHeight="false" outlineLevel="0" collapsed="false">
      <c r="A9" s="24" t="s">
        <v>55</v>
      </c>
      <c r="B9" s="25" t="n">
        <v>1</v>
      </c>
      <c r="C9" s="25" t="n">
        <f aca="false">B9+1</f>
        <v>2</v>
      </c>
      <c r="D9" s="25" t="n">
        <f aca="false">C9+1</f>
        <v>3</v>
      </c>
      <c r="E9" s="25" t="n">
        <f aca="false">D9+1</f>
        <v>4</v>
      </c>
      <c r="F9" s="25" t="n">
        <f aca="false">E9+1</f>
        <v>5</v>
      </c>
      <c r="G9" s="25" t="n">
        <f aca="false">F9+1</f>
        <v>6</v>
      </c>
      <c r="H9" s="25" t="n">
        <f aca="false">G9+1</f>
        <v>7</v>
      </c>
      <c r="I9" s="25" t="n">
        <f aca="false">H9+1</f>
        <v>8</v>
      </c>
      <c r="J9" s="25" t="n">
        <f aca="false">I9+1</f>
        <v>9</v>
      </c>
      <c r="K9" s="25" t="n">
        <f aca="false">J9+1</f>
        <v>10</v>
      </c>
      <c r="L9" s="25" t="n">
        <f aca="false">K9+1</f>
        <v>11</v>
      </c>
    </row>
    <row r="10" customFormat="false" ht="15" hidden="false" customHeight="false" outlineLevel="0" collapsed="false">
      <c r="A10" s="7" t="str">
        <f aca="false">'Rent roll'!A8</f>
        <v>Ardgour Logistics</v>
      </c>
      <c r="B10" s="26" t="n">
        <f aca="false">IF(B$9&lt;='Rent roll'!$E8,'Rent roll'!$C8,IF(B$9='Rent roll'!$F8,'Rent roll'!$G8*LetFrac,IF(B$9&gt;'Rent roll'!$F8,'Rent roll'!$G8,0)))</f>
        <v>472500</v>
      </c>
      <c r="C10" s="26" t="n">
        <f aca="false">IF(C$9&lt;='Rent roll'!$E8,'Rent roll'!$C8,IF(C$9='Rent roll'!$F8,'Rent roll'!$G8*LetFrac,IF(C$9&gt;'Rent roll'!$F8,'Rent roll'!$G8,0)))</f>
        <v>472500</v>
      </c>
      <c r="D10" s="26" t="n">
        <f aca="false">IF(D$9&lt;='Rent roll'!$E8,'Rent roll'!$C8,IF(D$9='Rent roll'!$F8,'Rent roll'!$G8*LetFrac,IF(D$9&gt;'Rent roll'!$F8,'Rent roll'!$G8,0)))</f>
        <v>472500</v>
      </c>
      <c r="E10" s="26" t="n">
        <f aca="false">IF(E$9&lt;='Rent roll'!$E8,'Rent roll'!$C8,IF(E$9='Rent roll'!$F8,'Rent roll'!$G8*LetFrac,IF(E$9&gt;'Rent roll'!$F8,'Rent roll'!$G8,0)))</f>
        <v>472500</v>
      </c>
      <c r="F10" s="26" t="n">
        <f aca="false">IF(F$9&lt;='Rent roll'!$E8,'Rent roll'!$C8,IF(F$9='Rent roll'!$F8,'Rent roll'!$G8*LetFrac,IF(F$9&gt;'Rent roll'!$F8,'Rent roll'!$G8,0)))</f>
        <v>472500</v>
      </c>
      <c r="G10" s="26" t="n">
        <f aca="false">IF(G$9&lt;='Rent roll'!$E8,'Rent roll'!$C8,IF(G$9='Rent roll'!$F8,'Rent roll'!$G8*LetFrac,IF(G$9&gt;'Rent roll'!$F8,'Rent roll'!$G8,0)))</f>
        <v>472500</v>
      </c>
      <c r="H10" s="26" t="n">
        <f aca="false">IF(H$9&lt;='Rent roll'!$E8,'Rent roll'!$C8,IF(H$9='Rent roll'!$F8,'Rent roll'!$G8*LetFrac,IF(H$9&gt;'Rent roll'!$F8,'Rent roll'!$G8,0)))</f>
        <v>472500</v>
      </c>
      <c r="I10" s="26" t="n">
        <f aca="false">IF(I$9&lt;='Rent roll'!$E8,'Rent roll'!$C8,IF(I$9='Rent roll'!$F8,'Rent roll'!$G8*LetFrac,IF(I$9&gt;'Rent roll'!$F8,'Rent roll'!$G8,0)))</f>
        <v>147235.915763989</v>
      </c>
      <c r="J10" s="26" t="n">
        <f aca="false">IF(J$9&lt;='Rent roll'!$E8,'Rent roll'!$C8,IF(J$9='Rent roll'!$F8,'Rent roll'!$G8*LetFrac,IF(J$9&gt;'Rent roll'!$F8,'Rent roll'!$G8,0)))</f>
        <v>588943.663055956</v>
      </c>
      <c r="K10" s="26" t="n">
        <f aca="false">IF(K$9&lt;='Rent roll'!$E8,'Rent roll'!$C8,IF(K$9='Rent roll'!$F8,'Rent roll'!$G8*LetFrac,IF(K$9&gt;'Rent roll'!$F8,'Rent roll'!$G8,0)))</f>
        <v>588943.663055956</v>
      </c>
      <c r="L10" s="26" t="n">
        <f aca="false">IF(L$9&lt;='Rent roll'!$E8,'Rent roll'!$C8,IF(L$9='Rent roll'!$F8,'Rent roll'!$G8*LetFrac,IF(L$9&gt;'Rent roll'!$F8,'Rent roll'!$G8,0)))</f>
        <v>588943.663055956</v>
      </c>
    </row>
    <row r="11" customFormat="false" ht="15" hidden="false" customHeight="false" outlineLevel="0" collapsed="false">
      <c r="A11" s="7" t="str">
        <f aca="false">'Rent roll'!A9</f>
        <v>Kilmory Print</v>
      </c>
      <c r="B11" s="26" t="n">
        <f aca="false">IF(B$9&lt;='Rent roll'!$E9,'Rent roll'!$C9,IF(B$9='Rent roll'!$F9,'Rent roll'!$G9*LetFrac,IF(B$9&gt;'Rent roll'!$F9,'Rent roll'!$G9,0)))</f>
        <v>257400</v>
      </c>
      <c r="C11" s="26" t="n">
        <f aca="false">IF(C$9&lt;='Rent roll'!$E9,'Rent roll'!$C9,IF(C$9='Rent roll'!$F9,'Rent roll'!$G9*LetFrac,IF(C$9&gt;'Rent roll'!$F9,'Rent roll'!$G9,0)))</f>
        <v>257400</v>
      </c>
      <c r="D11" s="26" t="n">
        <f aca="false">IF(D$9&lt;='Rent roll'!$E9,'Rent roll'!$C9,IF(D$9='Rent roll'!$F9,'Rent roll'!$G9*LetFrac,IF(D$9&gt;'Rent roll'!$F9,'Rent roll'!$G9,0)))</f>
        <v>257400</v>
      </c>
      <c r="E11" s="26" t="n">
        <f aca="false">IF(E$9&lt;='Rent roll'!$E9,'Rent roll'!$C9,IF(E$9='Rent roll'!$F9,'Rent roll'!$G9*LetFrac,IF(E$9&gt;'Rent roll'!$F9,'Rent roll'!$G9,0)))</f>
        <v>84667.1871375</v>
      </c>
      <c r="F11" s="26" t="n">
        <f aca="false">IF(F$9&lt;='Rent roll'!$E9,'Rent roll'!$C9,IF(F$9='Rent roll'!$F9,'Rent roll'!$G9*LetFrac,IF(F$9&gt;'Rent roll'!$F9,'Rent roll'!$G9,0)))</f>
        <v>338668.74855</v>
      </c>
      <c r="G11" s="26" t="n">
        <f aca="false">IF(G$9&lt;='Rent roll'!$E9,'Rent roll'!$C9,IF(G$9='Rent roll'!$F9,'Rent roll'!$G9*LetFrac,IF(G$9&gt;'Rent roll'!$F9,'Rent roll'!$G9,0)))</f>
        <v>338668.74855</v>
      </c>
      <c r="H11" s="26" t="n">
        <f aca="false">IF(H$9&lt;='Rent roll'!$E9,'Rent roll'!$C9,IF(H$9='Rent roll'!$F9,'Rent roll'!$G9*LetFrac,IF(H$9&gt;'Rent roll'!$F9,'Rent roll'!$G9,0)))</f>
        <v>338668.74855</v>
      </c>
      <c r="I11" s="26" t="n">
        <f aca="false">IF(I$9&lt;='Rent roll'!$E9,'Rent roll'!$C9,IF(I$9='Rent roll'!$F9,'Rent roll'!$G9*LetFrac,IF(I$9&gt;'Rent roll'!$F9,'Rent roll'!$G9,0)))</f>
        <v>338668.74855</v>
      </c>
      <c r="J11" s="26" t="n">
        <f aca="false">IF(J$9&lt;='Rent roll'!$E9,'Rent roll'!$C9,IF(J$9='Rent roll'!$F9,'Rent roll'!$G9*LetFrac,IF(J$9&gt;'Rent roll'!$F9,'Rent roll'!$G9,0)))</f>
        <v>338668.74855</v>
      </c>
      <c r="K11" s="26" t="n">
        <f aca="false">IF(K$9&lt;='Rent roll'!$E9,'Rent roll'!$C9,IF(K$9='Rent roll'!$F9,'Rent roll'!$G9*LetFrac,IF(K$9&gt;'Rent roll'!$F9,'Rent roll'!$G9,0)))</f>
        <v>338668.74855</v>
      </c>
      <c r="L11" s="26" t="n">
        <f aca="false">IF(L$9&lt;='Rent roll'!$E9,'Rent roll'!$C9,IF(L$9='Rent roll'!$F9,'Rent roll'!$G9*LetFrac,IF(L$9&gt;'Rent roll'!$F9,'Rent roll'!$G9,0)))</f>
        <v>338668.74855</v>
      </c>
    </row>
    <row r="12" customFormat="false" ht="15" hidden="false" customHeight="false" outlineLevel="0" collapsed="false">
      <c r="A12" s="7" t="str">
        <f aca="false">'Rent roll'!A10</f>
        <v>Tannoch Foods</v>
      </c>
      <c r="B12" s="26" t="n">
        <f aca="false">IF(B$9&lt;='Rent roll'!$E10,'Rent roll'!$C10,IF(B$9='Rent roll'!$F10,'Rent roll'!$G10*LetFrac,IF(B$9&gt;'Rent roll'!$F10,'Rent roll'!$G10,0)))</f>
        <v>229600</v>
      </c>
      <c r="C12" s="26" t="n">
        <f aca="false">IF(C$9&lt;='Rent roll'!$E10,'Rent roll'!$C10,IF(C$9='Rent roll'!$F10,'Rent roll'!$G10*LetFrac,IF(C$9&gt;'Rent roll'!$F10,'Rent roll'!$G10,0)))</f>
        <v>229600</v>
      </c>
      <c r="D12" s="26" t="n">
        <f aca="false">IF(D$9&lt;='Rent roll'!$E10,'Rent roll'!$C10,IF(D$9='Rent roll'!$F10,'Rent roll'!$G10*LetFrac,IF(D$9&gt;'Rent roll'!$F10,'Rent roll'!$G10,0)))</f>
        <v>229600</v>
      </c>
      <c r="E12" s="26" t="n">
        <f aca="false">IF(E$9&lt;='Rent roll'!$E10,'Rent roll'!$C10,IF(E$9='Rent roll'!$F10,'Rent roll'!$G10*LetFrac,IF(E$9&gt;'Rent roll'!$F10,'Rent roll'!$G10,0)))</f>
        <v>229600</v>
      </c>
      <c r="F12" s="26" t="n">
        <f aca="false">IF(F$9&lt;='Rent roll'!$E10,'Rent roll'!$C10,IF(F$9='Rent roll'!$F10,'Rent roll'!$G10*LetFrac,IF(F$9&gt;'Rent roll'!$F10,'Rent roll'!$G10,0)))</f>
        <v>229600</v>
      </c>
      <c r="G12" s="26" t="n">
        <f aca="false">IF(G$9&lt;='Rent roll'!$E10,'Rent roll'!$C10,IF(G$9='Rent roll'!$F10,'Rent roll'!$G10*LetFrac,IF(G$9&gt;'Rent roll'!$F10,'Rent roll'!$G10,0)))</f>
        <v>229600</v>
      </c>
      <c r="H12" s="26" t="n">
        <f aca="false">IF(H$9&lt;='Rent roll'!$E10,'Rent roll'!$C10,IF(H$9='Rent roll'!$F10,'Rent roll'!$G10*LetFrac,IF(H$9&gt;'Rent roll'!$F10,'Rent roll'!$G10,0)))</f>
        <v>229600</v>
      </c>
      <c r="I12" s="26" t="n">
        <f aca="false">IF(I$9&lt;='Rent roll'!$E10,'Rent roll'!$C10,IF(I$9='Rent roll'!$F10,'Rent roll'!$G10*LetFrac,IF(I$9&gt;'Rent roll'!$F10,'Rent roll'!$G10,0)))</f>
        <v>229600</v>
      </c>
      <c r="J12" s="26" t="n">
        <f aca="false">IF(J$9&lt;='Rent roll'!$E10,'Rent roll'!$C10,IF(J$9='Rent roll'!$F10,'Rent roll'!$G10*LetFrac,IF(J$9&gt;'Rent roll'!$F10,'Rent roll'!$G10,0)))</f>
        <v>229600</v>
      </c>
      <c r="K12" s="26" t="n">
        <f aca="false">IF(K$9&lt;='Rent roll'!$E10,'Rent roll'!$C10,IF(K$9='Rent roll'!$F10,'Rent roll'!$G10*LetFrac,IF(K$9&gt;'Rent roll'!$F10,'Rent roll'!$G10,0)))</f>
        <v>80144.493668377</v>
      </c>
      <c r="L12" s="26" t="n">
        <f aca="false">IF(L$9&lt;='Rent roll'!$E10,'Rent roll'!$C10,IF(L$9='Rent roll'!$F10,'Rent roll'!$G10*LetFrac,IF(L$9&gt;'Rent roll'!$F10,'Rent roll'!$G10,0)))</f>
        <v>320577.974673508</v>
      </c>
    </row>
    <row r="13" customFormat="false" ht="15" hidden="false" customHeight="false" outlineLevel="0" collapsed="false">
      <c r="A13" s="7" t="str">
        <f aca="false">'Rent roll'!A11</f>
        <v>Struan Instruments</v>
      </c>
      <c r="B13" s="26" t="n">
        <f aca="false">IF(B$9&lt;='Rent roll'!$E11,'Rent roll'!$C11,IF(B$9='Rent roll'!$F11,'Rent roll'!$G11*LetFrac,IF(B$9&gt;'Rent roll'!$F11,'Rent roll'!$G11,0)))</f>
        <v>183400</v>
      </c>
      <c r="C13" s="26" t="n">
        <f aca="false">IF(C$9&lt;='Rent roll'!$E11,'Rent roll'!$C11,IF(C$9='Rent roll'!$F11,'Rent roll'!$G11*LetFrac,IF(C$9&gt;'Rent roll'!$F11,'Rent roll'!$G11,0)))</f>
        <v>183400</v>
      </c>
      <c r="D13" s="26" t="n">
        <f aca="false">IF(D$9&lt;='Rent roll'!$E11,'Rent roll'!$C11,IF(D$9='Rent roll'!$F11,'Rent roll'!$G11*LetFrac,IF(D$9&gt;'Rent roll'!$F11,'Rent roll'!$G11,0)))</f>
        <v>183400</v>
      </c>
      <c r="E13" s="26" t="n">
        <f aca="false">IF(E$9&lt;='Rent roll'!$E11,'Rent roll'!$C11,IF(E$9='Rent roll'!$F11,'Rent roll'!$G11*LetFrac,IF(E$9&gt;'Rent roll'!$F11,'Rent roll'!$G11,0)))</f>
        <v>183400</v>
      </c>
      <c r="F13" s="26" t="n">
        <f aca="false">IF(F$9&lt;='Rent roll'!$E11,'Rent roll'!$C11,IF(F$9='Rent roll'!$F11,'Rent roll'!$G11*LetFrac,IF(F$9&gt;'Rent roll'!$F11,'Rent roll'!$G11,0)))</f>
        <v>183400</v>
      </c>
      <c r="G13" s="26" t="n">
        <f aca="false">IF(G$9&lt;='Rent roll'!$E11,'Rent roll'!$C11,IF(G$9='Rent roll'!$F11,'Rent roll'!$G11*LetFrac,IF(G$9&gt;'Rent roll'!$F11,'Rent roll'!$G11,0)))</f>
        <v>58566.3111373992</v>
      </c>
      <c r="H13" s="26" t="n">
        <f aca="false">IF(H$9&lt;='Rent roll'!$E11,'Rent roll'!$C11,IF(H$9='Rent roll'!$F11,'Rent roll'!$G11*LetFrac,IF(H$9&gt;'Rent roll'!$F11,'Rent roll'!$G11,0)))</f>
        <v>234265.244549597</v>
      </c>
      <c r="I13" s="26" t="n">
        <f aca="false">IF(I$9&lt;='Rent roll'!$E11,'Rent roll'!$C11,IF(I$9='Rent roll'!$F11,'Rent roll'!$G11*LetFrac,IF(I$9&gt;'Rent roll'!$F11,'Rent roll'!$G11,0)))</f>
        <v>234265.244549597</v>
      </c>
      <c r="J13" s="26" t="n">
        <f aca="false">IF(J$9&lt;='Rent roll'!$E11,'Rent roll'!$C11,IF(J$9='Rent roll'!$F11,'Rent roll'!$G11*LetFrac,IF(J$9&gt;'Rent roll'!$F11,'Rent roll'!$G11,0)))</f>
        <v>234265.244549597</v>
      </c>
      <c r="K13" s="26" t="n">
        <f aca="false">IF(K$9&lt;='Rent roll'!$E11,'Rent roll'!$C11,IF(K$9='Rent roll'!$F11,'Rent roll'!$G11*LetFrac,IF(K$9&gt;'Rent roll'!$F11,'Rent roll'!$G11,0)))</f>
        <v>234265.244549597</v>
      </c>
      <c r="L13" s="26" t="n">
        <f aca="false">IF(L$9&lt;='Rent roll'!$E11,'Rent roll'!$C11,IF(L$9='Rent roll'!$F11,'Rent roll'!$G11*LetFrac,IF(L$9&gt;'Rent roll'!$F11,'Rent roll'!$G11,0)))</f>
        <v>234265.244549597</v>
      </c>
    </row>
    <row r="14" customFormat="false" ht="15" hidden="false" customHeight="false" outlineLevel="0" collapsed="false">
      <c r="A14" s="7" t="str">
        <f aca="false">'Rent roll'!A12</f>
        <v>Balvaig Textiles</v>
      </c>
      <c r="B14" s="26" t="n">
        <f aca="false">IF(B$9&lt;='Rent roll'!$E12,'Rent roll'!$C12,IF(B$9='Rent roll'!$F12,'Rent roll'!$G12*LetFrac,IF(B$9&gt;'Rent roll'!$F12,'Rent roll'!$G12,0)))</f>
        <v>117600</v>
      </c>
      <c r="C14" s="26" t="n">
        <f aca="false">IF(C$9&lt;='Rent roll'!$E12,'Rent roll'!$C12,IF(C$9='Rent roll'!$F12,'Rent roll'!$G12*LetFrac,IF(C$9&gt;'Rent roll'!$F12,'Rent roll'!$G12,0)))</f>
        <v>117600</v>
      </c>
      <c r="D14" s="26" t="n">
        <f aca="false">IF(D$9&lt;='Rent roll'!$E12,'Rent roll'!$C12,IF(D$9='Rent roll'!$F12,'Rent roll'!$G12*LetFrac,IF(D$9&gt;'Rent roll'!$F12,'Rent roll'!$G12,0)))</f>
        <v>40983.845</v>
      </c>
      <c r="E14" s="26" t="n">
        <f aca="false">IF(E$9&lt;='Rent roll'!$E12,'Rent roll'!$C12,IF(E$9='Rent roll'!$F12,'Rent roll'!$G12*LetFrac,IF(E$9&gt;'Rent roll'!$F12,'Rent roll'!$G12,0)))</f>
        <v>163935.38</v>
      </c>
      <c r="F14" s="26" t="n">
        <f aca="false">IF(F$9&lt;='Rent roll'!$E12,'Rent roll'!$C12,IF(F$9='Rent roll'!$F12,'Rent roll'!$G12*LetFrac,IF(F$9&gt;'Rent roll'!$F12,'Rent roll'!$G12,0)))</f>
        <v>163935.38</v>
      </c>
      <c r="G14" s="26" t="n">
        <f aca="false">IF(G$9&lt;='Rent roll'!$E12,'Rent roll'!$C12,IF(G$9='Rent roll'!$F12,'Rent roll'!$G12*LetFrac,IF(G$9&gt;'Rent roll'!$F12,'Rent roll'!$G12,0)))</f>
        <v>163935.38</v>
      </c>
      <c r="H14" s="26" t="n">
        <f aca="false">IF(H$9&lt;='Rent roll'!$E12,'Rent roll'!$C12,IF(H$9='Rent roll'!$F12,'Rent roll'!$G12*LetFrac,IF(H$9&gt;'Rent roll'!$F12,'Rent roll'!$G12,0)))</f>
        <v>163935.38</v>
      </c>
      <c r="I14" s="26" t="n">
        <f aca="false">IF(I$9&lt;='Rent roll'!$E12,'Rent roll'!$C12,IF(I$9='Rent roll'!$F12,'Rent roll'!$G12*LetFrac,IF(I$9&gt;'Rent roll'!$F12,'Rent roll'!$G12,0)))</f>
        <v>163935.38</v>
      </c>
      <c r="J14" s="26" t="n">
        <f aca="false">IF(J$9&lt;='Rent roll'!$E12,'Rent roll'!$C12,IF(J$9='Rent roll'!$F12,'Rent roll'!$G12*LetFrac,IF(J$9&gt;'Rent roll'!$F12,'Rent roll'!$G12,0)))</f>
        <v>163935.38</v>
      </c>
      <c r="K14" s="26" t="n">
        <f aca="false">IF(K$9&lt;='Rent roll'!$E12,'Rent roll'!$C12,IF(K$9='Rent roll'!$F12,'Rent roll'!$G12*LetFrac,IF(K$9&gt;'Rent roll'!$F12,'Rent roll'!$G12,0)))</f>
        <v>163935.38</v>
      </c>
      <c r="L14" s="26" t="n">
        <f aca="false">IF(L$9&lt;='Rent roll'!$E12,'Rent roll'!$C12,IF(L$9='Rent roll'!$F12,'Rent roll'!$G12*LetFrac,IF(L$9&gt;'Rent roll'!$F12,'Rent roll'!$G12,0)))</f>
        <v>163935.38</v>
      </c>
    </row>
    <row r="15" customFormat="false" ht="15" hidden="false" customHeight="false" outlineLevel="0" collapsed="false">
      <c r="A15" s="7" t="str">
        <f aca="false">'Rent roll'!A13</f>
        <v>Corrour Systems</v>
      </c>
      <c r="B15" s="26" t="n">
        <f aca="false">IF(B$9&lt;='Rent roll'!$E13,'Rent roll'!$C13,IF(B$9='Rent roll'!$F13,'Rent roll'!$G13*LetFrac,IF(B$9&gt;'Rent roll'!$F13,'Rent roll'!$G13,0)))</f>
        <v>129000</v>
      </c>
      <c r="C15" s="26" t="n">
        <f aca="false">IF(C$9&lt;='Rent roll'!$E13,'Rent roll'!$C13,IF(C$9='Rent roll'!$F13,'Rent roll'!$G13*LetFrac,IF(C$9&gt;'Rent roll'!$F13,'Rent roll'!$G13,0)))</f>
        <v>129000</v>
      </c>
      <c r="D15" s="26" t="n">
        <f aca="false">IF(D$9&lt;='Rent roll'!$E13,'Rent roll'!$C13,IF(D$9='Rent roll'!$F13,'Rent roll'!$G13*LetFrac,IF(D$9&gt;'Rent roll'!$F13,'Rent roll'!$G13,0)))</f>
        <v>129000</v>
      </c>
      <c r="E15" s="26" t="n">
        <f aca="false">IF(E$9&lt;='Rent roll'!$E13,'Rent roll'!$C13,IF(E$9='Rent roll'!$F13,'Rent roll'!$G13*LetFrac,IF(E$9&gt;'Rent roll'!$F13,'Rent roll'!$G13,0)))</f>
        <v>129000</v>
      </c>
      <c r="F15" s="26" t="n">
        <f aca="false">IF(F$9&lt;='Rent roll'!$E13,'Rent roll'!$C13,IF(F$9='Rent roll'!$F13,'Rent roll'!$G13*LetFrac,IF(F$9&gt;'Rent roll'!$F13,'Rent roll'!$G13,0)))</f>
        <v>129000</v>
      </c>
      <c r="G15" s="26" t="n">
        <f aca="false">IF(G$9&lt;='Rent roll'!$E13,'Rent roll'!$C13,IF(G$9='Rent roll'!$F13,'Rent roll'!$G13*LetFrac,IF(G$9&gt;'Rent roll'!$F13,'Rent roll'!$G13,0)))</f>
        <v>129000</v>
      </c>
      <c r="H15" s="26" t="n">
        <f aca="false">IF(H$9&lt;='Rent roll'!$E13,'Rent roll'!$C13,IF(H$9='Rent roll'!$F13,'Rent roll'!$G13*LetFrac,IF(H$9&gt;'Rent roll'!$F13,'Rent roll'!$G13,0)))</f>
        <v>129000</v>
      </c>
      <c r="I15" s="26" t="n">
        <f aca="false">IF(I$9&lt;='Rent roll'!$E13,'Rent roll'!$C13,IF(I$9='Rent roll'!$F13,'Rent roll'!$G13*LetFrac,IF(I$9&gt;'Rent roll'!$F13,'Rent roll'!$G13,0)))</f>
        <v>129000</v>
      </c>
      <c r="J15" s="26" t="n">
        <f aca="false">IF(J$9&lt;='Rent roll'!$E13,'Rent roll'!$C13,IF(J$9='Rent roll'!$F13,'Rent roll'!$G13*LetFrac,IF(J$9&gt;'Rent roll'!$F13,'Rent roll'!$G13,0)))</f>
        <v>129000</v>
      </c>
      <c r="K15" s="26" t="n">
        <f aca="false">IF(K$9&lt;='Rent roll'!$E13,'Rent roll'!$C13,IF(K$9='Rent roll'!$F13,'Rent roll'!$G13*LetFrac,IF(K$9&gt;'Rent roll'!$F13,'Rent roll'!$G13,0)))</f>
        <v>129000</v>
      </c>
      <c r="L15" s="26" t="n">
        <f aca="false">IF(L$9&lt;='Rent roll'!$E13,'Rent roll'!$C13,IF(L$9='Rent roll'!$F13,'Rent roll'!$G13*LetFrac,IF(L$9&gt;'Rent roll'!$F13,'Rent roll'!$G13,0)))</f>
        <v>129000</v>
      </c>
    </row>
    <row r="16" customFormat="false" ht="15" hidden="false" customHeight="false" outlineLevel="0" collapsed="false">
      <c r="A16" s="7" t="str">
        <f aca="false">'Rent roll'!A14</f>
        <v>Dunardry Media</v>
      </c>
      <c r="B16" s="26" t="n">
        <f aca="false">IF(B$9&lt;='Rent roll'!$E14,'Rent roll'!$C14,IF(B$9='Rent roll'!$F14,'Rent roll'!$G14*LetFrac,IF(B$9&gt;'Rent roll'!$F14,'Rent roll'!$G14,0)))</f>
        <v>93600</v>
      </c>
      <c r="C16" s="26" t="n">
        <f aca="false">IF(C$9&lt;='Rent roll'!$E14,'Rent roll'!$C14,IF(C$9='Rent roll'!$F14,'Rent roll'!$G14*LetFrac,IF(C$9&gt;'Rent roll'!$F14,'Rent roll'!$G14,0)))</f>
        <v>93600</v>
      </c>
      <c r="D16" s="26" t="n">
        <f aca="false">IF(D$9&lt;='Rent roll'!$E14,'Rent roll'!$C14,IF(D$9='Rent roll'!$F14,'Rent roll'!$G14*LetFrac,IF(D$9&gt;'Rent roll'!$F14,'Rent roll'!$G14,0)))</f>
        <v>93600</v>
      </c>
      <c r="E16" s="26" t="n">
        <f aca="false">IF(E$9&lt;='Rent roll'!$E14,'Rent roll'!$C14,IF(E$9='Rent roll'!$F14,'Rent roll'!$G14*LetFrac,IF(E$9&gt;'Rent roll'!$F14,'Rent roll'!$G14,0)))</f>
        <v>93600</v>
      </c>
      <c r="F16" s="26" t="n">
        <f aca="false">IF(F$9&lt;='Rent roll'!$E14,'Rent roll'!$C14,IF(F$9='Rent roll'!$F14,'Rent roll'!$G14*LetFrac,IF(F$9&gt;'Rent roll'!$F14,'Rent roll'!$G14,0)))</f>
        <v>31480.799581125</v>
      </c>
      <c r="G16" s="26" t="n">
        <f aca="false">IF(G$9&lt;='Rent roll'!$E14,'Rent roll'!$C14,IF(G$9='Rent roll'!$F14,'Rent roll'!$G14*LetFrac,IF(G$9&gt;'Rent roll'!$F14,'Rent roll'!$G14,0)))</f>
        <v>125923.1983245</v>
      </c>
      <c r="H16" s="26" t="n">
        <f aca="false">IF(H$9&lt;='Rent roll'!$E14,'Rent roll'!$C14,IF(H$9='Rent roll'!$F14,'Rent roll'!$G14*LetFrac,IF(H$9&gt;'Rent roll'!$F14,'Rent roll'!$G14,0)))</f>
        <v>125923.1983245</v>
      </c>
      <c r="I16" s="26" t="n">
        <f aca="false">IF(I$9&lt;='Rent roll'!$E14,'Rent roll'!$C14,IF(I$9='Rent roll'!$F14,'Rent roll'!$G14*LetFrac,IF(I$9&gt;'Rent roll'!$F14,'Rent roll'!$G14,0)))</f>
        <v>125923.1983245</v>
      </c>
      <c r="J16" s="26" t="n">
        <f aca="false">IF(J$9&lt;='Rent roll'!$E14,'Rent roll'!$C14,IF(J$9='Rent roll'!$F14,'Rent roll'!$G14*LetFrac,IF(J$9&gt;'Rent roll'!$F14,'Rent roll'!$G14,0)))</f>
        <v>125923.1983245</v>
      </c>
      <c r="K16" s="26" t="n">
        <f aca="false">IF(K$9&lt;='Rent roll'!$E14,'Rent roll'!$C14,IF(K$9='Rent roll'!$F14,'Rent roll'!$G14*LetFrac,IF(K$9&gt;'Rent roll'!$F14,'Rent roll'!$G14,0)))</f>
        <v>125923.1983245</v>
      </c>
      <c r="L16" s="26" t="n">
        <f aca="false">IF(L$9&lt;='Rent roll'!$E14,'Rent roll'!$C14,IF(L$9='Rent roll'!$F14,'Rent roll'!$G14*LetFrac,IF(L$9&gt;'Rent roll'!$F14,'Rent roll'!$G14,0)))</f>
        <v>125923.1983245</v>
      </c>
    </row>
    <row r="17" customFormat="false" ht="15" hidden="false" customHeight="false" outlineLevel="0" collapsed="false">
      <c r="A17" s="7" t="str">
        <f aca="false">'Rent roll'!A15</f>
        <v>Eilanreach Labs</v>
      </c>
      <c r="B17" s="26" t="n">
        <f aca="false">IF(B$9&lt;='Rent roll'!$E15,'Rent roll'!$C15,IF(B$9='Rent roll'!$F15,'Rent roll'!$G15*LetFrac,IF(B$9&gt;'Rent roll'!$F15,'Rent roll'!$G15,0)))</f>
        <v>92800</v>
      </c>
      <c r="C17" s="26" t="n">
        <f aca="false">IF(C$9&lt;='Rent roll'!$E15,'Rent roll'!$C15,IF(C$9='Rent roll'!$F15,'Rent roll'!$G15*LetFrac,IF(C$9&gt;'Rent roll'!$F15,'Rent roll'!$G15,0)))</f>
        <v>92800</v>
      </c>
      <c r="D17" s="26" t="n">
        <f aca="false">IF(D$9&lt;='Rent roll'!$E15,'Rent roll'!$C15,IF(D$9='Rent roll'!$F15,'Rent roll'!$G15*LetFrac,IF(D$9&gt;'Rent roll'!$F15,'Rent roll'!$G15,0)))</f>
        <v>92800</v>
      </c>
      <c r="E17" s="26" t="n">
        <f aca="false">IF(E$9&lt;='Rent roll'!$E15,'Rent roll'!$C15,IF(E$9='Rent roll'!$F15,'Rent roll'!$G15*LetFrac,IF(E$9&gt;'Rent roll'!$F15,'Rent roll'!$G15,0)))</f>
        <v>92800</v>
      </c>
      <c r="F17" s="26" t="n">
        <f aca="false">IF(F$9&lt;='Rent roll'!$E15,'Rent roll'!$C15,IF(F$9='Rent roll'!$F15,'Rent roll'!$G15*LetFrac,IF(F$9&gt;'Rent roll'!$F15,'Rent roll'!$G15,0)))</f>
        <v>92800</v>
      </c>
      <c r="G17" s="26" t="n">
        <f aca="false">IF(G$9&lt;='Rent roll'!$E15,'Rent roll'!$C15,IF(G$9='Rent roll'!$F15,'Rent roll'!$G15*LetFrac,IF(G$9&gt;'Rent roll'!$F15,'Rent roll'!$G15,0)))</f>
        <v>92800</v>
      </c>
      <c r="H17" s="26" t="n">
        <f aca="false">IF(H$9&lt;='Rent roll'!$E15,'Rent roll'!$C15,IF(H$9='Rent roll'!$F15,'Rent roll'!$G15*LetFrac,IF(H$9&gt;'Rent roll'!$F15,'Rent roll'!$G15,0)))</f>
        <v>92800</v>
      </c>
      <c r="I17" s="26" t="n">
        <f aca="false">IF(I$9&lt;='Rent roll'!$E15,'Rent roll'!$C15,IF(I$9='Rent roll'!$F15,'Rent roll'!$G15*LetFrac,IF(I$9&gt;'Rent roll'!$F15,'Rent roll'!$G15,0)))</f>
        <v>92800</v>
      </c>
      <c r="J17" s="26" t="n">
        <f aca="false">IF(J$9&lt;='Rent roll'!$E15,'Rent roll'!$C15,IF(J$9='Rent roll'!$F15,'Rent roll'!$G15*LetFrac,IF(J$9&gt;'Rent roll'!$F15,'Rent roll'!$G15,0)))</f>
        <v>30587.6772304617</v>
      </c>
      <c r="K17" s="26" t="n">
        <f aca="false">IF(K$9&lt;='Rent roll'!$E15,'Rent roll'!$C15,IF(K$9='Rent roll'!$F15,'Rent roll'!$G15*LetFrac,IF(K$9&gt;'Rent roll'!$F15,'Rent roll'!$G15,0)))</f>
        <v>122350.708921847</v>
      </c>
      <c r="L17" s="26" t="n">
        <f aca="false">IF(L$9&lt;='Rent roll'!$E15,'Rent roll'!$C15,IF(L$9='Rent roll'!$F15,'Rent roll'!$G15*LetFrac,IF(L$9&gt;'Rent roll'!$F15,'Rent roll'!$G15,0)))</f>
        <v>122350.708921847</v>
      </c>
    </row>
    <row r="18" customFormat="false" ht="15" hidden="false" customHeight="false" outlineLevel="0" collapsed="false">
      <c r="A18" s="7" t="str">
        <f aca="false">'Rent roll'!A16</f>
        <v>Unit 9 (empty at acquisition)</v>
      </c>
      <c r="B18" s="26" t="n">
        <f aca="false">IF(B$9&lt;='Rent roll'!$E16,'Rent roll'!$C16,IF(B$9='Rent roll'!$F16,'Rent roll'!$G16*LetFrac,IF(B$9&gt;'Rent roll'!$F16,'Rent roll'!$G16,0)))</f>
        <v>58078</v>
      </c>
      <c r="C18" s="26" t="n">
        <f aca="false">IF(C$9&lt;='Rent roll'!$E16,'Rent roll'!$C16,IF(C$9='Rent roll'!$F16,'Rent roll'!$G16*LetFrac,IF(C$9&gt;'Rent roll'!$F16,'Rent roll'!$G16,0)))</f>
        <v>232312</v>
      </c>
      <c r="D18" s="26" t="n">
        <f aca="false">IF(D$9&lt;='Rent roll'!$E16,'Rent roll'!$C16,IF(D$9='Rent roll'!$F16,'Rent roll'!$G16*LetFrac,IF(D$9&gt;'Rent roll'!$F16,'Rent roll'!$G16,0)))</f>
        <v>232312</v>
      </c>
      <c r="E18" s="26" t="n">
        <f aca="false">IF(E$9&lt;='Rent roll'!$E16,'Rent roll'!$C16,IF(E$9='Rent roll'!$F16,'Rent roll'!$G16*LetFrac,IF(E$9&gt;'Rent roll'!$F16,'Rent roll'!$G16,0)))</f>
        <v>232312</v>
      </c>
      <c r="F18" s="26" t="n">
        <f aca="false">IF(F$9&lt;='Rent roll'!$E16,'Rent roll'!$C16,IF(F$9='Rent roll'!$F16,'Rent roll'!$G16*LetFrac,IF(F$9&gt;'Rent roll'!$F16,'Rent roll'!$G16,0)))</f>
        <v>232312</v>
      </c>
      <c r="G18" s="26" t="n">
        <f aca="false">IF(G$9&lt;='Rent roll'!$E16,'Rent roll'!$C16,IF(G$9='Rent roll'!$F16,'Rent roll'!$G16*LetFrac,IF(G$9&gt;'Rent roll'!$F16,'Rent roll'!$G16,0)))</f>
        <v>232312</v>
      </c>
      <c r="H18" s="26" t="n">
        <f aca="false">IF(H$9&lt;='Rent roll'!$E16,'Rent roll'!$C16,IF(H$9='Rent roll'!$F16,'Rent roll'!$G16*LetFrac,IF(H$9&gt;'Rent roll'!$F16,'Rent roll'!$G16,0)))</f>
        <v>232312</v>
      </c>
      <c r="I18" s="26" t="n">
        <f aca="false">IF(I$9&lt;='Rent roll'!$E16,'Rent roll'!$C16,IF(I$9='Rent roll'!$F16,'Rent roll'!$G16*LetFrac,IF(I$9&gt;'Rent roll'!$F16,'Rent roll'!$G16,0)))</f>
        <v>232312</v>
      </c>
      <c r="J18" s="26" t="n">
        <f aca="false">IF(J$9&lt;='Rent roll'!$E16,'Rent roll'!$C16,IF(J$9='Rent roll'!$F16,'Rent roll'!$G16*LetFrac,IF(J$9&gt;'Rent roll'!$F16,'Rent roll'!$G16,0)))</f>
        <v>232312</v>
      </c>
      <c r="K18" s="26" t="n">
        <f aca="false">IF(K$9&lt;='Rent roll'!$E16,'Rent roll'!$C16,IF(K$9='Rent roll'!$F16,'Rent roll'!$G16*LetFrac,IF(K$9&gt;'Rent roll'!$F16,'Rent roll'!$G16,0)))</f>
        <v>232312</v>
      </c>
      <c r="L18" s="26" t="n">
        <f aca="false">IF(L$9&lt;='Rent roll'!$E16,'Rent roll'!$C16,IF(L$9='Rent roll'!$F16,'Rent roll'!$G16*LetFrac,IF(L$9&gt;'Rent roll'!$F16,'Rent roll'!$G16,0)))</f>
        <v>232312</v>
      </c>
    </row>
    <row r="19" customFormat="false" ht="15" hidden="false" customHeight="false" outlineLevel="0" collapsed="false">
      <c r="A19" s="7" t="str">
        <f aca="false">'Rent roll'!A17</f>
        <v>Unit 12 (empty at acquisition)</v>
      </c>
      <c r="B19" s="26" t="n">
        <f aca="false">IF(B$9&lt;='Rent roll'!$E17,'Rent roll'!$C17,IF(B$9='Rent roll'!$F17,'Rent roll'!$G17*LetFrac,IF(B$9&gt;'Rent roll'!$F17,'Rent roll'!$G17,0)))</f>
        <v>64417.5</v>
      </c>
      <c r="C19" s="26" t="n">
        <f aca="false">IF(C$9&lt;='Rent roll'!$E17,'Rent roll'!$C17,IF(C$9='Rent roll'!$F17,'Rent roll'!$G17*LetFrac,IF(C$9&gt;'Rent roll'!$F17,'Rent roll'!$G17,0)))</f>
        <v>257670</v>
      </c>
      <c r="D19" s="26" t="n">
        <f aca="false">IF(D$9&lt;='Rent roll'!$E17,'Rent roll'!$C17,IF(D$9='Rent roll'!$F17,'Rent roll'!$G17*LetFrac,IF(D$9&gt;'Rent roll'!$F17,'Rent roll'!$G17,0)))</f>
        <v>257670</v>
      </c>
      <c r="E19" s="26" t="n">
        <f aca="false">IF(E$9&lt;='Rent roll'!$E17,'Rent roll'!$C17,IF(E$9='Rent roll'!$F17,'Rent roll'!$G17*LetFrac,IF(E$9&gt;'Rent roll'!$F17,'Rent roll'!$G17,0)))</f>
        <v>257670</v>
      </c>
      <c r="F19" s="26" t="n">
        <f aca="false">IF(F$9&lt;='Rent roll'!$E17,'Rent roll'!$C17,IF(F$9='Rent roll'!$F17,'Rent roll'!$G17*LetFrac,IF(F$9&gt;'Rent roll'!$F17,'Rent roll'!$G17,0)))</f>
        <v>257670</v>
      </c>
      <c r="G19" s="26" t="n">
        <f aca="false">IF(G$9&lt;='Rent roll'!$E17,'Rent roll'!$C17,IF(G$9='Rent roll'!$F17,'Rent roll'!$G17*LetFrac,IF(G$9&gt;'Rent roll'!$F17,'Rent roll'!$G17,0)))</f>
        <v>257670</v>
      </c>
      <c r="H19" s="26" t="n">
        <f aca="false">IF(H$9&lt;='Rent roll'!$E17,'Rent roll'!$C17,IF(H$9='Rent roll'!$F17,'Rent roll'!$G17*LetFrac,IF(H$9&gt;'Rent roll'!$F17,'Rent roll'!$G17,0)))</f>
        <v>257670</v>
      </c>
      <c r="I19" s="26" t="n">
        <f aca="false">IF(I$9&lt;='Rent roll'!$E17,'Rent roll'!$C17,IF(I$9='Rent roll'!$F17,'Rent roll'!$G17*LetFrac,IF(I$9&gt;'Rent roll'!$F17,'Rent roll'!$G17,0)))</f>
        <v>257670</v>
      </c>
      <c r="J19" s="26" t="n">
        <f aca="false">IF(J$9&lt;='Rent roll'!$E17,'Rent roll'!$C17,IF(J$9='Rent roll'!$F17,'Rent roll'!$G17*LetFrac,IF(J$9&gt;'Rent roll'!$F17,'Rent roll'!$G17,0)))</f>
        <v>257670</v>
      </c>
      <c r="K19" s="26" t="n">
        <f aca="false">IF(K$9&lt;='Rent roll'!$E17,'Rent roll'!$C17,IF(K$9='Rent roll'!$F17,'Rent roll'!$G17*LetFrac,IF(K$9&gt;'Rent roll'!$F17,'Rent roll'!$G17,0)))</f>
        <v>257670</v>
      </c>
      <c r="L19" s="26" t="n">
        <f aca="false">IF(L$9&lt;='Rent roll'!$E17,'Rent roll'!$C17,IF(L$9='Rent roll'!$F17,'Rent roll'!$G17*LetFrac,IF(L$9&gt;'Rent roll'!$F17,'Rent roll'!$G17,0)))</f>
        <v>257670</v>
      </c>
    </row>
    <row r="20" customFormat="false" ht="15" hidden="false" customHeight="false" outlineLevel="0" collapsed="false">
      <c r="A20" s="11" t="s">
        <v>97</v>
      </c>
      <c r="B20" s="12" t="n">
        <f aca="false">SUM(B10:B19)</f>
        <v>1698395.5</v>
      </c>
      <c r="C20" s="12" t="n">
        <f aca="false">SUM(C10:C19)</f>
        <v>2065882</v>
      </c>
      <c r="D20" s="12" t="n">
        <f aca="false">SUM(D10:D19)</f>
        <v>1989265.845</v>
      </c>
      <c r="E20" s="12" t="n">
        <f aca="false">SUM(E10:E19)</f>
        <v>1939484.5671375</v>
      </c>
      <c r="F20" s="12" t="n">
        <f aca="false">SUM(F10:F19)</f>
        <v>2131366.92813113</v>
      </c>
      <c r="G20" s="12" t="n">
        <f aca="false">SUM(G10:G19)</f>
        <v>2100975.6380119</v>
      </c>
      <c r="H20" s="12" t="n">
        <f aca="false">SUM(H10:H19)</f>
        <v>2276674.5714241</v>
      </c>
      <c r="I20" s="12" t="n">
        <f aca="false">SUM(I10:I19)</f>
        <v>1951410.48718809</v>
      </c>
      <c r="J20" s="12" t="n">
        <f aca="false">SUM(J10:J19)</f>
        <v>2330905.91171051</v>
      </c>
      <c r="K20" s="12" t="n">
        <f aca="false">SUM(K10:K19)</f>
        <v>2273213.43707028</v>
      </c>
      <c r="L20" s="12" t="n">
        <f aca="false">SUM(L10:L19)</f>
        <v>2513646.91807541</v>
      </c>
    </row>
    <row r="22" customFormat="false" ht="15" hidden="false" customHeight="false" outlineLevel="0" collapsed="false">
      <c r="A22" s="4" t="s">
        <v>98</v>
      </c>
      <c r="B22" s="6"/>
      <c r="C22" s="6"/>
      <c r="D22" s="6"/>
      <c r="E22" s="6"/>
      <c r="F22" s="6"/>
      <c r="G22" s="6"/>
      <c r="H22" s="6"/>
      <c r="I22" s="6"/>
      <c r="J22" s="6"/>
      <c r="K22" s="6"/>
      <c r="L22" s="6"/>
    </row>
    <row r="24" customFormat="false" ht="15" hidden="false" customHeight="false" outlineLevel="0" collapsed="false">
      <c r="A24" s="0" t="str">
        <f aca="false">'Rent roll'!A8</f>
        <v>Ardgour Logistics</v>
      </c>
      <c r="B24" s="26" t="n">
        <f aca="false">IF(B$9='Rent roll'!$F8,'Rent roll'!$H8,0)</f>
        <v>0</v>
      </c>
      <c r="C24" s="26" t="n">
        <f aca="false">IF(C$9='Rent roll'!$F8,'Rent roll'!$H8,0)</f>
        <v>0</v>
      </c>
      <c r="D24" s="26" t="n">
        <f aca="false">IF(D$9='Rent roll'!$F8,'Rent roll'!$H8,0)</f>
        <v>0</v>
      </c>
      <c r="E24" s="26" t="n">
        <f aca="false">IF(E$9='Rent roll'!$F8,'Rent roll'!$H8,0)</f>
        <v>0</v>
      </c>
      <c r="F24" s="26" t="n">
        <f aca="false">IF(F$9='Rent roll'!$F8,'Rent roll'!$H8,0)</f>
        <v>0</v>
      </c>
      <c r="G24" s="26" t="n">
        <f aca="false">IF(G$9='Rent roll'!$F8,'Rent roll'!$H8,0)</f>
        <v>0</v>
      </c>
      <c r="H24" s="26" t="n">
        <f aca="false">IF(H$9='Rent roll'!$F8,'Rent roll'!$H8,0)</f>
        <v>0</v>
      </c>
      <c r="I24" s="26" t="n">
        <f aca="false">IF(I$9='Rent roll'!$F8,'Rent roll'!$H8,0)</f>
        <v>88341.5494583934</v>
      </c>
      <c r="J24" s="26" t="n">
        <f aca="false">IF(J$9='Rent roll'!$F8,'Rent roll'!$H8,0)</f>
        <v>0</v>
      </c>
      <c r="K24" s="26" t="n">
        <f aca="false">IF(K$9='Rent roll'!$F8,'Rent roll'!$H8,0)</f>
        <v>0</v>
      </c>
      <c r="L24" s="26" t="n">
        <f aca="false">IF(L$9='Rent roll'!$F8,'Rent roll'!$H8,0)</f>
        <v>0</v>
      </c>
    </row>
    <row r="25" customFormat="false" ht="15" hidden="false" customHeight="false" outlineLevel="0" collapsed="false">
      <c r="A25" s="0" t="str">
        <f aca="false">'Rent roll'!A9</f>
        <v>Kilmory Print</v>
      </c>
      <c r="B25" s="26" t="n">
        <f aca="false">IF(B$9='Rent roll'!$F9,'Rent roll'!$H9,0)</f>
        <v>0</v>
      </c>
      <c r="C25" s="26" t="n">
        <f aca="false">IF(C$9='Rent roll'!$F9,'Rent roll'!$H9,0)</f>
        <v>0</v>
      </c>
      <c r="D25" s="26" t="n">
        <f aca="false">IF(D$9='Rent roll'!$F9,'Rent roll'!$H9,0)</f>
        <v>0</v>
      </c>
      <c r="E25" s="26" t="n">
        <f aca="false">IF(E$9='Rent roll'!$F9,'Rent roll'!$H9,0)</f>
        <v>50800.3122825</v>
      </c>
      <c r="F25" s="26" t="n">
        <f aca="false">IF(F$9='Rent roll'!$F9,'Rent roll'!$H9,0)</f>
        <v>0</v>
      </c>
      <c r="G25" s="26" t="n">
        <f aca="false">IF(G$9='Rent roll'!$F9,'Rent roll'!$H9,0)</f>
        <v>0</v>
      </c>
      <c r="H25" s="26" t="n">
        <f aca="false">IF(H$9='Rent roll'!$F9,'Rent roll'!$H9,0)</f>
        <v>0</v>
      </c>
      <c r="I25" s="26" t="n">
        <f aca="false">IF(I$9='Rent roll'!$F9,'Rent roll'!$H9,0)</f>
        <v>0</v>
      </c>
      <c r="J25" s="26" t="n">
        <f aca="false">IF(J$9='Rent roll'!$F9,'Rent roll'!$H9,0)</f>
        <v>0</v>
      </c>
      <c r="K25" s="26" t="n">
        <f aca="false">IF(K$9='Rent roll'!$F9,'Rent roll'!$H9,0)</f>
        <v>0</v>
      </c>
      <c r="L25" s="26" t="n">
        <f aca="false">IF(L$9='Rent roll'!$F9,'Rent roll'!$H9,0)</f>
        <v>0</v>
      </c>
    </row>
    <row r="26" customFormat="false" ht="15" hidden="false" customHeight="false" outlineLevel="0" collapsed="false">
      <c r="A26" s="0" t="str">
        <f aca="false">'Rent roll'!A10</f>
        <v>Tannoch Foods</v>
      </c>
      <c r="B26" s="26" t="n">
        <f aca="false">IF(B$9='Rent roll'!$F10,'Rent roll'!$H10,0)</f>
        <v>0</v>
      </c>
      <c r="C26" s="26" t="n">
        <f aca="false">IF(C$9='Rent roll'!$F10,'Rent roll'!$H10,0)</f>
        <v>0</v>
      </c>
      <c r="D26" s="26" t="n">
        <f aca="false">IF(D$9='Rent roll'!$F10,'Rent roll'!$H10,0)</f>
        <v>0</v>
      </c>
      <c r="E26" s="26" t="n">
        <f aca="false">IF(E$9='Rent roll'!$F10,'Rent roll'!$H10,0)</f>
        <v>0</v>
      </c>
      <c r="F26" s="26" t="n">
        <f aca="false">IF(F$9='Rent roll'!$F10,'Rent roll'!$H10,0)</f>
        <v>0</v>
      </c>
      <c r="G26" s="26" t="n">
        <f aca="false">IF(G$9='Rent roll'!$F10,'Rent roll'!$H10,0)</f>
        <v>0</v>
      </c>
      <c r="H26" s="26" t="n">
        <f aca="false">IF(H$9='Rent roll'!$F10,'Rent roll'!$H10,0)</f>
        <v>0</v>
      </c>
      <c r="I26" s="26" t="n">
        <f aca="false">IF(I$9='Rent roll'!$F10,'Rent roll'!$H10,0)</f>
        <v>0</v>
      </c>
      <c r="J26" s="26" t="n">
        <f aca="false">IF(J$9='Rent roll'!$F10,'Rent roll'!$H10,0)</f>
        <v>0</v>
      </c>
      <c r="K26" s="26" t="n">
        <f aca="false">IF(K$9='Rent roll'!$F10,'Rent roll'!$H10,0)</f>
        <v>48086.6962010262</v>
      </c>
      <c r="L26" s="26" t="n">
        <f aca="false">IF(L$9='Rent roll'!$F10,'Rent roll'!$H10,0)</f>
        <v>0</v>
      </c>
    </row>
    <row r="27" customFormat="false" ht="15" hidden="false" customHeight="false" outlineLevel="0" collapsed="false">
      <c r="A27" s="0" t="str">
        <f aca="false">'Rent roll'!A11</f>
        <v>Struan Instruments</v>
      </c>
      <c r="B27" s="26" t="n">
        <f aca="false">IF(B$9='Rent roll'!$F11,'Rent roll'!$H11,0)</f>
        <v>0</v>
      </c>
      <c r="C27" s="26" t="n">
        <f aca="false">IF(C$9='Rent roll'!$F11,'Rent roll'!$H11,0)</f>
        <v>0</v>
      </c>
      <c r="D27" s="26" t="n">
        <f aca="false">IF(D$9='Rent roll'!$F11,'Rent roll'!$H11,0)</f>
        <v>0</v>
      </c>
      <c r="E27" s="26" t="n">
        <f aca="false">IF(E$9='Rent roll'!$F11,'Rent roll'!$H11,0)</f>
        <v>0</v>
      </c>
      <c r="F27" s="26" t="n">
        <f aca="false">IF(F$9='Rent roll'!$F11,'Rent roll'!$H11,0)</f>
        <v>0</v>
      </c>
      <c r="G27" s="26" t="n">
        <f aca="false">IF(G$9='Rent roll'!$F11,'Rent roll'!$H11,0)</f>
        <v>35139.7866824395</v>
      </c>
      <c r="H27" s="26" t="n">
        <f aca="false">IF(H$9='Rent roll'!$F11,'Rent roll'!$H11,0)</f>
        <v>0</v>
      </c>
      <c r="I27" s="26" t="n">
        <f aca="false">IF(I$9='Rent roll'!$F11,'Rent roll'!$H11,0)</f>
        <v>0</v>
      </c>
      <c r="J27" s="26" t="n">
        <f aca="false">IF(J$9='Rent roll'!$F11,'Rent roll'!$H11,0)</f>
        <v>0</v>
      </c>
      <c r="K27" s="26" t="n">
        <f aca="false">IF(K$9='Rent roll'!$F11,'Rent roll'!$H11,0)</f>
        <v>0</v>
      </c>
      <c r="L27" s="26" t="n">
        <f aca="false">IF(L$9='Rent roll'!$F11,'Rent roll'!$H11,0)</f>
        <v>0</v>
      </c>
    </row>
    <row r="28" customFormat="false" ht="15" hidden="false" customHeight="false" outlineLevel="0" collapsed="false">
      <c r="A28" s="0" t="str">
        <f aca="false">'Rent roll'!A12</f>
        <v>Balvaig Textiles</v>
      </c>
      <c r="B28" s="26" t="n">
        <f aca="false">IF(B$9='Rent roll'!$F12,'Rent roll'!$H12,0)</f>
        <v>0</v>
      </c>
      <c r="C28" s="26" t="n">
        <f aca="false">IF(C$9='Rent roll'!$F12,'Rent roll'!$H12,0)</f>
        <v>0</v>
      </c>
      <c r="D28" s="26" t="n">
        <f aca="false">IF(D$9='Rent roll'!$F12,'Rent roll'!$H12,0)</f>
        <v>24590.307</v>
      </c>
      <c r="E28" s="26" t="n">
        <f aca="false">IF(E$9='Rent roll'!$F12,'Rent roll'!$H12,0)</f>
        <v>0</v>
      </c>
      <c r="F28" s="26" t="n">
        <f aca="false">IF(F$9='Rent roll'!$F12,'Rent roll'!$H12,0)</f>
        <v>0</v>
      </c>
      <c r="G28" s="26" t="n">
        <f aca="false">IF(G$9='Rent roll'!$F12,'Rent roll'!$H12,0)</f>
        <v>0</v>
      </c>
      <c r="H28" s="26" t="n">
        <f aca="false">IF(H$9='Rent roll'!$F12,'Rent roll'!$H12,0)</f>
        <v>0</v>
      </c>
      <c r="I28" s="26" t="n">
        <f aca="false">IF(I$9='Rent roll'!$F12,'Rent roll'!$H12,0)</f>
        <v>0</v>
      </c>
      <c r="J28" s="26" t="n">
        <f aca="false">IF(J$9='Rent roll'!$F12,'Rent roll'!$H12,0)</f>
        <v>0</v>
      </c>
      <c r="K28" s="26" t="n">
        <f aca="false">IF(K$9='Rent roll'!$F12,'Rent roll'!$H12,0)</f>
        <v>0</v>
      </c>
      <c r="L28" s="26" t="n">
        <f aca="false">IF(L$9='Rent roll'!$F12,'Rent roll'!$H12,0)</f>
        <v>0</v>
      </c>
    </row>
    <row r="29" customFormat="false" ht="15" hidden="false" customHeight="false" outlineLevel="0" collapsed="false">
      <c r="A29" s="0" t="str">
        <f aca="false">'Rent roll'!A13</f>
        <v>Corrour Systems</v>
      </c>
      <c r="B29" s="26" t="n">
        <f aca="false">IF(B$9='Rent roll'!$F13,'Rent roll'!$H13,0)</f>
        <v>0</v>
      </c>
      <c r="C29" s="26" t="n">
        <f aca="false">IF(C$9='Rent roll'!$F13,'Rent roll'!$H13,0)</f>
        <v>0</v>
      </c>
      <c r="D29" s="26" t="n">
        <f aca="false">IF(D$9='Rent roll'!$F13,'Rent roll'!$H13,0)</f>
        <v>0</v>
      </c>
      <c r="E29" s="26" t="n">
        <f aca="false">IF(E$9='Rent roll'!$F13,'Rent roll'!$H13,0)</f>
        <v>0</v>
      </c>
      <c r="F29" s="26" t="n">
        <f aca="false">IF(F$9='Rent roll'!$F13,'Rent roll'!$H13,0)</f>
        <v>0</v>
      </c>
      <c r="G29" s="26" t="n">
        <f aca="false">IF(G$9='Rent roll'!$F13,'Rent roll'!$H13,0)</f>
        <v>0</v>
      </c>
      <c r="H29" s="26" t="n">
        <f aca="false">IF(H$9='Rent roll'!$F13,'Rent roll'!$H13,0)</f>
        <v>0</v>
      </c>
      <c r="I29" s="26" t="n">
        <f aca="false">IF(I$9='Rent roll'!$F13,'Rent roll'!$H13,0)</f>
        <v>0</v>
      </c>
      <c r="J29" s="26" t="n">
        <f aca="false">IF(J$9='Rent roll'!$F13,'Rent roll'!$H13,0)</f>
        <v>0</v>
      </c>
      <c r="K29" s="26" t="n">
        <f aca="false">IF(K$9='Rent roll'!$F13,'Rent roll'!$H13,0)</f>
        <v>0</v>
      </c>
      <c r="L29" s="26" t="n">
        <f aca="false">IF(L$9='Rent roll'!$F13,'Rent roll'!$H13,0)</f>
        <v>0</v>
      </c>
    </row>
    <row r="30" customFormat="false" ht="15" hidden="false" customHeight="false" outlineLevel="0" collapsed="false">
      <c r="A30" s="0" t="str">
        <f aca="false">'Rent roll'!A14</f>
        <v>Dunardry Media</v>
      </c>
      <c r="B30" s="26" t="n">
        <f aca="false">IF(B$9='Rent roll'!$F14,'Rent roll'!$H14,0)</f>
        <v>0</v>
      </c>
      <c r="C30" s="26" t="n">
        <f aca="false">IF(C$9='Rent roll'!$F14,'Rent roll'!$H14,0)</f>
        <v>0</v>
      </c>
      <c r="D30" s="26" t="n">
        <f aca="false">IF(D$9='Rent roll'!$F14,'Rent roll'!$H14,0)</f>
        <v>0</v>
      </c>
      <c r="E30" s="26" t="n">
        <f aca="false">IF(E$9='Rent roll'!$F14,'Rent roll'!$H14,0)</f>
        <v>0</v>
      </c>
      <c r="F30" s="26" t="n">
        <f aca="false">IF(F$9='Rent roll'!$F14,'Rent roll'!$H14,0)</f>
        <v>18888.479748675</v>
      </c>
      <c r="G30" s="26" t="n">
        <f aca="false">IF(G$9='Rent roll'!$F14,'Rent roll'!$H14,0)</f>
        <v>0</v>
      </c>
      <c r="H30" s="26" t="n">
        <f aca="false">IF(H$9='Rent roll'!$F14,'Rent roll'!$H14,0)</f>
        <v>0</v>
      </c>
      <c r="I30" s="26" t="n">
        <f aca="false">IF(I$9='Rent roll'!$F14,'Rent roll'!$H14,0)</f>
        <v>0</v>
      </c>
      <c r="J30" s="26" t="n">
        <f aca="false">IF(J$9='Rent roll'!$F14,'Rent roll'!$H14,0)</f>
        <v>0</v>
      </c>
      <c r="K30" s="26" t="n">
        <f aca="false">IF(K$9='Rent roll'!$F14,'Rent roll'!$H14,0)</f>
        <v>0</v>
      </c>
      <c r="L30" s="26" t="n">
        <f aca="false">IF(L$9='Rent roll'!$F14,'Rent roll'!$H14,0)</f>
        <v>0</v>
      </c>
    </row>
    <row r="31" customFormat="false" ht="15" hidden="false" customHeight="false" outlineLevel="0" collapsed="false">
      <c r="A31" s="0" t="str">
        <f aca="false">'Rent roll'!A15</f>
        <v>Eilanreach Labs</v>
      </c>
      <c r="B31" s="26" t="n">
        <f aca="false">IF(B$9='Rent roll'!$F15,'Rent roll'!$H15,0)</f>
        <v>0</v>
      </c>
      <c r="C31" s="26" t="n">
        <f aca="false">IF(C$9='Rent roll'!$F15,'Rent roll'!$H15,0)</f>
        <v>0</v>
      </c>
      <c r="D31" s="26" t="n">
        <f aca="false">IF(D$9='Rent roll'!$F15,'Rent roll'!$H15,0)</f>
        <v>0</v>
      </c>
      <c r="E31" s="26" t="n">
        <f aca="false">IF(E$9='Rent roll'!$F15,'Rent roll'!$H15,0)</f>
        <v>0</v>
      </c>
      <c r="F31" s="26" t="n">
        <f aca="false">IF(F$9='Rent roll'!$F15,'Rent roll'!$H15,0)</f>
        <v>0</v>
      </c>
      <c r="G31" s="26" t="n">
        <f aca="false">IF(G$9='Rent roll'!$F15,'Rent roll'!$H15,0)</f>
        <v>0</v>
      </c>
      <c r="H31" s="26" t="n">
        <f aca="false">IF(H$9='Rent roll'!$F15,'Rent roll'!$H15,0)</f>
        <v>0</v>
      </c>
      <c r="I31" s="26" t="n">
        <f aca="false">IF(I$9='Rent roll'!$F15,'Rent roll'!$H15,0)</f>
        <v>0</v>
      </c>
      <c r="J31" s="26" t="n">
        <f aca="false">IF(J$9='Rent roll'!$F15,'Rent roll'!$H15,0)</f>
        <v>18352.606338277</v>
      </c>
      <c r="K31" s="26" t="n">
        <f aca="false">IF(K$9='Rent roll'!$F15,'Rent roll'!$H15,0)</f>
        <v>0</v>
      </c>
      <c r="L31" s="26" t="n">
        <f aca="false">IF(L$9='Rent roll'!$F15,'Rent roll'!$H15,0)</f>
        <v>0</v>
      </c>
    </row>
    <row r="32" customFormat="false" ht="15" hidden="false" customHeight="false" outlineLevel="0" collapsed="false">
      <c r="A32" s="0" t="str">
        <f aca="false">'Rent roll'!A16</f>
        <v>Unit 9 (empty at acquisition)</v>
      </c>
      <c r="B32" s="26" t="n">
        <f aca="false">IF(B$9='Rent roll'!$F16,'Rent roll'!$H16,0)</f>
        <v>34846.8</v>
      </c>
      <c r="C32" s="26" t="n">
        <f aca="false">IF(C$9='Rent roll'!$F16,'Rent roll'!$H16,0)</f>
        <v>0</v>
      </c>
      <c r="D32" s="26" t="n">
        <f aca="false">IF(D$9='Rent roll'!$F16,'Rent roll'!$H16,0)</f>
        <v>0</v>
      </c>
      <c r="E32" s="26" t="n">
        <f aca="false">IF(E$9='Rent roll'!$F16,'Rent roll'!$H16,0)</f>
        <v>0</v>
      </c>
      <c r="F32" s="26" t="n">
        <f aca="false">IF(F$9='Rent roll'!$F16,'Rent roll'!$H16,0)</f>
        <v>0</v>
      </c>
      <c r="G32" s="26" t="n">
        <f aca="false">IF(G$9='Rent roll'!$F16,'Rent roll'!$H16,0)</f>
        <v>0</v>
      </c>
      <c r="H32" s="26" t="n">
        <f aca="false">IF(H$9='Rent roll'!$F16,'Rent roll'!$H16,0)</f>
        <v>0</v>
      </c>
      <c r="I32" s="26" t="n">
        <f aca="false">IF(I$9='Rent roll'!$F16,'Rent roll'!$H16,0)</f>
        <v>0</v>
      </c>
      <c r="J32" s="26" t="n">
        <f aca="false">IF(J$9='Rent roll'!$F16,'Rent roll'!$H16,0)</f>
        <v>0</v>
      </c>
      <c r="K32" s="26" t="n">
        <f aca="false">IF(K$9='Rent roll'!$F16,'Rent roll'!$H16,0)</f>
        <v>0</v>
      </c>
      <c r="L32" s="26" t="n">
        <f aca="false">IF(L$9='Rent roll'!$F16,'Rent roll'!$H16,0)</f>
        <v>0</v>
      </c>
    </row>
    <row r="33" customFormat="false" ht="15" hidden="false" customHeight="false" outlineLevel="0" collapsed="false">
      <c r="A33" s="0" t="str">
        <f aca="false">'Rent roll'!A17</f>
        <v>Unit 12 (empty at acquisition)</v>
      </c>
      <c r="B33" s="26" t="n">
        <f aca="false">IF(B$9='Rent roll'!$F17,'Rent roll'!$H17,0)</f>
        <v>38650.5</v>
      </c>
      <c r="C33" s="26" t="n">
        <f aca="false">IF(C$9='Rent roll'!$F17,'Rent roll'!$H17,0)</f>
        <v>0</v>
      </c>
      <c r="D33" s="26" t="n">
        <f aca="false">IF(D$9='Rent roll'!$F17,'Rent roll'!$H17,0)</f>
        <v>0</v>
      </c>
      <c r="E33" s="26" t="n">
        <f aca="false">IF(E$9='Rent roll'!$F17,'Rent roll'!$H17,0)</f>
        <v>0</v>
      </c>
      <c r="F33" s="26" t="n">
        <f aca="false">IF(F$9='Rent roll'!$F17,'Rent roll'!$H17,0)</f>
        <v>0</v>
      </c>
      <c r="G33" s="26" t="n">
        <f aca="false">IF(G$9='Rent roll'!$F17,'Rent roll'!$H17,0)</f>
        <v>0</v>
      </c>
      <c r="H33" s="26" t="n">
        <f aca="false">IF(H$9='Rent roll'!$F17,'Rent roll'!$H17,0)</f>
        <v>0</v>
      </c>
      <c r="I33" s="26" t="n">
        <f aca="false">IF(I$9='Rent roll'!$F17,'Rent roll'!$H17,0)</f>
        <v>0</v>
      </c>
      <c r="J33" s="26" t="n">
        <f aca="false">IF(J$9='Rent roll'!$F17,'Rent roll'!$H17,0)</f>
        <v>0</v>
      </c>
      <c r="K33" s="26" t="n">
        <f aca="false">IF(K$9='Rent roll'!$F17,'Rent roll'!$H17,0)</f>
        <v>0</v>
      </c>
      <c r="L33" s="26" t="n">
        <f aca="false">IF(L$9='Rent roll'!$F17,'Rent roll'!$H17,0)</f>
        <v>0</v>
      </c>
    </row>
    <row r="34" customFormat="false" ht="15" hidden="false" customHeight="false" outlineLevel="0" collapsed="false">
      <c r="A34" s="11" t="s">
        <v>99</v>
      </c>
      <c r="B34" s="12" t="n">
        <f aca="false">SUM(B24:B33)</f>
        <v>73497.3</v>
      </c>
      <c r="C34" s="12" t="n">
        <f aca="false">SUM(C24:C33)</f>
        <v>0</v>
      </c>
      <c r="D34" s="12" t="n">
        <f aca="false">SUM(D24:D33)</f>
        <v>24590.307</v>
      </c>
      <c r="E34" s="12" t="n">
        <f aca="false">SUM(E24:E33)</f>
        <v>50800.3122825</v>
      </c>
      <c r="F34" s="12" t="n">
        <f aca="false">SUM(F24:F33)</f>
        <v>18888.479748675</v>
      </c>
      <c r="G34" s="12" t="n">
        <f aca="false">SUM(G24:G33)</f>
        <v>35139.7866824395</v>
      </c>
      <c r="H34" s="12" t="n">
        <f aca="false">SUM(H24:H33)</f>
        <v>0</v>
      </c>
      <c r="I34" s="12" t="n">
        <f aca="false">SUM(I24:I33)</f>
        <v>88341.5494583934</v>
      </c>
      <c r="J34" s="12" t="n">
        <f aca="false">SUM(J24:J33)</f>
        <v>18352.606338277</v>
      </c>
      <c r="K34" s="12" t="n">
        <f aca="false">SUM(K24:K33)</f>
        <v>48086.6962010262</v>
      </c>
      <c r="L34" s="12" t="n">
        <f aca="false">SUM(L24:L33)</f>
        <v>0</v>
      </c>
    </row>
    <row r="35" customFormat="false" ht="15" hidden="false" customHeight="false" outlineLevel="0" collapsed="false">
      <c r="A35" s="11" t="s">
        <v>100</v>
      </c>
      <c r="B35" s="12" t="n">
        <f aca="false">SUM(B34:L34)</f>
        <v>357697.037711311</v>
      </c>
    </row>
    <row r="37" customFormat="false" ht="15" hidden="false" customHeight="false" outlineLevel="0" collapsed="false">
      <c r="A37" s="4" t="s">
        <v>101</v>
      </c>
      <c r="B37" s="6"/>
      <c r="C37" s="6"/>
      <c r="D37" s="6"/>
      <c r="E37" s="6"/>
      <c r="F37" s="6"/>
      <c r="G37" s="6"/>
      <c r="H37" s="6"/>
      <c r="I37" s="6"/>
      <c r="J37" s="6"/>
      <c r="K37" s="6"/>
      <c r="L37" s="6"/>
    </row>
    <row r="39" customFormat="false" ht="15" hidden="false" customHeight="false" outlineLevel="0" collapsed="false">
      <c r="A39" s="24" t="s">
        <v>55</v>
      </c>
      <c r="B39" s="25" t="n">
        <v>1</v>
      </c>
      <c r="C39" s="25" t="n">
        <f aca="false">B39+1</f>
        <v>2</v>
      </c>
      <c r="D39" s="25" t="n">
        <f aca="false">C39+1</f>
        <v>3</v>
      </c>
      <c r="E39" s="25" t="n">
        <f aca="false">D39+1</f>
        <v>4</v>
      </c>
      <c r="F39" s="25" t="n">
        <f aca="false">E39+1</f>
        <v>5</v>
      </c>
      <c r="G39" s="25" t="n">
        <f aca="false">F39+1</f>
        <v>6</v>
      </c>
      <c r="H39" s="25" t="n">
        <f aca="false">G39+1</f>
        <v>7</v>
      </c>
      <c r="I39" s="25" t="n">
        <f aca="false">H39+1</f>
        <v>8</v>
      </c>
      <c r="J39" s="25" t="n">
        <f aca="false">I39+1</f>
        <v>9</v>
      </c>
      <c r="K39" s="25" t="n">
        <f aca="false">J39+1</f>
        <v>10</v>
      </c>
      <c r="L39" s="25" t="n">
        <f aca="false">K39+1</f>
        <v>11</v>
      </c>
    </row>
    <row r="40" customFormat="false" ht="15" hidden="false" customHeight="false" outlineLevel="0" collapsed="false">
      <c r="A40" s="7" t="s">
        <v>102</v>
      </c>
      <c r="B40" s="26" t="n">
        <f aca="false">B20</f>
        <v>1698395.5</v>
      </c>
      <c r="C40" s="26" t="n">
        <f aca="false">C20</f>
        <v>2065882</v>
      </c>
      <c r="D40" s="26" t="n">
        <f aca="false">D20</f>
        <v>1989265.845</v>
      </c>
      <c r="E40" s="26" t="n">
        <f aca="false">E20</f>
        <v>1939484.5671375</v>
      </c>
      <c r="F40" s="26" t="n">
        <f aca="false">F20</f>
        <v>2131366.92813113</v>
      </c>
      <c r="G40" s="26" t="n">
        <f aca="false">G20</f>
        <v>2100975.6380119</v>
      </c>
      <c r="H40" s="26" t="n">
        <f aca="false">H20</f>
        <v>2276674.5714241</v>
      </c>
      <c r="I40" s="26" t="n">
        <f aca="false">I20</f>
        <v>1951410.48718809</v>
      </c>
      <c r="J40" s="26" t="n">
        <f aca="false">J20</f>
        <v>2330905.91171051</v>
      </c>
      <c r="K40" s="26" t="n">
        <f aca="false">K20</f>
        <v>2273213.43707028</v>
      </c>
      <c r="L40" s="26" t="n">
        <f aca="false">L20</f>
        <v>2513646.91807541</v>
      </c>
    </row>
    <row r="41" customFormat="false" ht="15" hidden="false" customHeight="false" outlineLevel="0" collapsed="false">
      <c r="A41" s="7" t="s">
        <v>103</v>
      </c>
      <c r="B41" s="26" t="n">
        <f aca="false">B20*NonRec</f>
        <v>28023.52575</v>
      </c>
      <c r="C41" s="26" t="n">
        <f aca="false">C20*NonRec</f>
        <v>34087.053</v>
      </c>
      <c r="D41" s="26" t="n">
        <f aca="false">D20*NonRec</f>
        <v>32822.8864425</v>
      </c>
      <c r="E41" s="26" t="n">
        <f aca="false">E20*NonRec</f>
        <v>32001.4953577688</v>
      </c>
      <c r="F41" s="26" t="n">
        <f aca="false">F20*NonRec</f>
        <v>35167.5543141636</v>
      </c>
      <c r="G41" s="26" t="n">
        <f aca="false">G20*NonRec</f>
        <v>34666.0980271963</v>
      </c>
      <c r="H41" s="26" t="n">
        <f aca="false">H20*NonRec</f>
        <v>37565.1304284976</v>
      </c>
      <c r="I41" s="26" t="n">
        <f aca="false">I20*NonRec</f>
        <v>32198.2730386034</v>
      </c>
      <c r="J41" s="26" t="n">
        <f aca="false">J20*NonRec</f>
        <v>38459.9475432235</v>
      </c>
      <c r="K41" s="26" t="n">
        <f aca="false">K20*NonRec</f>
        <v>37508.0217116596</v>
      </c>
      <c r="L41" s="26" t="n">
        <f aca="false">L20*NonRec</f>
        <v>41475.1741482442</v>
      </c>
    </row>
    <row r="42" customFormat="false" ht="15" hidden="false" customHeight="false" outlineLevel="0" collapsed="false">
      <c r="A42" s="7" t="s">
        <v>104</v>
      </c>
      <c r="B42" s="26" t="n">
        <f aca="false">B20*MgmtFee</f>
        <v>12737.96625</v>
      </c>
      <c r="C42" s="26" t="n">
        <f aca="false">C20*MgmtFee</f>
        <v>15494.115</v>
      </c>
      <c r="D42" s="26" t="n">
        <f aca="false">D20*MgmtFee</f>
        <v>14919.4938375</v>
      </c>
      <c r="E42" s="26" t="n">
        <f aca="false">E20*MgmtFee</f>
        <v>14546.1342535313</v>
      </c>
      <c r="F42" s="26" t="n">
        <f aca="false">F20*MgmtFee</f>
        <v>15985.2519609834</v>
      </c>
      <c r="G42" s="26" t="n">
        <f aca="false">G20*MgmtFee</f>
        <v>15757.3172850892</v>
      </c>
      <c r="H42" s="26" t="n">
        <f aca="false">H20*MgmtFee</f>
        <v>17075.0592856807</v>
      </c>
      <c r="I42" s="26" t="n">
        <f aca="false">I20*MgmtFee</f>
        <v>14635.5786539106</v>
      </c>
      <c r="J42" s="26" t="n">
        <f aca="false">J20*MgmtFee</f>
        <v>17481.7943378289</v>
      </c>
      <c r="K42" s="26" t="n">
        <f aca="false">K20*MgmtFee</f>
        <v>17049.1007780271</v>
      </c>
      <c r="L42" s="26" t="n">
        <f aca="false">L20*MgmtFee</f>
        <v>18852.3518855656</v>
      </c>
    </row>
    <row r="43" customFormat="false" ht="15" hidden="false" customHeight="false" outlineLevel="0" collapsed="false">
      <c r="A43" s="11" t="s">
        <v>105</v>
      </c>
      <c r="B43" s="12" t="n">
        <f aca="false">B20-B41-B42</f>
        <v>1657634.008</v>
      </c>
      <c r="C43" s="12" t="n">
        <f aca="false">C20-C41-C42</f>
        <v>2016300.832</v>
      </c>
      <c r="D43" s="12" t="n">
        <f aca="false">D20-D41-D42</f>
        <v>1941523.46472</v>
      </c>
      <c r="E43" s="12" t="n">
        <f aca="false">E20-E41-E42</f>
        <v>1892936.9375262</v>
      </c>
      <c r="F43" s="12" t="n">
        <f aca="false">F20-F41-F42</f>
        <v>2080214.12185598</v>
      </c>
      <c r="G43" s="12" t="n">
        <f aca="false">G20-G41-G42</f>
        <v>2050552.22269961</v>
      </c>
      <c r="H43" s="12" t="n">
        <f aca="false">H20-H41-H42</f>
        <v>2222034.38170992</v>
      </c>
      <c r="I43" s="12" t="n">
        <f aca="false">I20-I41-I42</f>
        <v>1904576.63549557</v>
      </c>
      <c r="J43" s="12" t="n">
        <f aca="false">J20-J41-J42</f>
        <v>2274964.16982946</v>
      </c>
      <c r="K43" s="12" t="n">
        <f aca="false">K20-K41-K42</f>
        <v>2218656.31458059</v>
      </c>
      <c r="L43" s="12" t="n">
        <f aca="false">L20-L41-L42</f>
        <v>2453319.3920416</v>
      </c>
    </row>
    <row r="44" customFormat="false" ht="15" hidden="false" customHeight="false" outlineLevel="0" collapsed="false">
      <c r="A44" s="7" t="s">
        <v>106</v>
      </c>
      <c r="B44" s="26" t="n">
        <f aca="false">B34</f>
        <v>73497.3</v>
      </c>
      <c r="C44" s="26" t="n">
        <f aca="false">C34</f>
        <v>0</v>
      </c>
      <c r="D44" s="26" t="n">
        <f aca="false">D34</f>
        <v>24590.307</v>
      </c>
      <c r="E44" s="26" t="n">
        <f aca="false">E34</f>
        <v>50800.3122825</v>
      </c>
      <c r="F44" s="26" t="n">
        <f aca="false">F34</f>
        <v>18888.479748675</v>
      </c>
      <c r="G44" s="26" t="n">
        <f aca="false">G34</f>
        <v>35139.7866824395</v>
      </c>
      <c r="H44" s="26" t="n">
        <f aca="false">H34</f>
        <v>0</v>
      </c>
      <c r="I44" s="26" t="n">
        <f aca="false">I34</f>
        <v>88341.5494583934</v>
      </c>
      <c r="J44" s="26" t="n">
        <f aca="false">J34</f>
        <v>18352.606338277</v>
      </c>
      <c r="K44" s="26" t="n">
        <f aca="false">K34</f>
        <v>48086.6962010262</v>
      </c>
      <c r="L44" s="26" t="n">
        <f aca="false">L34</f>
        <v>0</v>
      </c>
    </row>
    <row r="45" customFormat="false" ht="15" hidden="false" customHeight="false" outlineLevel="0" collapsed="false">
      <c r="A45" s="7" t="s">
        <v>107</v>
      </c>
      <c r="B45" s="26" t="n">
        <f aca="false">SUMIF(CapexYr,B$9,CapexAmt)</f>
        <v>1850000</v>
      </c>
      <c r="C45" s="26" t="n">
        <f aca="false">SUMIF(CapexYr,C$9,CapexAmt)</f>
        <v>940000</v>
      </c>
      <c r="D45" s="26" t="n">
        <f aca="false">SUMIF(CapexYr,D$9,CapexAmt)</f>
        <v>610000</v>
      </c>
      <c r="E45" s="26" t="n">
        <f aca="false">SUMIF(CapexYr,E$9,CapexAmt)</f>
        <v>0</v>
      </c>
      <c r="F45" s="26" t="n">
        <f aca="false">SUMIF(CapexYr,F$9,CapexAmt)</f>
        <v>0</v>
      </c>
      <c r="G45" s="26" t="n">
        <f aca="false">SUMIF(CapexYr,G$9,CapexAmt)</f>
        <v>0</v>
      </c>
      <c r="H45" s="26" t="n">
        <f aca="false">SUMIF(CapexYr,H$9,CapexAmt)</f>
        <v>0</v>
      </c>
      <c r="I45" s="26" t="n">
        <f aca="false">SUMIF(CapexYr,I$9,CapexAmt)</f>
        <v>0</v>
      </c>
      <c r="J45" s="26" t="n">
        <f aca="false">SUMIF(CapexYr,J$9,CapexAmt)</f>
        <v>0</v>
      </c>
      <c r="K45" s="26" t="n">
        <f aca="false">SUMIF(CapexYr,K$9,CapexAmt)</f>
        <v>0</v>
      </c>
      <c r="L45" s="26" t="n">
        <f aca="false">SUMIF(CapexYr,L$9,CapexAmt)</f>
        <v>0</v>
      </c>
    </row>
    <row r="46" customFormat="false" ht="15" hidden="false" customHeight="false" outlineLevel="0" collapsed="false">
      <c r="A46" s="11" t="s">
        <v>108</v>
      </c>
      <c r="B46" s="12" t="n">
        <f aca="false">B43-B44-B45</f>
        <v>-265863.292</v>
      </c>
      <c r="C46" s="12" t="n">
        <f aca="false">C43-C44-C45</f>
        <v>1076300.832</v>
      </c>
      <c r="D46" s="12" t="n">
        <f aca="false">D43-D44-D45</f>
        <v>1306933.15772</v>
      </c>
      <c r="E46" s="12" t="n">
        <f aca="false">E43-E44-E45</f>
        <v>1842136.6252437</v>
      </c>
      <c r="F46" s="12" t="n">
        <f aca="false">F43-F44-F45</f>
        <v>2061325.6421073</v>
      </c>
      <c r="G46" s="12" t="n">
        <f aca="false">G43-G44-G45</f>
        <v>2015412.43601717</v>
      </c>
      <c r="H46" s="12" t="n">
        <f aca="false">H43-H44-H45</f>
        <v>2222034.38170992</v>
      </c>
      <c r="I46" s="12" t="n">
        <f aca="false">I43-I44-I45</f>
        <v>1816235.08603718</v>
      </c>
      <c r="J46" s="12" t="n">
        <f aca="false">J43-J44-J45</f>
        <v>2256611.56349119</v>
      </c>
      <c r="K46" s="12" t="n">
        <f aca="false">K43-K44-K45</f>
        <v>2170569.61837956</v>
      </c>
      <c r="L46" s="12" t="n">
        <f aca="false">L43-L44-L45</f>
        <v>2453319.3920416</v>
      </c>
    </row>
    <row r="48" customFormat="false" ht="15" hidden="false" customHeight="false" outlineLevel="0" collapsed="false">
      <c r="A48" s="18" t="s">
        <v>109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8"/>
    <col collapsed="false" customWidth="true" hidden="false" outlineLevel="0" max="12" min="2" style="0" width="14"/>
  </cols>
  <sheetData>
    <row r="1" customFormat="false" ht="24" hidden="false" customHeight="true" outlineLevel="0" collapsed="false">
      <c r="A1" s="1" t="s">
        <v>110</v>
      </c>
    </row>
    <row r="2" customFormat="false" ht="15" hidden="false" customHeight="false" outlineLevel="0" collapsed="false">
      <c r="A2" s="2" t="s">
        <v>111</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4" t="s">
        <v>112</v>
      </c>
      <c r="B5" s="6"/>
      <c r="C5" s="6"/>
      <c r="D5" s="6"/>
      <c r="E5" s="6"/>
      <c r="F5" s="6"/>
      <c r="G5" s="6"/>
      <c r="H5" s="6"/>
      <c r="I5" s="6"/>
      <c r="J5" s="6"/>
      <c r="K5" s="6"/>
      <c r="L5" s="6"/>
    </row>
    <row r="7" customFormat="false" ht="15" hidden="false" customHeight="false" outlineLevel="0" collapsed="false">
      <c r="A7" s="7" t="s">
        <v>113</v>
      </c>
      <c r="B7" s="12" t="n">
        <f aca="false">'Income account'!L43</f>
        <v>2453319.3920416</v>
      </c>
    </row>
    <row r="8" customFormat="false" ht="15" hidden="false" customHeight="false" outlineLevel="0" collapsed="false">
      <c r="A8" s="7" t="s">
        <v>114</v>
      </c>
      <c r="B8" s="23" t="n">
        <f aca="false">ExitYld</f>
        <v>0.0665</v>
      </c>
    </row>
    <row r="9" customFormat="false" ht="15" hidden="false" customHeight="false" outlineLevel="0" collapsed="false">
      <c r="A9" s="11" t="s">
        <v>115</v>
      </c>
      <c r="B9" s="12" t="n">
        <f aca="false">ExitNOI/ExitYld</f>
        <v>36892020.9329564</v>
      </c>
    </row>
    <row r="10" customFormat="false" ht="15" hidden="false" customHeight="false" outlineLevel="0" collapsed="false">
      <c r="A10" s="7" t="s">
        <v>116</v>
      </c>
      <c r="B10" s="21" t="n">
        <f aca="false">GrossExit*SaleCost</f>
        <v>461150.261661954</v>
      </c>
    </row>
    <row r="11" customFormat="false" ht="15" hidden="false" customHeight="false" outlineLevel="0" collapsed="false">
      <c r="A11" s="11" t="s">
        <v>117</v>
      </c>
      <c r="B11" s="12" t="n">
        <f aca="false">GrossExit*(1-SaleCost)</f>
        <v>36430870.6712944</v>
      </c>
    </row>
    <row r="13" customFormat="false" ht="15" hidden="false" customHeight="false" outlineLevel="0" collapsed="false">
      <c r="A13" s="7" t="s">
        <v>118</v>
      </c>
      <c r="B13" s="21" t="n">
        <f aca="false">'Income account'!K43</f>
        <v>2218656.31458059</v>
      </c>
      <c r="D13" s="7" t="s">
        <v>119</v>
      </c>
    </row>
    <row r="14" customFormat="false" ht="15" hidden="false" customHeight="false" outlineLevel="0" collapsed="false">
      <c r="A14" s="7" t="s">
        <v>120</v>
      </c>
      <c r="B14" s="21" t="n">
        <f aca="false">B13/ExitYld</f>
        <v>33363252.8508359</v>
      </c>
    </row>
    <row r="15" customFormat="false" ht="15" hidden="false" customHeight="false" outlineLevel="0" collapsed="false">
      <c r="A15" s="11" t="s">
        <v>121</v>
      </c>
      <c r="B15" s="12" t="n">
        <f aca="false">B14-B9</f>
        <v>-3528768.08212042</v>
      </c>
    </row>
    <row r="17" customFormat="false" ht="15" hidden="false" customHeight="false" outlineLevel="0" collapsed="false">
      <c r="A17" s="4" t="s">
        <v>122</v>
      </c>
      <c r="B17" s="6"/>
      <c r="C17" s="6"/>
      <c r="D17" s="6"/>
      <c r="E17" s="6"/>
      <c r="F17" s="6"/>
      <c r="G17" s="6"/>
      <c r="H17" s="6"/>
      <c r="I17" s="6"/>
      <c r="J17" s="6"/>
      <c r="K17" s="6"/>
      <c r="L17" s="6"/>
    </row>
    <row r="19" customFormat="false" ht="15" hidden="false" customHeight="false" outlineLevel="0" collapsed="false">
      <c r="A19" s="24" t="s">
        <v>55</v>
      </c>
      <c r="B19" s="25" t="n">
        <v>0</v>
      </c>
      <c r="C19" s="25" t="n">
        <f aca="false">B19+1</f>
        <v>1</v>
      </c>
      <c r="D19" s="25" t="n">
        <f aca="false">C19+1</f>
        <v>2</v>
      </c>
      <c r="E19" s="25" t="n">
        <f aca="false">D19+1</f>
        <v>3</v>
      </c>
      <c r="F19" s="25" t="n">
        <f aca="false">E19+1</f>
        <v>4</v>
      </c>
      <c r="G19" s="25" t="n">
        <f aca="false">F19+1</f>
        <v>5</v>
      </c>
      <c r="H19" s="25" t="n">
        <f aca="false">G19+1</f>
        <v>6</v>
      </c>
      <c r="I19" s="25" t="n">
        <f aca="false">H19+1</f>
        <v>7</v>
      </c>
      <c r="J19" s="25" t="n">
        <f aca="false">I19+1</f>
        <v>8</v>
      </c>
      <c r="K19" s="25" t="n">
        <f aca="false">J19+1</f>
        <v>9</v>
      </c>
      <c r="L19" s="25" t="n">
        <f aca="false">K19+1</f>
        <v>10</v>
      </c>
    </row>
    <row r="20" customFormat="false" ht="15" hidden="false" customHeight="false" outlineLevel="0" collapsed="false">
      <c r="A20" s="7" t="s">
        <v>123</v>
      </c>
      <c r="B20" s="26" t="n">
        <f aca="false">-TotCost</f>
        <v>-28195200</v>
      </c>
    </row>
    <row r="21" customFormat="false" ht="15" hidden="false" customHeight="false" outlineLevel="0" collapsed="false">
      <c r="A21" s="7" t="s">
        <v>108</v>
      </c>
      <c r="B21" s="26" t="n">
        <f aca="false">0</f>
        <v>0</v>
      </c>
      <c r="C21" s="26" t="n">
        <f aca="false">'Income account'!B46</f>
        <v>-265863.292</v>
      </c>
      <c r="D21" s="26" t="n">
        <f aca="false">'Income account'!C46</f>
        <v>1076300.832</v>
      </c>
      <c r="E21" s="26" t="n">
        <f aca="false">'Income account'!D46</f>
        <v>1306933.15772</v>
      </c>
      <c r="F21" s="26" t="n">
        <f aca="false">'Income account'!E46</f>
        <v>1842136.6252437</v>
      </c>
      <c r="G21" s="26" t="n">
        <f aca="false">'Income account'!F46</f>
        <v>2061325.6421073</v>
      </c>
      <c r="H21" s="26" t="n">
        <f aca="false">'Income account'!G46</f>
        <v>2015412.43601717</v>
      </c>
      <c r="I21" s="26" t="n">
        <f aca="false">'Income account'!H46</f>
        <v>2222034.38170992</v>
      </c>
      <c r="J21" s="26" t="n">
        <f aca="false">'Income account'!I46</f>
        <v>1816235.08603718</v>
      </c>
      <c r="K21" s="26" t="n">
        <f aca="false">'Income account'!J46</f>
        <v>2256611.56349119</v>
      </c>
      <c r="L21" s="26" t="n">
        <f aca="false">'Income account'!K46</f>
        <v>2170569.61837956</v>
      </c>
    </row>
    <row r="22" customFormat="false" ht="15" hidden="false" customHeight="false" outlineLevel="0" collapsed="false">
      <c r="A22" s="7" t="s">
        <v>124</v>
      </c>
      <c r="B22" s="26" t="n">
        <f aca="false">0</f>
        <v>0</v>
      </c>
      <c r="C22" s="26" t="n">
        <f aca="false">-AMFee</f>
        <v>-211464</v>
      </c>
      <c r="D22" s="26" t="n">
        <f aca="false">-AMFee</f>
        <v>-211464</v>
      </c>
      <c r="E22" s="26" t="n">
        <f aca="false">-AMFee</f>
        <v>-211464</v>
      </c>
      <c r="F22" s="26" t="n">
        <f aca="false">-AMFee</f>
        <v>-211464</v>
      </c>
      <c r="G22" s="26" t="n">
        <f aca="false">-AMFee</f>
        <v>-211464</v>
      </c>
      <c r="H22" s="26" t="n">
        <f aca="false">-AMFee</f>
        <v>-211464</v>
      </c>
      <c r="I22" s="26" t="n">
        <f aca="false">-AMFee</f>
        <v>-211464</v>
      </c>
      <c r="J22" s="26" t="n">
        <f aca="false">-AMFee</f>
        <v>-211464</v>
      </c>
      <c r="K22" s="26" t="n">
        <f aca="false">-AMFee</f>
        <v>-211464</v>
      </c>
      <c r="L22" s="26" t="n">
        <f aca="false">-AMFee</f>
        <v>-211464</v>
      </c>
    </row>
    <row r="23" customFormat="false" ht="15" hidden="false" customHeight="false" outlineLevel="0" collapsed="false">
      <c r="A23" s="7" t="s">
        <v>117</v>
      </c>
      <c r="B23" s="21" t="n">
        <f aca="false">0</f>
        <v>0</v>
      </c>
      <c r="C23" s="21" t="n">
        <f aca="false">0</f>
        <v>0</v>
      </c>
      <c r="D23" s="21" t="n">
        <f aca="false">0</f>
        <v>0</v>
      </c>
      <c r="E23" s="21" t="n">
        <f aca="false">0</f>
        <v>0</v>
      </c>
      <c r="F23" s="21" t="n">
        <f aca="false">0</f>
        <v>0</v>
      </c>
      <c r="G23" s="21" t="n">
        <f aca="false">0</f>
        <v>0</v>
      </c>
      <c r="H23" s="21" t="n">
        <f aca="false">0</f>
        <v>0</v>
      </c>
      <c r="I23" s="21" t="n">
        <f aca="false">0</f>
        <v>0</v>
      </c>
      <c r="J23" s="21" t="n">
        <f aca="false">0</f>
        <v>0</v>
      </c>
      <c r="K23" s="21" t="n">
        <f aca="false">0</f>
        <v>0</v>
      </c>
      <c r="L23" s="21" t="n">
        <f aca="false">NetExit</f>
        <v>36430870.6712944</v>
      </c>
    </row>
    <row r="24" customFormat="false" ht="15" hidden="false" customHeight="false" outlineLevel="0" collapsed="false">
      <c r="A24" s="11" t="s">
        <v>125</v>
      </c>
      <c r="B24" s="12" t="n">
        <f aca="false">SUM(B20:B23)</f>
        <v>-28195200</v>
      </c>
      <c r="C24" s="12" t="n">
        <f aca="false">SUM(C20:C23)</f>
        <v>-477327.292</v>
      </c>
      <c r="D24" s="12" t="n">
        <f aca="false">SUM(D20:D23)</f>
        <v>864836.832</v>
      </c>
      <c r="E24" s="12" t="n">
        <f aca="false">SUM(E20:E23)</f>
        <v>1095469.15772</v>
      </c>
      <c r="F24" s="12" t="n">
        <f aca="false">SUM(F20:F23)</f>
        <v>1630672.6252437</v>
      </c>
      <c r="G24" s="12" t="n">
        <f aca="false">SUM(G20:G23)</f>
        <v>1849861.6421073</v>
      </c>
      <c r="H24" s="12" t="n">
        <f aca="false">SUM(H20:H23)</f>
        <v>1803948.43601717</v>
      </c>
      <c r="I24" s="12" t="n">
        <f aca="false">SUM(I20:I23)</f>
        <v>2010570.38170992</v>
      </c>
      <c r="J24" s="12" t="n">
        <f aca="false">SUM(J20:J23)</f>
        <v>1604771.08603718</v>
      </c>
      <c r="K24" s="12" t="n">
        <f aca="false">SUM(K20:K23)</f>
        <v>2045147.56349119</v>
      </c>
      <c r="L24" s="12" t="n">
        <f aca="false">SUM(L20:L23)</f>
        <v>38389976.289674</v>
      </c>
    </row>
    <row r="25" customFormat="false" ht="15" hidden="false" customHeight="false" outlineLevel="0" collapsed="false">
      <c r="A25" s="7" t="s">
        <v>126</v>
      </c>
      <c r="B25" s="26" t="n">
        <f aca="false">-ArrFee</f>
        <v>-159720</v>
      </c>
      <c r="C25" s="26" t="n">
        <f aca="false">0</f>
        <v>0</v>
      </c>
      <c r="D25" s="26" t="n">
        <f aca="false">0</f>
        <v>0</v>
      </c>
      <c r="E25" s="26" t="n">
        <f aca="false">0</f>
        <v>0</v>
      </c>
      <c r="F25" s="26" t="n">
        <f aca="false">0</f>
        <v>0</v>
      </c>
      <c r="G25" s="26" t="n">
        <f aca="false">0</f>
        <v>0</v>
      </c>
      <c r="H25" s="26" t="n">
        <f aca="false">0</f>
        <v>0</v>
      </c>
      <c r="I25" s="26" t="n">
        <f aca="false">0</f>
        <v>0</v>
      </c>
      <c r="J25" s="26" t="n">
        <f aca="false">0</f>
        <v>0</v>
      </c>
      <c r="K25" s="26" t="n">
        <f aca="false">0</f>
        <v>0</v>
      </c>
      <c r="L25" s="26" t="n">
        <f aca="false">0</f>
        <v>0</v>
      </c>
    </row>
    <row r="26" customFormat="false" ht="15" hidden="false" customHeight="false" outlineLevel="0" collapsed="false">
      <c r="A26" s="7" t="s">
        <v>127</v>
      </c>
      <c r="B26" s="21" t="n">
        <f aca="false">Debt</f>
        <v>14520000</v>
      </c>
      <c r="C26" s="21" t="n">
        <f aca="false">0</f>
        <v>0</v>
      </c>
      <c r="D26" s="21" t="n">
        <f aca="false">0</f>
        <v>0</v>
      </c>
      <c r="E26" s="21" t="n">
        <f aca="false">0</f>
        <v>0</v>
      </c>
      <c r="F26" s="21" t="n">
        <f aca="false">0</f>
        <v>0</v>
      </c>
      <c r="G26" s="21" t="n">
        <f aca="false">0</f>
        <v>0</v>
      </c>
      <c r="H26" s="21" t="n">
        <f aca="false">0</f>
        <v>0</v>
      </c>
      <c r="I26" s="21" t="n">
        <f aca="false">0</f>
        <v>0</v>
      </c>
      <c r="J26" s="21" t="n">
        <f aca="false">0</f>
        <v>0</v>
      </c>
      <c r="K26" s="21" t="n">
        <f aca="false">0</f>
        <v>0</v>
      </c>
      <c r="L26" s="21" t="n">
        <f aca="false">-Debt</f>
        <v>-14520000</v>
      </c>
    </row>
    <row r="27" customFormat="false" ht="15" hidden="false" customHeight="false" outlineLevel="0" collapsed="false">
      <c r="A27" s="7" t="s">
        <v>128</v>
      </c>
      <c r="B27" s="26" t="n">
        <f aca="false">0</f>
        <v>0</v>
      </c>
      <c r="C27" s="26" t="n">
        <f aca="false">-Interest</f>
        <v>-631620</v>
      </c>
      <c r="D27" s="26" t="n">
        <f aca="false">-Interest</f>
        <v>-631620</v>
      </c>
      <c r="E27" s="26" t="n">
        <f aca="false">-Interest</f>
        <v>-631620</v>
      </c>
      <c r="F27" s="26" t="n">
        <f aca="false">-Interest</f>
        <v>-631620</v>
      </c>
      <c r="G27" s="26" t="n">
        <f aca="false">-Interest</f>
        <v>-631620</v>
      </c>
      <c r="H27" s="26" t="n">
        <f aca="false">-Interest</f>
        <v>-631620</v>
      </c>
      <c r="I27" s="26" t="n">
        <f aca="false">-Interest</f>
        <v>-631620</v>
      </c>
      <c r="J27" s="26" t="n">
        <f aca="false">-Interest</f>
        <v>-631620</v>
      </c>
      <c r="K27" s="26" t="n">
        <f aca="false">-Interest</f>
        <v>-631620</v>
      </c>
      <c r="L27" s="26" t="n">
        <f aca="false">-Interest</f>
        <v>-631620</v>
      </c>
    </row>
    <row r="28" customFormat="false" ht="15" hidden="false" customHeight="false" outlineLevel="0" collapsed="false">
      <c r="A28" s="11" t="s">
        <v>129</v>
      </c>
      <c r="B28" s="12" t="n">
        <f aca="false">B24+B25+B26+B27</f>
        <v>-13834920</v>
      </c>
      <c r="C28" s="12" t="n">
        <f aca="false">C24+C25+C26+C27</f>
        <v>-1108947.292</v>
      </c>
      <c r="D28" s="12" t="n">
        <f aca="false">D24+D25+D26+D27</f>
        <v>233216.832</v>
      </c>
      <c r="E28" s="12" t="n">
        <f aca="false">E24+E25+E26+E27</f>
        <v>463849.15772</v>
      </c>
      <c r="F28" s="12" t="n">
        <f aca="false">F24+F25+F26+F27</f>
        <v>999052.6252437</v>
      </c>
      <c r="G28" s="12" t="n">
        <f aca="false">G24+G25+G26+G27</f>
        <v>1218241.6421073</v>
      </c>
      <c r="H28" s="12" t="n">
        <f aca="false">H24+H25+H26+H27</f>
        <v>1172328.43601717</v>
      </c>
      <c r="I28" s="12" t="n">
        <f aca="false">I24+I25+I26+I27</f>
        <v>1378950.38170992</v>
      </c>
      <c r="J28" s="12" t="n">
        <f aca="false">J24+J25+J26+J27</f>
        <v>973151.086037178</v>
      </c>
      <c r="K28" s="12" t="n">
        <f aca="false">K24+K25+K26+K27</f>
        <v>1413527.56349119</v>
      </c>
      <c r="L28" s="12" t="n">
        <f aca="false">L24+L25+L26+L27</f>
        <v>23238356.289674</v>
      </c>
    </row>
    <row r="30" customFormat="false" ht="15" hidden="false" customHeight="false" outlineLevel="0" collapsed="false">
      <c r="A30" s="4" t="s">
        <v>130</v>
      </c>
      <c r="B30" s="6"/>
      <c r="C30" s="6"/>
      <c r="D30" s="6"/>
      <c r="E30" s="6"/>
      <c r="F30" s="6"/>
      <c r="G30" s="6"/>
      <c r="H30" s="6"/>
      <c r="I30" s="6"/>
      <c r="J30" s="6"/>
      <c r="K30" s="6"/>
      <c r="L30" s="6"/>
    </row>
    <row r="32" customFormat="false" ht="15" hidden="false" customHeight="false" outlineLevel="0" collapsed="false">
      <c r="A32" s="11" t="s">
        <v>131</v>
      </c>
      <c r="B32" s="27" t="n">
        <f aca="false">IRR(PropFlows)</f>
        <v>0.0682054638348641</v>
      </c>
      <c r="D32" s="7" t="s">
        <v>132</v>
      </c>
    </row>
    <row r="33" customFormat="false" ht="15" hidden="false" customHeight="false" outlineLevel="0" collapsed="false">
      <c r="A33" s="11" t="s">
        <v>133</v>
      </c>
      <c r="B33" s="27" t="n">
        <f aca="false">IRR(EqFlows)</f>
        <v>0.0866467604777335</v>
      </c>
    </row>
    <row r="34" customFormat="false" ht="15" hidden="false" customHeight="false" outlineLevel="0" collapsed="false">
      <c r="A34" s="11" t="s">
        <v>134</v>
      </c>
      <c r="B34" s="28" t="n">
        <f aca="false">SUM(C28:L28)/Equity0</f>
        <v>2.16710517458723</v>
      </c>
    </row>
    <row r="35" customFormat="false" ht="15" hidden="false" customHeight="false" outlineLevel="0" collapsed="false">
      <c r="A35" s="7" t="s">
        <v>135</v>
      </c>
      <c r="B35" s="21" t="n">
        <f aca="false">SUM(EqFlows)</f>
        <v>16146806.7220004</v>
      </c>
    </row>
    <row r="36" customFormat="false" ht="15" hidden="false" customHeight="false" outlineLevel="0" collapsed="false">
      <c r="A36" s="7" t="s">
        <v>136</v>
      </c>
      <c r="B36" s="21" t="n">
        <f aca="false">-SUMIF(EqFlows,"&lt;0")</f>
        <v>14943867.292</v>
      </c>
      <c r="D36" s="7" t="s">
        <v>137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0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19" min="2" style="0" width="13"/>
  </cols>
  <sheetData>
    <row r="1" customFormat="false" ht="19.7" hidden="false" customHeight="false" outlineLevel="0" collapsed="false">
      <c r="A1" s="29" t="s">
        <v>138</v>
      </c>
    </row>
    <row r="2" customFormat="false" ht="15" hidden="false" customHeight="false" outlineLevel="0" collapsed="false">
      <c r="A2" s="30" t="s">
        <v>139</v>
      </c>
    </row>
    <row r="4" customFormat="false" ht="15" hidden="false" customHeight="false" outlineLevel="0" collapsed="false">
      <c r="A4" s="30" t="s">
        <v>140</v>
      </c>
    </row>
    <row r="5" customFormat="false" ht="15" hidden="false" customHeight="false" outlineLevel="0" collapsed="false">
      <c r="A5" s="31" t="s">
        <v>141</v>
      </c>
    </row>
    <row r="6" customFormat="false" ht="15" hidden="false" customHeight="false" outlineLevel="0" collapsed="false">
      <c r="A6" s="32" t="s">
        <v>67</v>
      </c>
      <c r="B6" s="33" t="s">
        <v>142</v>
      </c>
      <c r="C6" s="33" t="s">
        <v>143</v>
      </c>
    </row>
    <row r="7" customFormat="false" ht="15" hidden="false" customHeight="false" outlineLevel="0" collapsed="false">
      <c r="A7" s="7" t="str">
        <f aca="false">'Rent roll'!$A8</f>
        <v>Ardgour Logistics</v>
      </c>
      <c r="B7" s="34" t="n">
        <f aca="false">IF('Rent roll'!$E8=0,'Rent roll'!$D8,MAX('Rent roll'!$C8,'Rent roll'!$D8))</f>
        <v>504000</v>
      </c>
      <c r="C7" s="34" t="n">
        <f aca="false">'Rent roll'!$G8</f>
        <v>588943.663055956</v>
      </c>
    </row>
    <row r="8" customFormat="false" ht="15" hidden="false" customHeight="false" outlineLevel="0" collapsed="false">
      <c r="A8" s="7" t="str">
        <f aca="false">'Rent roll'!$A9</f>
        <v>Kilmory Print</v>
      </c>
      <c r="B8" s="34" t="n">
        <f aca="false">IF('Rent roll'!$E9=0,'Rent roll'!$D9,MAX('Rent roll'!$C9,'Rent roll'!$D9))</f>
        <v>316800</v>
      </c>
      <c r="C8" s="34" t="n">
        <f aca="false">'Rent roll'!$G9</f>
        <v>338668.74855</v>
      </c>
    </row>
    <row r="9" customFormat="false" ht="15" hidden="false" customHeight="false" outlineLevel="0" collapsed="false">
      <c r="A9" s="7" t="str">
        <f aca="false">'Rent roll'!$A10</f>
        <v>Tannoch Foods</v>
      </c>
      <c r="B9" s="34" t="n">
        <f aca="false">IF('Rent roll'!$E10=0,'Rent roll'!$D10,MAX('Rent roll'!$C10,'Rent roll'!$D10))</f>
        <v>262400</v>
      </c>
      <c r="C9" s="34" t="n">
        <f aca="false">'Rent roll'!$G10</f>
        <v>320577.974673508</v>
      </c>
    </row>
    <row r="10" customFormat="false" ht="15" hidden="false" customHeight="false" outlineLevel="0" collapsed="false">
      <c r="A10" s="7" t="str">
        <f aca="false">'Rent roll'!$A11</f>
        <v>Struan Instruments</v>
      </c>
      <c r="B10" s="34" t="n">
        <f aca="false">IF('Rent roll'!$E11=0,'Rent roll'!$D11,MAX('Rent roll'!$C11,'Rent roll'!$D11))</f>
        <v>209600</v>
      </c>
      <c r="C10" s="34" t="n">
        <f aca="false">'Rent roll'!$G11</f>
        <v>234265.244549597</v>
      </c>
    </row>
    <row r="11" customFormat="false" ht="15" hidden="false" customHeight="false" outlineLevel="0" collapsed="false">
      <c r="A11" s="7" t="str">
        <f aca="false">'Rent roll'!$A12</f>
        <v>Balvaig Textiles</v>
      </c>
      <c r="B11" s="34" t="n">
        <f aca="false">IF('Rent roll'!$E12=0,'Rent roll'!$D12,MAX('Rent roll'!$C12,'Rent roll'!$D12))</f>
        <v>156800</v>
      </c>
      <c r="C11" s="34" t="n">
        <f aca="false">'Rent roll'!$G12</f>
        <v>163935.38</v>
      </c>
    </row>
    <row r="12" customFormat="false" ht="15" hidden="false" customHeight="false" outlineLevel="0" collapsed="false">
      <c r="A12" s="7" t="str">
        <f aca="false">'Rent roll'!$A13</f>
        <v>Corrour Systems</v>
      </c>
      <c r="B12" s="34" t="n">
        <f aca="false">IF('Rent roll'!$E13=0,'Rent roll'!$D13,MAX('Rent roll'!$C13,'Rent roll'!$D13))</f>
        <v>137600</v>
      </c>
      <c r="C12" s="34" t="n">
        <f aca="false">'Rent roll'!$G13</f>
        <v>175757.925289515</v>
      </c>
    </row>
    <row r="13" customFormat="false" ht="15" hidden="false" customHeight="false" outlineLevel="0" collapsed="false">
      <c r="A13" s="7" t="str">
        <f aca="false">'Rent roll'!$A14</f>
        <v>Dunardry Media</v>
      </c>
      <c r="B13" s="34" t="n">
        <f aca="false">IF('Rent roll'!$E14=0,'Rent roll'!$D14,MAX('Rent roll'!$C14,'Rent roll'!$D14))</f>
        <v>115200</v>
      </c>
      <c r="C13" s="34" t="n">
        <f aca="false">'Rent roll'!$G14</f>
        <v>125923.1983245</v>
      </c>
    </row>
    <row r="14" customFormat="false" ht="15" hidden="false" customHeight="false" outlineLevel="0" collapsed="false">
      <c r="A14" s="7" t="str">
        <f aca="false">'Rent roll'!$A15</f>
        <v>Eilanreach Labs</v>
      </c>
      <c r="B14" s="34" t="n">
        <f aca="false">IF('Rent roll'!$E15=0,'Rent roll'!$D15,MAX('Rent roll'!$C15,'Rent roll'!$D15))</f>
        <v>102400</v>
      </c>
      <c r="C14" s="34" t="n">
        <f aca="false">'Rent roll'!$G15</f>
        <v>122350.708921847</v>
      </c>
    </row>
    <row r="15" customFormat="false" ht="15" hidden="false" customHeight="false" outlineLevel="0" collapsed="false">
      <c r="A15" s="7" t="str">
        <f aca="false">'Rent roll'!$A16</f>
        <v>Unit 9 (empty at acquisition)</v>
      </c>
      <c r="B15" s="34" t="n">
        <f aca="false">IF('Rent roll'!$E16=0,'Rent roll'!$D16,MAX('Rent roll'!$C16,'Rent roll'!$D16))</f>
        <v>227200</v>
      </c>
      <c r="C15" s="34" t="n">
        <f aca="false">'Rent roll'!$G16</f>
        <v>232312</v>
      </c>
    </row>
    <row r="16" customFormat="false" ht="15" hidden="false" customHeight="false" outlineLevel="0" collapsed="false">
      <c r="A16" s="7" t="str">
        <f aca="false">'Rent roll'!$A17</f>
        <v>Unit 12 (empty at acquisition)</v>
      </c>
      <c r="B16" s="34" t="n">
        <f aca="false">IF('Rent roll'!$E17=0,'Rent roll'!$D17,MAX('Rent roll'!$C17,'Rent roll'!$D17))</f>
        <v>252000</v>
      </c>
      <c r="C16" s="34" t="n">
        <f aca="false">'Rent roll'!$G17</f>
        <v>257670</v>
      </c>
    </row>
    <row r="19" customFormat="false" ht="15" hidden="false" customHeight="false" outlineLevel="0" collapsed="false">
      <c r="A19" s="31" t="s">
        <v>144</v>
      </c>
    </row>
    <row r="20" customFormat="false" ht="15" hidden="false" customHeight="false" outlineLevel="0" collapsed="false">
      <c r="A20" s="35" t="s">
        <v>55</v>
      </c>
      <c r="B20" s="36" t="n">
        <v>1</v>
      </c>
      <c r="C20" s="36" t="n">
        <f aca="false">B20+1</f>
        <v>2</v>
      </c>
      <c r="D20" s="36" t="n">
        <f aca="false">C20+1</f>
        <v>3</v>
      </c>
      <c r="E20" s="36" t="n">
        <f aca="false">D20+1</f>
        <v>4</v>
      </c>
      <c r="F20" s="36" t="n">
        <f aca="false">E20+1</f>
        <v>5</v>
      </c>
      <c r="G20" s="36" t="n">
        <f aca="false">F20+1</f>
        <v>6</v>
      </c>
      <c r="H20" s="36" t="n">
        <f aca="false">G20+1</f>
        <v>7</v>
      </c>
      <c r="I20" s="36" t="n">
        <f aca="false">H20+1</f>
        <v>8</v>
      </c>
      <c r="J20" s="36" t="n">
        <f aca="false">I20+1</f>
        <v>9</v>
      </c>
      <c r="K20" s="36" t="n">
        <f aca="false">J20+1</f>
        <v>10</v>
      </c>
      <c r="L20" s="36" t="n">
        <f aca="false">K20+1</f>
        <v>11</v>
      </c>
    </row>
    <row r="21" customFormat="false" ht="15" hidden="false" customHeight="false" outlineLevel="0" collapsed="false">
      <c r="A21" s="7" t="str">
        <f aca="false">'Rent roll'!$A8</f>
        <v>Ardgour Logistics</v>
      </c>
      <c r="B21" s="21" t="n">
        <f aca="false">IF(AND('Rent roll'!$C8=0,0=0),0,IF(B$20&lt;='Rent roll'!$E8,'Rent roll'!$C8,IF(B$20='Rent roll'!$F8,$B$7*LetFrac,$B$7)))</f>
        <v>472500</v>
      </c>
      <c r="C21" s="21" t="n">
        <f aca="false">IF(AND('Rent roll'!$C8=0,0=0),0,IF(C$20&lt;='Rent roll'!$E8,'Rent roll'!$C8,IF(C$20='Rent roll'!$F8,$B$7*LetFrac,$B$7)))</f>
        <v>472500</v>
      </c>
      <c r="D21" s="21" t="n">
        <f aca="false">IF(AND('Rent roll'!$C8=0,0=0),0,IF(D$20&lt;='Rent roll'!$E8,'Rent roll'!$C8,IF(D$20='Rent roll'!$F8,$B$7*LetFrac,$B$7)))</f>
        <v>472500</v>
      </c>
      <c r="E21" s="21" t="n">
        <f aca="false">IF(AND('Rent roll'!$C8=0,0=0),0,IF(E$20&lt;='Rent roll'!$E8,'Rent roll'!$C8,IF(E$20='Rent roll'!$F8,$B$7*LetFrac,$B$7)))</f>
        <v>472500</v>
      </c>
      <c r="F21" s="21" t="n">
        <f aca="false">IF(AND('Rent roll'!$C8=0,0=0),0,IF(F$20&lt;='Rent roll'!$E8,'Rent roll'!$C8,IF(F$20='Rent roll'!$F8,$B$7*LetFrac,$B$7)))</f>
        <v>472500</v>
      </c>
      <c r="G21" s="21" t="n">
        <f aca="false">IF(AND('Rent roll'!$C8=0,0=0),0,IF(G$20&lt;='Rent roll'!$E8,'Rent roll'!$C8,IF(G$20='Rent roll'!$F8,$B$7*LetFrac,$B$7)))</f>
        <v>472500</v>
      </c>
      <c r="H21" s="21" t="n">
        <f aca="false">IF(AND('Rent roll'!$C8=0,0=0),0,IF(H$20&lt;='Rent roll'!$E8,'Rent roll'!$C8,IF(H$20='Rent roll'!$F8,$B$7*LetFrac,$B$7)))</f>
        <v>472500</v>
      </c>
      <c r="I21" s="21" t="n">
        <f aca="false">IF(AND('Rent roll'!$C8=0,0=0),0,IF(I$20&lt;='Rent roll'!$E8,'Rent roll'!$C8,IF(I$20='Rent roll'!$F8,$B$7*LetFrac,$B$7)))</f>
        <v>126000</v>
      </c>
      <c r="J21" s="21" t="n">
        <f aca="false">IF(AND('Rent roll'!$C8=0,0=0),0,IF(J$20&lt;='Rent roll'!$E8,'Rent roll'!$C8,IF(J$20='Rent roll'!$F8,$B$7*LetFrac,$B$7)))</f>
        <v>504000</v>
      </c>
      <c r="K21" s="21" t="n">
        <f aca="false">IF(AND('Rent roll'!$C8=0,0=0),0,IF(K$20&lt;='Rent roll'!$E8,'Rent roll'!$C8,IF(K$20='Rent roll'!$F8,$B$7*LetFrac,$B$7)))</f>
        <v>504000</v>
      </c>
      <c r="L21" s="21" t="n">
        <f aca="false">IF(AND('Rent roll'!$C8=0,0=0),0,IF(L$20&lt;='Rent roll'!$E8,'Rent roll'!$C8,IF(L$20='Rent roll'!$F8,$B$7*LetFrac,$B$7)))</f>
        <v>504000</v>
      </c>
    </row>
    <row r="22" customFormat="false" ht="15" hidden="false" customHeight="false" outlineLevel="0" collapsed="false">
      <c r="A22" s="7" t="str">
        <f aca="false">'Rent roll'!$A9</f>
        <v>Kilmory Print</v>
      </c>
      <c r="B22" s="21" t="n">
        <f aca="false">IF(AND('Rent roll'!$C9=0,0=0),0,IF(B$20&lt;='Rent roll'!$E9,'Rent roll'!$C9,IF(B$20='Rent roll'!$F9,$B$8*LetFrac,$B$8)))</f>
        <v>257400</v>
      </c>
      <c r="C22" s="21" t="n">
        <f aca="false">IF(AND('Rent roll'!$C9=0,0=0),0,IF(C$20&lt;='Rent roll'!$E9,'Rent roll'!$C9,IF(C$20='Rent roll'!$F9,$B$8*LetFrac,$B$8)))</f>
        <v>257400</v>
      </c>
      <c r="D22" s="21" t="n">
        <f aca="false">IF(AND('Rent roll'!$C9=0,0=0),0,IF(D$20&lt;='Rent roll'!$E9,'Rent roll'!$C9,IF(D$20='Rent roll'!$F9,$B$8*LetFrac,$B$8)))</f>
        <v>257400</v>
      </c>
      <c r="E22" s="21" t="n">
        <f aca="false">IF(AND('Rent roll'!$C9=0,0=0),0,IF(E$20&lt;='Rent roll'!$E9,'Rent roll'!$C9,IF(E$20='Rent roll'!$F9,$B$8*LetFrac,$B$8)))</f>
        <v>79200</v>
      </c>
      <c r="F22" s="21" t="n">
        <f aca="false">IF(AND('Rent roll'!$C9=0,0=0),0,IF(F$20&lt;='Rent roll'!$E9,'Rent roll'!$C9,IF(F$20='Rent roll'!$F9,$B$8*LetFrac,$B$8)))</f>
        <v>316800</v>
      </c>
      <c r="G22" s="21" t="n">
        <f aca="false">IF(AND('Rent roll'!$C9=0,0=0),0,IF(G$20&lt;='Rent roll'!$E9,'Rent roll'!$C9,IF(G$20='Rent roll'!$F9,$B$8*LetFrac,$B$8)))</f>
        <v>316800</v>
      </c>
      <c r="H22" s="21" t="n">
        <f aca="false">IF(AND('Rent roll'!$C9=0,0=0),0,IF(H$20&lt;='Rent roll'!$E9,'Rent roll'!$C9,IF(H$20='Rent roll'!$F9,$B$8*LetFrac,$B$8)))</f>
        <v>316800</v>
      </c>
      <c r="I22" s="21" t="n">
        <f aca="false">IF(AND('Rent roll'!$C9=0,0=0),0,IF(I$20&lt;='Rent roll'!$E9,'Rent roll'!$C9,IF(I$20='Rent roll'!$F9,$B$8*LetFrac,$B$8)))</f>
        <v>316800</v>
      </c>
      <c r="J22" s="21" t="n">
        <f aca="false">IF(AND('Rent roll'!$C9=0,0=0),0,IF(J$20&lt;='Rent roll'!$E9,'Rent roll'!$C9,IF(J$20='Rent roll'!$F9,$B$8*LetFrac,$B$8)))</f>
        <v>316800</v>
      </c>
      <c r="K22" s="21" t="n">
        <f aca="false">IF(AND('Rent roll'!$C9=0,0=0),0,IF(K$20&lt;='Rent roll'!$E9,'Rent roll'!$C9,IF(K$20='Rent roll'!$F9,$B$8*LetFrac,$B$8)))</f>
        <v>316800</v>
      </c>
      <c r="L22" s="21" t="n">
        <f aca="false">IF(AND('Rent roll'!$C9=0,0=0),0,IF(L$20&lt;='Rent roll'!$E9,'Rent roll'!$C9,IF(L$20='Rent roll'!$F9,$B$8*LetFrac,$B$8)))</f>
        <v>316800</v>
      </c>
    </row>
    <row r="23" customFormat="false" ht="15" hidden="false" customHeight="false" outlineLevel="0" collapsed="false">
      <c r="A23" s="7" t="str">
        <f aca="false">'Rent roll'!$A10</f>
        <v>Tannoch Foods</v>
      </c>
      <c r="B23" s="21" t="n">
        <f aca="false">IF(AND('Rent roll'!$C10=0,0=0),0,IF(B$20&lt;='Rent roll'!$E10,'Rent roll'!$C10,IF(B$20='Rent roll'!$F10,$B$9*LetFrac,$B$9)))</f>
        <v>229600</v>
      </c>
      <c r="C23" s="21" t="n">
        <f aca="false">IF(AND('Rent roll'!$C10=0,0=0),0,IF(C$20&lt;='Rent roll'!$E10,'Rent roll'!$C10,IF(C$20='Rent roll'!$F10,$B$9*LetFrac,$B$9)))</f>
        <v>229600</v>
      </c>
      <c r="D23" s="21" t="n">
        <f aca="false">IF(AND('Rent roll'!$C10=0,0=0),0,IF(D$20&lt;='Rent roll'!$E10,'Rent roll'!$C10,IF(D$20='Rent roll'!$F10,$B$9*LetFrac,$B$9)))</f>
        <v>229600</v>
      </c>
      <c r="E23" s="21" t="n">
        <f aca="false">IF(AND('Rent roll'!$C10=0,0=0),0,IF(E$20&lt;='Rent roll'!$E10,'Rent roll'!$C10,IF(E$20='Rent roll'!$F10,$B$9*LetFrac,$B$9)))</f>
        <v>229600</v>
      </c>
      <c r="F23" s="21" t="n">
        <f aca="false">IF(AND('Rent roll'!$C10=0,0=0),0,IF(F$20&lt;='Rent roll'!$E10,'Rent roll'!$C10,IF(F$20='Rent roll'!$F10,$B$9*LetFrac,$B$9)))</f>
        <v>229600</v>
      </c>
      <c r="G23" s="21" t="n">
        <f aca="false">IF(AND('Rent roll'!$C10=0,0=0),0,IF(G$20&lt;='Rent roll'!$E10,'Rent roll'!$C10,IF(G$20='Rent roll'!$F10,$B$9*LetFrac,$B$9)))</f>
        <v>229600</v>
      </c>
      <c r="H23" s="21" t="n">
        <f aca="false">IF(AND('Rent roll'!$C10=0,0=0),0,IF(H$20&lt;='Rent roll'!$E10,'Rent roll'!$C10,IF(H$20='Rent roll'!$F10,$B$9*LetFrac,$B$9)))</f>
        <v>229600</v>
      </c>
      <c r="I23" s="21" t="n">
        <f aca="false">IF(AND('Rent roll'!$C10=0,0=0),0,IF(I$20&lt;='Rent roll'!$E10,'Rent roll'!$C10,IF(I$20='Rent roll'!$F10,$B$9*LetFrac,$B$9)))</f>
        <v>229600</v>
      </c>
      <c r="J23" s="21" t="n">
        <f aca="false">IF(AND('Rent roll'!$C10=0,0=0),0,IF(J$20&lt;='Rent roll'!$E10,'Rent roll'!$C10,IF(J$20='Rent roll'!$F10,$B$9*LetFrac,$B$9)))</f>
        <v>229600</v>
      </c>
      <c r="K23" s="21" t="n">
        <f aca="false">IF(AND('Rent roll'!$C10=0,0=0),0,IF(K$20&lt;='Rent roll'!$E10,'Rent roll'!$C10,IF(K$20='Rent roll'!$F10,$B$9*LetFrac,$B$9)))</f>
        <v>65600</v>
      </c>
      <c r="L23" s="21" t="n">
        <f aca="false">IF(AND('Rent roll'!$C10=0,0=0),0,IF(L$20&lt;='Rent roll'!$E10,'Rent roll'!$C10,IF(L$20='Rent roll'!$F10,$B$9*LetFrac,$B$9)))</f>
        <v>262400</v>
      </c>
    </row>
    <row r="24" customFormat="false" ht="15" hidden="false" customHeight="false" outlineLevel="0" collapsed="false">
      <c r="A24" s="7" t="str">
        <f aca="false">'Rent roll'!$A11</f>
        <v>Struan Instruments</v>
      </c>
      <c r="B24" s="21" t="n">
        <f aca="false">IF(AND('Rent roll'!$C11=0,0=0),0,IF(B$20&lt;='Rent roll'!$E11,'Rent roll'!$C11,IF(B$20='Rent roll'!$F11,$B$10*LetFrac,$B$10)))</f>
        <v>183400</v>
      </c>
      <c r="C24" s="21" t="n">
        <f aca="false">IF(AND('Rent roll'!$C11=0,0=0),0,IF(C$20&lt;='Rent roll'!$E11,'Rent roll'!$C11,IF(C$20='Rent roll'!$F11,$B$10*LetFrac,$B$10)))</f>
        <v>183400</v>
      </c>
      <c r="D24" s="21" t="n">
        <f aca="false">IF(AND('Rent roll'!$C11=0,0=0),0,IF(D$20&lt;='Rent roll'!$E11,'Rent roll'!$C11,IF(D$20='Rent roll'!$F11,$B$10*LetFrac,$B$10)))</f>
        <v>183400</v>
      </c>
      <c r="E24" s="21" t="n">
        <f aca="false">IF(AND('Rent roll'!$C11=0,0=0),0,IF(E$20&lt;='Rent roll'!$E11,'Rent roll'!$C11,IF(E$20='Rent roll'!$F11,$B$10*LetFrac,$B$10)))</f>
        <v>183400</v>
      </c>
      <c r="F24" s="21" t="n">
        <f aca="false">IF(AND('Rent roll'!$C11=0,0=0),0,IF(F$20&lt;='Rent roll'!$E11,'Rent roll'!$C11,IF(F$20='Rent roll'!$F11,$B$10*LetFrac,$B$10)))</f>
        <v>183400</v>
      </c>
      <c r="G24" s="21" t="n">
        <f aca="false">IF(AND('Rent roll'!$C11=0,0=0),0,IF(G$20&lt;='Rent roll'!$E11,'Rent roll'!$C11,IF(G$20='Rent roll'!$F11,$B$10*LetFrac,$B$10)))</f>
        <v>52400</v>
      </c>
      <c r="H24" s="21" t="n">
        <f aca="false">IF(AND('Rent roll'!$C11=0,0=0),0,IF(H$20&lt;='Rent roll'!$E11,'Rent roll'!$C11,IF(H$20='Rent roll'!$F11,$B$10*LetFrac,$B$10)))</f>
        <v>209600</v>
      </c>
      <c r="I24" s="21" t="n">
        <f aca="false">IF(AND('Rent roll'!$C11=0,0=0),0,IF(I$20&lt;='Rent roll'!$E11,'Rent roll'!$C11,IF(I$20='Rent roll'!$F11,$B$10*LetFrac,$B$10)))</f>
        <v>209600</v>
      </c>
      <c r="J24" s="21" t="n">
        <f aca="false">IF(AND('Rent roll'!$C11=0,0=0),0,IF(J$20&lt;='Rent roll'!$E11,'Rent roll'!$C11,IF(J$20='Rent roll'!$F11,$B$10*LetFrac,$B$10)))</f>
        <v>209600</v>
      </c>
      <c r="K24" s="21" t="n">
        <f aca="false">IF(AND('Rent roll'!$C11=0,0=0),0,IF(K$20&lt;='Rent roll'!$E11,'Rent roll'!$C11,IF(K$20='Rent roll'!$F11,$B$10*LetFrac,$B$10)))</f>
        <v>209600</v>
      </c>
      <c r="L24" s="21" t="n">
        <f aca="false">IF(AND('Rent roll'!$C11=0,0=0),0,IF(L$20&lt;='Rent roll'!$E11,'Rent roll'!$C11,IF(L$20='Rent roll'!$F11,$B$10*LetFrac,$B$10)))</f>
        <v>209600</v>
      </c>
    </row>
    <row r="25" customFormat="false" ht="15" hidden="false" customHeight="false" outlineLevel="0" collapsed="false">
      <c r="A25" s="7" t="str">
        <f aca="false">'Rent roll'!$A12</f>
        <v>Balvaig Textiles</v>
      </c>
      <c r="B25" s="21" t="n">
        <f aca="false">IF(AND('Rent roll'!$C12=0,0=0),0,IF(B$20&lt;='Rent roll'!$E12,'Rent roll'!$C12,IF(B$20='Rent roll'!$F12,$B$11*LetFrac,$B$11)))</f>
        <v>117600</v>
      </c>
      <c r="C25" s="21" t="n">
        <f aca="false">IF(AND('Rent roll'!$C12=0,0=0),0,IF(C$20&lt;='Rent roll'!$E12,'Rent roll'!$C12,IF(C$20='Rent roll'!$F12,$B$11*LetFrac,$B$11)))</f>
        <v>117600</v>
      </c>
      <c r="D25" s="21" t="n">
        <f aca="false">IF(AND('Rent roll'!$C12=0,0=0),0,IF(D$20&lt;='Rent roll'!$E12,'Rent roll'!$C12,IF(D$20='Rent roll'!$F12,$B$11*LetFrac,$B$11)))</f>
        <v>39200</v>
      </c>
      <c r="E25" s="21" t="n">
        <f aca="false">IF(AND('Rent roll'!$C12=0,0=0),0,IF(E$20&lt;='Rent roll'!$E12,'Rent roll'!$C12,IF(E$20='Rent roll'!$F12,$B$11*LetFrac,$B$11)))</f>
        <v>156800</v>
      </c>
      <c r="F25" s="21" t="n">
        <f aca="false">IF(AND('Rent roll'!$C12=0,0=0),0,IF(F$20&lt;='Rent roll'!$E12,'Rent roll'!$C12,IF(F$20='Rent roll'!$F12,$B$11*LetFrac,$B$11)))</f>
        <v>156800</v>
      </c>
      <c r="G25" s="21" t="n">
        <f aca="false">IF(AND('Rent roll'!$C12=0,0=0),0,IF(G$20&lt;='Rent roll'!$E12,'Rent roll'!$C12,IF(G$20='Rent roll'!$F12,$B$11*LetFrac,$B$11)))</f>
        <v>156800</v>
      </c>
      <c r="H25" s="21" t="n">
        <f aca="false">IF(AND('Rent roll'!$C12=0,0=0),0,IF(H$20&lt;='Rent roll'!$E12,'Rent roll'!$C12,IF(H$20='Rent roll'!$F12,$B$11*LetFrac,$B$11)))</f>
        <v>156800</v>
      </c>
      <c r="I25" s="21" t="n">
        <f aca="false">IF(AND('Rent roll'!$C12=0,0=0),0,IF(I$20&lt;='Rent roll'!$E12,'Rent roll'!$C12,IF(I$20='Rent roll'!$F12,$B$11*LetFrac,$B$11)))</f>
        <v>156800</v>
      </c>
      <c r="J25" s="21" t="n">
        <f aca="false">IF(AND('Rent roll'!$C12=0,0=0),0,IF(J$20&lt;='Rent roll'!$E12,'Rent roll'!$C12,IF(J$20='Rent roll'!$F12,$B$11*LetFrac,$B$11)))</f>
        <v>156800</v>
      </c>
      <c r="K25" s="21" t="n">
        <f aca="false">IF(AND('Rent roll'!$C12=0,0=0),0,IF(K$20&lt;='Rent roll'!$E12,'Rent roll'!$C12,IF(K$20='Rent roll'!$F12,$B$11*LetFrac,$B$11)))</f>
        <v>156800</v>
      </c>
      <c r="L25" s="21" t="n">
        <f aca="false">IF(AND('Rent roll'!$C12=0,0=0),0,IF(L$20&lt;='Rent roll'!$E12,'Rent roll'!$C12,IF(L$20='Rent roll'!$F12,$B$11*LetFrac,$B$11)))</f>
        <v>156800</v>
      </c>
    </row>
    <row r="26" customFormat="false" ht="15" hidden="false" customHeight="false" outlineLevel="0" collapsed="false">
      <c r="A26" s="7" t="str">
        <f aca="false">'Rent roll'!$A13</f>
        <v>Corrour Systems</v>
      </c>
      <c r="B26" s="21" t="n">
        <f aca="false">IF(AND('Rent roll'!$C13=0,0=0),0,IF(B$20&lt;='Rent roll'!$E13,'Rent roll'!$C13,IF(B$20='Rent roll'!$F13,$B$12*LetFrac,$B$12)))</f>
        <v>129000</v>
      </c>
      <c r="C26" s="21" t="n">
        <f aca="false">IF(AND('Rent roll'!$C13=0,0=0),0,IF(C$20&lt;='Rent roll'!$E13,'Rent roll'!$C13,IF(C$20='Rent roll'!$F13,$B$12*LetFrac,$B$12)))</f>
        <v>129000</v>
      </c>
      <c r="D26" s="21" t="n">
        <f aca="false">IF(AND('Rent roll'!$C13=0,0=0),0,IF(D$20&lt;='Rent roll'!$E13,'Rent roll'!$C13,IF(D$20='Rent roll'!$F13,$B$12*LetFrac,$B$12)))</f>
        <v>129000</v>
      </c>
      <c r="E26" s="21" t="n">
        <f aca="false">IF(AND('Rent roll'!$C13=0,0=0),0,IF(E$20&lt;='Rent roll'!$E13,'Rent roll'!$C13,IF(E$20='Rent roll'!$F13,$B$12*LetFrac,$B$12)))</f>
        <v>129000</v>
      </c>
      <c r="F26" s="21" t="n">
        <f aca="false">IF(AND('Rent roll'!$C13=0,0=0),0,IF(F$20&lt;='Rent roll'!$E13,'Rent roll'!$C13,IF(F$20='Rent roll'!$F13,$B$12*LetFrac,$B$12)))</f>
        <v>129000</v>
      </c>
      <c r="G26" s="21" t="n">
        <f aca="false">IF(AND('Rent roll'!$C13=0,0=0),0,IF(G$20&lt;='Rent roll'!$E13,'Rent roll'!$C13,IF(G$20='Rent roll'!$F13,$B$12*LetFrac,$B$12)))</f>
        <v>129000</v>
      </c>
      <c r="H26" s="21" t="n">
        <f aca="false">IF(AND('Rent roll'!$C13=0,0=0),0,IF(H$20&lt;='Rent roll'!$E13,'Rent roll'!$C13,IF(H$20='Rent roll'!$F13,$B$12*LetFrac,$B$12)))</f>
        <v>129000</v>
      </c>
      <c r="I26" s="21" t="n">
        <f aca="false">IF(AND('Rent roll'!$C13=0,0=0),0,IF(I$20&lt;='Rent roll'!$E13,'Rent roll'!$C13,IF(I$20='Rent roll'!$F13,$B$12*LetFrac,$B$12)))</f>
        <v>129000</v>
      </c>
      <c r="J26" s="21" t="n">
        <f aca="false">IF(AND('Rent roll'!$C13=0,0=0),0,IF(J$20&lt;='Rent roll'!$E13,'Rent roll'!$C13,IF(J$20='Rent roll'!$F13,$B$12*LetFrac,$B$12)))</f>
        <v>129000</v>
      </c>
      <c r="K26" s="21" t="n">
        <f aca="false">IF(AND('Rent roll'!$C13=0,0=0),0,IF(K$20&lt;='Rent roll'!$E13,'Rent roll'!$C13,IF(K$20='Rent roll'!$F13,$B$12*LetFrac,$B$12)))</f>
        <v>129000</v>
      </c>
      <c r="L26" s="21" t="n">
        <f aca="false">IF(AND('Rent roll'!$C13=0,0=0),0,IF(L$20&lt;='Rent roll'!$E13,'Rent roll'!$C13,IF(L$20='Rent roll'!$F13,$B$12*LetFrac,$B$12)))</f>
        <v>129000</v>
      </c>
    </row>
    <row r="27" customFormat="false" ht="15" hidden="false" customHeight="false" outlineLevel="0" collapsed="false">
      <c r="A27" s="7" t="str">
        <f aca="false">'Rent roll'!$A14</f>
        <v>Dunardry Media</v>
      </c>
      <c r="B27" s="21" t="n">
        <f aca="false">IF(AND('Rent roll'!$C14=0,0=0),0,IF(B$20&lt;='Rent roll'!$E14,'Rent roll'!$C14,IF(B$20='Rent roll'!$F14,$B$13*LetFrac,$B$13)))</f>
        <v>93600</v>
      </c>
      <c r="C27" s="21" t="n">
        <f aca="false">IF(AND('Rent roll'!$C14=0,0=0),0,IF(C$20&lt;='Rent roll'!$E14,'Rent roll'!$C14,IF(C$20='Rent roll'!$F14,$B$13*LetFrac,$B$13)))</f>
        <v>93600</v>
      </c>
      <c r="D27" s="21" t="n">
        <f aca="false">IF(AND('Rent roll'!$C14=0,0=0),0,IF(D$20&lt;='Rent roll'!$E14,'Rent roll'!$C14,IF(D$20='Rent roll'!$F14,$B$13*LetFrac,$B$13)))</f>
        <v>93600</v>
      </c>
      <c r="E27" s="21" t="n">
        <f aca="false">IF(AND('Rent roll'!$C14=0,0=0),0,IF(E$20&lt;='Rent roll'!$E14,'Rent roll'!$C14,IF(E$20='Rent roll'!$F14,$B$13*LetFrac,$B$13)))</f>
        <v>93600</v>
      </c>
      <c r="F27" s="21" t="n">
        <f aca="false">IF(AND('Rent roll'!$C14=0,0=0),0,IF(F$20&lt;='Rent roll'!$E14,'Rent roll'!$C14,IF(F$20='Rent roll'!$F14,$B$13*LetFrac,$B$13)))</f>
        <v>28800</v>
      </c>
      <c r="G27" s="21" t="n">
        <f aca="false">IF(AND('Rent roll'!$C14=0,0=0),0,IF(G$20&lt;='Rent roll'!$E14,'Rent roll'!$C14,IF(G$20='Rent roll'!$F14,$B$13*LetFrac,$B$13)))</f>
        <v>115200</v>
      </c>
      <c r="H27" s="21" t="n">
        <f aca="false">IF(AND('Rent roll'!$C14=0,0=0),0,IF(H$20&lt;='Rent roll'!$E14,'Rent roll'!$C14,IF(H$20='Rent roll'!$F14,$B$13*LetFrac,$B$13)))</f>
        <v>115200</v>
      </c>
      <c r="I27" s="21" t="n">
        <f aca="false">IF(AND('Rent roll'!$C14=0,0=0),0,IF(I$20&lt;='Rent roll'!$E14,'Rent roll'!$C14,IF(I$20='Rent roll'!$F14,$B$13*LetFrac,$B$13)))</f>
        <v>115200</v>
      </c>
      <c r="J27" s="21" t="n">
        <f aca="false">IF(AND('Rent roll'!$C14=0,0=0),0,IF(J$20&lt;='Rent roll'!$E14,'Rent roll'!$C14,IF(J$20='Rent roll'!$F14,$B$13*LetFrac,$B$13)))</f>
        <v>115200</v>
      </c>
      <c r="K27" s="21" t="n">
        <f aca="false">IF(AND('Rent roll'!$C14=0,0=0),0,IF(K$20&lt;='Rent roll'!$E14,'Rent roll'!$C14,IF(K$20='Rent roll'!$F14,$B$13*LetFrac,$B$13)))</f>
        <v>115200</v>
      </c>
      <c r="L27" s="21" t="n">
        <f aca="false">IF(AND('Rent roll'!$C14=0,0=0),0,IF(L$20&lt;='Rent roll'!$E14,'Rent roll'!$C14,IF(L$20='Rent roll'!$F14,$B$13*LetFrac,$B$13)))</f>
        <v>115200</v>
      </c>
    </row>
    <row r="28" customFormat="false" ht="15" hidden="false" customHeight="false" outlineLevel="0" collapsed="false">
      <c r="A28" s="7" t="str">
        <f aca="false">'Rent roll'!$A15</f>
        <v>Eilanreach Labs</v>
      </c>
      <c r="B28" s="21" t="n">
        <f aca="false">IF(AND('Rent roll'!$C15=0,0=0),0,IF(B$20&lt;='Rent roll'!$E15,'Rent roll'!$C15,IF(B$20='Rent roll'!$F15,$B$14*LetFrac,$B$14)))</f>
        <v>92800</v>
      </c>
      <c r="C28" s="21" t="n">
        <f aca="false">IF(AND('Rent roll'!$C15=0,0=0),0,IF(C$20&lt;='Rent roll'!$E15,'Rent roll'!$C15,IF(C$20='Rent roll'!$F15,$B$14*LetFrac,$B$14)))</f>
        <v>92800</v>
      </c>
      <c r="D28" s="21" t="n">
        <f aca="false">IF(AND('Rent roll'!$C15=0,0=0),0,IF(D$20&lt;='Rent roll'!$E15,'Rent roll'!$C15,IF(D$20='Rent roll'!$F15,$B$14*LetFrac,$B$14)))</f>
        <v>92800</v>
      </c>
      <c r="E28" s="21" t="n">
        <f aca="false">IF(AND('Rent roll'!$C15=0,0=0),0,IF(E$20&lt;='Rent roll'!$E15,'Rent roll'!$C15,IF(E$20='Rent roll'!$F15,$B$14*LetFrac,$B$14)))</f>
        <v>92800</v>
      </c>
      <c r="F28" s="21" t="n">
        <f aca="false">IF(AND('Rent roll'!$C15=0,0=0),0,IF(F$20&lt;='Rent roll'!$E15,'Rent roll'!$C15,IF(F$20='Rent roll'!$F15,$B$14*LetFrac,$B$14)))</f>
        <v>92800</v>
      </c>
      <c r="G28" s="21" t="n">
        <f aca="false">IF(AND('Rent roll'!$C15=0,0=0),0,IF(G$20&lt;='Rent roll'!$E15,'Rent roll'!$C15,IF(G$20='Rent roll'!$F15,$B$14*LetFrac,$B$14)))</f>
        <v>92800</v>
      </c>
      <c r="H28" s="21" t="n">
        <f aca="false">IF(AND('Rent roll'!$C15=0,0=0),0,IF(H$20&lt;='Rent roll'!$E15,'Rent roll'!$C15,IF(H$20='Rent roll'!$F15,$B$14*LetFrac,$B$14)))</f>
        <v>92800</v>
      </c>
      <c r="I28" s="21" t="n">
        <f aca="false">IF(AND('Rent roll'!$C15=0,0=0),0,IF(I$20&lt;='Rent roll'!$E15,'Rent roll'!$C15,IF(I$20='Rent roll'!$F15,$B$14*LetFrac,$B$14)))</f>
        <v>92800</v>
      </c>
      <c r="J28" s="21" t="n">
        <f aca="false">IF(AND('Rent roll'!$C15=0,0=0),0,IF(J$20&lt;='Rent roll'!$E15,'Rent roll'!$C15,IF(J$20='Rent roll'!$F15,$B$14*LetFrac,$B$14)))</f>
        <v>25600</v>
      </c>
      <c r="K28" s="21" t="n">
        <f aca="false">IF(AND('Rent roll'!$C15=0,0=0),0,IF(K$20&lt;='Rent roll'!$E15,'Rent roll'!$C15,IF(K$20='Rent roll'!$F15,$B$14*LetFrac,$B$14)))</f>
        <v>102400</v>
      </c>
      <c r="L28" s="21" t="n">
        <f aca="false">IF(AND('Rent roll'!$C15=0,0=0),0,IF(L$20&lt;='Rent roll'!$E15,'Rent roll'!$C15,IF(L$20='Rent roll'!$F15,$B$14*LetFrac,$B$14)))</f>
        <v>102400</v>
      </c>
    </row>
    <row r="29" customFormat="false" ht="15" hidden="false" customHeight="false" outlineLevel="0" collapsed="false">
      <c r="A29" s="7" t="str">
        <f aca="false">'Rent roll'!$A16</f>
        <v>Unit 9 (empty at acquisition)</v>
      </c>
      <c r="B29" s="21" t="n">
        <f aca="false">IF(AND('Rent roll'!$C16=0,0=0),0,IF(B$20&lt;='Rent roll'!$E16,'Rent roll'!$C16,IF(B$20='Rent roll'!$F16,$B$15*LetFrac,$B$15)))</f>
        <v>0</v>
      </c>
      <c r="C29" s="21" t="n">
        <f aca="false">IF(AND('Rent roll'!$C16=0,0=0),0,IF(C$20&lt;='Rent roll'!$E16,'Rent roll'!$C16,IF(C$20='Rent roll'!$F16,$B$15*LetFrac,$B$15)))</f>
        <v>0</v>
      </c>
      <c r="D29" s="21" t="n">
        <f aca="false">IF(AND('Rent roll'!$C16=0,0=0),0,IF(D$20&lt;='Rent roll'!$E16,'Rent roll'!$C16,IF(D$20='Rent roll'!$F16,$B$15*LetFrac,$B$15)))</f>
        <v>0</v>
      </c>
      <c r="E29" s="21" t="n">
        <f aca="false">IF(AND('Rent roll'!$C16=0,0=0),0,IF(E$20&lt;='Rent roll'!$E16,'Rent roll'!$C16,IF(E$20='Rent roll'!$F16,$B$15*LetFrac,$B$15)))</f>
        <v>0</v>
      </c>
      <c r="F29" s="21" t="n">
        <f aca="false">IF(AND('Rent roll'!$C16=0,0=0),0,IF(F$20&lt;='Rent roll'!$E16,'Rent roll'!$C16,IF(F$20='Rent roll'!$F16,$B$15*LetFrac,$B$15)))</f>
        <v>0</v>
      </c>
      <c r="G29" s="21" t="n">
        <f aca="false">IF(AND('Rent roll'!$C16=0,0=0),0,IF(G$20&lt;='Rent roll'!$E16,'Rent roll'!$C16,IF(G$20='Rent roll'!$F16,$B$15*LetFrac,$B$15)))</f>
        <v>0</v>
      </c>
      <c r="H29" s="21" t="n">
        <f aca="false">IF(AND('Rent roll'!$C16=0,0=0),0,IF(H$20&lt;='Rent roll'!$E16,'Rent roll'!$C16,IF(H$20='Rent roll'!$F16,$B$15*LetFrac,$B$15)))</f>
        <v>0</v>
      </c>
      <c r="I29" s="21" t="n">
        <f aca="false">IF(AND('Rent roll'!$C16=0,0=0),0,IF(I$20&lt;='Rent roll'!$E16,'Rent roll'!$C16,IF(I$20='Rent roll'!$F16,$B$15*LetFrac,$B$15)))</f>
        <v>0</v>
      </c>
      <c r="J29" s="21" t="n">
        <f aca="false">IF(AND('Rent roll'!$C16=0,0=0),0,IF(J$20&lt;='Rent roll'!$E16,'Rent roll'!$C16,IF(J$20='Rent roll'!$F16,$B$15*LetFrac,$B$15)))</f>
        <v>0</v>
      </c>
      <c r="K29" s="21" t="n">
        <f aca="false">IF(AND('Rent roll'!$C16=0,0=0),0,IF(K$20&lt;='Rent roll'!$E16,'Rent roll'!$C16,IF(K$20='Rent roll'!$F16,$B$15*LetFrac,$B$15)))</f>
        <v>0</v>
      </c>
      <c r="L29" s="21" t="n">
        <f aca="false">IF(AND('Rent roll'!$C16=0,0=0),0,IF(L$20&lt;='Rent roll'!$E16,'Rent roll'!$C16,IF(L$20='Rent roll'!$F16,$B$15*LetFrac,$B$15)))</f>
        <v>0</v>
      </c>
    </row>
    <row r="30" customFormat="false" ht="15" hidden="false" customHeight="false" outlineLevel="0" collapsed="false">
      <c r="A30" s="7" t="str">
        <f aca="false">'Rent roll'!$A17</f>
        <v>Unit 12 (empty at acquisition)</v>
      </c>
      <c r="B30" s="21" t="n">
        <f aca="false">IF(AND('Rent roll'!$C17=0,0=0),0,IF(B$20&lt;='Rent roll'!$E17,'Rent roll'!$C17,IF(B$20='Rent roll'!$F17,$B$16*LetFrac,$B$16)))</f>
        <v>0</v>
      </c>
      <c r="C30" s="21" t="n">
        <f aca="false">IF(AND('Rent roll'!$C17=0,0=0),0,IF(C$20&lt;='Rent roll'!$E17,'Rent roll'!$C17,IF(C$20='Rent roll'!$F17,$B$16*LetFrac,$B$16)))</f>
        <v>0</v>
      </c>
      <c r="D30" s="21" t="n">
        <f aca="false">IF(AND('Rent roll'!$C17=0,0=0),0,IF(D$20&lt;='Rent roll'!$E17,'Rent roll'!$C17,IF(D$20='Rent roll'!$F17,$B$16*LetFrac,$B$16)))</f>
        <v>0</v>
      </c>
      <c r="E30" s="21" t="n">
        <f aca="false">IF(AND('Rent roll'!$C17=0,0=0),0,IF(E$20&lt;='Rent roll'!$E17,'Rent roll'!$C17,IF(E$20='Rent roll'!$F17,$B$16*LetFrac,$B$16)))</f>
        <v>0</v>
      </c>
      <c r="F30" s="21" t="n">
        <f aca="false">IF(AND('Rent roll'!$C17=0,0=0),0,IF(F$20&lt;='Rent roll'!$E17,'Rent roll'!$C17,IF(F$20='Rent roll'!$F17,$B$16*LetFrac,$B$16)))</f>
        <v>0</v>
      </c>
      <c r="G30" s="21" t="n">
        <f aca="false">IF(AND('Rent roll'!$C17=0,0=0),0,IF(G$20&lt;='Rent roll'!$E17,'Rent roll'!$C17,IF(G$20='Rent roll'!$F17,$B$16*LetFrac,$B$16)))</f>
        <v>0</v>
      </c>
      <c r="H30" s="21" t="n">
        <f aca="false">IF(AND('Rent roll'!$C17=0,0=0),0,IF(H$20&lt;='Rent roll'!$E17,'Rent roll'!$C17,IF(H$20='Rent roll'!$F17,$B$16*LetFrac,$B$16)))</f>
        <v>0</v>
      </c>
      <c r="I30" s="21" t="n">
        <f aca="false">IF(AND('Rent roll'!$C17=0,0=0),0,IF(I$20&lt;='Rent roll'!$E17,'Rent roll'!$C17,IF(I$20='Rent roll'!$F17,$B$16*LetFrac,$B$16)))</f>
        <v>0</v>
      </c>
      <c r="J30" s="21" t="n">
        <f aca="false">IF(AND('Rent roll'!$C17=0,0=0),0,IF(J$20&lt;='Rent roll'!$E17,'Rent roll'!$C17,IF(J$20='Rent roll'!$F17,$B$16*LetFrac,$B$16)))</f>
        <v>0</v>
      </c>
      <c r="K30" s="21" t="n">
        <f aca="false">IF(AND('Rent roll'!$C17=0,0=0),0,IF(K$20&lt;='Rent roll'!$E17,'Rent roll'!$C17,IF(K$20='Rent roll'!$F17,$B$16*LetFrac,$B$16)))</f>
        <v>0</v>
      </c>
      <c r="L30" s="21" t="n">
        <f aca="false">IF(AND('Rent roll'!$C17=0,0=0),0,IF(L$20&lt;='Rent roll'!$E17,'Rent roll'!$C17,IF(L$20='Rent roll'!$F17,$B$16*LetFrac,$B$16)))</f>
        <v>0</v>
      </c>
    </row>
    <row r="31" customFormat="false" ht="15" hidden="false" customHeight="false" outlineLevel="0" collapsed="false">
      <c r="A31" s="7" t="s">
        <v>145</v>
      </c>
      <c r="B31" s="21" t="n">
        <f aca="false">SUM(B21:B30)</f>
        <v>1575900</v>
      </c>
      <c r="C31" s="21" t="n">
        <f aca="false">SUM(C21:C30)</f>
        <v>1575900</v>
      </c>
      <c r="D31" s="21" t="n">
        <f aca="false">SUM(D21:D30)</f>
        <v>1497500</v>
      </c>
      <c r="E31" s="21" t="n">
        <f aca="false">SUM(E21:E30)</f>
        <v>1436900</v>
      </c>
      <c r="F31" s="21" t="n">
        <f aca="false">SUM(F21:F30)</f>
        <v>1609700</v>
      </c>
      <c r="G31" s="21" t="n">
        <f aca="false">SUM(G21:G30)</f>
        <v>1565100</v>
      </c>
      <c r="H31" s="21" t="n">
        <f aca="false">SUM(H21:H30)</f>
        <v>1722300</v>
      </c>
      <c r="I31" s="21" t="n">
        <f aca="false">SUM(I21:I30)</f>
        <v>1375800</v>
      </c>
      <c r="J31" s="21" t="n">
        <f aca="false">SUM(J21:J30)</f>
        <v>1686600</v>
      </c>
      <c r="K31" s="21" t="n">
        <f aca="false">SUM(K21:K30)</f>
        <v>1599400</v>
      </c>
      <c r="L31" s="21" t="n">
        <f aca="false">SUM(L21:L30)</f>
        <v>1796200</v>
      </c>
    </row>
    <row r="32" customFormat="false" ht="15" hidden="false" customHeight="false" outlineLevel="0" collapsed="false">
      <c r="A32" s="7" t="s">
        <v>106</v>
      </c>
      <c r="B32" s="21" t="n">
        <f aca="false">SUMPRODUCT(('Rent roll'!$F$8:$F$17=B$20)*$B$7:$B$16*(1-(1-0)*('Rent roll'!$C$8:$C$17=0)))*LetFee</f>
        <v>0</v>
      </c>
      <c r="C32" s="21" t="n">
        <f aca="false">SUMPRODUCT(('Rent roll'!$F$8:$F$17=C$20)*$B$7:$B$16*(1-(1-0)*('Rent roll'!$C$8:$C$17=0)))*LetFee</f>
        <v>0</v>
      </c>
      <c r="D32" s="21" t="n">
        <f aca="false">SUMPRODUCT(('Rent roll'!$F$8:$F$17=D$20)*$B$7:$B$16*(1-(1-0)*('Rent roll'!$C$8:$C$17=0)))*LetFee</f>
        <v>23520</v>
      </c>
      <c r="E32" s="21" t="n">
        <f aca="false">SUMPRODUCT(('Rent roll'!$F$8:$F$17=E$20)*$B$7:$B$16*(1-(1-0)*('Rent roll'!$C$8:$C$17=0)))*LetFee</f>
        <v>47520</v>
      </c>
      <c r="F32" s="21" t="n">
        <f aca="false">SUMPRODUCT(('Rent roll'!$F$8:$F$17=F$20)*$B$7:$B$16*(1-(1-0)*('Rent roll'!$C$8:$C$17=0)))*LetFee</f>
        <v>17280</v>
      </c>
      <c r="G32" s="21" t="n">
        <f aca="false">SUMPRODUCT(('Rent roll'!$F$8:$F$17=G$20)*$B$7:$B$16*(1-(1-0)*('Rent roll'!$C$8:$C$17=0)))*LetFee</f>
        <v>31440</v>
      </c>
      <c r="H32" s="21" t="n">
        <f aca="false">SUMPRODUCT(('Rent roll'!$F$8:$F$17=H$20)*$B$7:$B$16*(1-(1-0)*('Rent roll'!$C$8:$C$17=0)))*LetFee</f>
        <v>0</v>
      </c>
      <c r="I32" s="21" t="n">
        <f aca="false">SUMPRODUCT(('Rent roll'!$F$8:$F$17=I$20)*$B$7:$B$16*(1-(1-0)*('Rent roll'!$C$8:$C$17=0)))*LetFee</f>
        <v>75600</v>
      </c>
      <c r="J32" s="21" t="n">
        <f aca="false">SUMPRODUCT(('Rent roll'!$F$8:$F$17=J$20)*$B$7:$B$16*(1-(1-0)*('Rent roll'!$C$8:$C$17=0)))*LetFee</f>
        <v>15360</v>
      </c>
      <c r="K32" s="21" t="n">
        <f aca="false">SUMPRODUCT(('Rent roll'!$F$8:$F$17=K$20)*$B$7:$B$16*(1-(1-0)*('Rent roll'!$C$8:$C$17=0)))*LetFee</f>
        <v>39360</v>
      </c>
      <c r="L32" s="21" t="n">
        <f aca="false">SUMPRODUCT(('Rent roll'!$F$8:$F$17=L$20)*$B$7:$B$16*(1-(1-0)*('Rent roll'!$C$8:$C$17=0)))*LetFee</f>
        <v>0</v>
      </c>
    </row>
    <row r="33" customFormat="false" ht="15" hidden="false" customHeight="false" outlineLevel="0" collapsed="false">
      <c r="A33" s="7" t="s">
        <v>105</v>
      </c>
      <c r="B33" s="21" t="n">
        <f aca="false">B31*(1-NonRec-MgmtFee)</f>
        <v>1538078.4</v>
      </c>
      <c r="C33" s="21" t="n">
        <f aca="false">C31*(1-NonRec-MgmtFee)</f>
        <v>1538078.4</v>
      </c>
      <c r="D33" s="21" t="n">
        <f aca="false">D31*(1-NonRec-MgmtFee)</f>
        <v>1461560</v>
      </c>
      <c r="E33" s="21" t="n">
        <f aca="false">E31*(1-NonRec-MgmtFee)</f>
        <v>1402414.4</v>
      </c>
      <c r="F33" s="21" t="n">
        <f aca="false">F31*(1-NonRec-MgmtFee)</f>
        <v>1571067.2</v>
      </c>
      <c r="G33" s="21" t="n">
        <f aca="false">G31*(1-NonRec-MgmtFee)</f>
        <v>1527537.6</v>
      </c>
      <c r="H33" s="21" t="n">
        <f aca="false">H31*(1-NonRec-MgmtFee)</f>
        <v>1680964.8</v>
      </c>
      <c r="I33" s="21" t="n">
        <f aca="false">I31*(1-NonRec-MgmtFee)</f>
        <v>1342780.8</v>
      </c>
      <c r="J33" s="21" t="n">
        <f aca="false">J31*(1-NonRec-MgmtFee)</f>
        <v>1646121.6</v>
      </c>
      <c r="K33" s="21" t="n">
        <f aca="false">K31*(1-NonRec-MgmtFee)</f>
        <v>1561014.4</v>
      </c>
      <c r="L33" s="21" t="n">
        <f aca="false">L31*(1-NonRec-MgmtFee)</f>
        <v>1753091.2</v>
      </c>
    </row>
    <row r="34" customFormat="false" ht="15" hidden="false" customHeight="false" outlineLevel="0" collapsed="false">
      <c r="A34" s="7" t="s">
        <v>107</v>
      </c>
      <c r="B34" s="21" t="n">
        <f aca="false">SUMIF(CapexYr,B$20,CapexAmt)*0</f>
        <v>0</v>
      </c>
      <c r="C34" s="21" t="n">
        <f aca="false">SUMIF(CapexYr,C$20,CapexAmt)*0</f>
        <v>0</v>
      </c>
      <c r="D34" s="21" t="n">
        <f aca="false">SUMIF(CapexYr,D$20,CapexAmt)*0</f>
        <v>0</v>
      </c>
      <c r="E34" s="21" t="n">
        <f aca="false">SUMIF(CapexYr,E$20,CapexAmt)*0</f>
        <v>0</v>
      </c>
      <c r="F34" s="21" t="n">
        <f aca="false">SUMIF(CapexYr,F$20,CapexAmt)*0</f>
        <v>0</v>
      </c>
      <c r="G34" s="21" t="n">
        <f aca="false">SUMIF(CapexYr,G$20,CapexAmt)*0</f>
        <v>0</v>
      </c>
      <c r="H34" s="21" t="n">
        <f aca="false">SUMIF(CapexYr,H$20,CapexAmt)*0</f>
        <v>0</v>
      </c>
      <c r="I34" s="21" t="n">
        <f aca="false">SUMIF(CapexYr,I$20,CapexAmt)*0</f>
        <v>0</v>
      </c>
      <c r="J34" s="21" t="n">
        <f aca="false">SUMIF(CapexYr,J$20,CapexAmt)*0</f>
        <v>0</v>
      </c>
      <c r="K34" s="21" t="n">
        <f aca="false">SUMIF(CapexYr,K$20,CapexAmt)*0</f>
        <v>0</v>
      </c>
      <c r="L34" s="21" t="n">
        <f aca="false">SUMIF(CapexYr,L$20,CapexAmt)*0</f>
        <v>0</v>
      </c>
    </row>
    <row r="35" customFormat="false" ht="15" hidden="false" customHeight="false" outlineLevel="0" collapsed="false">
      <c r="A35" s="11" t="s">
        <v>146</v>
      </c>
      <c r="B35" s="12" t="n">
        <f aca="false">B33-B32-B34</f>
        <v>1538078.4</v>
      </c>
      <c r="C35" s="12" t="n">
        <f aca="false">C33-C32-C34</f>
        <v>1538078.4</v>
      </c>
      <c r="D35" s="12" t="n">
        <f aca="false">D33-D32-D34</f>
        <v>1438040</v>
      </c>
      <c r="E35" s="12" t="n">
        <f aca="false">E33-E32-E34</f>
        <v>1354894.4</v>
      </c>
      <c r="F35" s="12" t="n">
        <f aca="false">F33-F32-F34</f>
        <v>1553787.2</v>
      </c>
      <c r="G35" s="12" t="n">
        <f aca="false">G33-G32-G34</f>
        <v>1496097.6</v>
      </c>
      <c r="H35" s="12" t="n">
        <f aca="false">H33-H32-H34</f>
        <v>1680964.8</v>
      </c>
      <c r="I35" s="12" t="n">
        <f aca="false">I33-I32-I34</f>
        <v>1267180.8</v>
      </c>
      <c r="J35" s="12" t="n">
        <f aca="false">J33-J32-J34</f>
        <v>1630761.6</v>
      </c>
      <c r="K35" s="12" t="n">
        <f aca="false">K33-K32-K34</f>
        <v>1521654.4</v>
      </c>
      <c r="L35" s="12" t="n">
        <f aca="false">L33-L32-L34</f>
        <v>1753091.2</v>
      </c>
    </row>
    <row r="36" customFormat="false" ht="15" hidden="false" customHeight="false" outlineLevel="0" collapsed="false">
      <c r="A36" s="31" t="s">
        <v>147</v>
      </c>
    </row>
    <row r="37" customFormat="false" ht="15" hidden="false" customHeight="false" outlineLevel="0" collapsed="false">
      <c r="A37" s="35" t="s">
        <v>55</v>
      </c>
      <c r="B37" s="36" t="n">
        <v>1</v>
      </c>
      <c r="C37" s="36" t="n">
        <f aca="false">B37+1</f>
        <v>2</v>
      </c>
      <c r="D37" s="36" t="n">
        <f aca="false">C37+1</f>
        <v>3</v>
      </c>
      <c r="E37" s="36" t="n">
        <f aca="false">D37+1</f>
        <v>4</v>
      </c>
      <c r="F37" s="36" t="n">
        <f aca="false">E37+1</f>
        <v>5</v>
      </c>
      <c r="G37" s="36" t="n">
        <f aca="false">F37+1</f>
        <v>6</v>
      </c>
      <c r="H37" s="36" t="n">
        <f aca="false">G37+1</f>
        <v>7</v>
      </c>
      <c r="I37" s="36" t="n">
        <f aca="false">H37+1</f>
        <v>8</v>
      </c>
      <c r="J37" s="36" t="n">
        <f aca="false">I37+1</f>
        <v>9</v>
      </c>
      <c r="K37" s="36" t="n">
        <f aca="false">J37+1</f>
        <v>10</v>
      </c>
      <c r="L37" s="36" t="n">
        <f aca="false">K37+1</f>
        <v>11</v>
      </c>
    </row>
    <row r="38" customFormat="false" ht="15" hidden="false" customHeight="false" outlineLevel="0" collapsed="false">
      <c r="A38" s="7" t="str">
        <f aca="false">'Rent roll'!$A8</f>
        <v>Ardgour Logistics</v>
      </c>
      <c r="B38" s="21" t="n">
        <f aca="false">IF(AND('Rent roll'!$C8=0,1=0),0,IF(B$37&lt;='Rent roll'!$E8,'Rent roll'!$C8,IF(B$37='Rent roll'!$F8,$B$7*LetFrac,$B$7)))</f>
        <v>472500</v>
      </c>
      <c r="C38" s="21" t="n">
        <f aca="false">IF(AND('Rent roll'!$C8=0,1=0),0,IF(C$37&lt;='Rent roll'!$E8,'Rent roll'!$C8,IF(C$37='Rent roll'!$F8,$B$7*LetFrac,$B$7)))</f>
        <v>472500</v>
      </c>
      <c r="D38" s="21" t="n">
        <f aca="false">IF(AND('Rent roll'!$C8=0,1=0),0,IF(D$37&lt;='Rent roll'!$E8,'Rent roll'!$C8,IF(D$37='Rent roll'!$F8,$B$7*LetFrac,$B$7)))</f>
        <v>472500</v>
      </c>
      <c r="E38" s="21" t="n">
        <f aca="false">IF(AND('Rent roll'!$C8=0,1=0),0,IF(E$37&lt;='Rent roll'!$E8,'Rent roll'!$C8,IF(E$37='Rent roll'!$F8,$B$7*LetFrac,$B$7)))</f>
        <v>472500</v>
      </c>
      <c r="F38" s="21" t="n">
        <f aca="false">IF(AND('Rent roll'!$C8=0,1=0),0,IF(F$37&lt;='Rent roll'!$E8,'Rent roll'!$C8,IF(F$37='Rent roll'!$F8,$B$7*LetFrac,$B$7)))</f>
        <v>472500</v>
      </c>
      <c r="G38" s="21" t="n">
        <f aca="false">IF(AND('Rent roll'!$C8=0,1=0),0,IF(G$37&lt;='Rent roll'!$E8,'Rent roll'!$C8,IF(G$37='Rent roll'!$F8,$B$7*LetFrac,$B$7)))</f>
        <v>472500</v>
      </c>
      <c r="H38" s="21" t="n">
        <f aca="false">IF(AND('Rent roll'!$C8=0,1=0),0,IF(H$37&lt;='Rent roll'!$E8,'Rent roll'!$C8,IF(H$37='Rent roll'!$F8,$B$7*LetFrac,$B$7)))</f>
        <v>472500</v>
      </c>
      <c r="I38" s="21" t="n">
        <f aca="false">IF(AND('Rent roll'!$C8=0,1=0),0,IF(I$37&lt;='Rent roll'!$E8,'Rent roll'!$C8,IF(I$37='Rent roll'!$F8,$B$7*LetFrac,$B$7)))</f>
        <v>126000</v>
      </c>
      <c r="J38" s="21" t="n">
        <f aca="false">IF(AND('Rent roll'!$C8=0,1=0),0,IF(J$37&lt;='Rent roll'!$E8,'Rent roll'!$C8,IF(J$37='Rent roll'!$F8,$B$7*LetFrac,$B$7)))</f>
        <v>504000</v>
      </c>
      <c r="K38" s="21" t="n">
        <f aca="false">IF(AND('Rent roll'!$C8=0,1=0),0,IF(K$37&lt;='Rent roll'!$E8,'Rent roll'!$C8,IF(K$37='Rent roll'!$F8,$B$7*LetFrac,$B$7)))</f>
        <v>504000</v>
      </c>
      <c r="L38" s="21" t="n">
        <f aca="false">IF(AND('Rent roll'!$C8=0,1=0),0,IF(L$37&lt;='Rent roll'!$E8,'Rent roll'!$C8,IF(L$37='Rent roll'!$F8,$B$7*LetFrac,$B$7)))</f>
        <v>504000</v>
      </c>
    </row>
    <row r="39" customFormat="false" ht="15" hidden="false" customHeight="false" outlineLevel="0" collapsed="false">
      <c r="A39" s="7" t="str">
        <f aca="false">'Rent roll'!$A9</f>
        <v>Kilmory Print</v>
      </c>
      <c r="B39" s="21" t="n">
        <f aca="false">IF(AND('Rent roll'!$C9=0,1=0),0,IF(B$37&lt;='Rent roll'!$E9,'Rent roll'!$C9,IF(B$37='Rent roll'!$F9,$B$8*LetFrac,$B$8)))</f>
        <v>257400</v>
      </c>
      <c r="C39" s="21" t="n">
        <f aca="false">IF(AND('Rent roll'!$C9=0,1=0),0,IF(C$37&lt;='Rent roll'!$E9,'Rent roll'!$C9,IF(C$37='Rent roll'!$F9,$B$8*LetFrac,$B$8)))</f>
        <v>257400</v>
      </c>
      <c r="D39" s="21" t="n">
        <f aca="false">IF(AND('Rent roll'!$C9=0,1=0),0,IF(D$37&lt;='Rent roll'!$E9,'Rent roll'!$C9,IF(D$37='Rent roll'!$F9,$B$8*LetFrac,$B$8)))</f>
        <v>257400</v>
      </c>
      <c r="E39" s="21" t="n">
        <f aca="false">IF(AND('Rent roll'!$C9=0,1=0),0,IF(E$37&lt;='Rent roll'!$E9,'Rent roll'!$C9,IF(E$37='Rent roll'!$F9,$B$8*LetFrac,$B$8)))</f>
        <v>79200</v>
      </c>
      <c r="F39" s="21" t="n">
        <f aca="false">IF(AND('Rent roll'!$C9=0,1=0),0,IF(F$37&lt;='Rent roll'!$E9,'Rent roll'!$C9,IF(F$37='Rent roll'!$F9,$B$8*LetFrac,$B$8)))</f>
        <v>316800</v>
      </c>
      <c r="G39" s="21" t="n">
        <f aca="false">IF(AND('Rent roll'!$C9=0,1=0),0,IF(G$37&lt;='Rent roll'!$E9,'Rent roll'!$C9,IF(G$37='Rent roll'!$F9,$B$8*LetFrac,$B$8)))</f>
        <v>316800</v>
      </c>
      <c r="H39" s="21" t="n">
        <f aca="false">IF(AND('Rent roll'!$C9=0,1=0),0,IF(H$37&lt;='Rent roll'!$E9,'Rent roll'!$C9,IF(H$37='Rent roll'!$F9,$B$8*LetFrac,$B$8)))</f>
        <v>316800</v>
      </c>
      <c r="I39" s="21" t="n">
        <f aca="false">IF(AND('Rent roll'!$C9=0,1=0),0,IF(I$37&lt;='Rent roll'!$E9,'Rent roll'!$C9,IF(I$37='Rent roll'!$F9,$B$8*LetFrac,$B$8)))</f>
        <v>316800</v>
      </c>
      <c r="J39" s="21" t="n">
        <f aca="false">IF(AND('Rent roll'!$C9=0,1=0),0,IF(J$37&lt;='Rent roll'!$E9,'Rent roll'!$C9,IF(J$37='Rent roll'!$F9,$B$8*LetFrac,$B$8)))</f>
        <v>316800</v>
      </c>
      <c r="K39" s="21" t="n">
        <f aca="false">IF(AND('Rent roll'!$C9=0,1=0),0,IF(K$37&lt;='Rent roll'!$E9,'Rent roll'!$C9,IF(K$37='Rent roll'!$F9,$B$8*LetFrac,$B$8)))</f>
        <v>316800</v>
      </c>
      <c r="L39" s="21" t="n">
        <f aca="false">IF(AND('Rent roll'!$C9=0,1=0),0,IF(L$37&lt;='Rent roll'!$E9,'Rent roll'!$C9,IF(L$37='Rent roll'!$F9,$B$8*LetFrac,$B$8)))</f>
        <v>316800</v>
      </c>
    </row>
    <row r="40" customFormat="false" ht="15" hidden="false" customHeight="false" outlineLevel="0" collapsed="false">
      <c r="A40" s="7" t="str">
        <f aca="false">'Rent roll'!$A10</f>
        <v>Tannoch Foods</v>
      </c>
      <c r="B40" s="21" t="n">
        <f aca="false">IF(AND('Rent roll'!$C10=0,1=0),0,IF(B$37&lt;='Rent roll'!$E10,'Rent roll'!$C10,IF(B$37='Rent roll'!$F10,$B$9*LetFrac,$B$9)))</f>
        <v>229600</v>
      </c>
      <c r="C40" s="21" t="n">
        <f aca="false">IF(AND('Rent roll'!$C10=0,1=0),0,IF(C$37&lt;='Rent roll'!$E10,'Rent roll'!$C10,IF(C$37='Rent roll'!$F10,$B$9*LetFrac,$B$9)))</f>
        <v>229600</v>
      </c>
      <c r="D40" s="21" t="n">
        <f aca="false">IF(AND('Rent roll'!$C10=0,1=0),0,IF(D$37&lt;='Rent roll'!$E10,'Rent roll'!$C10,IF(D$37='Rent roll'!$F10,$B$9*LetFrac,$B$9)))</f>
        <v>229600</v>
      </c>
      <c r="E40" s="21" t="n">
        <f aca="false">IF(AND('Rent roll'!$C10=0,1=0),0,IF(E$37&lt;='Rent roll'!$E10,'Rent roll'!$C10,IF(E$37='Rent roll'!$F10,$B$9*LetFrac,$B$9)))</f>
        <v>229600</v>
      </c>
      <c r="F40" s="21" t="n">
        <f aca="false">IF(AND('Rent roll'!$C10=0,1=0),0,IF(F$37&lt;='Rent roll'!$E10,'Rent roll'!$C10,IF(F$37='Rent roll'!$F10,$B$9*LetFrac,$B$9)))</f>
        <v>229600</v>
      </c>
      <c r="G40" s="21" t="n">
        <f aca="false">IF(AND('Rent roll'!$C10=0,1=0),0,IF(G$37&lt;='Rent roll'!$E10,'Rent roll'!$C10,IF(G$37='Rent roll'!$F10,$B$9*LetFrac,$B$9)))</f>
        <v>229600</v>
      </c>
      <c r="H40" s="21" t="n">
        <f aca="false">IF(AND('Rent roll'!$C10=0,1=0),0,IF(H$37&lt;='Rent roll'!$E10,'Rent roll'!$C10,IF(H$37='Rent roll'!$F10,$B$9*LetFrac,$B$9)))</f>
        <v>229600</v>
      </c>
      <c r="I40" s="21" t="n">
        <f aca="false">IF(AND('Rent roll'!$C10=0,1=0),0,IF(I$37&lt;='Rent roll'!$E10,'Rent roll'!$C10,IF(I$37='Rent roll'!$F10,$B$9*LetFrac,$B$9)))</f>
        <v>229600</v>
      </c>
      <c r="J40" s="21" t="n">
        <f aca="false">IF(AND('Rent roll'!$C10=0,1=0),0,IF(J$37&lt;='Rent roll'!$E10,'Rent roll'!$C10,IF(J$37='Rent roll'!$F10,$B$9*LetFrac,$B$9)))</f>
        <v>229600</v>
      </c>
      <c r="K40" s="21" t="n">
        <f aca="false">IF(AND('Rent roll'!$C10=0,1=0),0,IF(K$37&lt;='Rent roll'!$E10,'Rent roll'!$C10,IF(K$37='Rent roll'!$F10,$B$9*LetFrac,$B$9)))</f>
        <v>65600</v>
      </c>
      <c r="L40" s="21" t="n">
        <f aca="false">IF(AND('Rent roll'!$C10=0,1=0),0,IF(L$37&lt;='Rent roll'!$E10,'Rent roll'!$C10,IF(L$37='Rent roll'!$F10,$B$9*LetFrac,$B$9)))</f>
        <v>262400</v>
      </c>
    </row>
    <row r="41" customFormat="false" ht="15" hidden="false" customHeight="false" outlineLevel="0" collapsed="false">
      <c r="A41" s="7" t="str">
        <f aca="false">'Rent roll'!$A11</f>
        <v>Struan Instruments</v>
      </c>
      <c r="B41" s="21" t="n">
        <f aca="false">IF(AND('Rent roll'!$C11=0,1=0),0,IF(B$37&lt;='Rent roll'!$E11,'Rent roll'!$C11,IF(B$37='Rent roll'!$F11,$B$10*LetFrac,$B$10)))</f>
        <v>183400</v>
      </c>
      <c r="C41" s="21" t="n">
        <f aca="false">IF(AND('Rent roll'!$C11=0,1=0),0,IF(C$37&lt;='Rent roll'!$E11,'Rent roll'!$C11,IF(C$37='Rent roll'!$F11,$B$10*LetFrac,$B$10)))</f>
        <v>183400</v>
      </c>
      <c r="D41" s="21" t="n">
        <f aca="false">IF(AND('Rent roll'!$C11=0,1=0),0,IF(D$37&lt;='Rent roll'!$E11,'Rent roll'!$C11,IF(D$37='Rent roll'!$F11,$B$10*LetFrac,$B$10)))</f>
        <v>183400</v>
      </c>
      <c r="E41" s="21" t="n">
        <f aca="false">IF(AND('Rent roll'!$C11=0,1=0),0,IF(E$37&lt;='Rent roll'!$E11,'Rent roll'!$C11,IF(E$37='Rent roll'!$F11,$B$10*LetFrac,$B$10)))</f>
        <v>183400</v>
      </c>
      <c r="F41" s="21" t="n">
        <f aca="false">IF(AND('Rent roll'!$C11=0,1=0),0,IF(F$37&lt;='Rent roll'!$E11,'Rent roll'!$C11,IF(F$37='Rent roll'!$F11,$B$10*LetFrac,$B$10)))</f>
        <v>183400</v>
      </c>
      <c r="G41" s="21" t="n">
        <f aca="false">IF(AND('Rent roll'!$C11=0,1=0),0,IF(G$37&lt;='Rent roll'!$E11,'Rent roll'!$C11,IF(G$37='Rent roll'!$F11,$B$10*LetFrac,$B$10)))</f>
        <v>52400</v>
      </c>
      <c r="H41" s="21" t="n">
        <f aca="false">IF(AND('Rent roll'!$C11=0,1=0),0,IF(H$37&lt;='Rent roll'!$E11,'Rent roll'!$C11,IF(H$37='Rent roll'!$F11,$B$10*LetFrac,$B$10)))</f>
        <v>209600</v>
      </c>
      <c r="I41" s="21" t="n">
        <f aca="false">IF(AND('Rent roll'!$C11=0,1=0),0,IF(I$37&lt;='Rent roll'!$E11,'Rent roll'!$C11,IF(I$37='Rent roll'!$F11,$B$10*LetFrac,$B$10)))</f>
        <v>209600</v>
      </c>
      <c r="J41" s="21" t="n">
        <f aca="false">IF(AND('Rent roll'!$C11=0,1=0),0,IF(J$37&lt;='Rent roll'!$E11,'Rent roll'!$C11,IF(J$37='Rent roll'!$F11,$B$10*LetFrac,$B$10)))</f>
        <v>209600</v>
      </c>
      <c r="K41" s="21" t="n">
        <f aca="false">IF(AND('Rent roll'!$C11=0,1=0),0,IF(K$37&lt;='Rent roll'!$E11,'Rent roll'!$C11,IF(K$37='Rent roll'!$F11,$B$10*LetFrac,$B$10)))</f>
        <v>209600</v>
      </c>
      <c r="L41" s="21" t="n">
        <f aca="false">IF(AND('Rent roll'!$C11=0,1=0),0,IF(L$37&lt;='Rent roll'!$E11,'Rent roll'!$C11,IF(L$37='Rent roll'!$F11,$B$10*LetFrac,$B$10)))</f>
        <v>209600</v>
      </c>
    </row>
    <row r="42" customFormat="false" ht="15" hidden="false" customHeight="false" outlineLevel="0" collapsed="false">
      <c r="A42" s="7" t="str">
        <f aca="false">'Rent roll'!$A12</f>
        <v>Balvaig Textiles</v>
      </c>
      <c r="B42" s="21" t="n">
        <f aca="false">IF(AND('Rent roll'!$C12=0,1=0),0,IF(B$37&lt;='Rent roll'!$E12,'Rent roll'!$C12,IF(B$37='Rent roll'!$F12,$B$11*LetFrac,$B$11)))</f>
        <v>117600</v>
      </c>
      <c r="C42" s="21" t="n">
        <f aca="false">IF(AND('Rent roll'!$C12=0,1=0),0,IF(C$37&lt;='Rent roll'!$E12,'Rent roll'!$C12,IF(C$37='Rent roll'!$F12,$B$11*LetFrac,$B$11)))</f>
        <v>117600</v>
      </c>
      <c r="D42" s="21" t="n">
        <f aca="false">IF(AND('Rent roll'!$C12=0,1=0),0,IF(D$37&lt;='Rent roll'!$E12,'Rent roll'!$C12,IF(D$37='Rent roll'!$F12,$B$11*LetFrac,$B$11)))</f>
        <v>39200</v>
      </c>
      <c r="E42" s="21" t="n">
        <f aca="false">IF(AND('Rent roll'!$C12=0,1=0),0,IF(E$37&lt;='Rent roll'!$E12,'Rent roll'!$C12,IF(E$37='Rent roll'!$F12,$B$11*LetFrac,$B$11)))</f>
        <v>156800</v>
      </c>
      <c r="F42" s="21" t="n">
        <f aca="false">IF(AND('Rent roll'!$C12=0,1=0),0,IF(F$37&lt;='Rent roll'!$E12,'Rent roll'!$C12,IF(F$37='Rent roll'!$F12,$B$11*LetFrac,$B$11)))</f>
        <v>156800</v>
      </c>
      <c r="G42" s="21" t="n">
        <f aca="false">IF(AND('Rent roll'!$C12=0,1=0),0,IF(G$37&lt;='Rent roll'!$E12,'Rent roll'!$C12,IF(G$37='Rent roll'!$F12,$B$11*LetFrac,$B$11)))</f>
        <v>156800</v>
      </c>
      <c r="H42" s="21" t="n">
        <f aca="false">IF(AND('Rent roll'!$C12=0,1=0),0,IF(H$37&lt;='Rent roll'!$E12,'Rent roll'!$C12,IF(H$37='Rent roll'!$F12,$B$11*LetFrac,$B$11)))</f>
        <v>156800</v>
      </c>
      <c r="I42" s="21" t="n">
        <f aca="false">IF(AND('Rent roll'!$C12=0,1=0),0,IF(I$37&lt;='Rent roll'!$E12,'Rent roll'!$C12,IF(I$37='Rent roll'!$F12,$B$11*LetFrac,$B$11)))</f>
        <v>156800</v>
      </c>
      <c r="J42" s="21" t="n">
        <f aca="false">IF(AND('Rent roll'!$C12=0,1=0),0,IF(J$37&lt;='Rent roll'!$E12,'Rent roll'!$C12,IF(J$37='Rent roll'!$F12,$B$11*LetFrac,$B$11)))</f>
        <v>156800</v>
      </c>
      <c r="K42" s="21" t="n">
        <f aca="false">IF(AND('Rent roll'!$C12=0,1=0),0,IF(K$37&lt;='Rent roll'!$E12,'Rent roll'!$C12,IF(K$37='Rent roll'!$F12,$B$11*LetFrac,$B$11)))</f>
        <v>156800</v>
      </c>
      <c r="L42" s="21" t="n">
        <f aca="false">IF(AND('Rent roll'!$C12=0,1=0),0,IF(L$37&lt;='Rent roll'!$E12,'Rent roll'!$C12,IF(L$37='Rent roll'!$F12,$B$11*LetFrac,$B$11)))</f>
        <v>156800</v>
      </c>
    </row>
    <row r="43" customFormat="false" ht="15" hidden="false" customHeight="false" outlineLevel="0" collapsed="false">
      <c r="A43" s="7" t="str">
        <f aca="false">'Rent roll'!$A13</f>
        <v>Corrour Systems</v>
      </c>
      <c r="B43" s="21" t="n">
        <f aca="false">IF(AND('Rent roll'!$C13=0,1=0),0,IF(B$37&lt;='Rent roll'!$E13,'Rent roll'!$C13,IF(B$37='Rent roll'!$F13,$B$12*LetFrac,$B$12)))</f>
        <v>129000</v>
      </c>
      <c r="C43" s="21" t="n">
        <f aca="false">IF(AND('Rent roll'!$C13=0,1=0),0,IF(C$37&lt;='Rent roll'!$E13,'Rent roll'!$C13,IF(C$37='Rent roll'!$F13,$B$12*LetFrac,$B$12)))</f>
        <v>129000</v>
      </c>
      <c r="D43" s="21" t="n">
        <f aca="false">IF(AND('Rent roll'!$C13=0,1=0),0,IF(D$37&lt;='Rent roll'!$E13,'Rent roll'!$C13,IF(D$37='Rent roll'!$F13,$B$12*LetFrac,$B$12)))</f>
        <v>129000</v>
      </c>
      <c r="E43" s="21" t="n">
        <f aca="false">IF(AND('Rent roll'!$C13=0,1=0),0,IF(E$37&lt;='Rent roll'!$E13,'Rent roll'!$C13,IF(E$37='Rent roll'!$F13,$B$12*LetFrac,$B$12)))</f>
        <v>129000</v>
      </c>
      <c r="F43" s="21" t="n">
        <f aca="false">IF(AND('Rent roll'!$C13=0,1=0),0,IF(F$37&lt;='Rent roll'!$E13,'Rent roll'!$C13,IF(F$37='Rent roll'!$F13,$B$12*LetFrac,$B$12)))</f>
        <v>129000</v>
      </c>
      <c r="G43" s="21" t="n">
        <f aca="false">IF(AND('Rent roll'!$C13=0,1=0),0,IF(G$37&lt;='Rent roll'!$E13,'Rent roll'!$C13,IF(G$37='Rent roll'!$F13,$B$12*LetFrac,$B$12)))</f>
        <v>129000</v>
      </c>
      <c r="H43" s="21" t="n">
        <f aca="false">IF(AND('Rent roll'!$C13=0,1=0),0,IF(H$37&lt;='Rent roll'!$E13,'Rent roll'!$C13,IF(H$37='Rent roll'!$F13,$B$12*LetFrac,$B$12)))</f>
        <v>129000</v>
      </c>
      <c r="I43" s="21" t="n">
        <f aca="false">IF(AND('Rent roll'!$C13=0,1=0),0,IF(I$37&lt;='Rent roll'!$E13,'Rent roll'!$C13,IF(I$37='Rent roll'!$F13,$B$12*LetFrac,$B$12)))</f>
        <v>129000</v>
      </c>
      <c r="J43" s="21" t="n">
        <f aca="false">IF(AND('Rent roll'!$C13=0,1=0),0,IF(J$37&lt;='Rent roll'!$E13,'Rent roll'!$C13,IF(J$37='Rent roll'!$F13,$B$12*LetFrac,$B$12)))</f>
        <v>129000</v>
      </c>
      <c r="K43" s="21" t="n">
        <f aca="false">IF(AND('Rent roll'!$C13=0,1=0),0,IF(K$37&lt;='Rent roll'!$E13,'Rent roll'!$C13,IF(K$37='Rent roll'!$F13,$B$12*LetFrac,$B$12)))</f>
        <v>129000</v>
      </c>
      <c r="L43" s="21" t="n">
        <f aca="false">IF(AND('Rent roll'!$C13=0,1=0),0,IF(L$37&lt;='Rent roll'!$E13,'Rent roll'!$C13,IF(L$37='Rent roll'!$F13,$B$12*LetFrac,$B$12)))</f>
        <v>129000</v>
      </c>
    </row>
    <row r="44" customFormat="false" ht="15" hidden="false" customHeight="false" outlineLevel="0" collapsed="false">
      <c r="A44" s="7" t="str">
        <f aca="false">'Rent roll'!$A14</f>
        <v>Dunardry Media</v>
      </c>
      <c r="B44" s="21" t="n">
        <f aca="false">IF(AND('Rent roll'!$C14=0,1=0),0,IF(B$37&lt;='Rent roll'!$E14,'Rent roll'!$C14,IF(B$37='Rent roll'!$F14,$B$13*LetFrac,$B$13)))</f>
        <v>93600</v>
      </c>
      <c r="C44" s="21" t="n">
        <f aca="false">IF(AND('Rent roll'!$C14=0,1=0),0,IF(C$37&lt;='Rent roll'!$E14,'Rent roll'!$C14,IF(C$37='Rent roll'!$F14,$B$13*LetFrac,$B$13)))</f>
        <v>93600</v>
      </c>
      <c r="D44" s="21" t="n">
        <f aca="false">IF(AND('Rent roll'!$C14=0,1=0),0,IF(D$37&lt;='Rent roll'!$E14,'Rent roll'!$C14,IF(D$37='Rent roll'!$F14,$B$13*LetFrac,$B$13)))</f>
        <v>93600</v>
      </c>
      <c r="E44" s="21" t="n">
        <f aca="false">IF(AND('Rent roll'!$C14=0,1=0),0,IF(E$37&lt;='Rent roll'!$E14,'Rent roll'!$C14,IF(E$37='Rent roll'!$F14,$B$13*LetFrac,$B$13)))</f>
        <v>93600</v>
      </c>
      <c r="F44" s="21" t="n">
        <f aca="false">IF(AND('Rent roll'!$C14=0,1=0),0,IF(F$37&lt;='Rent roll'!$E14,'Rent roll'!$C14,IF(F$37='Rent roll'!$F14,$B$13*LetFrac,$B$13)))</f>
        <v>28800</v>
      </c>
      <c r="G44" s="21" t="n">
        <f aca="false">IF(AND('Rent roll'!$C14=0,1=0),0,IF(G$37&lt;='Rent roll'!$E14,'Rent roll'!$C14,IF(G$37='Rent roll'!$F14,$B$13*LetFrac,$B$13)))</f>
        <v>115200</v>
      </c>
      <c r="H44" s="21" t="n">
        <f aca="false">IF(AND('Rent roll'!$C14=0,1=0),0,IF(H$37&lt;='Rent roll'!$E14,'Rent roll'!$C14,IF(H$37='Rent roll'!$F14,$B$13*LetFrac,$B$13)))</f>
        <v>115200</v>
      </c>
      <c r="I44" s="21" t="n">
        <f aca="false">IF(AND('Rent roll'!$C14=0,1=0),0,IF(I$37&lt;='Rent roll'!$E14,'Rent roll'!$C14,IF(I$37='Rent roll'!$F14,$B$13*LetFrac,$B$13)))</f>
        <v>115200</v>
      </c>
      <c r="J44" s="21" t="n">
        <f aca="false">IF(AND('Rent roll'!$C14=0,1=0),0,IF(J$37&lt;='Rent roll'!$E14,'Rent roll'!$C14,IF(J$37='Rent roll'!$F14,$B$13*LetFrac,$B$13)))</f>
        <v>115200</v>
      </c>
      <c r="K44" s="21" t="n">
        <f aca="false">IF(AND('Rent roll'!$C14=0,1=0),0,IF(K$37&lt;='Rent roll'!$E14,'Rent roll'!$C14,IF(K$37='Rent roll'!$F14,$B$13*LetFrac,$B$13)))</f>
        <v>115200</v>
      </c>
      <c r="L44" s="21" t="n">
        <f aca="false">IF(AND('Rent roll'!$C14=0,1=0),0,IF(L$37&lt;='Rent roll'!$E14,'Rent roll'!$C14,IF(L$37='Rent roll'!$F14,$B$13*LetFrac,$B$13)))</f>
        <v>115200</v>
      </c>
    </row>
    <row r="45" customFormat="false" ht="15" hidden="false" customHeight="false" outlineLevel="0" collapsed="false">
      <c r="A45" s="7" t="str">
        <f aca="false">'Rent roll'!$A15</f>
        <v>Eilanreach Labs</v>
      </c>
      <c r="B45" s="21" t="n">
        <f aca="false">IF(AND('Rent roll'!$C15=0,1=0),0,IF(B$37&lt;='Rent roll'!$E15,'Rent roll'!$C15,IF(B$37='Rent roll'!$F15,$B$14*LetFrac,$B$14)))</f>
        <v>92800</v>
      </c>
      <c r="C45" s="21" t="n">
        <f aca="false">IF(AND('Rent roll'!$C15=0,1=0),0,IF(C$37&lt;='Rent roll'!$E15,'Rent roll'!$C15,IF(C$37='Rent roll'!$F15,$B$14*LetFrac,$B$14)))</f>
        <v>92800</v>
      </c>
      <c r="D45" s="21" t="n">
        <f aca="false">IF(AND('Rent roll'!$C15=0,1=0),0,IF(D$37&lt;='Rent roll'!$E15,'Rent roll'!$C15,IF(D$37='Rent roll'!$F15,$B$14*LetFrac,$B$14)))</f>
        <v>92800</v>
      </c>
      <c r="E45" s="21" t="n">
        <f aca="false">IF(AND('Rent roll'!$C15=0,1=0),0,IF(E$37&lt;='Rent roll'!$E15,'Rent roll'!$C15,IF(E$37='Rent roll'!$F15,$B$14*LetFrac,$B$14)))</f>
        <v>92800</v>
      </c>
      <c r="F45" s="21" t="n">
        <f aca="false">IF(AND('Rent roll'!$C15=0,1=0),0,IF(F$37&lt;='Rent roll'!$E15,'Rent roll'!$C15,IF(F$37='Rent roll'!$F15,$B$14*LetFrac,$B$14)))</f>
        <v>92800</v>
      </c>
      <c r="G45" s="21" t="n">
        <f aca="false">IF(AND('Rent roll'!$C15=0,1=0),0,IF(G$37&lt;='Rent roll'!$E15,'Rent roll'!$C15,IF(G$37='Rent roll'!$F15,$B$14*LetFrac,$B$14)))</f>
        <v>92800</v>
      </c>
      <c r="H45" s="21" t="n">
        <f aca="false">IF(AND('Rent roll'!$C15=0,1=0),0,IF(H$37&lt;='Rent roll'!$E15,'Rent roll'!$C15,IF(H$37='Rent roll'!$F15,$B$14*LetFrac,$B$14)))</f>
        <v>92800</v>
      </c>
      <c r="I45" s="21" t="n">
        <f aca="false">IF(AND('Rent roll'!$C15=0,1=0),0,IF(I$37&lt;='Rent roll'!$E15,'Rent roll'!$C15,IF(I$37='Rent roll'!$F15,$B$14*LetFrac,$B$14)))</f>
        <v>92800</v>
      </c>
      <c r="J45" s="21" t="n">
        <f aca="false">IF(AND('Rent roll'!$C15=0,1=0),0,IF(J$37&lt;='Rent roll'!$E15,'Rent roll'!$C15,IF(J$37='Rent roll'!$F15,$B$14*LetFrac,$B$14)))</f>
        <v>25600</v>
      </c>
      <c r="K45" s="21" t="n">
        <f aca="false">IF(AND('Rent roll'!$C15=0,1=0),0,IF(K$37&lt;='Rent roll'!$E15,'Rent roll'!$C15,IF(K$37='Rent roll'!$F15,$B$14*LetFrac,$B$14)))</f>
        <v>102400</v>
      </c>
      <c r="L45" s="21" t="n">
        <f aca="false">IF(AND('Rent roll'!$C15=0,1=0),0,IF(L$37&lt;='Rent roll'!$E15,'Rent roll'!$C15,IF(L$37='Rent roll'!$F15,$B$14*LetFrac,$B$14)))</f>
        <v>102400</v>
      </c>
    </row>
    <row r="46" customFormat="false" ht="15" hidden="false" customHeight="false" outlineLevel="0" collapsed="false">
      <c r="A46" s="7" t="str">
        <f aca="false">'Rent roll'!$A16</f>
        <v>Unit 9 (empty at acquisition)</v>
      </c>
      <c r="B46" s="21" t="n">
        <f aca="false">IF(AND('Rent roll'!$C16=0,1=0),0,IF(B$37&lt;='Rent roll'!$E16,'Rent roll'!$C16,IF(B$37='Rent roll'!$F16,$B$15*LetFrac,$B$15)))</f>
        <v>56800</v>
      </c>
      <c r="C46" s="21" t="n">
        <f aca="false">IF(AND('Rent roll'!$C16=0,1=0),0,IF(C$37&lt;='Rent roll'!$E16,'Rent roll'!$C16,IF(C$37='Rent roll'!$F16,$B$15*LetFrac,$B$15)))</f>
        <v>227200</v>
      </c>
      <c r="D46" s="21" t="n">
        <f aca="false">IF(AND('Rent roll'!$C16=0,1=0),0,IF(D$37&lt;='Rent roll'!$E16,'Rent roll'!$C16,IF(D$37='Rent roll'!$F16,$B$15*LetFrac,$B$15)))</f>
        <v>227200</v>
      </c>
      <c r="E46" s="21" t="n">
        <f aca="false">IF(AND('Rent roll'!$C16=0,1=0),0,IF(E$37&lt;='Rent roll'!$E16,'Rent roll'!$C16,IF(E$37='Rent roll'!$F16,$B$15*LetFrac,$B$15)))</f>
        <v>227200</v>
      </c>
      <c r="F46" s="21" t="n">
        <f aca="false">IF(AND('Rent roll'!$C16=0,1=0),0,IF(F$37&lt;='Rent roll'!$E16,'Rent roll'!$C16,IF(F$37='Rent roll'!$F16,$B$15*LetFrac,$B$15)))</f>
        <v>227200</v>
      </c>
      <c r="G46" s="21" t="n">
        <f aca="false">IF(AND('Rent roll'!$C16=0,1=0),0,IF(G$37&lt;='Rent roll'!$E16,'Rent roll'!$C16,IF(G$37='Rent roll'!$F16,$B$15*LetFrac,$B$15)))</f>
        <v>227200</v>
      </c>
      <c r="H46" s="21" t="n">
        <f aca="false">IF(AND('Rent roll'!$C16=0,1=0),0,IF(H$37&lt;='Rent roll'!$E16,'Rent roll'!$C16,IF(H$37='Rent roll'!$F16,$B$15*LetFrac,$B$15)))</f>
        <v>227200</v>
      </c>
      <c r="I46" s="21" t="n">
        <f aca="false">IF(AND('Rent roll'!$C16=0,1=0),0,IF(I$37&lt;='Rent roll'!$E16,'Rent roll'!$C16,IF(I$37='Rent roll'!$F16,$B$15*LetFrac,$B$15)))</f>
        <v>227200</v>
      </c>
      <c r="J46" s="21" t="n">
        <f aca="false">IF(AND('Rent roll'!$C16=0,1=0),0,IF(J$37&lt;='Rent roll'!$E16,'Rent roll'!$C16,IF(J$37='Rent roll'!$F16,$B$15*LetFrac,$B$15)))</f>
        <v>227200</v>
      </c>
      <c r="K46" s="21" t="n">
        <f aca="false">IF(AND('Rent roll'!$C16=0,1=0),0,IF(K$37&lt;='Rent roll'!$E16,'Rent roll'!$C16,IF(K$37='Rent roll'!$F16,$B$15*LetFrac,$B$15)))</f>
        <v>227200</v>
      </c>
      <c r="L46" s="21" t="n">
        <f aca="false">IF(AND('Rent roll'!$C16=0,1=0),0,IF(L$37&lt;='Rent roll'!$E16,'Rent roll'!$C16,IF(L$37='Rent roll'!$F16,$B$15*LetFrac,$B$15)))</f>
        <v>227200</v>
      </c>
    </row>
    <row r="47" customFormat="false" ht="15" hidden="false" customHeight="false" outlineLevel="0" collapsed="false">
      <c r="A47" s="7" t="str">
        <f aca="false">'Rent roll'!$A17</f>
        <v>Unit 12 (empty at acquisition)</v>
      </c>
      <c r="B47" s="21" t="n">
        <f aca="false">IF(AND('Rent roll'!$C17=0,1=0),0,IF(B$37&lt;='Rent roll'!$E17,'Rent roll'!$C17,IF(B$37='Rent roll'!$F17,$B$16*LetFrac,$B$16)))</f>
        <v>63000</v>
      </c>
      <c r="C47" s="21" t="n">
        <f aca="false">IF(AND('Rent roll'!$C17=0,1=0),0,IF(C$37&lt;='Rent roll'!$E17,'Rent roll'!$C17,IF(C$37='Rent roll'!$F17,$B$16*LetFrac,$B$16)))</f>
        <v>252000</v>
      </c>
      <c r="D47" s="21" t="n">
        <f aca="false">IF(AND('Rent roll'!$C17=0,1=0),0,IF(D$37&lt;='Rent roll'!$E17,'Rent roll'!$C17,IF(D$37='Rent roll'!$F17,$B$16*LetFrac,$B$16)))</f>
        <v>252000</v>
      </c>
      <c r="E47" s="21" t="n">
        <f aca="false">IF(AND('Rent roll'!$C17=0,1=0),0,IF(E$37&lt;='Rent roll'!$E17,'Rent roll'!$C17,IF(E$37='Rent roll'!$F17,$B$16*LetFrac,$B$16)))</f>
        <v>252000</v>
      </c>
      <c r="F47" s="21" t="n">
        <f aca="false">IF(AND('Rent roll'!$C17=0,1=0),0,IF(F$37&lt;='Rent roll'!$E17,'Rent roll'!$C17,IF(F$37='Rent roll'!$F17,$B$16*LetFrac,$B$16)))</f>
        <v>252000</v>
      </c>
      <c r="G47" s="21" t="n">
        <f aca="false">IF(AND('Rent roll'!$C17=0,1=0),0,IF(G$37&lt;='Rent roll'!$E17,'Rent roll'!$C17,IF(G$37='Rent roll'!$F17,$B$16*LetFrac,$B$16)))</f>
        <v>252000</v>
      </c>
      <c r="H47" s="21" t="n">
        <f aca="false">IF(AND('Rent roll'!$C17=0,1=0),0,IF(H$37&lt;='Rent roll'!$E17,'Rent roll'!$C17,IF(H$37='Rent roll'!$F17,$B$16*LetFrac,$B$16)))</f>
        <v>252000</v>
      </c>
      <c r="I47" s="21" t="n">
        <f aca="false">IF(AND('Rent roll'!$C17=0,1=0),0,IF(I$37&lt;='Rent roll'!$E17,'Rent roll'!$C17,IF(I$37='Rent roll'!$F17,$B$16*LetFrac,$B$16)))</f>
        <v>252000</v>
      </c>
      <c r="J47" s="21" t="n">
        <f aca="false">IF(AND('Rent roll'!$C17=0,1=0),0,IF(J$37&lt;='Rent roll'!$E17,'Rent roll'!$C17,IF(J$37='Rent roll'!$F17,$B$16*LetFrac,$B$16)))</f>
        <v>252000</v>
      </c>
      <c r="K47" s="21" t="n">
        <f aca="false">IF(AND('Rent roll'!$C17=0,1=0),0,IF(K$37&lt;='Rent roll'!$E17,'Rent roll'!$C17,IF(K$37='Rent roll'!$F17,$B$16*LetFrac,$B$16)))</f>
        <v>252000</v>
      </c>
      <c r="L47" s="21" t="n">
        <f aca="false">IF(AND('Rent roll'!$C17=0,1=0),0,IF(L$37&lt;='Rent roll'!$E17,'Rent roll'!$C17,IF(L$37='Rent roll'!$F17,$B$16*LetFrac,$B$16)))</f>
        <v>252000</v>
      </c>
    </row>
    <row r="48" customFormat="false" ht="15" hidden="false" customHeight="false" outlineLevel="0" collapsed="false">
      <c r="A48" s="7" t="s">
        <v>145</v>
      </c>
      <c r="B48" s="21" t="n">
        <f aca="false">SUM(B38:B47)</f>
        <v>1695700</v>
      </c>
      <c r="C48" s="21" t="n">
        <f aca="false">SUM(C38:C47)</f>
        <v>2055100</v>
      </c>
      <c r="D48" s="21" t="n">
        <f aca="false">SUM(D38:D47)</f>
        <v>1976700</v>
      </c>
      <c r="E48" s="21" t="n">
        <f aca="false">SUM(E38:E47)</f>
        <v>1916100</v>
      </c>
      <c r="F48" s="21" t="n">
        <f aca="false">SUM(F38:F47)</f>
        <v>2088900</v>
      </c>
      <c r="G48" s="21" t="n">
        <f aca="false">SUM(G38:G47)</f>
        <v>2044300</v>
      </c>
      <c r="H48" s="21" t="n">
        <f aca="false">SUM(H38:H47)</f>
        <v>2201500</v>
      </c>
      <c r="I48" s="21" t="n">
        <f aca="false">SUM(I38:I47)</f>
        <v>1855000</v>
      </c>
      <c r="J48" s="21" t="n">
        <f aca="false">SUM(J38:J47)</f>
        <v>2165800</v>
      </c>
      <c r="K48" s="21" t="n">
        <f aca="false">SUM(K38:K47)</f>
        <v>2078600</v>
      </c>
      <c r="L48" s="21" t="n">
        <f aca="false">SUM(L38:L47)</f>
        <v>2275400</v>
      </c>
    </row>
    <row r="49" customFormat="false" ht="15" hidden="false" customHeight="false" outlineLevel="0" collapsed="false">
      <c r="A49" s="7" t="s">
        <v>106</v>
      </c>
      <c r="B49" s="21" t="n">
        <f aca="false">SUMPRODUCT(('Rent roll'!$F$8:$F$17=B$37)*$B$7:$B$16*(1-(1-1)*('Rent roll'!$C$8:$C$17=0)))*LetFee</f>
        <v>71880</v>
      </c>
      <c r="C49" s="21" t="n">
        <f aca="false">SUMPRODUCT(('Rent roll'!$F$8:$F$17=C$37)*$B$7:$B$16*(1-(1-1)*('Rent roll'!$C$8:$C$17=0)))*LetFee</f>
        <v>0</v>
      </c>
      <c r="D49" s="21" t="n">
        <f aca="false">SUMPRODUCT(('Rent roll'!$F$8:$F$17=D$37)*$B$7:$B$16*(1-(1-1)*('Rent roll'!$C$8:$C$17=0)))*LetFee</f>
        <v>23520</v>
      </c>
      <c r="E49" s="21" t="n">
        <f aca="false">SUMPRODUCT(('Rent roll'!$F$8:$F$17=E$37)*$B$7:$B$16*(1-(1-1)*('Rent roll'!$C$8:$C$17=0)))*LetFee</f>
        <v>47520</v>
      </c>
      <c r="F49" s="21" t="n">
        <f aca="false">SUMPRODUCT(('Rent roll'!$F$8:$F$17=F$37)*$B$7:$B$16*(1-(1-1)*('Rent roll'!$C$8:$C$17=0)))*LetFee</f>
        <v>17280</v>
      </c>
      <c r="G49" s="21" t="n">
        <f aca="false">SUMPRODUCT(('Rent roll'!$F$8:$F$17=G$37)*$B$7:$B$16*(1-(1-1)*('Rent roll'!$C$8:$C$17=0)))*LetFee</f>
        <v>31440</v>
      </c>
      <c r="H49" s="21" t="n">
        <f aca="false">SUMPRODUCT(('Rent roll'!$F$8:$F$17=H$37)*$B$7:$B$16*(1-(1-1)*('Rent roll'!$C$8:$C$17=0)))*LetFee</f>
        <v>0</v>
      </c>
      <c r="I49" s="21" t="n">
        <f aca="false">SUMPRODUCT(('Rent roll'!$F$8:$F$17=I$37)*$B$7:$B$16*(1-(1-1)*('Rent roll'!$C$8:$C$17=0)))*LetFee</f>
        <v>75600</v>
      </c>
      <c r="J49" s="21" t="n">
        <f aca="false">SUMPRODUCT(('Rent roll'!$F$8:$F$17=J$37)*$B$7:$B$16*(1-(1-1)*('Rent roll'!$C$8:$C$17=0)))*LetFee</f>
        <v>15360</v>
      </c>
      <c r="K49" s="21" t="n">
        <f aca="false">SUMPRODUCT(('Rent roll'!$F$8:$F$17=K$37)*$B$7:$B$16*(1-(1-1)*('Rent roll'!$C$8:$C$17=0)))*LetFee</f>
        <v>39360</v>
      </c>
      <c r="L49" s="21" t="n">
        <f aca="false">SUMPRODUCT(('Rent roll'!$F$8:$F$17=L$37)*$B$7:$B$16*(1-(1-1)*('Rent roll'!$C$8:$C$17=0)))*LetFee</f>
        <v>0</v>
      </c>
    </row>
    <row r="50" customFormat="false" ht="15" hidden="false" customHeight="false" outlineLevel="0" collapsed="false">
      <c r="A50" s="7" t="s">
        <v>105</v>
      </c>
      <c r="B50" s="21" t="n">
        <f aca="false">B48*(1-NonRec-MgmtFee)</f>
        <v>1655003.2</v>
      </c>
      <c r="C50" s="21" t="n">
        <f aca="false">C48*(1-NonRec-MgmtFee)</f>
        <v>2005777.6</v>
      </c>
      <c r="D50" s="21" t="n">
        <f aca="false">D48*(1-NonRec-MgmtFee)</f>
        <v>1929259.2</v>
      </c>
      <c r="E50" s="21" t="n">
        <f aca="false">E48*(1-NonRec-MgmtFee)</f>
        <v>1870113.6</v>
      </c>
      <c r="F50" s="21" t="n">
        <f aca="false">F48*(1-NonRec-MgmtFee)</f>
        <v>2038766.4</v>
      </c>
      <c r="G50" s="21" t="n">
        <f aca="false">G48*(1-NonRec-MgmtFee)</f>
        <v>1995236.8</v>
      </c>
      <c r="H50" s="21" t="n">
        <f aca="false">H48*(1-NonRec-MgmtFee)</f>
        <v>2148664</v>
      </c>
      <c r="I50" s="21" t="n">
        <f aca="false">I48*(1-NonRec-MgmtFee)</f>
        <v>1810480</v>
      </c>
      <c r="J50" s="21" t="n">
        <f aca="false">J48*(1-NonRec-MgmtFee)</f>
        <v>2113820.8</v>
      </c>
      <c r="K50" s="21" t="n">
        <f aca="false">K48*(1-NonRec-MgmtFee)</f>
        <v>2028713.6</v>
      </c>
      <c r="L50" s="21" t="n">
        <f aca="false">L48*(1-NonRec-MgmtFee)</f>
        <v>2220790.4</v>
      </c>
    </row>
    <row r="51" customFormat="false" ht="15" hidden="false" customHeight="false" outlineLevel="0" collapsed="false">
      <c r="A51" s="7" t="s">
        <v>107</v>
      </c>
      <c r="B51" s="21" t="n">
        <f aca="false">SUMIF(CapexYr,B$37,CapexAmt)*1</f>
        <v>1850000</v>
      </c>
      <c r="C51" s="21" t="n">
        <f aca="false">SUMIF(CapexYr,C$37,CapexAmt)*1</f>
        <v>940000</v>
      </c>
      <c r="D51" s="21" t="n">
        <f aca="false">SUMIF(CapexYr,D$37,CapexAmt)*1</f>
        <v>610000</v>
      </c>
      <c r="E51" s="21" t="n">
        <f aca="false">SUMIF(CapexYr,E$37,CapexAmt)*1</f>
        <v>0</v>
      </c>
      <c r="F51" s="21" t="n">
        <f aca="false">SUMIF(CapexYr,F$37,CapexAmt)*1</f>
        <v>0</v>
      </c>
      <c r="G51" s="21" t="n">
        <f aca="false">SUMIF(CapexYr,G$37,CapexAmt)*1</f>
        <v>0</v>
      </c>
      <c r="H51" s="21" t="n">
        <f aca="false">SUMIF(CapexYr,H$37,CapexAmt)*1</f>
        <v>0</v>
      </c>
      <c r="I51" s="21" t="n">
        <f aca="false">SUMIF(CapexYr,I$37,CapexAmt)*1</f>
        <v>0</v>
      </c>
      <c r="J51" s="21" t="n">
        <f aca="false">SUMIF(CapexYr,J$37,CapexAmt)*1</f>
        <v>0</v>
      </c>
      <c r="K51" s="21" t="n">
        <f aca="false">SUMIF(CapexYr,K$37,CapexAmt)*1</f>
        <v>0</v>
      </c>
      <c r="L51" s="21" t="n">
        <f aca="false">SUMIF(CapexYr,L$37,CapexAmt)*1</f>
        <v>0</v>
      </c>
    </row>
    <row r="52" customFormat="false" ht="15" hidden="false" customHeight="false" outlineLevel="0" collapsed="false">
      <c r="A52" s="11" t="s">
        <v>146</v>
      </c>
      <c r="B52" s="12" t="n">
        <f aca="false">B50-B49-B51</f>
        <v>-266876.8</v>
      </c>
      <c r="C52" s="12" t="n">
        <f aca="false">C50-C49-C51</f>
        <v>1065777.6</v>
      </c>
      <c r="D52" s="12" t="n">
        <f aca="false">D50-D49-D51</f>
        <v>1295739.2</v>
      </c>
      <c r="E52" s="12" t="n">
        <f aca="false">E50-E49-E51</f>
        <v>1822593.6</v>
      </c>
      <c r="F52" s="12" t="n">
        <f aca="false">F50-F49-F51</f>
        <v>2021486.4</v>
      </c>
      <c r="G52" s="12" t="n">
        <f aca="false">G50-G49-G51</f>
        <v>1963796.8</v>
      </c>
      <c r="H52" s="12" t="n">
        <f aca="false">H50-H49-H51</f>
        <v>2148664</v>
      </c>
      <c r="I52" s="12" t="n">
        <f aca="false">I50-I49-I51</f>
        <v>1734880</v>
      </c>
      <c r="J52" s="12" t="n">
        <f aca="false">J50-J49-J51</f>
        <v>2098460.8</v>
      </c>
      <c r="K52" s="12" t="n">
        <f aca="false">K50-K49-K51</f>
        <v>1989353.6</v>
      </c>
      <c r="L52" s="12" t="n">
        <f aca="false">L50-L49-L51</f>
        <v>2220790.4</v>
      </c>
    </row>
    <row r="53" customFormat="false" ht="15" hidden="false" customHeight="false" outlineLevel="0" collapsed="false">
      <c r="A53" s="31" t="s">
        <v>148</v>
      </c>
    </row>
    <row r="54" customFormat="false" ht="15" hidden="false" customHeight="false" outlineLevel="0" collapsed="false">
      <c r="A54" s="35" t="s">
        <v>55</v>
      </c>
      <c r="B54" s="36" t="n">
        <v>1</v>
      </c>
      <c r="C54" s="36" t="n">
        <f aca="false">B54+1</f>
        <v>2</v>
      </c>
      <c r="D54" s="36" t="n">
        <f aca="false">C54+1</f>
        <v>3</v>
      </c>
      <c r="E54" s="36" t="n">
        <f aca="false">D54+1</f>
        <v>4</v>
      </c>
      <c r="F54" s="36" t="n">
        <f aca="false">E54+1</f>
        <v>5</v>
      </c>
      <c r="G54" s="36" t="n">
        <f aca="false">F54+1</f>
        <v>6</v>
      </c>
      <c r="H54" s="36" t="n">
        <f aca="false">G54+1</f>
        <v>7</v>
      </c>
      <c r="I54" s="36" t="n">
        <f aca="false">H54+1</f>
        <v>8</v>
      </c>
      <c r="J54" s="36" t="n">
        <f aca="false">I54+1</f>
        <v>9</v>
      </c>
      <c r="K54" s="36" t="n">
        <f aca="false">J54+1</f>
        <v>10</v>
      </c>
      <c r="L54" s="36" t="n">
        <f aca="false">K54+1</f>
        <v>11</v>
      </c>
    </row>
    <row r="55" customFormat="false" ht="15" hidden="false" customHeight="false" outlineLevel="0" collapsed="false">
      <c r="A55" s="7" t="str">
        <f aca="false">'Rent roll'!$A8</f>
        <v>Ardgour Logistics</v>
      </c>
      <c r="B55" s="21" t="n">
        <f aca="false">IF(AND('Rent roll'!$C8=0,0=0),0,IF(B$54&lt;='Rent roll'!$E8,'Rent roll'!$C8,IF(B$54='Rent roll'!$F8,$C$7*LetFrac,$C$7)))</f>
        <v>472500</v>
      </c>
      <c r="C55" s="21" t="n">
        <f aca="false">IF(AND('Rent roll'!$C8=0,0=0),0,IF(C$54&lt;='Rent roll'!$E8,'Rent roll'!$C8,IF(C$54='Rent roll'!$F8,$C$7*LetFrac,$C$7)))</f>
        <v>472500</v>
      </c>
      <c r="D55" s="21" t="n">
        <f aca="false">IF(AND('Rent roll'!$C8=0,0=0),0,IF(D$54&lt;='Rent roll'!$E8,'Rent roll'!$C8,IF(D$54='Rent roll'!$F8,$C$7*LetFrac,$C$7)))</f>
        <v>472500</v>
      </c>
      <c r="E55" s="21" t="n">
        <f aca="false">IF(AND('Rent roll'!$C8=0,0=0),0,IF(E$54&lt;='Rent roll'!$E8,'Rent roll'!$C8,IF(E$54='Rent roll'!$F8,$C$7*LetFrac,$C$7)))</f>
        <v>472500</v>
      </c>
      <c r="F55" s="21" t="n">
        <f aca="false">IF(AND('Rent roll'!$C8=0,0=0),0,IF(F$54&lt;='Rent roll'!$E8,'Rent roll'!$C8,IF(F$54='Rent roll'!$F8,$C$7*LetFrac,$C$7)))</f>
        <v>472500</v>
      </c>
      <c r="G55" s="21" t="n">
        <f aca="false">IF(AND('Rent roll'!$C8=0,0=0),0,IF(G$54&lt;='Rent roll'!$E8,'Rent roll'!$C8,IF(G$54='Rent roll'!$F8,$C$7*LetFrac,$C$7)))</f>
        <v>472500</v>
      </c>
      <c r="H55" s="21" t="n">
        <f aca="false">IF(AND('Rent roll'!$C8=0,0=0),0,IF(H$54&lt;='Rent roll'!$E8,'Rent roll'!$C8,IF(H$54='Rent roll'!$F8,$C$7*LetFrac,$C$7)))</f>
        <v>472500</v>
      </c>
      <c r="I55" s="21" t="n">
        <f aca="false">IF(AND('Rent roll'!$C8=0,0=0),0,IF(I$54&lt;='Rent roll'!$E8,'Rent roll'!$C8,IF(I$54='Rent roll'!$F8,$C$7*LetFrac,$C$7)))</f>
        <v>147235.915763989</v>
      </c>
      <c r="J55" s="21" t="n">
        <f aca="false">IF(AND('Rent roll'!$C8=0,0=0),0,IF(J$54&lt;='Rent roll'!$E8,'Rent roll'!$C8,IF(J$54='Rent roll'!$F8,$C$7*LetFrac,$C$7)))</f>
        <v>588943.663055956</v>
      </c>
      <c r="K55" s="21" t="n">
        <f aca="false">IF(AND('Rent roll'!$C8=0,0=0),0,IF(K$54&lt;='Rent roll'!$E8,'Rent roll'!$C8,IF(K$54='Rent roll'!$F8,$C$7*LetFrac,$C$7)))</f>
        <v>588943.663055956</v>
      </c>
      <c r="L55" s="21" t="n">
        <f aca="false">IF(AND('Rent roll'!$C8=0,0=0),0,IF(L$54&lt;='Rent roll'!$E8,'Rent roll'!$C8,IF(L$54='Rent roll'!$F8,$C$7*LetFrac,$C$7)))</f>
        <v>588943.663055956</v>
      </c>
    </row>
    <row r="56" customFormat="false" ht="15" hidden="false" customHeight="false" outlineLevel="0" collapsed="false">
      <c r="A56" s="7" t="str">
        <f aca="false">'Rent roll'!$A9</f>
        <v>Kilmory Print</v>
      </c>
      <c r="B56" s="21" t="n">
        <f aca="false">IF(AND('Rent roll'!$C9=0,0=0),0,IF(B$54&lt;='Rent roll'!$E9,'Rent roll'!$C9,IF(B$54='Rent roll'!$F9,$C$8*LetFrac,$C$8)))</f>
        <v>257400</v>
      </c>
      <c r="C56" s="21" t="n">
        <f aca="false">IF(AND('Rent roll'!$C9=0,0=0),0,IF(C$54&lt;='Rent roll'!$E9,'Rent roll'!$C9,IF(C$54='Rent roll'!$F9,$C$8*LetFrac,$C$8)))</f>
        <v>257400</v>
      </c>
      <c r="D56" s="21" t="n">
        <f aca="false">IF(AND('Rent roll'!$C9=0,0=0),0,IF(D$54&lt;='Rent roll'!$E9,'Rent roll'!$C9,IF(D$54='Rent roll'!$F9,$C$8*LetFrac,$C$8)))</f>
        <v>257400</v>
      </c>
      <c r="E56" s="21" t="n">
        <f aca="false">IF(AND('Rent roll'!$C9=0,0=0),0,IF(E$54&lt;='Rent roll'!$E9,'Rent roll'!$C9,IF(E$54='Rent roll'!$F9,$C$8*LetFrac,$C$8)))</f>
        <v>84667.1871375</v>
      </c>
      <c r="F56" s="21" t="n">
        <f aca="false">IF(AND('Rent roll'!$C9=0,0=0),0,IF(F$54&lt;='Rent roll'!$E9,'Rent roll'!$C9,IF(F$54='Rent roll'!$F9,$C$8*LetFrac,$C$8)))</f>
        <v>338668.74855</v>
      </c>
      <c r="G56" s="21" t="n">
        <f aca="false">IF(AND('Rent roll'!$C9=0,0=0),0,IF(G$54&lt;='Rent roll'!$E9,'Rent roll'!$C9,IF(G$54='Rent roll'!$F9,$C$8*LetFrac,$C$8)))</f>
        <v>338668.74855</v>
      </c>
      <c r="H56" s="21" t="n">
        <f aca="false">IF(AND('Rent roll'!$C9=0,0=0),0,IF(H$54&lt;='Rent roll'!$E9,'Rent roll'!$C9,IF(H$54='Rent roll'!$F9,$C$8*LetFrac,$C$8)))</f>
        <v>338668.74855</v>
      </c>
      <c r="I56" s="21" t="n">
        <f aca="false">IF(AND('Rent roll'!$C9=0,0=0),0,IF(I$54&lt;='Rent roll'!$E9,'Rent roll'!$C9,IF(I$54='Rent roll'!$F9,$C$8*LetFrac,$C$8)))</f>
        <v>338668.74855</v>
      </c>
      <c r="J56" s="21" t="n">
        <f aca="false">IF(AND('Rent roll'!$C9=0,0=0),0,IF(J$54&lt;='Rent roll'!$E9,'Rent roll'!$C9,IF(J$54='Rent roll'!$F9,$C$8*LetFrac,$C$8)))</f>
        <v>338668.74855</v>
      </c>
      <c r="K56" s="21" t="n">
        <f aca="false">IF(AND('Rent roll'!$C9=0,0=0),0,IF(K$54&lt;='Rent roll'!$E9,'Rent roll'!$C9,IF(K$54='Rent roll'!$F9,$C$8*LetFrac,$C$8)))</f>
        <v>338668.74855</v>
      </c>
      <c r="L56" s="21" t="n">
        <f aca="false">IF(AND('Rent roll'!$C9=0,0=0),0,IF(L$54&lt;='Rent roll'!$E9,'Rent roll'!$C9,IF(L$54='Rent roll'!$F9,$C$8*LetFrac,$C$8)))</f>
        <v>338668.74855</v>
      </c>
    </row>
    <row r="57" customFormat="false" ht="15" hidden="false" customHeight="false" outlineLevel="0" collapsed="false">
      <c r="A57" s="7" t="str">
        <f aca="false">'Rent roll'!$A10</f>
        <v>Tannoch Foods</v>
      </c>
      <c r="B57" s="21" t="n">
        <f aca="false">IF(AND('Rent roll'!$C10=0,0=0),0,IF(B$54&lt;='Rent roll'!$E10,'Rent roll'!$C10,IF(B$54='Rent roll'!$F10,$C$9*LetFrac,$C$9)))</f>
        <v>229600</v>
      </c>
      <c r="C57" s="21" t="n">
        <f aca="false">IF(AND('Rent roll'!$C10=0,0=0),0,IF(C$54&lt;='Rent roll'!$E10,'Rent roll'!$C10,IF(C$54='Rent roll'!$F10,$C$9*LetFrac,$C$9)))</f>
        <v>229600</v>
      </c>
      <c r="D57" s="21" t="n">
        <f aca="false">IF(AND('Rent roll'!$C10=0,0=0),0,IF(D$54&lt;='Rent roll'!$E10,'Rent roll'!$C10,IF(D$54='Rent roll'!$F10,$C$9*LetFrac,$C$9)))</f>
        <v>229600</v>
      </c>
      <c r="E57" s="21" t="n">
        <f aca="false">IF(AND('Rent roll'!$C10=0,0=0),0,IF(E$54&lt;='Rent roll'!$E10,'Rent roll'!$C10,IF(E$54='Rent roll'!$F10,$C$9*LetFrac,$C$9)))</f>
        <v>229600</v>
      </c>
      <c r="F57" s="21" t="n">
        <f aca="false">IF(AND('Rent roll'!$C10=0,0=0),0,IF(F$54&lt;='Rent roll'!$E10,'Rent roll'!$C10,IF(F$54='Rent roll'!$F10,$C$9*LetFrac,$C$9)))</f>
        <v>229600</v>
      </c>
      <c r="G57" s="21" t="n">
        <f aca="false">IF(AND('Rent roll'!$C10=0,0=0),0,IF(G$54&lt;='Rent roll'!$E10,'Rent roll'!$C10,IF(G$54='Rent roll'!$F10,$C$9*LetFrac,$C$9)))</f>
        <v>229600</v>
      </c>
      <c r="H57" s="21" t="n">
        <f aca="false">IF(AND('Rent roll'!$C10=0,0=0),0,IF(H$54&lt;='Rent roll'!$E10,'Rent roll'!$C10,IF(H$54='Rent roll'!$F10,$C$9*LetFrac,$C$9)))</f>
        <v>229600</v>
      </c>
      <c r="I57" s="21" t="n">
        <f aca="false">IF(AND('Rent roll'!$C10=0,0=0),0,IF(I$54&lt;='Rent roll'!$E10,'Rent roll'!$C10,IF(I$54='Rent roll'!$F10,$C$9*LetFrac,$C$9)))</f>
        <v>229600</v>
      </c>
      <c r="J57" s="21" t="n">
        <f aca="false">IF(AND('Rent roll'!$C10=0,0=0),0,IF(J$54&lt;='Rent roll'!$E10,'Rent roll'!$C10,IF(J$54='Rent roll'!$F10,$C$9*LetFrac,$C$9)))</f>
        <v>229600</v>
      </c>
      <c r="K57" s="21" t="n">
        <f aca="false">IF(AND('Rent roll'!$C10=0,0=0),0,IF(K$54&lt;='Rent roll'!$E10,'Rent roll'!$C10,IF(K$54='Rent roll'!$F10,$C$9*LetFrac,$C$9)))</f>
        <v>80144.493668377</v>
      </c>
      <c r="L57" s="21" t="n">
        <f aca="false">IF(AND('Rent roll'!$C10=0,0=0),0,IF(L$54&lt;='Rent roll'!$E10,'Rent roll'!$C10,IF(L$54='Rent roll'!$F10,$C$9*LetFrac,$C$9)))</f>
        <v>320577.974673508</v>
      </c>
    </row>
    <row r="58" customFormat="false" ht="15" hidden="false" customHeight="false" outlineLevel="0" collapsed="false">
      <c r="A58" s="7" t="str">
        <f aca="false">'Rent roll'!$A11</f>
        <v>Struan Instruments</v>
      </c>
      <c r="B58" s="21" t="n">
        <f aca="false">IF(AND('Rent roll'!$C11=0,0=0),0,IF(B$54&lt;='Rent roll'!$E11,'Rent roll'!$C11,IF(B$54='Rent roll'!$F11,$C$10*LetFrac,$C$10)))</f>
        <v>183400</v>
      </c>
      <c r="C58" s="21" t="n">
        <f aca="false">IF(AND('Rent roll'!$C11=0,0=0),0,IF(C$54&lt;='Rent roll'!$E11,'Rent roll'!$C11,IF(C$54='Rent roll'!$F11,$C$10*LetFrac,$C$10)))</f>
        <v>183400</v>
      </c>
      <c r="D58" s="21" t="n">
        <f aca="false">IF(AND('Rent roll'!$C11=0,0=0),0,IF(D$54&lt;='Rent roll'!$E11,'Rent roll'!$C11,IF(D$54='Rent roll'!$F11,$C$10*LetFrac,$C$10)))</f>
        <v>183400</v>
      </c>
      <c r="E58" s="21" t="n">
        <f aca="false">IF(AND('Rent roll'!$C11=0,0=0),0,IF(E$54&lt;='Rent roll'!$E11,'Rent roll'!$C11,IF(E$54='Rent roll'!$F11,$C$10*LetFrac,$C$10)))</f>
        <v>183400</v>
      </c>
      <c r="F58" s="21" t="n">
        <f aca="false">IF(AND('Rent roll'!$C11=0,0=0),0,IF(F$54&lt;='Rent roll'!$E11,'Rent roll'!$C11,IF(F$54='Rent roll'!$F11,$C$10*LetFrac,$C$10)))</f>
        <v>183400</v>
      </c>
      <c r="G58" s="21" t="n">
        <f aca="false">IF(AND('Rent roll'!$C11=0,0=0),0,IF(G$54&lt;='Rent roll'!$E11,'Rent roll'!$C11,IF(G$54='Rent roll'!$F11,$C$10*LetFrac,$C$10)))</f>
        <v>58566.3111373992</v>
      </c>
      <c r="H58" s="21" t="n">
        <f aca="false">IF(AND('Rent roll'!$C11=0,0=0),0,IF(H$54&lt;='Rent roll'!$E11,'Rent roll'!$C11,IF(H$54='Rent roll'!$F11,$C$10*LetFrac,$C$10)))</f>
        <v>234265.244549597</v>
      </c>
      <c r="I58" s="21" t="n">
        <f aca="false">IF(AND('Rent roll'!$C11=0,0=0),0,IF(I$54&lt;='Rent roll'!$E11,'Rent roll'!$C11,IF(I$54='Rent roll'!$F11,$C$10*LetFrac,$C$10)))</f>
        <v>234265.244549597</v>
      </c>
      <c r="J58" s="21" t="n">
        <f aca="false">IF(AND('Rent roll'!$C11=0,0=0),0,IF(J$54&lt;='Rent roll'!$E11,'Rent roll'!$C11,IF(J$54='Rent roll'!$F11,$C$10*LetFrac,$C$10)))</f>
        <v>234265.244549597</v>
      </c>
      <c r="K58" s="21" t="n">
        <f aca="false">IF(AND('Rent roll'!$C11=0,0=0),0,IF(K$54&lt;='Rent roll'!$E11,'Rent roll'!$C11,IF(K$54='Rent roll'!$F11,$C$10*LetFrac,$C$10)))</f>
        <v>234265.244549597</v>
      </c>
      <c r="L58" s="21" t="n">
        <f aca="false">IF(AND('Rent roll'!$C11=0,0=0),0,IF(L$54&lt;='Rent roll'!$E11,'Rent roll'!$C11,IF(L$54='Rent roll'!$F11,$C$10*LetFrac,$C$10)))</f>
        <v>234265.244549597</v>
      </c>
    </row>
    <row r="59" customFormat="false" ht="15" hidden="false" customHeight="false" outlineLevel="0" collapsed="false">
      <c r="A59" s="7" t="str">
        <f aca="false">'Rent roll'!$A12</f>
        <v>Balvaig Textiles</v>
      </c>
      <c r="B59" s="21" t="n">
        <f aca="false">IF(AND('Rent roll'!$C12=0,0=0),0,IF(B$54&lt;='Rent roll'!$E12,'Rent roll'!$C12,IF(B$54='Rent roll'!$F12,$C$11*LetFrac,$C$11)))</f>
        <v>117600</v>
      </c>
      <c r="C59" s="21" t="n">
        <f aca="false">IF(AND('Rent roll'!$C12=0,0=0),0,IF(C$54&lt;='Rent roll'!$E12,'Rent roll'!$C12,IF(C$54='Rent roll'!$F12,$C$11*LetFrac,$C$11)))</f>
        <v>117600</v>
      </c>
      <c r="D59" s="21" t="n">
        <f aca="false">IF(AND('Rent roll'!$C12=0,0=0),0,IF(D$54&lt;='Rent roll'!$E12,'Rent roll'!$C12,IF(D$54='Rent roll'!$F12,$C$11*LetFrac,$C$11)))</f>
        <v>40983.845</v>
      </c>
      <c r="E59" s="21" t="n">
        <f aca="false">IF(AND('Rent roll'!$C12=0,0=0),0,IF(E$54&lt;='Rent roll'!$E12,'Rent roll'!$C12,IF(E$54='Rent roll'!$F12,$C$11*LetFrac,$C$11)))</f>
        <v>163935.38</v>
      </c>
      <c r="F59" s="21" t="n">
        <f aca="false">IF(AND('Rent roll'!$C12=0,0=0),0,IF(F$54&lt;='Rent roll'!$E12,'Rent roll'!$C12,IF(F$54='Rent roll'!$F12,$C$11*LetFrac,$C$11)))</f>
        <v>163935.38</v>
      </c>
      <c r="G59" s="21" t="n">
        <f aca="false">IF(AND('Rent roll'!$C12=0,0=0),0,IF(G$54&lt;='Rent roll'!$E12,'Rent roll'!$C12,IF(G$54='Rent roll'!$F12,$C$11*LetFrac,$C$11)))</f>
        <v>163935.38</v>
      </c>
      <c r="H59" s="21" t="n">
        <f aca="false">IF(AND('Rent roll'!$C12=0,0=0),0,IF(H$54&lt;='Rent roll'!$E12,'Rent roll'!$C12,IF(H$54='Rent roll'!$F12,$C$11*LetFrac,$C$11)))</f>
        <v>163935.38</v>
      </c>
      <c r="I59" s="21" t="n">
        <f aca="false">IF(AND('Rent roll'!$C12=0,0=0),0,IF(I$54&lt;='Rent roll'!$E12,'Rent roll'!$C12,IF(I$54='Rent roll'!$F12,$C$11*LetFrac,$C$11)))</f>
        <v>163935.38</v>
      </c>
      <c r="J59" s="21" t="n">
        <f aca="false">IF(AND('Rent roll'!$C12=0,0=0),0,IF(J$54&lt;='Rent roll'!$E12,'Rent roll'!$C12,IF(J$54='Rent roll'!$F12,$C$11*LetFrac,$C$11)))</f>
        <v>163935.38</v>
      </c>
      <c r="K59" s="21" t="n">
        <f aca="false">IF(AND('Rent roll'!$C12=0,0=0),0,IF(K$54&lt;='Rent roll'!$E12,'Rent roll'!$C12,IF(K$54='Rent roll'!$F12,$C$11*LetFrac,$C$11)))</f>
        <v>163935.38</v>
      </c>
      <c r="L59" s="21" t="n">
        <f aca="false">IF(AND('Rent roll'!$C12=0,0=0),0,IF(L$54&lt;='Rent roll'!$E12,'Rent roll'!$C12,IF(L$54='Rent roll'!$F12,$C$11*LetFrac,$C$11)))</f>
        <v>163935.38</v>
      </c>
    </row>
    <row r="60" customFormat="false" ht="15" hidden="false" customHeight="false" outlineLevel="0" collapsed="false">
      <c r="A60" s="7" t="str">
        <f aca="false">'Rent roll'!$A13</f>
        <v>Corrour Systems</v>
      </c>
      <c r="B60" s="21" t="n">
        <f aca="false">IF(AND('Rent roll'!$C13=0,0=0),0,IF(B$54&lt;='Rent roll'!$E13,'Rent roll'!$C13,IF(B$54='Rent roll'!$F13,$C$12*LetFrac,$C$12)))</f>
        <v>129000</v>
      </c>
      <c r="C60" s="21" t="n">
        <f aca="false">IF(AND('Rent roll'!$C13=0,0=0),0,IF(C$54&lt;='Rent roll'!$E13,'Rent roll'!$C13,IF(C$54='Rent roll'!$F13,$C$12*LetFrac,$C$12)))</f>
        <v>129000</v>
      </c>
      <c r="D60" s="21" t="n">
        <f aca="false">IF(AND('Rent roll'!$C13=0,0=0),0,IF(D$54&lt;='Rent roll'!$E13,'Rent roll'!$C13,IF(D$54='Rent roll'!$F13,$C$12*LetFrac,$C$12)))</f>
        <v>129000</v>
      </c>
      <c r="E60" s="21" t="n">
        <f aca="false">IF(AND('Rent roll'!$C13=0,0=0),0,IF(E$54&lt;='Rent roll'!$E13,'Rent roll'!$C13,IF(E$54='Rent roll'!$F13,$C$12*LetFrac,$C$12)))</f>
        <v>129000</v>
      </c>
      <c r="F60" s="21" t="n">
        <f aca="false">IF(AND('Rent roll'!$C13=0,0=0),0,IF(F$54&lt;='Rent roll'!$E13,'Rent roll'!$C13,IF(F$54='Rent roll'!$F13,$C$12*LetFrac,$C$12)))</f>
        <v>129000</v>
      </c>
      <c r="G60" s="21" t="n">
        <f aca="false">IF(AND('Rent roll'!$C13=0,0=0),0,IF(G$54&lt;='Rent roll'!$E13,'Rent roll'!$C13,IF(G$54='Rent roll'!$F13,$C$12*LetFrac,$C$12)))</f>
        <v>129000</v>
      </c>
      <c r="H60" s="21" t="n">
        <f aca="false">IF(AND('Rent roll'!$C13=0,0=0),0,IF(H$54&lt;='Rent roll'!$E13,'Rent roll'!$C13,IF(H$54='Rent roll'!$F13,$C$12*LetFrac,$C$12)))</f>
        <v>129000</v>
      </c>
      <c r="I60" s="21" t="n">
        <f aca="false">IF(AND('Rent roll'!$C13=0,0=0),0,IF(I$54&lt;='Rent roll'!$E13,'Rent roll'!$C13,IF(I$54='Rent roll'!$F13,$C$12*LetFrac,$C$12)))</f>
        <v>129000</v>
      </c>
      <c r="J60" s="21" t="n">
        <f aca="false">IF(AND('Rent roll'!$C13=0,0=0),0,IF(J$54&lt;='Rent roll'!$E13,'Rent roll'!$C13,IF(J$54='Rent roll'!$F13,$C$12*LetFrac,$C$12)))</f>
        <v>129000</v>
      </c>
      <c r="K60" s="21" t="n">
        <f aca="false">IF(AND('Rent roll'!$C13=0,0=0),0,IF(K$54&lt;='Rent roll'!$E13,'Rent roll'!$C13,IF(K$54='Rent roll'!$F13,$C$12*LetFrac,$C$12)))</f>
        <v>129000</v>
      </c>
      <c r="L60" s="21" t="n">
        <f aca="false">IF(AND('Rent roll'!$C13=0,0=0),0,IF(L$54&lt;='Rent roll'!$E13,'Rent roll'!$C13,IF(L$54='Rent roll'!$F13,$C$12*LetFrac,$C$12)))</f>
        <v>129000</v>
      </c>
    </row>
    <row r="61" customFormat="false" ht="15" hidden="false" customHeight="false" outlineLevel="0" collapsed="false">
      <c r="A61" s="7" t="str">
        <f aca="false">'Rent roll'!$A14</f>
        <v>Dunardry Media</v>
      </c>
      <c r="B61" s="21" t="n">
        <f aca="false">IF(AND('Rent roll'!$C14=0,0=0),0,IF(B$54&lt;='Rent roll'!$E14,'Rent roll'!$C14,IF(B$54='Rent roll'!$F14,$C$13*LetFrac,$C$13)))</f>
        <v>93600</v>
      </c>
      <c r="C61" s="21" t="n">
        <f aca="false">IF(AND('Rent roll'!$C14=0,0=0),0,IF(C$54&lt;='Rent roll'!$E14,'Rent roll'!$C14,IF(C$54='Rent roll'!$F14,$C$13*LetFrac,$C$13)))</f>
        <v>93600</v>
      </c>
      <c r="D61" s="21" t="n">
        <f aca="false">IF(AND('Rent roll'!$C14=0,0=0),0,IF(D$54&lt;='Rent roll'!$E14,'Rent roll'!$C14,IF(D$54='Rent roll'!$F14,$C$13*LetFrac,$C$13)))</f>
        <v>93600</v>
      </c>
      <c r="E61" s="21" t="n">
        <f aca="false">IF(AND('Rent roll'!$C14=0,0=0),0,IF(E$54&lt;='Rent roll'!$E14,'Rent roll'!$C14,IF(E$54='Rent roll'!$F14,$C$13*LetFrac,$C$13)))</f>
        <v>93600</v>
      </c>
      <c r="F61" s="21" t="n">
        <f aca="false">IF(AND('Rent roll'!$C14=0,0=0),0,IF(F$54&lt;='Rent roll'!$E14,'Rent roll'!$C14,IF(F$54='Rent roll'!$F14,$C$13*LetFrac,$C$13)))</f>
        <v>31480.799581125</v>
      </c>
      <c r="G61" s="21" t="n">
        <f aca="false">IF(AND('Rent roll'!$C14=0,0=0),0,IF(G$54&lt;='Rent roll'!$E14,'Rent roll'!$C14,IF(G$54='Rent roll'!$F14,$C$13*LetFrac,$C$13)))</f>
        <v>125923.1983245</v>
      </c>
      <c r="H61" s="21" t="n">
        <f aca="false">IF(AND('Rent roll'!$C14=0,0=0),0,IF(H$54&lt;='Rent roll'!$E14,'Rent roll'!$C14,IF(H$54='Rent roll'!$F14,$C$13*LetFrac,$C$13)))</f>
        <v>125923.1983245</v>
      </c>
      <c r="I61" s="21" t="n">
        <f aca="false">IF(AND('Rent roll'!$C14=0,0=0),0,IF(I$54&lt;='Rent roll'!$E14,'Rent roll'!$C14,IF(I$54='Rent roll'!$F14,$C$13*LetFrac,$C$13)))</f>
        <v>125923.1983245</v>
      </c>
      <c r="J61" s="21" t="n">
        <f aca="false">IF(AND('Rent roll'!$C14=0,0=0),0,IF(J$54&lt;='Rent roll'!$E14,'Rent roll'!$C14,IF(J$54='Rent roll'!$F14,$C$13*LetFrac,$C$13)))</f>
        <v>125923.1983245</v>
      </c>
      <c r="K61" s="21" t="n">
        <f aca="false">IF(AND('Rent roll'!$C14=0,0=0),0,IF(K$54&lt;='Rent roll'!$E14,'Rent roll'!$C14,IF(K$54='Rent roll'!$F14,$C$13*LetFrac,$C$13)))</f>
        <v>125923.1983245</v>
      </c>
      <c r="L61" s="21" t="n">
        <f aca="false">IF(AND('Rent roll'!$C14=0,0=0),0,IF(L$54&lt;='Rent roll'!$E14,'Rent roll'!$C14,IF(L$54='Rent roll'!$F14,$C$13*LetFrac,$C$13)))</f>
        <v>125923.1983245</v>
      </c>
    </row>
    <row r="62" customFormat="false" ht="15" hidden="false" customHeight="false" outlineLevel="0" collapsed="false">
      <c r="A62" s="7" t="str">
        <f aca="false">'Rent roll'!$A15</f>
        <v>Eilanreach Labs</v>
      </c>
      <c r="B62" s="21" t="n">
        <f aca="false">IF(AND('Rent roll'!$C15=0,0=0),0,IF(B$54&lt;='Rent roll'!$E15,'Rent roll'!$C15,IF(B$54='Rent roll'!$F15,$C$14*LetFrac,$C$14)))</f>
        <v>92800</v>
      </c>
      <c r="C62" s="21" t="n">
        <f aca="false">IF(AND('Rent roll'!$C15=0,0=0),0,IF(C$54&lt;='Rent roll'!$E15,'Rent roll'!$C15,IF(C$54='Rent roll'!$F15,$C$14*LetFrac,$C$14)))</f>
        <v>92800</v>
      </c>
      <c r="D62" s="21" t="n">
        <f aca="false">IF(AND('Rent roll'!$C15=0,0=0),0,IF(D$54&lt;='Rent roll'!$E15,'Rent roll'!$C15,IF(D$54='Rent roll'!$F15,$C$14*LetFrac,$C$14)))</f>
        <v>92800</v>
      </c>
      <c r="E62" s="21" t="n">
        <f aca="false">IF(AND('Rent roll'!$C15=0,0=0),0,IF(E$54&lt;='Rent roll'!$E15,'Rent roll'!$C15,IF(E$54='Rent roll'!$F15,$C$14*LetFrac,$C$14)))</f>
        <v>92800</v>
      </c>
      <c r="F62" s="21" t="n">
        <f aca="false">IF(AND('Rent roll'!$C15=0,0=0),0,IF(F$54&lt;='Rent roll'!$E15,'Rent roll'!$C15,IF(F$54='Rent roll'!$F15,$C$14*LetFrac,$C$14)))</f>
        <v>92800</v>
      </c>
      <c r="G62" s="21" t="n">
        <f aca="false">IF(AND('Rent roll'!$C15=0,0=0),0,IF(G$54&lt;='Rent roll'!$E15,'Rent roll'!$C15,IF(G$54='Rent roll'!$F15,$C$14*LetFrac,$C$14)))</f>
        <v>92800</v>
      </c>
      <c r="H62" s="21" t="n">
        <f aca="false">IF(AND('Rent roll'!$C15=0,0=0),0,IF(H$54&lt;='Rent roll'!$E15,'Rent roll'!$C15,IF(H$54='Rent roll'!$F15,$C$14*LetFrac,$C$14)))</f>
        <v>92800</v>
      </c>
      <c r="I62" s="21" t="n">
        <f aca="false">IF(AND('Rent roll'!$C15=0,0=0),0,IF(I$54&lt;='Rent roll'!$E15,'Rent roll'!$C15,IF(I$54='Rent roll'!$F15,$C$14*LetFrac,$C$14)))</f>
        <v>92800</v>
      </c>
      <c r="J62" s="21" t="n">
        <f aca="false">IF(AND('Rent roll'!$C15=0,0=0),0,IF(J$54&lt;='Rent roll'!$E15,'Rent roll'!$C15,IF(J$54='Rent roll'!$F15,$C$14*LetFrac,$C$14)))</f>
        <v>30587.6772304617</v>
      </c>
      <c r="K62" s="21" t="n">
        <f aca="false">IF(AND('Rent roll'!$C15=0,0=0),0,IF(K$54&lt;='Rent roll'!$E15,'Rent roll'!$C15,IF(K$54='Rent roll'!$F15,$C$14*LetFrac,$C$14)))</f>
        <v>122350.708921847</v>
      </c>
      <c r="L62" s="21" t="n">
        <f aca="false">IF(AND('Rent roll'!$C15=0,0=0),0,IF(L$54&lt;='Rent roll'!$E15,'Rent roll'!$C15,IF(L$54='Rent roll'!$F15,$C$14*LetFrac,$C$14)))</f>
        <v>122350.708921847</v>
      </c>
    </row>
    <row r="63" customFormat="false" ht="15" hidden="false" customHeight="false" outlineLevel="0" collapsed="false">
      <c r="A63" s="7" t="str">
        <f aca="false">'Rent roll'!$A16</f>
        <v>Unit 9 (empty at acquisition)</v>
      </c>
      <c r="B63" s="21" t="n">
        <f aca="false">IF(AND('Rent roll'!$C16=0,0=0),0,IF(B$54&lt;='Rent roll'!$E16,'Rent roll'!$C16,IF(B$54='Rent roll'!$F16,$C$15*LetFrac,$C$15)))</f>
        <v>0</v>
      </c>
      <c r="C63" s="21" t="n">
        <f aca="false">IF(AND('Rent roll'!$C16=0,0=0),0,IF(C$54&lt;='Rent roll'!$E16,'Rent roll'!$C16,IF(C$54='Rent roll'!$F16,$C$15*LetFrac,$C$15)))</f>
        <v>0</v>
      </c>
      <c r="D63" s="21" t="n">
        <f aca="false">IF(AND('Rent roll'!$C16=0,0=0),0,IF(D$54&lt;='Rent roll'!$E16,'Rent roll'!$C16,IF(D$54='Rent roll'!$F16,$C$15*LetFrac,$C$15)))</f>
        <v>0</v>
      </c>
      <c r="E63" s="21" t="n">
        <f aca="false">IF(AND('Rent roll'!$C16=0,0=0),0,IF(E$54&lt;='Rent roll'!$E16,'Rent roll'!$C16,IF(E$54='Rent roll'!$F16,$C$15*LetFrac,$C$15)))</f>
        <v>0</v>
      </c>
      <c r="F63" s="21" t="n">
        <f aca="false">IF(AND('Rent roll'!$C16=0,0=0),0,IF(F$54&lt;='Rent roll'!$E16,'Rent roll'!$C16,IF(F$54='Rent roll'!$F16,$C$15*LetFrac,$C$15)))</f>
        <v>0</v>
      </c>
      <c r="G63" s="21" t="n">
        <f aca="false">IF(AND('Rent roll'!$C16=0,0=0),0,IF(G$54&lt;='Rent roll'!$E16,'Rent roll'!$C16,IF(G$54='Rent roll'!$F16,$C$15*LetFrac,$C$15)))</f>
        <v>0</v>
      </c>
      <c r="H63" s="21" t="n">
        <f aca="false">IF(AND('Rent roll'!$C16=0,0=0),0,IF(H$54&lt;='Rent roll'!$E16,'Rent roll'!$C16,IF(H$54='Rent roll'!$F16,$C$15*LetFrac,$C$15)))</f>
        <v>0</v>
      </c>
      <c r="I63" s="21" t="n">
        <f aca="false">IF(AND('Rent roll'!$C16=0,0=0),0,IF(I$54&lt;='Rent roll'!$E16,'Rent roll'!$C16,IF(I$54='Rent roll'!$F16,$C$15*LetFrac,$C$15)))</f>
        <v>0</v>
      </c>
      <c r="J63" s="21" t="n">
        <f aca="false">IF(AND('Rent roll'!$C16=0,0=0),0,IF(J$54&lt;='Rent roll'!$E16,'Rent roll'!$C16,IF(J$54='Rent roll'!$F16,$C$15*LetFrac,$C$15)))</f>
        <v>0</v>
      </c>
      <c r="K63" s="21" t="n">
        <f aca="false">IF(AND('Rent roll'!$C16=0,0=0),0,IF(K$54&lt;='Rent roll'!$E16,'Rent roll'!$C16,IF(K$54='Rent roll'!$F16,$C$15*LetFrac,$C$15)))</f>
        <v>0</v>
      </c>
      <c r="L63" s="21" t="n">
        <f aca="false">IF(AND('Rent roll'!$C16=0,0=0),0,IF(L$54&lt;='Rent roll'!$E16,'Rent roll'!$C16,IF(L$54='Rent roll'!$F16,$C$15*LetFrac,$C$15)))</f>
        <v>0</v>
      </c>
    </row>
    <row r="64" customFormat="false" ht="15" hidden="false" customHeight="false" outlineLevel="0" collapsed="false">
      <c r="A64" s="7" t="str">
        <f aca="false">'Rent roll'!$A17</f>
        <v>Unit 12 (empty at acquisition)</v>
      </c>
      <c r="B64" s="21" t="n">
        <f aca="false">IF(AND('Rent roll'!$C17=0,0=0),0,IF(B$54&lt;='Rent roll'!$E17,'Rent roll'!$C17,IF(B$54='Rent roll'!$F17,$C$16*LetFrac,$C$16)))</f>
        <v>0</v>
      </c>
      <c r="C64" s="21" t="n">
        <f aca="false">IF(AND('Rent roll'!$C17=0,0=0),0,IF(C$54&lt;='Rent roll'!$E17,'Rent roll'!$C17,IF(C$54='Rent roll'!$F17,$C$16*LetFrac,$C$16)))</f>
        <v>0</v>
      </c>
      <c r="D64" s="21" t="n">
        <f aca="false">IF(AND('Rent roll'!$C17=0,0=0),0,IF(D$54&lt;='Rent roll'!$E17,'Rent roll'!$C17,IF(D$54='Rent roll'!$F17,$C$16*LetFrac,$C$16)))</f>
        <v>0</v>
      </c>
      <c r="E64" s="21" t="n">
        <f aca="false">IF(AND('Rent roll'!$C17=0,0=0),0,IF(E$54&lt;='Rent roll'!$E17,'Rent roll'!$C17,IF(E$54='Rent roll'!$F17,$C$16*LetFrac,$C$16)))</f>
        <v>0</v>
      </c>
      <c r="F64" s="21" t="n">
        <f aca="false">IF(AND('Rent roll'!$C17=0,0=0),0,IF(F$54&lt;='Rent roll'!$E17,'Rent roll'!$C17,IF(F$54='Rent roll'!$F17,$C$16*LetFrac,$C$16)))</f>
        <v>0</v>
      </c>
      <c r="G64" s="21" t="n">
        <f aca="false">IF(AND('Rent roll'!$C17=0,0=0),0,IF(G$54&lt;='Rent roll'!$E17,'Rent roll'!$C17,IF(G$54='Rent roll'!$F17,$C$16*LetFrac,$C$16)))</f>
        <v>0</v>
      </c>
      <c r="H64" s="21" t="n">
        <f aca="false">IF(AND('Rent roll'!$C17=0,0=0),0,IF(H$54&lt;='Rent roll'!$E17,'Rent roll'!$C17,IF(H$54='Rent roll'!$F17,$C$16*LetFrac,$C$16)))</f>
        <v>0</v>
      </c>
      <c r="I64" s="21" t="n">
        <f aca="false">IF(AND('Rent roll'!$C17=0,0=0),0,IF(I$54&lt;='Rent roll'!$E17,'Rent roll'!$C17,IF(I$54='Rent roll'!$F17,$C$16*LetFrac,$C$16)))</f>
        <v>0</v>
      </c>
      <c r="J64" s="21" t="n">
        <f aca="false">IF(AND('Rent roll'!$C17=0,0=0),0,IF(J$54&lt;='Rent roll'!$E17,'Rent roll'!$C17,IF(J$54='Rent roll'!$F17,$C$16*LetFrac,$C$16)))</f>
        <v>0</v>
      </c>
      <c r="K64" s="21" t="n">
        <f aca="false">IF(AND('Rent roll'!$C17=0,0=0),0,IF(K$54&lt;='Rent roll'!$E17,'Rent roll'!$C17,IF(K$54='Rent roll'!$F17,$C$16*LetFrac,$C$16)))</f>
        <v>0</v>
      </c>
      <c r="L64" s="21" t="n">
        <f aca="false">IF(AND('Rent roll'!$C17=0,0=0),0,IF(L$54&lt;='Rent roll'!$E17,'Rent roll'!$C17,IF(L$54='Rent roll'!$F17,$C$16*LetFrac,$C$16)))</f>
        <v>0</v>
      </c>
    </row>
    <row r="65" customFormat="false" ht="15" hidden="false" customHeight="false" outlineLevel="0" collapsed="false">
      <c r="A65" s="7" t="s">
        <v>145</v>
      </c>
      <c r="B65" s="21" t="n">
        <f aca="false">SUM(B55:B64)</f>
        <v>1575900</v>
      </c>
      <c r="C65" s="21" t="n">
        <f aca="false">SUM(C55:C64)</f>
        <v>1575900</v>
      </c>
      <c r="D65" s="21" t="n">
        <f aca="false">SUM(D55:D64)</f>
        <v>1499283.845</v>
      </c>
      <c r="E65" s="21" t="n">
        <f aca="false">SUM(E55:E64)</f>
        <v>1449502.5671375</v>
      </c>
      <c r="F65" s="21" t="n">
        <f aca="false">SUM(F55:F64)</f>
        <v>1641384.92813113</v>
      </c>
      <c r="G65" s="21" t="n">
        <f aca="false">SUM(G55:G64)</f>
        <v>1610993.6380119</v>
      </c>
      <c r="H65" s="21" t="n">
        <f aca="false">SUM(H55:H64)</f>
        <v>1786692.5714241</v>
      </c>
      <c r="I65" s="21" t="n">
        <f aca="false">SUM(I55:I64)</f>
        <v>1461428.48718809</v>
      </c>
      <c r="J65" s="21" t="n">
        <f aca="false">SUM(J55:J64)</f>
        <v>1840923.91171051</v>
      </c>
      <c r="K65" s="21" t="n">
        <f aca="false">SUM(K55:K64)</f>
        <v>1783231.43707028</v>
      </c>
      <c r="L65" s="21" t="n">
        <f aca="false">SUM(L55:L64)</f>
        <v>2023664.91807541</v>
      </c>
    </row>
    <row r="66" customFormat="false" ht="15" hidden="false" customHeight="false" outlineLevel="0" collapsed="false">
      <c r="A66" s="7" t="s">
        <v>106</v>
      </c>
      <c r="B66" s="21" t="n">
        <f aca="false">SUMPRODUCT(('Rent roll'!$F$8:$F$17=B$54)*$C$7:$C$16*(1-(1-0)*('Rent roll'!$C$8:$C$17=0)))*LetFee</f>
        <v>0</v>
      </c>
      <c r="C66" s="21" t="n">
        <f aca="false">SUMPRODUCT(('Rent roll'!$F$8:$F$17=C$54)*$C$7:$C$16*(1-(1-0)*('Rent roll'!$C$8:$C$17=0)))*LetFee</f>
        <v>0</v>
      </c>
      <c r="D66" s="21" t="n">
        <f aca="false">SUMPRODUCT(('Rent roll'!$F$8:$F$17=D$54)*$C$7:$C$16*(1-(1-0)*('Rent roll'!$C$8:$C$17=0)))*LetFee</f>
        <v>24590.307</v>
      </c>
      <c r="E66" s="21" t="n">
        <f aca="false">SUMPRODUCT(('Rent roll'!$F$8:$F$17=E$54)*$C$7:$C$16*(1-(1-0)*('Rent roll'!$C$8:$C$17=0)))*LetFee</f>
        <v>50800.3122825</v>
      </c>
      <c r="F66" s="21" t="n">
        <f aca="false">SUMPRODUCT(('Rent roll'!$F$8:$F$17=F$54)*$C$7:$C$16*(1-(1-0)*('Rent roll'!$C$8:$C$17=0)))*LetFee</f>
        <v>18888.479748675</v>
      </c>
      <c r="G66" s="21" t="n">
        <f aca="false">SUMPRODUCT(('Rent roll'!$F$8:$F$17=G$54)*$C$7:$C$16*(1-(1-0)*('Rent roll'!$C$8:$C$17=0)))*LetFee</f>
        <v>35139.7866824395</v>
      </c>
      <c r="H66" s="21" t="n">
        <f aca="false">SUMPRODUCT(('Rent roll'!$F$8:$F$17=H$54)*$C$7:$C$16*(1-(1-0)*('Rent roll'!$C$8:$C$17=0)))*LetFee</f>
        <v>0</v>
      </c>
      <c r="I66" s="21" t="n">
        <f aca="false">SUMPRODUCT(('Rent roll'!$F$8:$F$17=I$54)*$C$7:$C$16*(1-(1-0)*('Rent roll'!$C$8:$C$17=0)))*LetFee</f>
        <v>88341.5494583934</v>
      </c>
      <c r="J66" s="21" t="n">
        <f aca="false">SUMPRODUCT(('Rent roll'!$F$8:$F$17=J$54)*$C$7:$C$16*(1-(1-0)*('Rent roll'!$C$8:$C$17=0)))*LetFee</f>
        <v>18352.606338277</v>
      </c>
      <c r="K66" s="21" t="n">
        <f aca="false">SUMPRODUCT(('Rent roll'!$F$8:$F$17=K$54)*$C$7:$C$16*(1-(1-0)*('Rent roll'!$C$8:$C$17=0)))*LetFee</f>
        <v>48086.6962010262</v>
      </c>
      <c r="L66" s="21" t="n">
        <f aca="false">SUMPRODUCT(('Rent roll'!$F$8:$F$17=L$54)*$C$7:$C$16*(1-(1-0)*('Rent roll'!$C$8:$C$17=0)))*LetFee</f>
        <v>0</v>
      </c>
    </row>
    <row r="67" customFormat="false" ht="15" hidden="false" customHeight="false" outlineLevel="0" collapsed="false">
      <c r="A67" s="7" t="s">
        <v>105</v>
      </c>
      <c r="B67" s="21" t="n">
        <f aca="false">B65*(1-NonRec-MgmtFee)</f>
        <v>1538078.4</v>
      </c>
      <c r="C67" s="21" t="n">
        <f aca="false">C65*(1-NonRec-MgmtFee)</f>
        <v>1538078.4</v>
      </c>
      <c r="D67" s="21" t="n">
        <f aca="false">D65*(1-NonRec-MgmtFee)</f>
        <v>1463301.03272</v>
      </c>
      <c r="E67" s="21" t="n">
        <f aca="false">E65*(1-NonRec-MgmtFee)</f>
        <v>1414714.5055262</v>
      </c>
      <c r="F67" s="21" t="n">
        <f aca="false">F65*(1-NonRec-MgmtFee)</f>
        <v>1601991.68985598</v>
      </c>
      <c r="G67" s="21" t="n">
        <f aca="false">G65*(1-NonRec-MgmtFee)</f>
        <v>1572329.79069961</v>
      </c>
      <c r="H67" s="21" t="n">
        <f aca="false">H65*(1-NonRec-MgmtFee)</f>
        <v>1743811.94970992</v>
      </c>
      <c r="I67" s="21" t="n">
        <f aca="false">I65*(1-NonRec-MgmtFee)</f>
        <v>1426354.20349557</v>
      </c>
      <c r="J67" s="21" t="n">
        <f aca="false">J65*(1-NonRec-MgmtFee)</f>
        <v>1796741.73782946</v>
      </c>
      <c r="K67" s="21" t="n">
        <f aca="false">K65*(1-NonRec-MgmtFee)</f>
        <v>1740433.88258059</v>
      </c>
      <c r="L67" s="21" t="n">
        <f aca="false">L65*(1-NonRec-MgmtFee)</f>
        <v>1975096.9600416</v>
      </c>
    </row>
    <row r="68" customFormat="false" ht="15" hidden="false" customHeight="false" outlineLevel="0" collapsed="false">
      <c r="A68" s="7" t="s">
        <v>107</v>
      </c>
      <c r="B68" s="21" t="n">
        <f aca="false">SUMIF(CapexYr,B$54,CapexAmt)*0</f>
        <v>0</v>
      </c>
      <c r="C68" s="21" t="n">
        <f aca="false">SUMIF(CapexYr,C$54,CapexAmt)*0</f>
        <v>0</v>
      </c>
      <c r="D68" s="21" t="n">
        <f aca="false">SUMIF(CapexYr,D$54,CapexAmt)*0</f>
        <v>0</v>
      </c>
      <c r="E68" s="21" t="n">
        <f aca="false">SUMIF(CapexYr,E$54,CapexAmt)*0</f>
        <v>0</v>
      </c>
      <c r="F68" s="21" t="n">
        <f aca="false">SUMIF(CapexYr,F$54,CapexAmt)*0</f>
        <v>0</v>
      </c>
      <c r="G68" s="21" t="n">
        <f aca="false">SUMIF(CapexYr,G$54,CapexAmt)*0</f>
        <v>0</v>
      </c>
      <c r="H68" s="21" t="n">
        <f aca="false">SUMIF(CapexYr,H$54,CapexAmt)*0</f>
        <v>0</v>
      </c>
      <c r="I68" s="21" t="n">
        <f aca="false">SUMIF(CapexYr,I$54,CapexAmt)*0</f>
        <v>0</v>
      </c>
      <c r="J68" s="21" t="n">
        <f aca="false">SUMIF(CapexYr,J$54,CapexAmt)*0</f>
        <v>0</v>
      </c>
      <c r="K68" s="21" t="n">
        <f aca="false">SUMIF(CapexYr,K$54,CapexAmt)*0</f>
        <v>0</v>
      </c>
      <c r="L68" s="21" t="n">
        <f aca="false">SUMIF(CapexYr,L$54,CapexAmt)*0</f>
        <v>0</v>
      </c>
    </row>
    <row r="69" customFormat="false" ht="15" hidden="false" customHeight="false" outlineLevel="0" collapsed="false">
      <c r="A69" s="11" t="s">
        <v>146</v>
      </c>
      <c r="B69" s="12" t="n">
        <f aca="false">B67-B66-B68</f>
        <v>1538078.4</v>
      </c>
      <c r="C69" s="12" t="n">
        <f aca="false">C67-C66-C68</f>
        <v>1538078.4</v>
      </c>
      <c r="D69" s="12" t="n">
        <f aca="false">D67-D66-D68</f>
        <v>1438710.72572</v>
      </c>
      <c r="E69" s="12" t="n">
        <f aca="false">E67-E66-E68</f>
        <v>1363914.1932437</v>
      </c>
      <c r="F69" s="12" t="n">
        <f aca="false">F67-F66-F68</f>
        <v>1583103.2101073</v>
      </c>
      <c r="G69" s="12" t="n">
        <f aca="false">G67-G66-G68</f>
        <v>1537190.00401717</v>
      </c>
      <c r="H69" s="12" t="n">
        <f aca="false">H67-H66-H68</f>
        <v>1743811.94970992</v>
      </c>
      <c r="I69" s="12" t="n">
        <f aca="false">I67-I66-I68</f>
        <v>1338012.65403718</v>
      </c>
      <c r="J69" s="12" t="n">
        <f aca="false">J67-J66-J68</f>
        <v>1778389.13149119</v>
      </c>
      <c r="K69" s="12" t="n">
        <f aca="false">K67-K66-K68</f>
        <v>1692347.18637956</v>
      </c>
      <c r="L69" s="12" t="n">
        <f aca="false">L67-L66-L68</f>
        <v>1975096.9600416</v>
      </c>
    </row>
    <row r="70" customFormat="false" ht="15" hidden="false" customHeight="false" outlineLevel="0" collapsed="false">
      <c r="A70" s="31" t="s">
        <v>149</v>
      </c>
    </row>
    <row r="71" customFormat="false" ht="15" hidden="false" customHeight="false" outlineLevel="0" collapsed="false">
      <c r="A71" s="35" t="s">
        <v>55</v>
      </c>
      <c r="B71" s="36" t="n">
        <v>1</v>
      </c>
      <c r="C71" s="36" t="n">
        <f aca="false">B71+1</f>
        <v>2</v>
      </c>
      <c r="D71" s="36" t="n">
        <f aca="false">C71+1</f>
        <v>3</v>
      </c>
      <c r="E71" s="36" t="n">
        <f aca="false">D71+1</f>
        <v>4</v>
      </c>
      <c r="F71" s="36" t="n">
        <f aca="false">E71+1</f>
        <v>5</v>
      </c>
      <c r="G71" s="36" t="n">
        <f aca="false">F71+1</f>
        <v>6</v>
      </c>
      <c r="H71" s="36" t="n">
        <f aca="false">G71+1</f>
        <v>7</v>
      </c>
      <c r="I71" s="36" t="n">
        <f aca="false">H71+1</f>
        <v>8</v>
      </c>
      <c r="J71" s="36" t="n">
        <f aca="false">I71+1</f>
        <v>9</v>
      </c>
      <c r="K71" s="36" t="n">
        <f aca="false">J71+1</f>
        <v>10</v>
      </c>
      <c r="L71" s="36" t="n">
        <f aca="false">K71+1</f>
        <v>11</v>
      </c>
    </row>
    <row r="72" customFormat="false" ht="15" hidden="false" customHeight="false" outlineLevel="0" collapsed="false">
      <c r="A72" s="7" t="str">
        <f aca="false">'Rent roll'!$A8</f>
        <v>Ardgour Logistics</v>
      </c>
      <c r="B72" s="21" t="n">
        <f aca="false">IF(AND('Rent roll'!$C8=0,1=0),0,IF(B$71&lt;='Rent roll'!$E8,'Rent roll'!$C8,IF(B$71='Rent roll'!$F8,$C$7*LetFrac,$C$7)))</f>
        <v>472500</v>
      </c>
      <c r="C72" s="21" t="n">
        <f aca="false">IF(AND('Rent roll'!$C8=0,1=0),0,IF(C$71&lt;='Rent roll'!$E8,'Rent roll'!$C8,IF(C$71='Rent roll'!$F8,$C$7*LetFrac,$C$7)))</f>
        <v>472500</v>
      </c>
      <c r="D72" s="21" t="n">
        <f aca="false">IF(AND('Rent roll'!$C8=0,1=0),0,IF(D$71&lt;='Rent roll'!$E8,'Rent roll'!$C8,IF(D$71='Rent roll'!$F8,$C$7*LetFrac,$C$7)))</f>
        <v>472500</v>
      </c>
      <c r="E72" s="21" t="n">
        <f aca="false">IF(AND('Rent roll'!$C8=0,1=0),0,IF(E$71&lt;='Rent roll'!$E8,'Rent roll'!$C8,IF(E$71='Rent roll'!$F8,$C$7*LetFrac,$C$7)))</f>
        <v>472500</v>
      </c>
      <c r="F72" s="21" t="n">
        <f aca="false">IF(AND('Rent roll'!$C8=0,1=0),0,IF(F$71&lt;='Rent roll'!$E8,'Rent roll'!$C8,IF(F$71='Rent roll'!$F8,$C$7*LetFrac,$C$7)))</f>
        <v>472500</v>
      </c>
      <c r="G72" s="21" t="n">
        <f aca="false">IF(AND('Rent roll'!$C8=0,1=0),0,IF(G$71&lt;='Rent roll'!$E8,'Rent roll'!$C8,IF(G$71='Rent roll'!$F8,$C$7*LetFrac,$C$7)))</f>
        <v>472500</v>
      </c>
      <c r="H72" s="21" t="n">
        <f aca="false">IF(AND('Rent roll'!$C8=0,1=0),0,IF(H$71&lt;='Rent roll'!$E8,'Rent roll'!$C8,IF(H$71='Rent roll'!$F8,$C$7*LetFrac,$C$7)))</f>
        <v>472500</v>
      </c>
      <c r="I72" s="21" t="n">
        <f aca="false">IF(AND('Rent roll'!$C8=0,1=0),0,IF(I$71&lt;='Rent roll'!$E8,'Rent roll'!$C8,IF(I$71='Rent roll'!$F8,$C$7*LetFrac,$C$7)))</f>
        <v>147235.915763989</v>
      </c>
      <c r="J72" s="21" t="n">
        <f aca="false">IF(AND('Rent roll'!$C8=0,1=0),0,IF(J$71&lt;='Rent roll'!$E8,'Rent roll'!$C8,IF(J$71='Rent roll'!$F8,$C$7*LetFrac,$C$7)))</f>
        <v>588943.663055956</v>
      </c>
      <c r="K72" s="21" t="n">
        <f aca="false">IF(AND('Rent roll'!$C8=0,1=0),0,IF(K$71&lt;='Rent roll'!$E8,'Rent roll'!$C8,IF(K$71='Rent roll'!$F8,$C$7*LetFrac,$C$7)))</f>
        <v>588943.663055956</v>
      </c>
      <c r="L72" s="21" t="n">
        <f aca="false">IF(AND('Rent roll'!$C8=0,1=0),0,IF(L$71&lt;='Rent roll'!$E8,'Rent roll'!$C8,IF(L$71='Rent roll'!$F8,$C$7*LetFrac,$C$7)))</f>
        <v>588943.663055956</v>
      </c>
    </row>
    <row r="73" customFormat="false" ht="15" hidden="false" customHeight="false" outlineLevel="0" collapsed="false">
      <c r="A73" s="7" t="str">
        <f aca="false">'Rent roll'!$A9</f>
        <v>Kilmory Print</v>
      </c>
      <c r="B73" s="21" t="n">
        <f aca="false">IF(AND('Rent roll'!$C9=0,1=0),0,IF(B$71&lt;='Rent roll'!$E9,'Rent roll'!$C9,IF(B$71='Rent roll'!$F9,$C$8*LetFrac,$C$8)))</f>
        <v>257400</v>
      </c>
      <c r="C73" s="21" t="n">
        <f aca="false">IF(AND('Rent roll'!$C9=0,1=0),0,IF(C$71&lt;='Rent roll'!$E9,'Rent roll'!$C9,IF(C$71='Rent roll'!$F9,$C$8*LetFrac,$C$8)))</f>
        <v>257400</v>
      </c>
      <c r="D73" s="21" t="n">
        <f aca="false">IF(AND('Rent roll'!$C9=0,1=0),0,IF(D$71&lt;='Rent roll'!$E9,'Rent roll'!$C9,IF(D$71='Rent roll'!$F9,$C$8*LetFrac,$C$8)))</f>
        <v>257400</v>
      </c>
      <c r="E73" s="21" t="n">
        <f aca="false">IF(AND('Rent roll'!$C9=0,1=0),0,IF(E$71&lt;='Rent roll'!$E9,'Rent roll'!$C9,IF(E$71='Rent roll'!$F9,$C$8*LetFrac,$C$8)))</f>
        <v>84667.1871375</v>
      </c>
      <c r="F73" s="21" t="n">
        <f aca="false">IF(AND('Rent roll'!$C9=0,1=0),0,IF(F$71&lt;='Rent roll'!$E9,'Rent roll'!$C9,IF(F$71='Rent roll'!$F9,$C$8*LetFrac,$C$8)))</f>
        <v>338668.74855</v>
      </c>
      <c r="G73" s="21" t="n">
        <f aca="false">IF(AND('Rent roll'!$C9=0,1=0),0,IF(G$71&lt;='Rent roll'!$E9,'Rent roll'!$C9,IF(G$71='Rent roll'!$F9,$C$8*LetFrac,$C$8)))</f>
        <v>338668.74855</v>
      </c>
      <c r="H73" s="21" t="n">
        <f aca="false">IF(AND('Rent roll'!$C9=0,1=0),0,IF(H$71&lt;='Rent roll'!$E9,'Rent roll'!$C9,IF(H$71='Rent roll'!$F9,$C$8*LetFrac,$C$8)))</f>
        <v>338668.74855</v>
      </c>
      <c r="I73" s="21" t="n">
        <f aca="false">IF(AND('Rent roll'!$C9=0,1=0),0,IF(I$71&lt;='Rent roll'!$E9,'Rent roll'!$C9,IF(I$71='Rent roll'!$F9,$C$8*LetFrac,$C$8)))</f>
        <v>338668.74855</v>
      </c>
      <c r="J73" s="21" t="n">
        <f aca="false">IF(AND('Rent roll'!$C9=0,1=0),0,IF(J$71&lt;='Rent roll'!$E9,'Rent roll'!$C9,IF(J$71='Rent roll'!$F9,$C$8*LetFrac,$C$8)))</f>
        <v>338668.74855</v>
      </c>
      <c r="K73" s="21" t="n">
        <f aca="false">IF(AND('Rent roll'!$C9=0,1=0),0,IF(K$71&lt;='Rent roll'!$E9,'Rent roll'!$C9,IF(K$71='Rent roll'!$F9,$C$8*LetFrac,$C$8)))</f>
        <v>338668.74855</v>
      </c>
      <c r="L73" s="21" t="n">
        <f aca="false">IF(AND('Rent roll'!$C9=0,1=0),0,IF(L$71&lt;='Rent roll'!$E9,'Rent roll'!$C9,IF(L$71='Rent roll'!$F9,$C$8*LetFrac,$C$8)))</f>
        <v>338668.74855</v>
      </c>
    </row>
    <row r="74" customFormat="false" ht="15" hidden="false" customHeight="false" outlineLevel="0" collapsed="false">
      <c r="A74" s="7" t="str">
        <f aca="false">'Rent roll'!$A10</f>
        <v>Tannoch Foods</v>
      </c>
      <c r="B74" s="21" t="n">
        <f aca="false">IF(AND('Rent roll'!$C10=0,1=0),0,IF(B$71&lt;='Rent roll'!$E10,'Rent roll'!$C10,IF(B$71='Rent roll'!$F10,$C$9*LetFrac,$C$9)))</f>
        <v>229600</v>
      </c>
      <c r="C74" s="21" t="n">
        <f aca="false">IF(AND('Rent roll'!$C10=0,1=0),0,IF(C$71&lt;='Rent roll'!$E10,'Rent roll'!$C10,IF(C$71='Rent roll'!$F10,$C$9*LetFrac,$C$9)))</f>
        <v>229600</v>
      </c>
      <c r="D74" s="21" t="n">
        <f aca="false">IF(AND('Rent roll'!$C10=0,1=0),0,IF(D$71&lt;='Rent roll'!$E10,'Rent roll'!$C10,IF(D$71='Rent roll'!$F10,$C$9*LetFrac,$C$9)))</f>
        <v>229600</v>
      </c>
      <c r="E74" s="21" t="n">
        <f aca="false">IF(AND('Rent roll'!$C10=0,1=0),0,IF(E$71&lt;='Rent roll'!$E10,'Rent roll'!$C10,IF(E$71='Rent roll'!$F10,$C$9*LetFrac,$C$9)))</f>
        <v>229600</v>
      </c>
      <c r="F74" s="21" t="n">
        <f aca="false">IF(AND('Rent roll'!$C10=0,1=0),0,IF(F$71&lt;='Rent roll'!$E10,'Rent roll'!$C10,IF(F$71='Rent roll'!$F10,$C$9*LetFrac,$C$9)))</f>
        <v>229600</v>
      </c>
      <c r="G74" s="21" t="n">
        <f aca="false">IF(AND('Rent roll'!$C10=0,1=0),0,IF(G$71&lt;='Rent roll'!$E10,'Rent roll'!$C10,IF(G$71='Rent roll'!$F10,$C$9*LetFrac,$C$9)))</f>
        <v>229600</v>
      </c>
      <c r="H74" s="21" t="n">
        <f aca="false">IF(AND('Rent roll'!$C10=0,1=0),0,IF(H$71&lt;='Rent roll'!$E10,'Rent roll'!$C10,IF(H$71='Rent roll'!$F10,$C$9*LetFrac,$C$9)))</f>
        <v>229600</v>
      </c>
      <c r="I74" s="21" t="n">
        <f aca="false">IF(AND('Rent roll'!$C10=0,1=0),0,IF(I$71&lt;='Rent roll'!$E10,'Rent roll'!$C10,IF(I$71='Rent roll'!$F10,$C$9*LetFrac,$C$9)))</f>
        <v>229600</v>
      </c>
      <c r="J74" s="21" t="n">
        <f aca="false">IF(AND('Rent roll'!$C10=0,1=0),0,IF(J$71&lt;='Rent roll'!$E10,'Rent roll'!$C10,IF(J$71='Rent roll'!$F10,$C$9*LetFrac,$C$9)))</f>
        <v>229600</v>
      </c>
      <c r="K74" s="21" t="n">
        <f aca="false">IF(AND('Rent roll'!$C10=0,1=0),0,IF(K$71&lt;='Rent roll'!$E10,'Rent roll'!$C10,IF(K$71='Rent roll'!$F10,$C$9*LetFrac,$C$9)))</f>
        <v>80144.493668377</v>
      </c>
      <c r="L74" s="21" t="n">
        <f aca="false">IF(AND('Rent roll'!$C10=0,1=0),0,IF(L$71&lt;='Rent roll'!$E10,'Rent roll'!$C10,IF(L$71='Rent roll'!$F10,$C$9*LetFrac,$C$9)))</f>
        <v>320577.974673508</v>
      </c>
    </row>
    <row r="75" customFormat="false" ht="15" hidden="false" customHeight="false" outlineLevel="0" collapsed="false">
      <c r="A75" s="7" t="str">
        <f aca="false">'Rent roll'!$A11</f>
        <v>Struan Instruments</v>
      </c>
      <c r="B75" s="21" t="n">
        <f aca="false">IF(AND('Rent roll'!$C11=0,1=0),0,IF(B$71&lt;='Rent roll'!$E11,'Rent roll'!$C11,IF(B$71='Rent roll'!$F11,$C$10*LetFrac,$C$10)))</f>
        <v>183400</v>
      </c>
      <c r="C75" s="21" t="n">
        <f aca="false">IF(AND('Rent roll'!$C11=0,1=0),0,IF(C$71&lt;='Rent roll'!$E11,'Rent roll'!$C11,IF(C$71='Rent roll'!$F11,$C$10*LetFrac,$C$10)))</f>
        <v>183400</v>
      </c>
      <c r="D75" s="21" t="n">
        <f aca="false">IF(AND('Rent roll'!$C11=0,1=0),0,IF(D$71&lt;='Rent roll'!$E11,'Rent roll'!$C11,IF(D$71='Rent roll'!$F11,$C$10*LetFrac,$C$10)))</f>
        <v>183400</v>
      </c>
      <c r="E75" s="21" t="n">
        <f aca="false">IF(AND('Rent roll'!$C11=0,1=0),0,IF(E$71&lt;='Rent roll'!$E11,'Rent roll'!$C11,IF(E$71='Rent roll'!$F11,$C$10*LetFrac,$C$10)))</f>
        <v>183400</v>
      </c>
      <c r="F75" s="21" t="n">
        <f aca="false">IF(AND('Rent roll'!$C11=0,1=0),0,IF(F$71&lt;='Rent roll'!$E11,'Rent roll'!$C11,IF(F$71='Rent roll'!$F11,$C$10*LetFrac,$C$10)))</f>
        <v>183400</v>
      </c>
      <c r="G75" s="21" t="n">
        <f aca="false">IF(AND('Rent roll'!$C11=0,1=0),0,IF(G$71&lt;='Rent roll'!$E11,'Rent roll'!$C11,IF(G$71='Rent roll'!$F11,$C$10*LetFrac,$C$10)))</f>
        <v>58566.3111373992</v>
      </c>
      <c r="H75" s="21" t="n">
        <f aca="false">IF(AND('Rent roll'!$C11=0,1=0),0,IF(H$71&lt;='Rent roll'!$E11,'Rent roll'!$C11,IF(H$71='Rent roll'!$F11,$C$10*LetFrac,$C$10)))</f>
        <v>234265.244549597</v>
      </c>
      <c r="I75" s="21" t="n">
        <f aca="false">IF(AND('Rent roll'!$C11=0,1=0),0,IF(I$71&lt;='Rent roll'!$E11,'Rent roll'!$C11,IF(I$71='Rent roll'!$F11,$C$10*LetFrac,$C$10)))</f>
        <v>234265.244549597</v>
      </c>
      <c r="J75" s="21" t="n">
        <f aca="false">IF(AND('Rent roll'!$C11=0,1=0),0,IF(J$71&lt;='Rent roll'!$E11,'Rent roll'!$C11,IF(J$71='Rent roll'!$F11,$C$10*LetFrac,$C$10)))</f>
        <v>234265.244549597</v>
      </c>
      <c r="K75" s="21" t="n">
        <f aca="false">IF(AND('Rent roll'!$C11=0,1=0),0,IF(K$71&lt;='Rent roll'!$E11,'Rent roll'!$C11,IF(K$71='Rent roll'!$F11,$C$10*LetFrac,$C$10)))</f>
        <v>234265.244549597</v>
      </c>
      <c r="L75" s="21" t="n">
        <f aca="false">IF(AND('Rent roll'!$C11=0,1=0),0,IF(L$71&lt;='Rent roll'!$E11,'Rent roll'!$C11,IF(L$71='Rent roll'!$F11,$C$10*LetFrac,$C$10)))</f>
        <v>234265.244549597</v>
      </c>
    </row>
    <row r="76" customFormat="false" ht="15" hidden="false" customHeight="false" outlineLevel="0" collapsed="false">
      <c r="A76" s="7" t="str">
        <f aca="false">'Rent roll'!$A12</f>
        <v>Balvaig Textiles</v>
      </c>
      <c r="B76" s="21" t="n">
        <f aca="false">IF(AND('Rent roll'!$C12=0,1=0),0,IF(B$71&lt;='Rent roll'!$E12,'Rent roll'!$C12,IF(B$71='Rent roll'!$F12,$C$11*LetFrac,$C$11)))</f>
        <v>117600</v>
      </c>
      <c r="C76" s="21" t="n">
        <f aca="false">IF(AND('Rent roll'!$C12=0,1=0),0,IF(C$71&lt;='Rent roll'!$E12,'Rent roll'!$C12,IF(C$71='Rent roll'!$F12,$C$11*LetFrac,$C$11)))</f>
        <v>117600</v>
      </c>
      <c r="D76" s="21" t="n">
        <f aca="false">IF(AND('Rent roll'!$C12=0,1=0),0,IF(D$71&lt;='Rent roll'!$E12,'Rent roll'!$C12,IF(D$71='Rent roll'!$F12,$C$11*LetFrac,$C$11)))</f>
        <v>40983.845</v>
      </c>
      <c r="E76" s="21" t="n">
        <f aca="false">IF(AND('Rent roll'!$C12=0,1=0),0,IF(E$71&lt;='Rent roll'!$E12,'Rent roll'!$C12,IF(E$71='Rent roll'!$F12,$C$11*LetFrac,$C$11)))</f>
        <v>163935.38</v>
      </c>
      <c r="F76" s="21" t="n">
        <f aca="false">IF(AND('Rent roll'!$C12=0,1=0),0,IF(F$71&lt;='Rent roll'!$E12,'Rent roll'!$C12,IF(F$71='Rent roll'!$F12,$C$11*LetFrac,$C$11)))</f>
        <v>163935.38</v>
      </c>
      <c r="G76" s="21" t="n">
        <f aca="false">IF(AND('Rent roll'!$C12=0,1=0),0,IF(G$71&lt;='Rent roll'!$E12,'Rent roll'!$C12,IF(G$71='Rent roll'!$F12,$C$11*LetFrac,$C$11)))</f>
        <v>163935.38</v>
      </c>
      <c r="H76" s="21" t="n">
        <f aca="false">IF(AND('Rent roll'!$C12=0,1=0),0,IF(H$71&lt;='Rent roll'!$E12,'Rent roll'!$C12,IF(H$71='Rent roll'!$F12,$C$11*LetFrac,$C$11)))</f>
        <v>163935.38</v>
      </c>
      <c r="I76" s="21" t="n">
        <f aca="false">IF(AND('Rent roll'!$C12=0,1=0),0,IF(I$71&lt;='Rent roll'!$E12,'Rent roll'!$C12,IF(I$71='Rent roll'!$F12,$C$11*LetFrac,$C$11)))</f>
        <v>163935.38</v>
      </c>
      <c r="J76" s="21" t="n">
        <f aca="false">IF(AND('Rent roll'!$C12=0,1=0),0,IF(J$71&lt;='Rent roll'!$E12,'Rent roll'!$C12,IF(J$71='Rent roll'!$F12,$C$11*LetFrac,$C$11)))</f>
        <v>163935.38</v>
      </c>
      <c r="K76" s="21" t="n">
        <f aca="false">IF(AND('Rent roll'!$C12=0,1=0),0,IF(K$71&lt;='Rent roll'!$E12,'Rent roll'!$C12,IF(K$71='Rent roll'!$F12,$C$11*LetFrac,$C$11)))</f>
        <v>163935.38</v>
      </c>
      <c r="L76" s="21" t="n">
        <f aca="false">IF(AND('Rent roll'!$C12=0,1=0),0,IF(L$71&lt;='Rent roll'!$E12,'Rent roll'!$C12,IF(L$71='Rent roll'!$F12,$C$11*LetFrac,$C$11)))</f>
        <v>163935.38</v>
      </c>
    </row>
    <row r="77" customFormat="false" ht="15" hidden="false" customHeight="false" outlineLevel="0" collapsed="false">
      <c r="A77" s="7" t="str">
        <f aca="false">'Rent roll'!$A13</f>
        <v>Corrour Systems</v>
      </c>
      <c r="B77" s="21" t="n">
        <f aca="false">IF(AND('Rent roll'!$C13=0,1=0),0,IF(B$71&lt;='Rent roll'!$E13,'Rent roll'!$C13,IF(B$71='Rent roll'!$F13,$C$12*LetFrac,$C$12)))</f>
        <v>129000</v>
      </c>
      <c r="C77" s="21" t="n">
        <f aca="false">IF(AND('Rent roll'!$C13=0,1=0),0,IF(C$71&lt;='Rent roll'!$E13,'Rent roll'!$C13,IF(C$71='Rent roll'!$F13,$C$12*LetFrac,$C$12)))</f>
        <v>129000</v>
      </c>
      <c r="D77" s="21" t="n">
        <f aca="false">IF(AND('Rent roll'!$C13=0,1=0),0,IF(D$71&lt;='Rent roll'!$E13,'Rent roll'!$C13,IF(D$71='Rent roll'!$F13,$C$12*LetFrac,$C$12)))</f>
        <v>129000</v>
      </c>
      <c r="E77" s="21" t="n">
        <f aca="false">IF(AND('Rent roll'!$C13=0,1=0),0,IF(E$71&lt;='Rent roll'!$E13,'Rent roll'!$C13,IF(E$71='Rent roll'!$F13,$C$12*LetFrac,$C$12)))</f>
        <v>129000</v>
      </c>
      <c r="F77" s="21" t="n">
        <f aca="false">IF(AND('Rent roll'!$C13=0,1=0),0,IF(F$71&lt;='Rent roll'!$E13,'Rent roll'!$C13,IF(F$71='Rent roll'!$F13,$C$12*LetFrac,$C$12)))</f>
        <v>129000</v>
      </c>
      <c r="G77" s="21" t="n">
        <f aca="false">IF(AND('Rent roll'!$C13=0,1=0),0,IF(G$71&lt;='Rent roll'!$E13,'Rent roll'!$C13,IF(G$71='Rent roll'!$F13,$C$12*LetFrac,$C$12)))</f>
        <v>129000</v>
      </c>
      <c r="H77" s="21" t="n">
        <f aca="false">IF(AND('Rent roll'!$C13=0,1=0),0,IF(H$71&lt;='Rent roll'!$E13,'Rent roll'!$C13,IF(H$71='Rent roll'!$F13,$C$12*LetFrac,$C$12)))</f>
        <v>129000</v>
      </c>
      <c r="I77" s="21" t="n">
        <f aca="false">IF(AND('Rent roll'!$C13=0,1=0),0,IF(I$71&lt;='Rent roll'!$E13,'Rent roll'!$C13,IF(I$71='Rent roll'!$F13,$C$12*LetFrac,$C$12)))</f>
        <v>129000</v>
      </c>
      <c r="J77" s="21" t="n">
        <f aca="false">IF(AND('Rent roll'!$C13=0,1=0),0,IF(J$71&lt;='Rent roll'!$E13,'Rent roll'!$C13,IF(J$71='Rent roll'!$F13,$C$12*LetFrac,$C$12)))</f>
        <v>129000</v>
      </c>
      <c r="K77" s="21" t="n">
        <f aca="false">IF(AND('Rent roll'!$C13=0,1=0),0,IF(K$71&lt;='Rent roll'!$E13,'Rent roll'!$C13,IF(K$71='Rent roll'!$F13,$C$12*LetFrac,$C$12)))</f>
        <v>129000</v>
      </c>
      <c r="L77" s="21" t="n">
        <f aca="false">IF(AND('Rent roll'!$C13=0,1=0),0,IF(L$71&lt;='Rent roll'!$E13,'Rent roll'!$C13,IF(L$71='Rent roll'!$F13,$C$12*LetFrac,$C$12)))</f>
        <v>129000</v>
      </c>
    </row>
    <row r="78" customFormat="false" ht="15" hidden="false" customHeight="false" outlineLevel="0" collapsed="false">
      <c r="A78" s="7" t="str">
        <f aca="false">'Rent roll'!$A14</f>
        <v>Dunardry Media</v>
      </c>
      <c r="B78" s="21" t="n">
        <f aca="false">IF(AND('Rent roll'!$C14=0,1=0),0,IF(B$71&lt;='Rent roll'!$E14,'Rent roll'!$C14,IF(B$71='Rent roll'!$F14,$C$13*LetFrac,$C$13)))</f>
        <v>93600</v>
      </c>
      <c r="C78" s="21" t="n">
        <f aca="false">IF(AND('Rent roll'!$C14=0,1=0),0,IF(C$71&lt;='Rent roll'!$E14,'Rent roll'!$C14,IF(C$71='Rent roll'!$F14,$C$13*LetFrac,$C$13)))</f>
        <v>93600</v>
      </c>
      <c r="D78" s="21" t="n">
        <f aca="false">IF(AND('Rent roll'!$C14=0,1=0),0,IF(D$71&lt;='Rent roll'!$E14,'Rent roll'!$C14,IF(D$71='Rent roll'!$F14,$C$13*LetFrac,$C$13)))</f>
        <v>93600</v>
      </c>
      <c r="E78" s="21" t="n">
        <f aca="false">IF(AND('Rent roll'!$C14=0,1=0),0,IF(E$71&lt;='Rent roll'!$E14,'Rent roll'!$C14,IF(E$71='Rent roll'!$F14,$C$13*LetFrac,$C$13)))</f>
        <v>93600</v>
      </c>
      <c r="F78" s="21" t="n">
        <f aca="false">IF(AND('Rent roll'!$C14=0,1=0),0,IF(F$71&lt;='Rent roll'!$E14,'Rent roll'!$C14,IF(F$71='Rent roll'!$F14,$C$13*LetFrac,$C$13)))</f>
        <v>31480.799581125</v>
      </c>
      <c r="G78" s="21" t="n">
        <f aca="false">IF(AND('Rent roll'!$C14=0,1=0),0,IF(G$71&lt;='Rent roll'!$E14,'Rent roll'!$C14,IF(G$71='Rent roll'!$F14,$C$13*LetFrac,$C$13)))</f>
        <v>125923.1983245</v>
      </c>
      <c r="H78" s="21" t="n">
        <f aca="false">IF(AND('Rent roll'!$C14=0,1=0),0,IF(H$71&lt;='Rent roll'!$E14,'Rent roll'!$C14,IF(H$71='Rent roll'!$F14,$C$13*LetFrac,$C$13)))</f>
        <v>125923.1983245</v>
      </c>
      <c r="I78" s="21" t="n">
        <f aca="false">IF(AND('Rent roll'!$C14=0,1=0),0,IF(I$71&lt;='Rent roll'!$E14,'Rent roll'!$C14,IF(I$71='Rent roll'!$F14,$C$13*LetFrac,$C$13)))</f>
        <v>125923.1983245</v>
      </c>
      <c r="J78" s="21" t="n">
        <f aca="false">IF(AND('Rent roll'!$C14=0,1=0),0,IF(J$71&lt;='Rent roll'!$E14,'Rent roll'!$C14,IF(J$71='Rent roll'!$F14,$C$13*LetFrac,$C$13)))</f>
        <v>125923.1983245</v>
      </c>
      <c r="K78" s="21" t="n">
        <f aca="false">IF(AND('Rent roll'!$C14=0,1=0),0,IF(K$71&lt;='Rent roll'!$E14,'Rent roll'!$C14,IF(K$71='Rent roll'!$F14,$C$13*LetFrac,$C$13)))</f>
        <v>125923.1983245</v>
      </c>
      <c r="L78" s="21" t="n">
        <f aca="false">IF(AND('Rent roll'!$C14=0,1=0),0,IF(L$71&lt;='Rent roll'!$E14,'Rent roll'!$C14,IF(L$71='Rent roll'!$F14,$C$13*LetFrac,$C$13)))</f>
        <v>125923.1983245</v>
      </c>
    </row>
    <row r="79" customFormat="false" ht="15" hidden="false" customHeight="false" outlineLevel="0" collapsed="false">
      <c r="A79" s="7" t="str">
        <f aca="false">'Rent roll'!$A15</f>
        <v>Eilanreach Labs</v>
      </c>
      <c r="B79" s="21" t="n">
        <f aca="false">IF(AND('Rent roll'!$C15=0,1=0),0,IF(B$71&lt;='Rent roll'!$E15,'Rent roll'!$C15,IF(B$71='Rent roll'!$F15,$C$14*LetFrac,$C$14)))</f>
        <v>92800</v>
      </c>
      <c r="C79" s="21" t="n">
        <f aca="false">IF(AND('Rent roll'!$C15=0,1=0),0,IF(C$71&lt;='Rent roll'!$E15,'Rent roll'!$C15,IF(C$71='Rent roll'!$F15,$C$14*LetFrac,$C$14)))</f>
        <v>92800</v>
      </c>
      <c r="D79" s="21" t="n">
        <f aca="false">IF(AND('Rent roll'!$C15=0,1=0),0,IF(D$71&lt;='Rent roll'!$E15,'Rent roll'!$C15,IF(D$71='Rent roll'!$F15,$C$14*LetFrac,$C$14)))</f>
        <v>92800</v>
      </c>
      <c r="E79" s="21" t="n">
        <f aca="false">IF(AND('Rent roll'!$C15=0,1=0),0,IF(E$71&lt;='Rent roll'!$E15,'Rent roll'!$C15,IF(E$71='Rent roll'!$F15,$C$14*LetFrac,$C$14)))</f>
        <v>92800</v>
      </c>
      <c r="F79" s="21" t="n">
        <f aca="false">IF(AND('Rent roll'!$C15=0,1=0),0,IF(F$71&lt;='Rent roll'!$E15,'Rent roll'!$C15,IF(F$71='Rent roll'!$F15,$C$14*LetFrac,$C$14)))</f>
        <v>92800</v>
      </c>
      <c r="G79" s="21" t="n">
        <f aca="false">IF(AND('Rent roll'!$C15=0,1=0),0,IF(G$71&lt;='Rent roll'!$E15,'Rent roll'!$C15,IF(G$71='Rent roll'!$F15,$C$14*LetFrac,$C$14)))</f>
        <v>92800</v>
      </c>
      <c r="H79" s="21" t="n">
        <f aca="false">IF(AND('Rent roll'!$C15=0,1=0),0,IF(H$71&lt;='Rent roll'!$E15,'Rent roll'!$C15,IF(H$71='Rent roll'!$F15,$C$14*LetFrac,$C$14)))</f>
        <v>92800</v>
      </c>
      <c r="I79" s="21" t="n">
        <f aca="false">IF(AND('Rent roll'!$C15=0,1=0),0,IF(I$71&lt;='Rent roll'!$E15,'Rent roll'!$C15,IF(I$71='Rent roll'!$F15,$C$14*LetFrac,$C$14)))</f>
        <v>92800</v>
      </c>
      <c r="J79" s="21" t="n">
        <f aca="false">IF(AND('Rent roll'!$C15=0,1=0),0,IF(J$71&lt;='Rent roll'!$E15,'Rent roll'!$C15,IF(J$71='Rent roll'!$F15,$C$14*LetFrac,$C$14)))</f>
        <v>30587.6772304617</v>
      </c>
      <c r="K79" s="21" t="n">
        <f aca="false">IF(AND('Rent roll'!$C15=0,1=0),0,IF(K$71&lt;='Rent roll'!$E15,'Rent roll'!$C15,IF(K$71='Rent roll'!$F15,$C$14*LetFrac,$C$14)))</f>
        <v>122350.708921847</v>
      </c>
      <c r="L79" s="21" t="n">
        <f aca="false">IF(AND('Rent roll'!$C15=0,1=0),0,IF(L$71&lt;='Rent roll'!$E15,'Rent roll'!$C15,IF(L$71='Rent roll'!$F15,$C$14*LetFrac,$C$14)))</f>
        <v>122350.708921847</v>
      </c>
    </row>
    <row r="80" customFormat="false" ht="15" hidden="false" customHeight="false" outlineLevel="0" collapsed="false">
      <c r="A80" s="7" t="str">
        <f aca="false">'Rent roll'!$A16</f>
        <v>Unit 9 (empty at acquisition)</v>
      </c>
      <c r="B80" s="21" t="n">
        <f aca="false">IF(AND('Rent roll'!$C16=0,1=0),0,IF(B$71&lt;='Rent roll'!$E16,'Rent roll'!$C16,IF(B$71='Rent roll'!$F16,$C$15*LetFrac,$C$15)))</f>
        <v>58078</v>
      </c>
      <c r="C80" s="21" t="n">
        <f aca="false">IF(AND('Rent roll'!$C16=0,1=0),0,IF(C$71&lt;='Rent roll'!$E16,'Rent roll'!$C16,IF(C$71='Rent roll'!$F16,$C$15*LetFrac,$C$15)))</f>
        <v>232312</v>
      </c>
      <c r="D80" s="21" t="n">
        <f aca="false">IF(AND('Rent roll'!$C16=0,1=0),0,IF(D$71&lt;='Rent roll'!$E16,'Rent roll'!$C16,IF(D$71='Rent roll'!$F16,$C$15*LetFrac,$C$15)))</f>
        <v>232312</v>
      </c>
      <c r="E80" s="21" t="n">
        <f aca="false">IF(AND('Rent roll'!$C16=0,1=0),0,IF(E$71&lt;='Rent roll'!$E16,'Rent roll'!$C16,IF(E$71='Rent roll'!$F16,$C$15*LetFrac,$C$15)))</f>
        <v>232312</v>
      </c>
      <c r="F80" s="21" t="n">
        <f aca="false">IF(AND('Rent roll'!$C16=0,1=0),0,IF(F$71&lt;='Rent roll'!$E16,'Rent roll'!$C16,IF(F$71='Rent roll'!$F16,$C$15*LetFrac,$C$15)))</f>
        <v>232312</v>
      </c>
      <c r="G80" s="21" t="n">
        <f aca="false">IF(AND('Rent roll'!$C16=0,1=0),0,IF(G$71&lt;='Rent roll'!$E16,'Rent roll'!$C16,IF(G$71='Rent roll'!$F16,$C$15*LetFrac,$C$15)))</f>
        <v>232312</v>
      </c>
      <c r="H80" s="21" t="n">
        <f aca="false">IF(AND('Rent roll'!$C16=0,1=0),0,IF(H$71&lt;='Rent roll'!$E16,'Rent roll'!$C16,IF(H$71='Rent roll'!$F16,$C$15*LetFrac,$C$15)))</f>
        <v>232312</v>
      </c>
      <c r="I80" s="21" t="n">
        <f aca="false">IF(AND('Rent roll'!$C16=0,1=0),0,IF(I$71&lt;='Rent roll'!$E16,'Rent roll'!$C16,IF(I$71='Rent roll'!$F16,$C$15*LetFrac,$C$15)))</f>
        <v>232312</v>
      </c>
      <c r="J80" s="21" t="n">
        <f aca="false">IF(AND('Rent roll'!$C16=0,1=0),0,IF(J$71&lt;='Rent roll'!$E16,'Rent roll'!$C16,IF(J$71='Rent roll'!$F16,$C$15*LetFrac,$C$15)))</f>
        <v>232312</v>
      </c>
      <c r="K80" s="21" t="n">
        <f aca="false">IF(AND('Rent roll'!$C16=0,1=0),0,IF(K$71&lt;='Rent roll'!$E16,'Rent roll'!$C16,IF(K$71='Rent roll'!$F16,$C$15*LetFrac,$C$15)))</f>
        <v>232312</v>
      </c>
      <c r="L80" s="21" t="n">
        <f aca="false">IF(AND('Rent roll'!$C16=0,1=0),0,IF(L$71&lt;='Rent roll'!$E16,'Rent roll'!$C16,IF(L$71='Rent roll'!$F16,$C$15*LetFrac,$C$15)))</f>
        <v>232312</v>
      </c>
    </row>
    <row r="81" customFormat="false" ht="15" hidden="false" customHeight="false" outlineLevel="0" collapsed="false">
      <c r="A81" s="7" t="str">
        <f aca="false">'Rent roll'!$A17</f>
        <v>Unit 12 (empty at acquisition)</v>
      </c>
      <c r="B81" s="21" t="n">
        <f aca="false">IF(AND('Rent roll'!$C17=0,1=0),0,IF(B$71&lt;='Rent roll'!$E17,'Rent roll'!$C17,IF(B$71='Rent roll'!$F17,$C$16*LetFrac,$C$16)))</f>
        <v>64417.5</v>
      </c>
      <c r="C81" s="21" t="n">
        <f aca="false">IF(AND('Rent roll'!$C17=0,1=0),0,IF(C$71&lt;='Rent roll'!$E17,'Rent roll'!$C17,IF(C$71='Rent roll'!$F17,$C$16*LetFrac,$C$16)))</f>
        <v>257670</v>
      </c>
      <c r="D81" s="21" t="n">
        <f aca="false">IF(AND('Rent roll'!$C17=0,1=0),0,IF(D$71&lt;='Rent roll'!$E17,'Rent roll'!$C17,IF(D$71='Rent roll'!$F17,$C$16*LetFrac,$C$16)))</f>
        <v>257670</v>
      </c>
      <c r="E81" s="21" t="n">
        <f aca="false">IF(AND('Rent roll'!$C17=0,1=0),0,IF(E$71&lt;='Rent roll'!$E17,'Rent roll'!$C17,IF(E$71='Rent roll'!$F17,$C$16*LetFrac,$C$16)))</f>
        <v>257670</v>
      </c>
      <c r="F81" s="21" t="n">
        <f aca="false">IF(AND('Rent roll'!$C17=0,1=0),0,IF(F$71&lt;='Rent roll'!$E17,'Rent roll'!$C17,IF(F$71='Rent roll'!$F17,$C$16*LetFrac,$C$16)))</f>
        <v>257670</v>
      </c>
      <c r="G81" s="21" t="n">
        <f aca="false">IF(AND('Rent roll'!$C17=0,1=0),0,IF(G$71&lt;='Rent roll'!$E17,'Rent roll'!$C17,IF(G$71='Rent roll'!$F17,$C$16*LetFrac,$C$16)))</f>
        <v>257670</v>
      </c>
      <c r="H81" s="21" t="n">
        <f aca="false">IF(AND('Rent roll'!$C17=0,1=0),0,IF(H$71&lt;='Rent roll'!$E17,'Rent roll'!$C17,IF(H$71='Rent roll'!$F17,$C$16*LetFrac,$C$16)))</f>
        <v>257670</v>
      </c>
      <c r="I81" s="21" t="n">
        <f aca="false">IF(AND('Rent roll'!$C17=0,1=0),0,IF(I$71&lt;='Rent roll'!$E17,'Rent roll'!$C17,IF(I$71='Rent roll'!$F17,$C$16*LetFrac,$C$16)))</f>
        <v>257670</v>
      </c>
      <c r="J81" s="21" t="n">
        <f aca="false">IF(AND('Rent roll'!$C17=0,1=0),0,IF(J$71&lt;='Rent roll'!$E17,'Rent roll'!$C17,IF(J$71='Rent roll'!$F17,$C$16*LetFrac,$C$16)))</f>
        <v>257670</v>
      </c>
      <c r="K81" s="21" t="n">
        <f aca="false">IF(AND('Rent roll'!$C17=0,1=0),0,IF(K$71&lt;='Rent roll'!$E17,'Rent roll'!$C17,IF(K$71='Rent roll'!$F17,$C$16*LetFrac,$C$16)))</f>
        <v>257670</v>
      </c>
      <c r="L81" s="21" t="n">
        <f aca="false">IF(AND('Rent roll'!$C17=0,1=0),0,IF(L$71&lt;='Rent roll'!$E17,'Rent roll'!$C17,IF(L$71='Rent roll'!$F17,$C$16*LetFrac,$C$16)))</f>
        <v>257670</v>
      </c>
    </row>
    <row r="82" customFormat="false" ht="15" hidden="false" customHeight="false" outlineLevel="0" collapsed="false">
      <c r="A82" s="7" t="s">
        <v>145</v>
      </c>
      <c r="B82" s="21" t="n">
        <f aca="false">SUM(B72:B81)</f>
        <v>1698395.5</v>
      </c>
      <c r="C82" s="21" t="n">
        <f aca="false">SUM(C72:C81)</f>
        <v>2065882</v>
      </c>
      <c r="D82" s="21" t="n">
        <f aca="false">SUM(D72:D81)</f>
        <v>1989265.845</v>
      </c>
      <c r="E82" s="21" t="n">
        <f aca="false">SUM(E72:E81)</f>
        <v>1939484.5671375</v>
      </c>
      <c r="F82" s="21" t="n">
        <f aca="false">SUM(F72:F81)</f>
        <v>2131366.92813113</v>
      </c>
      <c r="G82" s="21" t="n">
        <f aca="false">SUM(G72:G81)</f>
        <v>2100975.6380119</v>
      </c>
      <c r="H82" s="21" t="n">
        <f aca="false">SUM(H72:H81)</f>
        <v>2276674.5714241</v>
      </c>
      <c r="I82" s="21" t="n">
        <f aca="false">SUM(I72:I81)</f>
        <v>1951410.48718809</v>
      </c>
      <c r="J82" s="21" t="n">
        <f aca="false">SUM(J72:J81)</f>
        <v>2330905.91171051</v>
      </c>
      <c r="K82" s="21" t="n">
        <f aca="false">SUM(K72:K81)</f>
        <v>2273213.43707028</v>
      </c>
      <c r="L82" s="21" t="n">
        <f aca="false">SUM(L72:L81)</f>
        <v>2513646.91807541</v>
      </c>
    </row>
    <row r="83" customFormat="false" ht="15" hidden="false" customHeight="false" outlineLevel="0" collapsed="false">
      <c r="A83" s="7" t="s">
        <v>106</v>
      </c>
      <c r="B83" s="21" t="n">
        <f aca="false">SUMPRODUCT(('Rent roll'!$F$8:$F$17=B$71)*$C$7:$C$16*(1-(1-1)*('Rent roll'!$C$8:$C$17=0)))*LetFee</f>
        <v>73497.3</v>
      </c>
      <c r="C83" s="21" t="n">
        <f aca="false">SUMPRODUCT(('Rent roll'!$F$8:$F$17=C$71)*$C$7:$C$16*(1-(1-1)*('Rent roll'!$C$8:$C$17=0)))*LetFee</f>
        <v>0</v>
      </c>
      <c r="D83" s="21" t="n">
        <f aca="false">SUMPRODUCT(('Rent roll'!$F$8:$F$17=D$71)*$C$7:$C$16*(1-(1-1)*('Rent roll'!$C$8:$C$17=0)))*LetFee</f>
        <v>24590.307</v>
      </c>
      <c r="E83" s="21" t="n">
        <f aca="false">SUMPRODUCT(('Rent roll'!$F$8:$F$17=E$71)*$C$7:$C$16*(1-(1-1)*('Rent roll'!$C$8:$C$17=0)))*LetFee</f>
        <v>50800.3122825</v>
      </c>
      <c r="F83" s="21" t="n">
        <f aca="false">SUMPRODUCT(('Rent roll'!$F$8:$F$17=F$71)*$C$7:$C$16*(1-(1-1)*('Rent roll'!$C$8:$C$17=0)))*LetFee</f>
        <v>18888.479748675</v>
      </c>
      <c r="G83" s="21" t="n">
        <f aca="false">SUMPRODUCT(('Rent roll'!$F$8:$F$17=G$71)*$C$7:$C$16*(1-(1-1)*('Rent roll'!$C$8:$C$17=0)))*LetFee</f>
        <v>35139.7866824395</v>
      </c>
      <c r="H83" s="21" t="n">
        <f aca="false">SUMPRODUCT(('Rent roll'!$F$8:$F$17=H$71)*$C$7:$C$16*(1-(1-1)*('Rent roll'!$C$8:$C$17=0)))*LetFee</f>
        <v>0</v>
      </c>
      <c r="I83" s="21" t="n">
        <f aca="false">SUMPRODUCT(('Rent roll'!$F$8:$F$17=I$71)*$C$7:$C$16*(1-(1-1)*('Rent roll'!$C$8:$C$17=0)))*LetFee</f>
        <v>88341.5494583934</v>
      </c>
      <c r="J83" s="21" t="n">
        <f aca="false">SUMPRODUCT(('Rent roll'!$F$8:$F$17=J$71)*$C$7:$C$16*(1-(1-1)*('Rent roll'!$C$8:$C$17=0)))*LetFee</f>
        <v>18352.606338277</v>
      </c>
      <c r="K83" s="21" t="n">
        <f aca="false">SUMPRODUCT(('Rent roll'!$F$8:$F$17=K$71)*$C$7:$C$16*(1-(1-1)*('Rent roll'!$C$8:$C$17=0)))*LetFee</f>
        <v>48086.6962010262</v>
      </c>
      <c r="L83" s="21" t="n">
        <f aca="false">SUMPRODUCT(('Rent roll'!$F$8:$F$17=L$71)*$C$7:$C$16*(1-(1-1)*('Rent roll'!$C$8:$C$17=0)))*LetFee</f>
        <v>0</v>
      </c>
    </row>
    <row r="84" customFormat="false" ht="15" hidden="false" customHeight="false" outlineLevel="0" collapsed="false">
      <c r="A84" s="7" t="s">
        <v>105</v>
      </c>
      <c r="B84" s="21" t="n">
        <f aca="false">B82*(1-NonRec-MgmtFee)</f>
        <v>1657634.008</v>
      </c>
      <c r="C84" s="21" t="n">
        <f aca="false">C82*(1-NonRec-MgmtFee)</f>
        <v>2016300.832</v>
      </c>
      <c r="D84" s="21" t="n">
        <f aca="false">D82*(1-NonRec-MgmtFee)</f>
        <v>1941523.46472</v>
      </c>
      <c r="E84" s="21" t="n">
        <f aca="false">E82*(1-NonRec-MgmtFee)</f>
        <v>1892936.9375262</v>
      </c>
      <c r="F84" s="21" t="n">
        <f aca="false">F82*(1-NonRec-MgmtFee)</f>
        <v>2080214.12185598</v>
      </c>
      <c r="G84" s="21" t="n">
        <f aca="false">G82*(1-NonRec-MgmtFee)</f>
        <v>2050552.22269961</v>
      </c>
      <c r="H84" s="21" t="n">
        <f aca="false">H82*(1-NonRec-MgmtFee)</f>
        <v>2222034.38170992</v>
      </c>
      <c r="I84" s="21" t="n">
        <f aca="false">I82*(1-NonRec-MgmtFee)</f>
        <v>1904576.63549557</v>
      </c>
      <c r="J84" s="21" t="n">
        <f aca="false">J82*(1-NonRec-MgmtFee)</f>
        <v>2274964.16982946</v>
      </c>
      <c r="K84" s="21" t="n">
        <f aca="false">K82*(1-NonRec-MgmtFee)</f>
        <v>2218656.31458059</v>
      </c>
      <c r="L84" s="21" t="n">
        <f aca="false">L82*(1-NonRec-MgmtFee)</f>
        <v>2453319.3920416</v>
      </c>
    </row>
    <row r="85" customFormat="false" ht="15" hidden="false" customHeight="false" outlineLevel="0" collapsed="false">
      <c r="A85" s="7" t="s">
        <v>107</v>
      </c>
      <c r="B85" s="21" t="n">
        <f aca="false">SUMIF(CapexYr,B$71,CapexAmt)*1</f>
        <v>1850000</v>
      </c>
      <c r="C85" s="21" t="n">
        <f aca="false">SUMIF(CapexYr,C$71,CapexAmt)*1</f>
        <v>940000</v>
      </c>
      <c r="D85" s="21" t="n">
        <f aca="false">SUMIF(CapexYr,D$71,CapexAmt)*1</f>
        <v>610000</v>
      </c>
      <c r="E85" s="21" t="n">
        <f aca="false">SUMIF(CapexYr,E$71,CapexAmt)*1</f>
        <v>0</v>
      </c>
      <c r="F85" s="21" t="n">
        <f aca="false">SUMIF(CapexYr,F$71,CapexAmt)*1</f>
        <v>0</v>
      </c>
      <c r="G85" s="21" t="n">
        <f aca="false">SUMIF(CapexYr,G$71,CapexAmt)*1</f>
        <v>0</v>
      </c>
      <c r="H85" s="21" t="n">
        <f aca="false">SUMIF(CapexYr,H$71,CapexAmt)*1</f>
        <v>0</v>
      </c>
      <c r="I85" s="21" t="n">
        <f aca="false">SUMIF(CapexYr,I$71,CapexAmt)*1</f>
        <v>0</v>
      </c>
      <c r="J85" s="21" t="n">
        <f aca="false">SUMIF(CapexYr,J$71,CapexAmt)*1</f>
        <v>0</v>
      </c>
      <c r="K85" s="21" t="n">
        <f aca="false">SUMIF(CapexYr,K$71,CapexAmt)*1</f>
        <v>0</v>
      </c>
      <c r="L85" s="21" t="n">
        <f aca="false">SUMIF(CapexYr,L$71,CapexAmt)*1</f>
        <v>0</v>
      </c>
    </row>
    <row r="86" customFormat="false" ht="15" hidden="false" customHeight="false" outlineLevel="0" collapsed="false">
      <c r="A86" s="11" t="s">
        <v>146</v>
      </c>
      <c r="B86" s="12" t="n">
        <f aca="false">B84-B83-B85</f>
        <v>-265863.292</v>
      </c>
      <c r="C86" s="12" t="n">
        <f aca="false">C84-C83-C85</f>
        <v>1076300.832</v>
      </c>
      <c r="D86" s="12" t="n">
        <f aca="false">D84-D83-D85</f>
        <v>1306933.15772</v>
      </c>
      <c r="E86" s="12" t="n">
        <f aca="false">E84-E83-E85</f>
        <v>1842136.6252437</v>
      </c>
      <c r="F86" s="12" t="n">
        <f aca="false">F84-F83-F85</f>
        <v>2061325.6421073</v>
      </c>
      <c r="G86" s="12" t="n">
        <f aca="false">G84-G83-G85</f>
        <v>2015412.43601717</v>
      </c>
      <c r="H86" s="12" t="n">
        <f aca="false">H84-H83-H85</f>
        <v>2222034.38170992</v>
      </c>
      <c r="I86" s="12" t="n">
        <f aca="false">I84-I83-I85</f>
        <v>1816235.08603718</v>
      </c>
      <c r="J86" s="12" t="n">
        <f aca="false">J84-J83-J85</f>
        <v>2256611.56349119</v>
      </c>
      <c r="K86" s="12" t="n">
        <f aca="false">K84-K83-K85</f>
        <v>2170569.61837956</v>
      </c>
      <c r="L86" s="12" t="n">
        <f aca="false">L84-L83-L85</f>
        <v>2453319.3920416</v>
      </c>
    </row>
    <row r="88" customFormat="false" ht="15" hidden="false" customHeight="false" outlineLevel="0" collapsed="false">
      <c r="A88" s="31" t="s">
        <v>150</v>
      </c>
    </row>
    <row r="89" customFormat="false" ht="15" hidden="false" customHeight="false" outlineLevel="0" collapsed="false">
      <c r="A89" s="30" t="s">
        <v>151</v>
      </c>
    </row>
    <row r="90" customFormat="false" ht="15" hidden="false" customHeight="false" outlineLevel="0" collapsed="false">
      <c r="A90" s="32" t="s">
        <v>152</v>
      </c>
      <c r="B90" s="33" t="s">
        <v>153</v>
      </c>
      <c r="C90" s="33" t="s">
        <v>154</v>
      </c>
      <c r="D90" s="33" t="s">
        <v>155</v>
      </c>
      <c r="E90" s="33" t="s">
        <v>156</v>
      </c>
      <c r="F90" s="33" t="s">
        <v>157</v>
      </c>
      <c r="G90" s="33" t="s">
        <v>158</v>
      </c>
      <c r="H90" s="33" t="s">
        <v>159</v>
      </c>
      <c r="I90" s="33" t="s">
        <v>160</v>
      </c>
      <c r="J90" s="33" t="s">
        <v>161</v>
      </c>
      <c r="K90" s="33" t="s">
        <v>162</v>
      </c>
      <c r="L90" s="33" t="s">
        <v>163</v>
      </c>
      <c r="M90" s="33" t="s">
        <v>164</v>
      </c>
      <c r="N90" s="33" t="s">
        <v>165</v>
      </c>
      <c r="O90" s="33" t="s">
        <v>166</v>
      </c>
      <c r="P90" s="33" t="s">
        <v>167</v>
      </c>
      <c r="Q90" s="33" t="s">
        <v>168</v>
      </c>
      <c r="R90" s="33" t="s">
        <v>169</v>
      </c>
    </row>
    <row r="91" customFormat="false" ht="15" hidden="false" customHeight="false" outlineLevel="0" collapsed="false">
      <c r="A91" s="7" t="n">
        <v>1</v>
      </c>
      <c r="B91" s="7" t="n">
        <f aca="false">MOD(INT(($A91-1)/8),2)</f>
        <v>0</v>
      </c>
      <c r="C91" s="7" t="n">
        <f aca="false">MOD(INT(($A91-1)/4),2)</f>
        <v>0</v>
      </c>
      <c r="D91" s="7" t="n">
        <f aca="false">MOD(INT(($A91-1)/2),2)</f>
        <v>0</v>
      </c>
      <c r="E91" s="7" t="n">
        <f aca="false">MOD(INT(($A91-1)/1),2)</f>
        <v>0</v>
      </c>
      <c r="F91" s="21" t="n">
        <f aca="false">Price*Gearing*E91</f>
        <v>0</v>
      </c>
      <c r="G91" s="21" t="n">
        <f aca="false">-(TotCost+F91*ArrPct-F91)</f>
        <v>-28195200</v>
      </c>
      <c r="H91" s="21" t="n">
        <f aca="false">CHOOSE(1+2*B91+C91,INDEX($B$35:$K$35,1),INDEX($B$52:$K$52,1),INDEX($B$69:$K$69,1),INDEX($B$86:$K$86,1))-AMFee-F91*DebtRate</f>
        <v>1326614.4</v>
      </c>
      <c r="I91" s="21" t="n">
        <f aca="false">CHOOSE(1+2*B91+C91,INDEX($B$35:$K$35,2),INDEX($B$52:$K$52,2),INDEX($B$69:$K$69,2),INDEX($B$86:$K$86,2))-AMFee-F91*DebtRate</f>
        <v>1326614.4</v>
      </c>
      <c r="J91" s="21" t="n">
        <f aca="false">CHOOSE(1+2*B91+C91,INDEX($B$35:$K$35,3),INDEX($B$52:$K$52,3),INDEX($B$69:$K$69,3),INDEX($B$86:$K$86,3))-AMFee-F91*DebtRate</f>
        <v>1226576</v>
      </c>
      <c r="K91" s="21" t="n">
        <f aca="false">CHOOSE(1+2*B91+C91,INDEX($B$35:$K$35,4),INDEX($B$52:$K$52,4),INDEX($B$69:$K$69,4),INDEX($B$86:$K$86,4))-AMFee-F91*DebtRate</f>
        <v>1143430.4</v>
      </c>
      <c r="L91" s="21" t="n">
        <f aca="false">CHOOSE(1+2*B91+C91,INDEX($B$35:$K$35,5),INDEX($B$52:$K$52,5),INDEX($B$69:$K$69,5),INDEX($B$86:$K$86,5))-AMFee-F91*DebtRate</f>
        <v>1342323.2</v>
      </c>
      <c r="M91" s="21" t="n">
        <f aca="false">CHOOSE(1+2*B91+C91,INDEX($B$35:$K$35,6),INDEX($B$52:$K$52,6),INDEX($B$69:$K$69,6),INDEX($B$86:$K$86,6))-AMFee-F91*DebtRate</f>
        <v>1284633.6</v>
      </c>
      <c r="N91" s="21" t="n">
        <f aca="false">CHOOSE(1+2*B91+C91,INDEX($B$35:$K$35,7),INDEX($B$52:$K$52,7),INDEX($B$69:$K$69,7),INDEX($B$86:$K$86,7))-AMFee-F91*DebtRate</f>
        <v>1469500.8</v>
      </c>
      <c r="O91" s="21" t="n">
        <f aca="false">CHOOSE(1+2*B91+C91,INDEX($B$35:$K$35,8),INDEX($B$52:$K$52,8),INDEX($B$69:$K$69,8),INDEX($B$86:$K$86,8))-AMFee-F91*DebtRate</f>
        <v>1055716.8</v>
      </c>
      <c r="P91" s="21" t="n">
        <f aca="false">CHOOSE(1+2*B91+C91,INDEX($B$35:$K$35,9),INDEX($B$52:$K$52,9),INDEX($B$69:$K$69,9),INDEX($B$86:$K$86,9))-AMFee-F91*DebtRate</f>
        <v>1419297.6</v>
      </c>
      <c r="Q91" s="21" t="n">
        <f aca="false">CHOOSE(1+2*B91+C91,INDEX($B$35:$K$35,10),INDEX($B$52:$K$52,10),INDEX($B$69:$K$69,10),INDEX($B$86:$K$86,10))-AMFee-F91*DebtRate+CHOOSE(1+2*B91+C91,$L$33,$L$50,$L$67,$L$84)/IF(D91=1,ExitYld,StabNOI/AllIn)*(1-SaleCost)-F91</f>
        <v>25846927.2704028</v>
      </c>
      <c r="R91" s="27" t="n">
        <f aca="false">IRR(G91:Q91)</f>
        <v>0.0346606839747937</v>
      </c>
    </row>
    <row r="92" customFormat="false" ht="15" hidden="false" customHeight="false" outlineLevel="0" collapsed="false">
      <c r="A92" s="7" t="n">
        <v>2</v>
      </c>
      <c r="B92" s="7" t="n">
        <f aca="false">MOD(INT(($A92-1)/8),2)</f>
        <v>0</v>
      </c>
      <c r="C92" s="7" t="n">
        <f aca="false">MOD(INT(($A92-1)/4),2)</f>
        <v>0</v>
      </c>
      <c r="D92" s="7" t="n">
        <f aca="false">MOD(INT(($A92-1)/2),2)</f>
        <v>0</v>
      </c>
      <c r="E92" s="7" t="n">
        <f aca="false">MOD(INT(($A92-1)/1),2)</f>
        <v>1</v>
      </c>
      <c r="F92" s="21" t="n">
        <f aca="false">Price*Gearing*E92</f>
        <v>14520000</v>
      </c>
      <c r="G92" s="21" t="n">
        <f aca="false">-(TotCost+F92*ArrPct-F92)</f>
        <v>-13834920</v>
      </c>
      <c r="H92" s="21" t="n">
        <f aca="false">CHOOSE(1+2*B92+C92,INDEX($B$35:$K$35,1),INDEX($B$52:$K$52,1),INDEX($B$69:$K$69,1),INDEX($B$86:$K$86,1))-AMFee-F92*DebtRate</f>
        <v>694994.4</v>
      </c>
      <c r="I92" s="21" t="n">
        <f aca="false">CHOOSE(1+2*B92+C92,INDEX($B$35:$K$35,2),INDEX($B$52:$K$52,2),INDEX($B$69:$K$69,2),INDEX($B$86:$K$86,2))-AMFee-F92*DebtRate</f>
        <v>694994.4</v>
      </c>
      <c r="J92" s="21" t="n">
        <f aca="false">CHOOSE(1+2*B92+C92,INDEX($B$35:$K$35,3),INDEX($B$52:$K$52,3),INDEX($B$69:$K$69,3),INDEX($B$86:$K$86,3))-AMFee-F92*DebtRate</f>
        <v>594956</v>
      </c>
      <c r="K92" s="21" t="n">
        <f aca="false">CHOOSE(1+2*B92+C92,INDEX($B$35:$K$35,4),INDEX($B$52:$K$52,4),INDEX($B$69:$K$69,4),INDEX($B$86:$K$86,4))-AMFee-F92*DebtRate</f>
        <v>511810.4</v>
      </c>
      <c r="L92" s="21" t="n">
        <f aca="false">CHOOSE(1+2*B92+C92,INDEX($B$35:$K$35,5),INDEX($B$52:$K$52,5),INDEX($B$69:$K$69,5),INDEX($B$86:$K$86,5))-AMFee-F92*DebtRate</f>
        <v>710703.2</v>
      </c>
      <c r="M92" s="21" t="n">
        <f aca="false">CHOOSE(1+2*B92+C92,INDEX($B$35:$K$35,6),INDEX($B$52:$K$52,6),INDEX($B$69:$K$69,6),INDEX($B$86:$K$86,6))-AMFee-F92*DebtRate</f>
        <v>653013.6</v>
      </c>
      <c r="N92" s="21" t="n">
        <f aca="false">CHOOSE(1+2*B92+C92,INDEX($B$35:$K$35,7),INDEX($B$52:$K$52,7),INDEX($B$69:$K$69,7),INDEX($B$86:$K$86,7))-AMFee-F92*DebtRate</f>
        <v>837880.8</v>
      </c>
      <c r="O92" s="21" t="n">
        <f aca="false">CHOOSE(1+2*B92+C92,INDEX($B$35:$K$35,8),INDEX($B$52:$K$52,8),INDEX($B$69:$K$69,8),INDEX($B$86:$K$86,8))-AMFee-F92*DebtRate</f>
        <v>424096.8</v>
      </c>
      <c r="P92" s="21" t="n">
        <f aca="false">CHOOSE(1+2*B92+C92,INDEX($B$35:$K$35,9),INDEX($B$52:$K$52,9),INDEX($B$69:$K$69,9),INDEX($B$86:$K$86,9))-AMFee-F92*DebtRate</f>
        <v>787677.6</v>
      </c>
      <c r="Q92" s="21" t="n">
        <f aca="false">CHOOSE(1+2*B92+C92,INDEX($B$35:$K$35,10),INDEX($B$52:$K$52,10),INDEX($B$69:$K$69,10),INDEX($B$86:$K$86,10))-AMFee-F92*DebtRate+CHOOSE(1+2*B92+C92,$L$33,$L$50,$L$67,$L$84)/IF(D92=1,ExitYld,StabNOI/AllIn)*(1-SaleCost)-F92</f>
        <v>10695307.2704028</v>
      </c>
      <c r="R92" s="27" t="n">
        <f aca="false">IRR(G92:Q92)</f>
        <v>0.0226834590984826</v>
      </c>
    </row>
    <row r="93" customFormat="false" ht="15" hidden="false" customHeight="false" outlineLevel="0" collapsed="false">
      <c r="A93" s="7" t="n">
        <v>3</v>
      </c>
      <c r="B93" s="7" t="n">
        <f aca="false">MOD(INT(($A93-1)/8),2)</f>
        <v>0</v>
      </c>
      <c r="C93" s="7" t="n">
        <f aca="false">MOD(INT(($A93-1)/4),2)</f>
        <v>0</v>
      </c>
      <c r="D93" s="7" t="n">
        <f aca="false">MOD(INT(($A93-1)/2),2)</f>
        <v>1</v>
      </c>
      <c r="E93" s="7" t="n">
        <f aca="false">MOD(INT(($A93-1)/1),2)</f>
        <v>0</v>
      </c>
      <c r="F93" s="21" t="n">
        <f aca="false">Price*Gearing*E93</f>
        <v>0</v>
      </c>
      <c r="G93" s="21" t="n">
        <f aca="false">-(TotCost+F93*ArrPct-F93)</f>
        <v>-28195200</v>
      </c>
      <c r="H93" s="21" t="n">
        <f aca="false">CHOOSE(1+2*B93+C93,INDEX($B$35:$K$35,1),INDEX($B$52:$K$52,1),INDEX($B$69:$K$69,1),INDEX($B$86:$K$86,1))-AMFee-F93*DebtRate</f>
        <v>1326614.4</v>
      </c>
      <c r="I93" s="21" t="n">
        <f aca="false">CHOOSE(1+2*B93+C93,INDEX($B$35:$K$35,2),INDEX($B$52:$K$52,2),INDEX($B$69:$K$69,2),INDEX($B$86:$K$86,2))-AMFee-F93*DebtRate</f>
        <v>1326614.4</v>
      </c>
      <c r="J93" s="21" t="n">
        <f aca="false">CHOOSE(1+2*B93+C93,INDEX($B$35:$K$35,3),INDEX($B$52:$K$52,3),INDEX($B$69:$K$69,3),INDEX($B$86:$K$86,3))-AMFee-F93*DebtRate</f>
        <v>1226576</v>
      </c>
      <c r="K93" s="21" t="n">
        <f aca="false">CHOOSE(1+2*B93+C93,INDEX($B$35:$K$35,4),INDEX($B$52:$K$52,4),INDEX($B$69:$K$69,4),INDEX($B$86:$K$86,4))-AMFee-F93*DebtRate</f>
        <v>1143430.4</v>
      </c>
      <c r="L93" s="21" t="n">
        <f aca="false">CHOOSE(1+2*B93+C93,INDEX($B$35:$K$35,5),INDEX($B$52:$K$52,5),INDEX($B$69:$K$69,5),INDEX($B$86:$K$86,5))-AMFee-F93*DebtRate</f>
        <v>1342323.2</v>
      </c>
      <c r="M93" s="21" t="n">
        <f aca="false">CHOOSE(1+2*B93+C93,INDEX($B$35:$K$35,6),INDEX($B$52:$K$52,6),INDEX($B$69:$K$69,6),INDEX($B$86:$K$86,6))-AMFee-F93*DebtRate</f>
        <v>1284633.6</v>
      </c>
      <c r="N93" s="21" t="n">
        <f aca="false">CHOOSE(1+2*B93+C93,INDEX($B$35:$K$35,7),INDEX($B$52:$K$52,7),INDEX($B$69:$K$69,7),INDEX($B$86:$K$86,7))-AMFee-F93*DebtRate</f>
        <v>1469500.8</v>
      </c>
      <c r="O93" s="21" t="n">
        <f aca="false">CHOOSE(1+2*B93+C93,INDEX($B$35:$K$35,8),INDEX($B$52:$K$52,8),INDEX($B$69:$K$69,8),INDEX($B$86:$K$86,8))-AMFee-F93*DebtRate</f>
        <v>1055716.8</v>
      </c>
      <c r="P93" s="21" t="n">
        <f aca="false">CHOOSE(1+2*B93+C93,INDEX($B$35:$K$35,9),INDEX($B$52:$K$52,9),INDEX($B$69:$K$69,9),INDEX($B$86:$K$86,9))-AMFee-F93*DebtRate</f>
        <v>1419297.6</v>
      </c>
      <c r="Q93" s="21" t="n">
        <f aca="false">CHOOSE(1+2*B93+C93,INDEX($B$35:$K$35,10),INDEX($B$52:$K$52,10),INDEX($B$69:$K$69,10),INDEX($B$86:$K$86,10))-AMFee-F93*DebtRate+CHOOSE(1+2*B93+C93,$L$33,$L$50,$L$67,$L$84)/IF(D93=1,ExitYld,StabNOI/AllIn)*(1-SaleCost)-F93</f>
        <v>27342935.6631579</v>
      </c>
      <c r="R93" s="27" t="n">
        <f aca="false">IRR(G93:Q93)</f>
        <v>0.0393268071583907</v>
      </c>
    </row>
    <row r="94" customFormat="false" ht="15" hidden="false" customHeight="false" outlineLevel="0" collapsed="false">
      <c r="A94" s="7" t="n">
        <v>4</v>
      </c>
      <c r="B94" s="7" t="n">
        <f aca="false">MOD(INT(($A94-1)/8),2)</f>
        <v>0</v>
      </c>
      <c r="C94" s="7" t="n">
        <f aca="false">MOD(INT(($A94-1)/4),2)</f>
        <v>0</v>
      </c>
      <c r="D94" s="7" t="n">
        <f aca="false">MOD(INT(($A94-1)/2),2)</f>
        <v>1</v>
      </c>
      <c r="E94" s="7" t="n">
        <f aca="false">MOD(INT(($A94-1)/1),2)</f>
        <v>1</v>
      </c>
      <c r="F94" s="21" t="n">
        <f aca="false">Price*Gearing*E94</f>
        <v>14520000</v>
      </c>
      <c r="G94" s="21" t="n">
        <f aca="false">-(TotCost+F94*ArrPct-F94)</f>
        <v>-13834920</v>
      </c>
      <c r="H94" s="21" t="n">
        <f aca="false">CHOOSE(1+2*B94+C94,INDEX($B$35:$K$35,1),INDEX($B$52:$K$52,1),INDEX($B$69:$K$69,1),INDEX($B$86:$K$86,1))-AMFee-F94*DebtRate</f>
        <v>694994.4</v>
      </c>
      <c r="I94" s="21" t="n">
        <f aca="false">CHOOSE(1+2*B94+C94,INDEX($B$35:$K$35,2),INDEX($B$52:$K$52,2),INDEX($B$69:$K$69,2),INDEX($B$86:$K$86,2))-AMFee-F94*DebtRate</f>
        <v>694994.4</v>
      </c>
      <c r="J94" s="21" t="n">
        <f aca="false">CHOOSE(1+2*B94+C94,INDEX($B$35:$K$35,3),INDEX($B$52:$K$52,3),INDEX($B$69:$K$69,3),INDEX($B$86:$K$86,3))-AMFee-F94*DebtRate</f>
        <v>594956</v>
      </c>
      <c r="K94" s="21" t="n">
        <f aca="false">CHOOSE(1+2*B94+C94,INDEX($B$35:$K$35,4),INDEX($B$52:$K$52,4),INDEX($B$69:$K$69,4),INDEX($B$86:$K$86,4))-AMFee-F94*DebtRate</f>
        <v>511810.4</v>
      </c>
      <c r="L94" s="21" t="n">
        <f aca="false">CHOOSE(1+2*B94+C94,INDEX($B$35:$K$35,5),INDEX($B$52:$K$52,5),INDEX($B$69:$K$69,5),INDEX($B$86:$K$86,5))-AMFee-F94*DebtRate</f>
        <v>710703.2</v>
      </c>
      <c r="M94" s="21" t="n">
        <f aca="false">CHOOSE(1+2*B94+C94,INDEX($B$35:$K$35,6),INDEX($B$52:$K$52,6),INDEX($B$69:$K$69,6),INDEX($B$86:$K$86,6))-AMFee-F94*DebtRate</f>
        <v>653013.6</v>
      </c>
      <c r="N94" s="21" t="n">
        <f aca="false">CHOOSE(1+2*B94+C94,INDEX($B$35:$K$35,7),INDEX($B$52:$K$52,7),INDEX($B$69:$K$69,7),INDEX($B$86:$K$86,7))-AMFee-F94*DebtRate</f>
        <v>837880.8</v>
      </c>
      <c r="O94" s="21" t="n">
        <f aca="false">CHOOSE(1+2*B94+C94,INDEX($B$35:$K$35,8),INDEX($B$52:$K$52,8),INDEX($B$69:$K$69,8),INDEX($B$86:$K$86,8))-AMFee-F94*DebtRate</f>
        <v>424096.8</v>
      </c>
      <c r="P94" s="21" t="n">
        <f aca="false">CHOOSE(1+2*B94+C94,INDEX($B$35:$K$35,9),INDEX($B$52:$K$52,9),INDEX($B$69:$K$69,9),INDEX($B$86:$K$86,9))-AMFee-F94*DebtRate</f>
        <v>787677.6</v>
      </c>
      <c r="Q94" s="21" t="n">
        <f aca="false">CHOOSE(1+2*B94+C94,INDEX($B$35:$K$35,10),INDEX($B$52:$K$52,10),INDEX($B$69:$K$69,10),INDEX($B$86:$K$86,10))-AMFee-F94*DebtRate+CHOOSE(1+2*B94+C94,$L$33,$L$50,$L$67,$L$84)/IF(D94=1,ExitYld,StabNOI/AllIn)*(1-SaleCost)-F94</f>
        <v>12191315.6631579</v>
      </c>
      <c r="R94" s="27" t="n">
        <f aca="false">IRR(G94:Q94)</f>
        <v>0.0331306347805854</v>
      </c>
    </row>
    <row r="95" customFormat="false" ht="15" hidden="false" customHeight="false" outlineLevel="0" collapsed="false">
      <c r="A95" s="7" t="n">
        <v>5</v>
      </c>
      <c r="B95" s="7" t="n">
        <f aca="false">MOD(INT(($A95-1)/8),2)</f>
        <v>0</v>
      </c>
      <c r="C95" s="7" t="n">
        <f aca="false">MOD(INT(($A95-1)/4),2)</f>
        <v>1</v>
      </c>
      <c r="D95" s="7" t="n">
        <f aca="false">MOD(INT(($A95-1)/2),2)</f>
        <v>0</v>
      </c>
      <c r="E95" s="7" t="n">
        <f aca="false">MOD(INT(($A95-1)/1),2)</f>
        <v>0</v>
      </c>
      <c r="F95" s="21" t="n">
        <f aca="false">Price*Gearing*E95</f>
        <v>0</v>
      </c>
      <c r="G95" s="21" t="n">
        <f aca="false">-(TotCost+F95*ArrPct-F95)</f>
        <v>-28195200</v>
      </c>
      <c r="H95" s="21" t="n">
        <f aca="false">CHOOSE(1+2*B95+C95,INDEX($B$35:$K$35,1),INDEX($B$52:$K$52,1),INDEX($B$69:$K$69,1),INDEX($B$86:$K$86,1))-AMFee-F95*DebtRate</f>
        <v>-478340.8</v>
      </c>
      <c r="I95" s="21" t="n">
        <f aca="false">CHOOSE(1+2*B95+C95,INDEX($B$35:$K$35,2),INDEX($B$52:$K$52,2),INDEX($B$69:$K$69,2),INDEX($B$86:$K$86,2))-AMFee-F95*DebtRate</f>
        <v>854313.6</v>
      </c>
      <c r="J95" s="21" t="n">
        <f aca="false">CHOOSE(1+2*B95+C95,INDEX($B$35:$K$35,3),INDEX($B$52:$K$52,3),INDEX($B$69:$K$69,3),INDEX($B$86:$K$86,3))-AMFee-F95*DebtRate</f>
        <v>1084275.2</v>
      </c>
      <c r="K95" s="21" t="n">
        <f aca="false">CHOOSE(1+2*B95+C95,INDEX($B$35:$K$35,4),INDEX($B$52:$K$52,4),INDEX($B$69:$K$69,4),INDEX($B$86:$K$86,4))-AMFee-F95*DebtRate</f>
        <v>1611129.6</v>
      </c>
      <c r="L95" s="21" t="n">
        <f aca="false">CHOOSE(1+2*B95+C95,INDEX($B$35:$K$35,5),INDEX($B$52:$K$52,5),INDEX($B$69:$K$69,5),INDEX($B$86:$K$86,5))-AMFee-F95*DebtRate</f>
        <v>1810022.4</v>
      </c>
      <c r="M95" s="21" t="n">
        <f aca="false">CHOOSE(1+2*B95+C95,INDEX($B$35:$K$35,6),INDEX($B$52:$K$52,6),INDEX($B$69:$K$69,6),INDEX($B$86:$K$86,6))-AMFee-F95*DebtRate</f>
        <v>1752332.8</v>
      </c>
      <c r="N95" s="21" t="n">
        <f aca="false">CHOOSE(1+2*B95+C95,INDEX($B$35:$K$35,7),INDEX($B$52:$K$52,7),INDEX($B$69:$K$69,7),INDEX($B$86:$K$86,7))-AMFee-F95*DebtRate</f>
        <v>1937200</v>
      </c>
      <c r="O95" s="21" t="n">
        <f aca="false">CHOOSE(1+2*B95+C95,INDEX($B$35:$K$35,8),INDEX($B$52:$K$52,8),INDEX($B$69:$K$69,8),INDEX($B$86:$K$86,8))-AMFee-F95*DebtRate</f>
        <v>1523416</v>
      </c>
      <c r="P95" s="21" t="n">
        <f aca="false">CHOOSE(1+2*B95+C95,INDEX($B$35:$K$35,9),INDEX($B$52:$K$52,9),INDEX($B$69:$K$69,9),INDEX($B$86:$K$86,9))-AMFee-F95*DebtRate</f>
        <v>1886996.8</v>
      </c>
      <c r="Q95" s="21" t="n">
        <f aca="false">CHOOSE(1+2*B95+C95,INDEX($B$35:$K$35,10),INDEX($B$52:$K$52,10),INDEX($B$69:$K$69,10),INDEX($B$86:$K$86,10))-AMFee-F95*DebtRate+CHOOSE(1+2*B95+C95,$L$33,$L$50,$L$67,$L$84)/IF(D95=1,ExitYld,StabNOI/AllIn)*(1-SaleCost)-F95</f>
        <v>32860670.5124343</v>
      </c>
      <c r="R95" s="27" t="n">
        <f aca="false">IRR(G95:Q95)</f>
        <v>0.0538212874456386</v>
      </c>
    </row>
    <row r="96" customFormat="false" ht="15" hidden="false" customHeight="false" outlineLevel="0" collapsed="false">
      <c r="A96" s="7" t="n">
        <v>6</v>
      </c>
      <c r="B96" s="7" t="n">
        <f aca="false">MOD(INT(($A96-1)/8),2)</f>
        <v>0</v>
      </c>
      <c r="C96" s="7" t="n">
        <f aca="false">MOD(INT(($A96-1)/4),2)</f>
        <v>1</v>
      </c>
      <c r="D96" s="7" t="n">
        <f aca="false">MOD(INT(($A96-1)/2),2)</f>
        <v>0</v>
      </c>
      <c r="E96" s="7" t="n">
        <f aca="false">MOD(INT(($A96-1)/1),2)</f>
        <v>1</v>
      </c>
      <c r="F96" s="21" t="n">
        <f aca="false">Price*Gearing*E96</f>
        <v>14520000</v>
      </c>
      <c r="G96" s="21" t="n">
        <f aca="false">-(TotCost+F96*ArrPct-F96)</f>
        <v>-13834920</v>
      </c>
      <c r="H96" s="21" t="n">
        <f aca="false">CHOOSE(1+2*B96+C96,INDEX($B$35:$K$35,1),INDEX($B$52:$K$52,1),INDEX($B$69:$K$69,1),INDEX($B$86:$K$86,1))-AMFee-F96*DebtRate</f>
        <v>-1109960.8</v>
      </c>
      <c r="I96" s="21" t="n">
        <f aca="false">CHOOSE(1+2*B96+C96,INDEX($B$35:$K$35,2),INDEX($B$52:$K$52,2),INDEX($B$69:$K$69,2),INDEX($B$86:$K$86,2))-AMFee-F96*DebtRate</f>
        <v>222693.6</v>
      </c>
      <c r="J96" s="21" t="n">
        <f aca="false">CHOOSE(1+2*B96+C96,INDEX($B$35:$K$35,3),INDEX($B$52:$K$52,3),INDEX($B$69:$K$69,3),INDEX($B$86:$K$86,3))-AMFee-F96*DebtRate</f>
        <v>452655.2</v>
      </c>
      <c r="K96" s="21" t="n">
        <f aca="false">CHOOSE(1+2*B96+C96,INDEX($B$35:$K$35,4),INDEX($B$52:$K$52,4),INDEX($B$69:$K$69,4),INDEX($B$86:$K$86,4))-AMFee-F96*DebtRate</f>
        <v>979509.6</v>
      </c>
      <c r="L96" s="21" t="n">
        <f aca="false">CHOOSE(1+2*B96+C96,INDEX($B$35:$K$35,5),INDEX($B$52:$K$52,5),INDEX($B$69:$K$69,5),INDEX($B$86:$K$86,5))-AMFee-F96*DebtRate</f>
        <v>1178402.4</v>
      </c>
      <c r="M96" s="21" t="n">
        <f aca="false">CHOOSE(1+2*B96+C96,INDEX($B$35:$K$35,6),INDEX($B$52:$K$52,6),INDEX($B$69:$K$69,6),INDEX($B$86:$K$86,6))-AMFee-F96*DebtRate</f>
        <v>1120712.8</v>
      </c>
      <c r="N96" s="21" t="n">
        <f aca="false">CHOOSE(1+2*B96+C96,INDEX($B$35:$K$35,7),INDEX($B$52:$K$52,7),INDEX($B$69:$K$69,7),INDEX($B$86:$K$86,7))-AMFee-F96*DebtRate</f>
        <v>1305580</v>
      </c>
      <c r="O96" s="21" t="n">
        <f aca="false">CHOOSE(1+2*B96+C96,INDEX($B$35:$K$35,8),INDEX($B$52:$K$52,8),INDEX($B$69:$K$69,8),INDEX($B$86:$K$86,8))-AMFee-F96*DebtRate</f>
        <v>891796</v>
      </c>
      <c r="P96" s="21" t="n">
        <f aca="false">CHOOSE(1+2*B96+C96,INDEX($B$35:$K$35,9),INDEX($B$52:$K$52,9),INDEX($B$69:$K$69,9),INDEX($B$86:$K$86,9))-AMFee-F96*DebtRate</f>
        <v>1255376.8</v>
      </c>
      <c r="Q96" s="21" t="n">
        <f aca="false">CHOOSE(1+2*B96+C96,INDEX($B$35:$K$35,10),INDEX($B$52:$K$52,10),INDEX($B$69:$K$69,10),INDEX($B$86:$K$86,10))-AMFee-F96*DebtRate+CHOOSE(1+2*B96+C96,$L$33,$L$50,$L$67,$L$84)/IF(D96=1,ExitYld,StabNOI/AllIn)*(1-SaleCost)-F96</f>
        <v>17709050.5124343</v>
      </c>
      <c r="R96" s="27" t="n">
        <f aca="false">IRR(G96:Q96)</f>
        <v>0.0616767675392805</v>
      </c>
    </row>
    <row r="97" customFormat="false" ht="15" hidden="false" customHeight="false" outlineLevel="0" collapsed="false">
      <c r="A97" s="7" t="n">
        <v>7</v>
      </c>
      <c r="B97" s="7" t="n">
        <f aca="false">MOD(INT(($A97-1)/8),2)</f>
        <v>0</v>
      </c>
      <c r="C97" s="7" t="n">
        <f aca="false">MOD(INT(($A97-1)/4),2)</f>
        <v>1</v>
      </c>
      <c r="D97" s="7" t="n">
        <f aca="false">MOD(INT(($A97-1)/2),2)</f>
        <v>1</v>
      </c>
      <c r="E97" s="7" t="n">
        <f aca="false">MOD(INT(($A97-1)/1),2)</f>
        <v>0</v>
      </c>
      <c r="F97" s="21" t="n">
        <f aca="false">Price*Gearing*E97</f>
        <v>0</v>
      </c>
      <c r="G97" s="21" t="n">
        <f aca="false">-(TotCost+F97*ArrPct-F97)</f>
        <v>-28195200</v>
      </c>
      <c r="H97" s="21" t="n">
        <f aca="false">CHOOSE(1+2*B97+C97,INDEX($B$35:$K$35,1),INDEX($B$52:$K$52,1),INDEX($B$69:$K$69,1),INDEX($B$86:$K$86,1))-AMFee-F97*DebtRate</f>
        <v>-478340.8</v>
      </c>
      <c r="I97" s="21" t="n">
        <f aca="false">CHOOSE(1+2*B97+C97,INDEX($B$35:$K$35,2),INDEX($B$52:$K$52,2),INDEX($B$69:$K$69,2),INDEX($B$86:$K$86,2))-AMFee-F97*DebtRate</f>
        <v>854313.6</v>
      </c>
      <c r="J97" s="21" t="n">
        <f aca="false">CHOOSE(1+2*B97+C97,INDEX($B$35:$K$35,3),INDEX($B$52:$K$52,3),INDEX($B$69:$K$69,3),INDEX($B$86:$K$86,3))-AMFee-F97*DebtRate</f>
        <v>1084275.2</v>
      </c>
      <c r="K97" s="21" t="n">
        <f aca="false">CHOOSE(1+2*B97+C97,INDEX($B$35:$K$35,4),INDEX($B$52:$K$52,4),INDEX($B$69:$K$69,4),INDEX($B$86:$K$86,4))-AMFee-F97*DebtRate</f>
        <v>1611129.6</v>
      </c>
      <c r="L97" s="21" t="n">
        <f aca="false">CHOOSE(1+2*B97+C97,INDEX($B$35:$K$35,5),INDEX($B$52:$K$52,5),INDEX($B$69:$K$69,5),INDEX($B$86:$K$86,5))-AMFee-F97*DebtRate</f>
        <v>1810022.4</v>
      </c>
      <c r="M97" s="21" t="n">
        <f aca="false">CHOOSE(1+2*B97+C97,INDEX($B$35:$K$35,6),INDEX($B$52:$K$52,6),INDEX($B$69:$K$69,6),INDEX($B$86:$K$86,6))-AMFee-F97*DebtRate</f>
        <v>1752332.8</v>
      </c>
      <c r="N97" s="21" t="n">
        <f aca="false">CHOOSE(1+2*B97+C97,INDEX($B$35:$K$35,7),INDEX($B$52:$K$52,7),INDEX($B$69:$K$69,7),INDEX($B$86:$K$86,7))-AMFee-F97*DebtRate</f>
        <v>1937200</v>
      </c>
      <c r="O97" s="21" t="n">
        <f aca="false">CHOOSE(1+2*B97+C97,INDEX($B$35:$K$35,8),INDEX($B$52:$K$52,8),INDEX($B$69:$K$69,8),INDEX($B$86:$K$86,8))-AMFee-F97*DebtRate</f>
        <v>1523416</v>
      </c>
      <c r="P97" s="21" t="n">
        <f aca="false">CHOOSE(1+2*B97+C97,INDEX($B$35:$K$35,9),INDEX($B$52:$K$52,9),INDEX($B$69:$K$69,9),INDEX($B$86:$K$86,9))-AMFee-F97*DebtRate</f>
        <v>1886996.8</v>
      </c>
      <c r="Q97" s="21" t="n">
        <f aca="false">CHOOSE(1+2*B97+C97,INDEX($B$35:$K$35,10),INDEX($B$52:$K$52,10),INDEX($B$69:$K$69,10),INDEX($B$86:$K$86,10))-AMFee-F97*DebtRate+CHOOSE(1+2*B97+C97,$L$33,$L$50,$L$67,$L$84)/IF(D97=1,ExitYld,StabNOI/AllIn)*(1-SaleCost)-F97</f>
        <v>34755792.156391</v>
      </c>
      <c r="R97" s="27" t="n">
        <f aca="false">IRR(G97:Q97)</f>
        <v>0.0585190367446713</v>
      </c>
    </row>
    <row r="98" customFormat="false" ht="15" hidden="false" customHeight="false" outlineLevel="0" collapsed="false">
      <c r="A98" s="7" t="n">
        <v>8</v>
      </c>
      <c r="B98" s="7" t="n">
        <f aca="false">MOD(INT(($A98-1)/8),2)</f>
        <v>0</v>
      </c>
      <c r="C98" s="7" t="n">
        <f aca="false">MOD(INT(($A98-1)/4),2)</f>
        <v>1</v>
      </c>
      <c r="D98" s="7" t="n">
        <f aca="false">MOD(INT(($A98-1)/2),2)</f>
        <v>1</v>
      </c>
      <c r="E98" s="7" t="n">
        <f aca="false">MOD(INT(($A98-1)/1),2)</f>
        <v>1</v>
      </c>
      <c r="F98" s="21" t="n">
        <f aca="false">Price*Gearing*E98</f>
        <v>14520000</v>
      </c>
      <c r="G98" s="21" t="n">
        <f aca="false">-(TotCost+F98*ArrPct-F98)</f>
        <v>-13834920</v>
      </c>
      <c r="H98" s="21" t="n">
        <f aca="false">CHOOSE(1+2*B98+C98,INDEX($B$35:$K$35,1),INDEX($B$52:$K$52,1),INDEX($B$69:$K$69,1),INDEX($B$86:$K$86,1))-AMFee-F98*DebtRate</f>
        <v>-1109960.8</v>
      </c>
      <c r="I98" s="21" t="n">
        <f aca="false">CHOOSE(1+2*B98+C98,INDEX($B$35:$K$35,2),INDEX($B$52:$K$52,2),INDEX($B$69:$K$69,2),INDEX($B$86:$K$86,2))-AMFee-F98*DebtRate</f>
        <v>222693.6</v>
      </c>
      <c r="J98" s="21" t="n">
        <f aca="false">CHOOSE(1+2*B98+C98,INDEX($B$35:$K$35,3),INDEX($B$52:$K$52,3),INDEX($B$69:$K$69,3),INDEX($B$86:$K$86,3))-AMFee-F98*DebtRate</f>
        <v>452655.2</v>
      </c>
      <c r="K98" s="21" t="n">
        <f aca="false">CHOOSE(1+2*B98+C98,INDEX($B$35:$K$35,4),INDEX($B$52:$K$52,4),INDEX($B$69:$K$69,4),INDEX($B$86:$K$86,4))-AMFee-F98*DebtRate</f>
        <v>979509.6</v>
      </c>
      <c r="L98" s="21" t="n">
        <f aca="false">CHOOSE(1+2*B98+C98,INDEX($B$35:$K$35,5),INDEX($B$52:$K$52,5),INDEX($B$69:$K$69,5),INDEX($B$86:$K$86,5))-AMFee-F98*DebtRate</f>
        <v>1178402.4</v>
      </c>
      <c r="M98" s="21" t="n">
        <f aca="false">CHOOSE(1+2*B98+C98,INDEX($B$35:$K$35,6),INDEX($B$52:$K$52,6),INDEX($B$69:$K$69,6),INDEX($B$86:$K$86,6))-AMFee-F98*DebtRate</f>
        <v>1120712.8</v>
      </c>
      <c r="N98" s="21" t="n">
        <f aca="false">CHOOSE(1+2*B98+C98,INDEX($B$35:$K$35,7),INDEX($B$52:$K$52,7),INDEX($B$69:$K$69,7),INDEX($B$86:$K$86,7))-AMFee-F98*DebtRate</f>
        <v>1305580</v>
      </c>
      <c r="O98" s="21" t="n">
        <f aca="false">CHOOSE(1+2*B98+C98,INDEX($B$35:$K$35,8),INDEX($B$52:$K$52,8),INDEX($B$69:$K$69,8),INDEX($B$86:$K$86,8))-AMFee-F98*DebtRate</f>
        <v>891796</v>
      </c>
      <c r="P98" s="21" t="n">
        <f aca="false">CHOOSE(1+2*B98+C98,INDEX($B$35:$K$35,9),INDEX($B$52:$K$52,9),INDEX($B$69:$K$69,9),INDEX($B$86:$K$86,9))-AMFee-F98*DebtRate</f>
        <v>1255376.8</v>
      </c>
      <c r="Q98" s="21" t="n">
        <f aca="false">CHOOSE(1+2*B98+C98,INDEX($B$35:$K$35,10),INDEX($B$52:$K$52,10),INDEX($B$69:$K$69,10),INDEX($B$86:$K$86,10))-AMFee-F98*DebtRate+CHOOSE(1+2*B98+C98,$L$33,$L$50,$L$67,$L$84)/IF(D98=1,ExitYld,StabNOI/AllIn)*(1-SaleCost)-F98</f>
        <v>19604172.156391</v>
      </c>
      <c r="R98" s="27" t="n">
        <f aca="false">IRR(G98:Q98)</f>
        <v>0.0700558025243261</v>
      </c>
    </row>
    <row r="99" customFormat="false" ht="15" hidden="false" customHeight="false" outlineLevel="0" collapsed="false">
      <c r="A99" s="7" t="n">
        <v>9</v>
      </c>
      <c r="B99" s="7" t="n">
        <f aca="false">MOD(INT(($A99-1)/8),2)</f>
        <v>1</v>
      </c>
      <c r="C99" s="7" t="n">
        <f aca="false">MOD(INT(($A99-1)/4),2)</f>
        <v>0</v>
      </c>
      <c r="D99" s="7" t="n">
        <f aca="false">MOD(INT(($A99-1)/2),2)</f>
        <v>0</v>
      </c>
      <c r="E99" s="7" t="n">
        <f aca="false">MOD(INT(($A99-1)/1),2)</f>
        <v>0</v>
      </c>
      <c r="F99" s="21" t="n">
        <f aca="false">Price*Gearing*E99</f>
        <v>0</v>
      </c>
      <c r="G99" s="21" t="n">
        <f aca="false">-(TotCost+F99*ArrPct-F99)</f>
        <v>-28195200</v>
      </c>
      <c r="H99" s="21" t="n">
        <f aca="false">CHOOSE(1+2*B99+C99,INDEX($B$35:$K$35,1),INDEX($B$52:$K$52,1),INDEX($B$69:$K$69,1),INDEX($B$86:$K$86,1))-AMFee-F99*DebtRate</f>
        <v>1326614.4</v>
      </c>
      <c r="I99" s="21" t="n">
        <f aca="false">CHOOSE(1+2*B99+C99,INDEX($B$35:$K$35,2),INDEX($B$52:$K$52,2),INDEX($B$69:$K$69,2),INDEX($B$86:$K$86,2))-AMFee-F99*DebtRate</f>
        <v>1326614.4</v>
      </c>
      <c r="J99" s="21" t="n">
        <f aca="false">CHOOSE(1+2*B99+C99,INDEX($B$35:$K$35,3),INDEX($B$52:$K$52,3),INDEX($B$69:$K$69,3),INDEX($B$86:$K$86,3))-AMFee-F99*DebtRate</f>
        <v>1227246.72572</v>
      </c>
      <c r="K99" s="21" t="n">
        <f aca="false">CHOOSE(1+2*B99+C99,INDEX($B$35:$K$35,4),INDEX($B$52:$K$52,4),INDEX($B$69:$K$69,4),INDEX($B$86:$K$86,4))-AMFee-F99*DebtRate</f>
        <v>1152450.1932437</v>
      </c>
      <c r="L99" s="21" t="n">
        <f aca="false">CHOOSE(1+2*B99+C99,INDEX($B$35:$K$35,5),INDEX($B$52:$K$52,5),INDEX($B$69:$K$69,5),INDEX($B$86:$K$86,5))-AMFee-F99*DebtRate</f>
        <v>1371639.2101073</v>
      </c>
      <c r="M99" s="21" t="n">
        <f aca="false">CHOOSE(1+2*B99+C99,INDEX($B$35:$K$35,6),INDEX($B$52:$K$52,6),INDEX($B$69:$K$69,6),INDEX($B$86:$K$86,6))-AMFee-F99*DebtRate</f>
        <v>1325726.00401717</v>
      </c>
      <c r="N99" s="21" t="n">
        <f aca="false">CHOOSE(1+2*B99+C99,INDEX($B$35:$K$35,7),INDEX($B$52:$K$52,7),INDEX($B$69:$K$69,7),INDEX($B$86:$K$86,7))-AMFee-F99*DebtRate</f>
        <v>1532347.94970992</v>
      </c>
      <c r="O99" s="21" t="n">
        <f aca="false">CHOOSE(1+2*B99+C99,INDEX($B$35:$K$35,8),INDEX($B$52:$K$52,8),INDEX($B$69:$K$69,8),INDEX($B$86:$K$86,8))-AMFee-F99*DebtRate</f>
        <v>1126548.65403718</v>
      </c>
      <c r="P99" s="21" t="n">
        <f aca="false">CHOOSE(1+2*B99+C99,INDEX($B$35:$K$35,9),INDEX($B$52:$K$52,9),INDEX($B$69:$K$69,9),INDEX($B$86:$K$86,9))-AMFee-F99*DebtRate</f>
        <v>1566925.13149119</v>
      </c>
      <c r="Q99" s="21" t="n">
        <f aca="false">CHOOSE(1+2*B99+C99,INDEX($B$35:$K$35,10),INDEX($B$52:$K$52,10),INDEX($B$69:$K$69,10),INDEX($B$86:$K$86,10))-AMFee-F99*DebtRate+CHOOSE(1+2*B99+C99,$L$33,$L$50,$L$67,$L$84)/IF(D99=1,ExitYld,StabNOI/AllIn)*(1-SaleCost)-F99</f>
        <v>29124872.50198</v>
      </c>
      <c r="R99" s="27" t="n">
        <f aca="false">IRR(G99:Q99)</f>
        <v>0.0457925458455613</v>
      </c>
    </row>
    <row r="100" customFormat="false" ht="15" hidden="false" customHeight="false" outlineLevel="0" collapsed="false">
      <c r="A100" s="7" t="n">
        <v>10</v>
      </c>
      <c r="B100" s="7" t="n">
        <f aca="false">MOD(INT(($A100-1)/8),2)</f>
        <v>1</v>
      </c>
      <c r="C100" s="7" t="n">
        <f aca="false">MOD(INT(($A100-1)/4),2)</f>
        <v>0</v>
      </c>
      <c r="D100" s="7" t="n">
        <f aca="false">MOD(INT(($A100-1)/2),2)</f>
        <v>0</v>
      </c>
      <c r="E100" s="7" t="n">
        <f aca="false">MOD(INT(($A100-1)/1),2)</f>
        <v>1</v>
      </c>
      <c r="F100" s="21" t="n">
        <f aca="false">Price*Gearing*E100</f>
        <v>14520000</v>
      </c>
      <c r="G100" s="21" t="n">
        <f aca="false">-(TotCost+F100*ArrPct-F100)</f>
        <v>-13834920</v>
      </c>
      <c r="H100" s="21" t="n">
        <f aca="false">CHOOSE(1+2*B100+C100,INDEX($B$35:$K$35,1),INDEX($B$52:$K$52,1),INDEX($B$69:$K$69,1),INDEX($B$86:$K$86,1))-AMFee-F100*DebtRate</f>
        <v>694994.4</v>
      </c>
      <c r="I100" s="21" t="n">
        <f aca="false">CHOOSE(1+2*B100+C100,INDEX($B$35:$K$35,2),INDEX($B$52:$K$52,2),INDEX($B$69:$K$69,2),INDEX($B$86:$K$86,2))-AMFee-F100*DebtRate</f>
        <v>694994.4</v>
      </c>
      <c r="J100" s="21" t="n">
        <f aca="false">CHOOSE(1+2*B100+C100,INDEX($B$35:$K$35,3),INDEX($B$52:$K$52,3),INDEX($B$69:$K$69,3),INDEX($B$86:$K$86,3))-AMFee-F100*DebtRate</f>
        <v>595626.72572</v>
      </c>
      <c r="K100" s="21" t="n">
        <f aca="false">CHOOSE(1+2*B100+C100,INDEX($B$35:$K$35,4),INDEX($B$52:$K$52,4),INDEX($B$69:$K$69,4),INDEX($B$86:$K$86,4))-AMFee-F100*DebtRate</f>
        <v>520830.1932437</v>
      </c>
      <c r="L100" s="21" t="n">
        <f aca="false">CHOOSE(1+2*B100+C100,INDEX($B$35:$K$35,5),INDEX($B$52:$K$52,5),INDEX($B$69:$K$69,5),INDEX($B$86:$K$86,5))-AMFee-F100*DebtRate</f>
        <v>740019.210107303</v>
      </c>
      <c r="M100" s="21" t="n">
        <f aca="false">CHOOSE(1+2*B100+C100,INDEX($B$35:$K$35,6),INDEX($B$52:$K$52,6),INDEX($B$69:$K$69,6),INDEX($B$86:$K$86,6))-AMFee-F100*DebtRate</f>
        <v>694106.004017174</v>
      </c>
      <c r="N100" s="21" t="n">
        <f aca="false">CHOOSE(1+2*B100+C100,INDEX($B$35:$K$35,7),INDEX($B$52:$K$52,7),INDEX($B$69:$K$69,7),INDEX($B$86:$K$86,7))-AMFee-F100*DebtRate</f>
        <v>900727.949709918</v>
      </c>
      <c r="O100" s="21" t="n">
        <f aca="false">CHOOSE(1+2*B100+C100,INDEX($B$35:$K$35,8),INDEX($B$52:$K$52,8),INDEX($B$69:$K$69,8),INDEX($B$86:$K$86,8))-AMFee-F100*DebtRate</f>
        <v>494928.654037179</v>
      </c>
      <c r="P100" s="21" t="n">
        <f aca="false">CHOOSE(1+2*B100+C100,INDEX($B$35:$K$35,9),INDEX($B$52:$K$52,9),INDEX($B$69:$K$69,9),INDEX($B$86:$K$86,9))-AMFee-F100*DebtRate</f>
        <v>935305.131491185</v>
      </c>
      <c r="Q100" s="21" t="n">
        <f aca="false">CHOOSE(1+2*B100+C100,INDEX($B$35:$K$35,10),INDEX($B$52:$K$52,10),INDEX($B$69:$K$69,10),INDEX($B$86:$K$86,10))-AMFee-F100*DebtRate+CHOOSE(1+2*B100+C100,$L$33,$L$50,$L$67,$L$84)/IF(D100=1,ExitYld,StabNOI/AllIn)*(1-SaleCost)-F100</f>
        <v>13973252.50198</v>
      </c>
      <c r="R100" s="27" t="n">
        <f aca="false">IRR(G100:Q100)</f>
        <v>0.0467412699827274</v>
      </c>
    </row>
    <row r="101" customFormat="false" ht="15" hidden="false" customHeight="false" outlineLevel="0" collapsed="false">
      <c r="A101" s="7" t="n">
        <v>11</v>
      </c>
      <c r="B101" s="7" t="n">
        <f aca="false">MOD(INT(($A101-1)/8),2)</f>
        <v>1</v>
      </c>
      <c r="C101" s="7" t="n">
        <f aca="false">MOD(INT(($A101-1)/4),2)</f>
        <v>0</v>
      </c>
      <c r="D101" s="7" t="n">
        <f aca="false">MOD(INT(($A101-1)/2),2)</f>
        <v>1</v>
      </c>
      <c r="E101" s="7" t="n">
        <f aca="false">MOD(INT(($A101-1)/1),2)</f>
        <v>0</v>
      </c>
      <c r="F101" s="21" t="n">
        <f aca="false">Price*Gearing*E101</f>
        <v>0</v>
      </c>
      <c r="G101" s="21" t="n">
        <f aca="false">-(TotCost+F101*ArrPct-F101)</f>
        <v>-28195200</v>
      </c>
      <c r="H101" s="21" t="n">
        <f aca="false">CHOOSE(1+2*B101+C101,INDEX($B$35:$K$35,1),INDEX($B$52:$K$52,1),INDEX($B$69:$K$69,1),INDEX($B$86:$K$86,1))-AMFee-F101*DebtRate</f>
        <v>1326614.4</v>
      </c>
      <c r="I101" s="21" t="n">
        <f aca="false">CHOOSE(1+2*B101+C101,INDEX($B$35:$K$35,2),INDEX($B$52:$K$52,2),INDEX($B$69:$K$69,2),INDEX($B$86:$K$86,2))-AMFee-F101*DebtRate</f>
        <v>1326614.4</v>
      </c>
      <c r="J101" s="21" t="n">
        <f aca="false">CHOOSE(1+2*B101+C101,INDEX($B$35:$K$35,3),INDEX($B$52:$K$52,3),INDEX($B$69:$K$69,3),INDEX($B$86:$K$86,3))-AMFee-F101*DebtRate</f>
        <v>1227246.72572</v>
      </c>
      <c r="K101" s="21" t="n">
        <f aca="false">CHOOSE(1+2*B101+C101,INDEX($B$35:$K$35,4),INDEX($B$52:$K$52,4),INDEX($B$69:$K$69,4),INDEX($B$86:$K$86,4))-AMFee-F101*DebtRate</f>
        <v>1152450.1932437</v>
      </c>
      <c r="L101" s="21" t="n">
        <f aca="false">CHOOSE(1+2*B101+C101,INDEX($B$35:$K$35,5),INDEX($B$52:$K$52,5),INDEX($B$69:$K$69,5),INDEX($B$86:$K$86,5))-AMFee-F101*DebtRate</f>
        <v>1371639.2101073</v>
      </c>
      <c r="M101" s="21" t="n">
        <f aca="false">CHOOSE(1+2*B101+C101,INDEX($B$35:$K$35,6),INDEX($B$52:$K$52,6),INDEX($B$69:$K$69,6),INDEX($B$86:$K$86,6))-AMFee-F101*DebtRate</f>
        <v>1325726.00401717</v>
      </c>
      <c r="N101" s="21" t="n">
        <f aca="false">CHOOSE(1+2*B101+C101,INDEX($B$35:$K$35,7),INDEX($B$52:$K$52,7),INDEX($B$69:$K$69,7),INDEX($B$86:$K$86,7))-AMFee-F101*DebtRate</f>
        <v>1532347.94970992</v>
      </c>
      <c r="O101" s="21" t="n">
        <f aca="false">CHOOSE(1+2*B101+C101,INDEX($B$35:$K$35,8),INDEX($B$52:$K$52,8),INDEX($B$69:$K$69,8),INDEX($B$86:$K$86,8))-AMFee-F101*DebtRate</f>
        <v>1126548.65403718</v>
      </c>
      <c r="P101" s="21" t="n">
        <f aca="false">CHOOSE(1+2*B101+C101,INDEX($B$35:$K$35,9),INDEX($B$52:$K$52,9),INDEX($B$69:$K$69,9),INDEX($B$86:$K$86,9))-AMFee-F101*DebtRate</f>
        <v>1566925.13149119</v>
      </c>
      <c r="Q101" s="21" t="n">
        <f aca="false">CHOOSE(1+2*B101+C101,INDEX($B$35:$K$35,10),INDEX($B$52:$K$52,10),INDEX($B$69:$K$69,10),INDEX($B$86:$K$86,10))-AMFee-F101*DebtRate+CHOOSE(1+2*B101+C101,$L$33,$L$50,$L$67,$L$84)/IF(D101=1,ExitYld,StabNOI/AllIn)*(1-SaleCost)-F101</f>
        <v>30810330.5253431</v>
      </c>
      <c r="R101" s="27" t="n">
        <f aca="false">IRR(G101:Q101)</f>
        <v>0.0505410131782011</v>
      </c>
    </row>
    <row r="102" customFormat="false" ht="15" hidden="false" customHeight="false" outlineLevel="0" collapsed="false">
      <c r="A102" s="7" t="n">
        <v>12</v>
      </c>
      <c r="B102" s="7" t="n">
        <f aca="false">MOD(INT(($A102-1)/8),2)</f>
        <v>1</v>
      </c>
      <c r="C102" s="7" t="n">
        <f aca="false">MOD(INT(($A102-1)/4),2)</f>
        <v>0</v>
      </c>
      <c r="D102" s="7" t="n">
        <f aca="false">MOD(INT(($A102-1)/2),2)</f>
        <v>1</v>
      </c>
      <c r="E102" s="7" t="n">
        <f aca="false">MOD(INT(($A102-1)/1),2)</f>
        <v>1</v>
      </c>
      <c r="F102" s="21" t="n">
        <f aca="false">Price*Gearing*E102</f>
        <v>14520000</v>
      </c>
      <c r="G102" s="21" t="n">
        <f aca="false">-(TotCost+F102*ArrPct-F102)</f>
        <v>-13834920</v>
      </c>
      <c r="H102" s="21" t="n">
        <f aca="false">CHOOSE(1+2*B102+C102,INDEX($B$35:$K$35,1),INDEX($B$52:$K$52,1),INDEX($B$69:$K$69,1),INDEX($B$86:$K$86,1))-AMFee-F102*DebtRate</f>
        <v>694994.4</v>
      </c>
      <c r="I102" s="21" t="n">
        <f aca="false">CHOOSE(1+2*B102+C102,INDEX($B$35:$K$35,2),INDEX($B$52:$K$52,2),INDEX($B$69:$K$69,2),INDEX($B$86:$K$86,2))-AMFee-F102*DebtRate</f>
        <v>694994.4</v>
      </c>
      <c r="J102" s="21" t="n">
        <f aca="false">CHOOSE(1+2*B102+C102,INDEX($B$35:$K$35,3),INDEX($B$52:$K$52,3),INDEX($B$69:$K$69,3),INDEX($B$86:$K$86,3))-AMFee-F102*DebtRate</f>
        <v>595626.72572</v>
      </c>
      <c r="K102" s="21" t="n">
        <f aca="false">CHOOSE(1+2*B102+C102,INDEX($B$35:$K$35,4),INDEX($B$52:$K$52,4),INDEX($B$69:$K$69,4),INDEX($B$86:$K$86,4))-AMFee-F102*DebtRate</f>
        <v>520830.1932437</v>
      </c>
      <c r="L102" s="21" t="n">
        <f aca="false">CHOOSE(1+2*B102+C102,INDEX($B$35:$K$35,5),INDEX($B$52:$K$52,5),INDEX($B$69:$K$69,5),INDEX($B$86:$K$86,5))-AMFee-F102*DebtRate</f>
        <v>740019.210107303</v>
      </c>
      <c r="M102" s="21" t="n">
        <f aca="false">CHOOSE(1+2*B102+C102,INDEX($B$35:$K$35,6),INDEX($B$52:$K$52,6),INDEX($B$69:$K$69,6),INDEX($B$86:$K$86,6))-AMFee-F102*DebtRate</f>
        <v>694106.004017174</v>
      </c>
      <c r="N102" s="21" t="n">
        <f aca="false">CHOOSE(1+2*B102+C102,INDEX($B$35:$K$35,7),INDEX($B$52:$K$52,7),INDEX($B$69:$K$69,7),INDEX($B$86:$K$86,7))-AMFee-F102*DebtRate</f>
        <v>900727.949709918</v>
      </c>
      <c r="O102" s="21" t="n">
        <f aca="false">CHOOSE(1+2*B102+C102,INDEX($B$35:$K$35,8),INDEX($B$52:$K$52,8),INDEX($B$69:$K$69,8),INDEX($B$86:$K$86,8))-AMFee-F102*DebtRate</f>
        <v>494928.654037179</v>
      </c>
      <c r="P102" s="21" t="n">
        <f aca="false">CHOOSE(1+2*B102+C102,INDEX($B$35:$K$35,9),INDEX($B$52:$K$52,9),INDEX($B$69:$K$69,9),INDEX($B$86:$K$86,9))-AMFee-F102*DebtRate</f>
        <v>935305.131491185</v>
      </c>
      <c r="Q102" s="21" t="n">
        <f aca="false">CHOOSE(1+2*B102+C102,INDEX($B$35:$K$35,10),INDEX($B$52:$K$52,10),INDEX($B$69:$K$69,10),INDEX($B$86:$K$86,10))-AMFee-F102*DebtRate+CHOOSE(1+2*B102+C102,$L$33,$L$50,$L$67,$L$84)/IF(D102=1,ExitYld,StabNOI/AllIn)*(1-SaleCost)-F102</f>
        <v>15658710.5253431</v>
      </c>
      <c r="R102" s="27" t="n">
        <f aca="false">IRR(G102:Q102)</f>
        <v>0.0562207290840425</v>
      </c>
    </row>
    <row r="103" customFormat="false" ht="15" hidden="false" customHeight="false" outlineLevel="0" collapsed="false">
      <c r="A103" s="7" t="n">
        <v>13</v>
      </c>
      <c r="B103" s="7" t="n">
        <f aca="false">MOD(INT(($A103-1)/8),2)</f>
        <v>1</v>
      </c>
      <c r="C103" s="7" t="n">
        <f aca="false">MOD(INT(($A103-1)/4),2)</f>
        <v>1</v>
      </c>
      <c r="D103" s="7" t="n">
        <f aca="false">MOD(INT(($A103-1)/2),2)</f>
        <v>0</v>
      </c>
      <c r="E103" s="7" t="n">
        <f aca="false">MOD(INT(($A103-1)/1),2)</f>
        <v>0</v>
      </c>
      <c r="F103" s="21" t="n">
        <f aca="false">Price*Gearing*E103</f>
        <v>0</v>
      </c>
      <c r="G103" s="21" t="n">
        <f aca="false">-(TotCost+F103*ArrPct-F103)</f>
        <v>-28195200</v>
      </c>
      <c r="H103" s="21" t="n">
        <f aca="false">CHOOSE(1+2*B103+C103,INDEX($B$35:$K$35,1),INDEX($B$52:$K$52,1),INDEX($B$69:$K$69,1),INDEX($B$86:$K$86,1))-AMFee-F103*DebtRate</f>
        <v>-477327.292</v>
      </c>
      <c r="I103" s="21" t="n">
        <f aca="false">CHOOSE(1+2*B103+C103,INDEX($B$35:$K$35,2),INDEX($B$52:$K$52,2),INDEX($B$69:$K$69,2),INDEX($B$86:$K$86,2))-AMFee-F103*DebtRate</f>
        <v>864836.832</v>
      </c>
      <c r="J103" s="21" t="n">
        <f aca="false">CHOOSE(1+2*B103+C103,INDEX($B$35:$K$35,3),INDEX($B$52:$K$52,3),INDEX($B$69:$K$69,3),INDEX($B$86:$K$86,3))-AMFee-F103*DebtRate</f>
        <v>1095469.15772</v>
      </c>
      <c r="K103" s="21" t="n">
        <f aca="false">CHOOSE(1+2*B103+C103,INDEX($B$35:$K$35,4),INDEX($B$52:$K$52,4),INDEX($B$69:$K$69,4),INDEX($B$86:$K$86,4))-AMFee-F103*DebtRate</f>
        <v>1630672.6252437</v>
      </c>
      <c r="L103" s="21" t="n">
        <f aca="false">CHOOSE(1+2*B103+C103,INDEX($B$35:$K$35,5),INDEX($B$52:$K$52,5),INDEX($B$69:$K$69,5),INDEX($B$86:$K$86,5))-AMFee-F103*DebtRate</f>
        <v>1849861.6421073</v>
      </c>
      <c r="M103" s="21" t="n">
        <f aca="false">CHOOSE(1+2*B103+C103,INDEX($B$35:$K$35,6),INDEX($B$52:$K$52,6),INDEX($B$69:$K$69,6),INDEX($B$86:$K$86,6))-AMFee-F103*DebtRate</f>
        <v>1803948.43601717</v>
      </c>
      <c r="N103" s="21" t="n">
        <f aca="false">CHOOSE(1+2*B103+C103,INDEX($B$35:$K$35,7),INDEX($B$52:$K$52,7),INDEX($B$69:$K$69,7),INDEX($B$86:$K$86,7))-AMFee-F103*DebtRate</f>
        <v>2010570.38170992</v>
      </c>
      <c r="O103" s="21" t="n">
        <f aca="false">CHOOSE(1+2*B103+C103,INDEX($B$35:$K$35,8),INDEX($B$52:$K$52,8),INDEX($B$69:$K$69,8),INDEX($B$86:$K$86,8))-AMFee-F103*DebtRate</f>
        <v>1604771.08603718</v>
      </c>
      <c r="P103" s="21" t="n">
        <f aca="false">CHOOSE(1+2*B103+C103,INDEX($B$35:$K$35,9),INDEX($B$52:$K$52,9),INDEX($B$69:$K$69,9),INDEX($B$86:$K$86,9))-AMFee-F103*DebtRate</f>
        <v>2045147.56349119</v>
      </c>
      <c r="Q103" s="21" t="n">
        <f aca="false">CHOOSE(1+2*B103+C103,INDEX($B$35:$K$35,10),INDEX($B$52:$K$52,10),INDEX($B$69:$K$69,10),INDEX($B$86:$K$86,10))-AMFee-F103*DebtRate+CHOOSE(1+2*B103+C103,$L$33,$L$50,$L$67,$L$84)/IF(D103=1,ExitYld,StabNOI/AllIn)*(1-SaleCost)-F103</f>
        <v>36296424.9669573</v>
      </c>
      <c r="R103" s="27" t="n">
        <f aca="false">IRR(G103:Q103)</f>
        <v>0.0634377147912664</v>
      </c>
    </row>
    <row r="104" customFormat="false" ht="15" hidden="false" customHeight="false" outlineLevel="0" collapsed="false">
      <c r="A104" s="7" t="n">
        <v>14</v>
      </c>
      <c r="B104" s="7" t="n">
        <f aca="false">MOD(INT(($A104-1)/8),2)</f>
        <v>1</v>
      </c>
      <c r="C104" s="7" t="n">
        <f aca="false">MOD(INT(($A104-1)/4),2)</f>
        <v>1</v>
      </c>
      <c r="D104" s="7" t="n">
        <f aca="false">MOD(INT(($A104-1)/2),2)</f>
        <v>0</v>
      </c>
      <c r="E104" s="7" t="n">
        <f aca="false">MOD(INT(($A104-1)/1),2)</f>
        <v>1</v>
      </c>
      <c r="F104" s="21" t="n">
        <f aca="false">Price*Gearing*E104</f>
        <v>14520000</v>
      </c>
      <c r="G104" s="21" t="n">
        <f aca="false">-(TotCost+F104*ArrPct-F104)</f>
        <v>-13834920</v>
      </c>
      <c r="H104" s="21" t="n">
        <f aca="false">CHOOSE(1+2*B104+C104,INDEX($B$35:$K$35,1),INDEX($B$52:$K$52,1),INDEX($B$69:$K$69,1),INDEX($B$86:$K$86,1))-AMFee-F104*DebtRate</f>
        <v>-1108947.292</v>
      </c>
      <c r="I104" s="21" t="n">
        <f aca="false">CHOOSE(1+2*B104+C104,INDEX($B$35:$K$35,2),INDEX($B$52:$K$52,2),INDEX($B$69:$K$69,2),INDEX($B$86:$K$86,2))-AMFee-F104*DebtRate</f>
        <v>233216.832</v>
      </c>
      <c r="J104" s="21" t="n">
        <f aca="false">CHOOSE(1+2*B104+C104,INDEX($B$35:$K$35,3),INDEX($B$52:$K$52,3),INDEX($B$69:$K$69,3),INDEX($B$86:$K$86,3))-AMFee-F104*DebtRate</f>
        <v>463849.15772</v>
      </c>
      <c r="K104" s="21" t="n">
        <f aca="false">CHOOSE(1+2*B104+C104,INDEX($B$35:$K$35,4),INDEX($B$52:$K$52,4),INDEX($B$69:$K$69,4),INDEX($B$86:$K$86,4))-AMFee-F104*DebtRate</f>
        <v>999052.6252437</v>
      </c>
      <c r="L104" s="21" t="n">
        <f aca="false">CHOOSE(1+2*B104+C104,INDEX($B$35:$K$35,5),INDEX($B$52:$K$52,5),INDEX($B$69:$K$69,5),INDEX($B$86:$K$86,5))-AMFee-F104*DebtRate</f>
        <v>1218241.6421073</v>
      </c>
      <c r="M104" s="21" t="n">
        <f aca="false">CHOOSE(1+2*B104+C104,INDEX($B$35:$K$35,6),INDEX($B$52:$K$52,6),INDEX($B$69:$K$69,6),INDEX($B$86:$K$86,6))-AMFee-F104*DebtRate</f>
        <v>1172328.43601717</v>
      </c>
      <c r="N104" s="21" t="n">
        <f aca="false">CHOOSE(1+2*B104+C104,INDEX($B$35:$K$35,7),INDEX($B$52:$K$52,7),INDEX($B$69:$K$69,7),INDEX($B$86:$K$86,7))-AMFee-F104*DebtRate</f>
        <v>1378950.38170992</v>
      </c>
      <c r="O104" s="21" t="n">
        <f aca="false">CHOOSE(1+2*B104+C104,INDEX($B$35:$K$35,8),INDEX($B$52:$K$52,8),INDEX($B$69:$K$69,8),INDEX($B$86:$K$86,8))-AMFee-F104*DebtRate</f>
        <v>973151.086037179</v>
      </c>
      <c r="P104" s="21" t="n">
        <f aca="false">CHOOSE(1+2*B104+C104,INDEX($B$35:$K$35,9),INDEX($B$52:$K$52,9),INDEX($B$69:$K$69,9),INDEX($B$86:$K$86,9))-AMFee-F104*DebtRate</f>
        <v>1413527.56349119</v>
      </c>
      <c r="Q104" s="21" t="n">
        <f aca="false">CHOOSE(1+2*B104+C104,INDEX($B$35:$K$35,10),INDEX($B$52:$K$52,10),INDEX($B$69:$K$69,10),INDEX($B$86:$K$86,10))-AMFee-F104*DebtRate+CHOOSE(1+2*B104+C104,$L$33,$L$50,$L$67,$L$84)/IF(D104=1,ExitYld,StabNOI/AllIn)*(1-SaleCost)-F104</f>
        <v>21144804.9669573</v>
      </c>
      <c r="R104" s="27" t="n">
        <f aca="false">IRR(G104:Q104)</f>
        <v>0.0786412496416143</v>
      </c>
    </row>
    <row r="105" customFormat="false" ht="15" hidden="false" customHeight="false" outlineLevel="0" collapsed="false">
      <c r="A105" s="7" t="n">
        <v>15</v>
      </c>
      <c r="B105" s="7" t="n">
        <f aca="false">MOD(INT(($A105-1)/8),2)</f>
        <v>1</v>
      </c>
      <c r="C105" s="7" t="n">
        <f aca="false">MOD(INT(($A105-1)/4),2)</f>
        <v>1</v>
      </c>
      <c r="D105" s="7" t="n">
        <f aca="false">MOD(INT(($A105-1)/2),2)</f>
        <v>1</v>
      </c>
      <c r="E105" s="7" t="n">
        <f aca="false">MOD(INT(($A105-1)/1),2)</f>
        <v>0</v>
      </c>
      <c r="F105" s="21" t="n">
        <f aca="false">Price*Gearing*E105</f>
        <v>0</v>
      </c>
      <c r="G105" s="21" t="n">
        <f aca="false">-(TotCost+F105*ArrPct-F105)</f>
        <v>-28195200</v>
      </c>
      <c r="H105" s="21" t="n">
        <f aca="false">CHOOSE(1+2*B105+C105,INDEX($B$35:$K$35,1),INDEX($B$52:$K$52,1),INDEX($B$69:$K$69,1),INDEX($B$86:$K$86,1))-AMFee-F105*DebtRate</f>
        <v>-477327.292</v>
      </c>
      <c r="I105" s="21" t="n">
        <f aca="false">CHOOSE(1+2*B105+C105,INDEX($B$35:$K$35,2),INDEX($B$52:$K$52,2),INDEX($B$69:$K$69,2),INDEX($B$86:$K$86,2))-AMFee-F105*DebtRate</f>
        <v>864836.832</v>
      </c>
      <c r="J105" s="21" t="n">
        <f aca="false">CHOOSE(1+2*B105+C105,INDEX($B$35:$K$35,3),INDEX($B$52:$K$52,3),INDEX($B$69:$K$69,3),INDEX($B$86:$K$86,3))-AMFee-F105*DebtRate</f>
        <v>1095469.15772</v>
      </c>
      <c r="K105" s="21" t="n">
        <f aca="false">CHOOSE(1+2*B105+C105,INDEX($B$35:$K$35,4),INDEX($B$52:$K$52,4),INDEX($B$69:$K$69,4),INDEX($B$86:$K$86,4))-AMFee-F105*DebtRate</f>
        <v>1630672.6252437</v>
      </c>
      <c r="L105" s="21" t="n">
        <f aca="false">CHOOSE(1+2*B105+C105,INDEX($B$35:$K$35,5),INDEX($B$52:$K$52,5),INDEX($B$69:$K$69,5),INDEX($B$86:$K$86,5))-AMFee-F105*DebtRate</f>
        <v>1849861.6421073</v>
      </c>
      <c r="M105" s="21" t="n">
        <f aca="false">CHOOSE(1+2*B105+C105,INDEX($B$35:$K$35,6),INDEX($B$52:$K$52,6),INDEX($B$69:$K$69,6),INDEX($B$86:$K$86,6))-AMFee-F105*DebtRate</f>
        <v>1803948.43601717</v>
      </c>
      <c r="N105" s="21" t="n">
        <f aca="false">CHOOSE(1+2*B105+C105,INDEX($B$35:$K$35,7),INDEX($B$52:$K$52,7),INDEX($B$69:$K$69,7),INDEX($B$86:$K$86,7))-AMFee-F105*DebtRate</f>
        <v>2010570.38170992</v>
      </c>
      <c r="O105" s="21" t="n">
        <f aca="false">CHOOSE(1+2*B105+C105,INDEX($B$35:$K$35,8),INDEX($B$52:$K$52,8),INDEX($B$69:$K$69,8),INDEX($B$86:$K$86,8))-AMFee-F105*DebtRate</f>
        <v>1604771.08603718</v>
      </c>
      <c r="P105" s="21" t="n">
        <f aca="false">CHOOSE(1+2*B105+C105,INDEX($B$35:$K$35,9),INDEX($B$52:$K$52,9),INDEX($B$69:$K$69,9),INDEX($B$86:$K$86,9))-AMFee-F105*DebtRate</f>
        <v>2045147.56349119</v>
      </c>
      <c r="Q105" s="21" t="n">
        <f aca="false">CHOOSE(1+2*B105+C105,INDEX($B$35:$K$35,10),INDEX($B$52:$K$52,10),INDEX($B$69:$K$69,10),INDEX($B$86:$K$86,10))-AMFee-F105*DebtRate+CHOOSE(1+2*B105+C105,$L$33,$L$50,$L$67,$L$84)/IF(D105=1,ExitYld,StabNOI/AllIn)*(1-SaleCost)-F105</f>
        <v>38389976.289674</v>
      </c>
      <c r="R105" s="27" t="n">
        <f aca="false">IRR(G105:Q105)</f>
        <v>0.0682054638348639</v>
      </c>
    </row>
    <row r="106" customFormat="false" ht="15" hidden="false" customHeight="false" outlineLevel="0" collapsed="false">
      <c r="A106" s="7" t="n">
        <v>16</v>
      </c>
      <c r="B106" s="7" t="n">
        <f aca="false">MOD(INT(($A106-1)/8),2)</f>
        <v>1</v>
      </c>
      <c r="C106" s="7" t="n">
        <f aca="false">MOD(INT(($A106-1)/4),2)</f>
        <v>1</v>
      </c>
      <c r="D106" s="7" t="n">
        <f aca="false">MOD(INT(($A106-1)/2),2)</f>
        <v>1</v>
      </c>
      <c r="E106" s="7" t="n">
        <f aca="false">MOD(INT(($A106-1)/1),2)</f>
        <v>1</v>
      </c>
      <c r="F106" s="21" t="n">
        <f aca="false">Price*Gearing*E106</f>
        <v>14520000</v>
      </c>
      <c r="G106" s="21" t="n">
        <f aca="false">-(TotCost+F106*ArrPct-F106)</f>
        <v>-13834920</v>
      </c>
      <c r="H106" s="21" t="n">
        <f aca="false">CHOOSE(1+2*B106+C106,INDEX($B$35:$K$35,1),INDEX($B$52:$K$52,1),INDEX($B$69:$K$69,1),INDEX($B$86:$K$86,1))-AMFee-F106*DebtRate</f>
        <v>-1108947.292</v>
      </c>
      <c r="I106" s="21" t="n">
        <f aca="false">CHOOSE(1+2*B106+C106,INDEX($B$35:$K$35,2),INDEX($B$52:$K$52,2),INDEX($B$69:$K$69,2),INDEX($B$86:$K$86,2))-AMFee-F106*DebtRate</f>
        <v>233216.832</v>
      </c>
      <c r="J106" s="21" t="n">
        <f aca="false">CHOOSE(1+2*B106+C106,INDEX($B$35:$K$35,3),INDEX($B$52:$K$52,3),INDEX($B$69:$K$69,3),INDEX($B$86:$K$86,3))-AMFee-F106*DebtRate</f>
        <v>463849.15772</v>
      </c>
      <c r="K106" s="21" t="n">
        <f aca="false">CHOOSE(1+2*B106+C106,INDEX($B$35:$K$35,4),INDEX($B$52:$K$52,4),INDEX($B$69:$K$69,4),INDEX($B$86:$K$86,4))-AMFee-F106*DebtRate</f>
        <v>999052.6252437</v>
      </c>
      <c r="L106" s="21" t="n">
        <f aca="false">CHOOSE(1+2*B106+C106,INDEX($B$35:$K$35,5),INDEX($B$52:$K$52,5),INDEX($B$69:$K$69,5),INDEX($B$86:$K$86,5))-AMFee-F106*DebtRate</f>
        <v>1218241.6421073</v>
      </c>
      <c r="M106" s="21" t="n">
        <f aca="false">CHOOSE(1+2*B106+C106,INDEX($B$35:$K$35,6),INDEX($B$52:$K$52,6),INDEX($B$69:$K$69,6),INDEX($B$86:$K$86,6))-AMFee-F106*DebtRate</f>
        <v>1172328.43601717</v>
      </c>
      <c r="N106" s="21" t="n">
        <f aca="false">CHOOSE(1+2*B106+C106,INDEX($B$35:$K$35,7),INDEX($B$52:$K$52,7),INDEX($B$69:$K$69,7),INDEX($B$86:$K$86,7))-AMFee-F106*DebtRate</f>
        <v>1378950.38170992</v>
      </c>
      <c r="O106" s="21" t="n">
        <f aca="false">CHOOSE(1+2*B106+C106,INDEX($B$35:$K$35,8),INDEX($B$52:$K$52,8),INDEX($B$69:$K$69,8),INDEX($B$86:$K$86,8))-AMFee-F106*DebtRate</f>
        <v>973151.086037179</v>
      </c>
      <c r="P106" s="21" t="n">
        <f aca="false">CHOOSE(1+2*B106+C106,INDEX($B$35:$K$35,9),INDEX($B$52:$K$52,9),INDEX($B$69:$K$69,9),INDEX($B$86:$K$86,9))-AMFee-F106*DebtRate</f>
        <v>1413527.56349119</v>
      </c>
      <c r="Q106" s="21" t="n">
        <f aca="false">CHOOSE(1+2*B106+C106,INDEX($B$35:$K$35,10),INDEX($B$52:$K$52,10),INDEX($B$69:$K$69,10),INDEX($B$86:$K$86,10))-AMFee-F106*DebtRate+CHOOSE(1+2*B106+C106,$L$33,$L$50,$L$67,$L$84)/IF(D106=1,ExitYld,StabNOI/AllIn)*(1-SaleCost)-F106</f>
        <v>23238356.289674</v>
      </c>
      <c r="R106" s="27" t="n">
        <f aca="false">IRR(G106:Q106)</f>
        <v>0.0866467604777336</v>
      </c>
    </row>
    <row r="108" customFormat="false" ht="15" hidden="false" customHeight="false" outlineLevel="0" collapsed="false">
      <c r="A108" s="7" t="s">
        <v>170</v>
      </c>
      <c r="B108" s="27" t="n">
        <f aca="false">R105</f>
        <v>0.0682054638348639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11" min="2" style="0" width="15"/>
    <col collapsed="false" customWidth="true" hidden="false" outlineLevel="0" max="12" min="12" style="0" width="46"/>
    <col collapsed="false" customWidth="true" hidden="false" outlineLevel="0" max="16" min="13" style="0" width="11"/>
  </cols>
  <sheetData>
    <row r="1" customFormat="false" ht="24" hidden="false" customHeight="true" outlineLevel="0" collapsed="false">
      <c r="A1" s="1" t="s">
        <v>171</v>
      </c>
    </row>
    <row r="2" customFormat="false" ht="15" hidden="false" customHeight="false" outlineLevel="0" collapsed="false">
      <c r="A2" s="2" t="s">
        <v>172</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18" t="s">
        <v>173</v>
      </c>
    </row>
    <row r="7" customFormat="false" ht="15" hidden="false" customHeight="false" outlineLevel="0" collapsed="false">
      <c r="A7" s="11" t="s">
        <v>174</v>
      </c>
      <c r="C7" s="37" t="n">
        <f aca="false">INDEX(RunIRR,1)</f>
        <v>0.0346606839747937</v>
      </c>
      <c r="L7" s="7" t="s">
        <v>175</v>
      </c>
    </row>
    <row r="8" customFormat="false" ht="15" hidden="false" customHeight="false" outlineLevel="0" collapsed="false">
      <c r="A8" s="11" t="s">
        <v>176</v>
      </c>
      <c r="C8" s="27" t="n">
        <f aca="false">'Cash flows'!B33</f>
        <v>0.0866467604777335</v>
      </c>
      <c r="L8" s="7" t="s">
        <v>177</v>
      </c>
    </row>
    <row r="9" customFormat="false" ht="15" hidden="false" customHeight="false" outlineLevel="0" collapsed="false">
      <c r="A9" s="11" t="s">
        <v>178</v>
      </c>
      <c r="C9" s="15" t="n">
        <f aca="false">(C8-C7)*100</f>
        <v>5.19860765029398</v>
      </c>
    </row>
    <row r="11" customFormat="false" ht="15" hidden="false" customHeight="false" outlineLevel="0" collapsed="false">
      <c r="A11" s="4" t="s">
        <v>179</v>
      </c>
      <c r="B11" s="6"/>
      <c r="C11" s="6"/>
      <c r="D11" s="6"/>
      <c r="E11" s="6"/>
      <c r="F11" s="6"/>
      <c r="G11" s="6"/>
      <c r="H11" s="6"/>
      <c r="I11" s="6"/>
      <c r="J11" s="6"/>
      <c r="K11" s="6"/>
    </row>
    <row r="13" customFormat="false" ht="30" hidden="false" customHeight="true" outlineLevel="0" collapsed="false">
      <c r="A13" s="16" t="s">
        <v>180</v>
      </c>
      <c r="B13" s="17" t="s">
        <v>181</v>
      </c>
      <c r="C13" s="17" t="s">
        <v>182</v>
      </c>
      <c r="D13" s="17" t="s">
        <v>183</v>
      </c>
      <c r="E13" s="17" t="s">
        <v>184</v>
      </c>
      <c r="F13" s="17" t="s">
        <v>185</v>
      </c>
      <c r="G13" s="17" t="s">
        <v>186</v>
      </c>
      <c r="H13" s="17" t="s">
        <v>114</v>
      </c>
      <c r="I13" s="17" t="s">
        <v>156</v>
      </c>
      <c r="J13" s="17" t="s">
        <v>187</v>
      </c>
      <c r="K13" s="17" t="s">
        <v>188</v>
      </c>
      <c r="M13" s="32" t="s">
        <v>189</v>
      </c>
      <c r="N13" s="33" t="s">
        <v>190</v>
      </c>
      <c r="O13" s="33" t="s">
        <v>191</v>
      </c>
      <c r="P13" s="33" t="s">
        <v>192</v>
      </c>
    </row>
    <row r="14" customFormat="false" ht="15" hidden="false" customHeight="false" outlineLevel="0" collapsed="false">
      <c r="A14" s="38" t="n">
        <v>1</v>
      </c>
      <c r="B14" s="39" t="s">
        <v>185</v>
      </c>
      <c r="C14" s="39" t="s">
        <v>186</v>
      </c>
      <c r="D14" s="39" t="s">
        <v>114</v>
      </c>
      <c r="E14" s="39" t="s">
        <v>156</v>
      </c>
      <c r="F14" s="40" t="n">
        <f aca="false">(INDEX(RunIRR,(1+8*($M14&lt;$M14)+4*($N14&lt;$M14)+2*($O14&lt;$M14)+($P14&lt;$M14))+8)-INDEX(RunIRR,(1+8*($M14&lt;$M14)+4*($N14&lt;$M14)+2*($O14&lt;$M14)+($P14&lt;$M14))))*100</f>
        <v>1.11318618707676</v>
      </c>
      <c r="G14" s="40" t="n">
        <f aca="false">(INDEX(RunIRR,(1+8*($M14&lt;$N14)+4*($N14&lt;$N14)+2*($O14&lt;$N14)+($P14&lt;$N14))+4)-INDEX(RunIRR,(1+8*($M14&lt;$N14)+4*($N14&lt;$N14)+2*($O14&lt;$N14)+($P14&lt;$N14))))*100</f>
        <v>1.76451689457051</v>
      </c>
      <c r="H14" s="40" t="n">
        <f aca="false">(INDEX(RunIRR,(1+8*($M14&lt;$O14)+4*($N14&lt;$O14)+2*($O14&lt;$O14)+($P14&lt;$O14))+2)-INDEX(RunIRR,(1+8*($M14&lt;$O14)+4*($N14&lt;$O14)+2*($O14&lt;$O14)+($P14&lt;$O14))))*100</f>
        <v>0.476774904359754</v>
      </c>
      <c r="I14" s="40" t="n">
        <f aca="false">(INDEX(RunIRR,(1+8*($M14&lt;$P14)+4*($N14&lt;$P14)+2*($O14&lt;$P14)+($P14&lt;$P14))+1)-INDEX(RunIRR,(1+8*($M14&lt;$P14)+4*($N14&lt;$P14)+2*($O14&lt;$P14)+($P14&lt;$P14))))*100</f>
        <v>1.84412966428697</v>
      </c>
      <c r="J14" s="41" t="n">
        <f aca="false">SUM(F14:I14)</f>
        <v>5.19860765029399</v>
      </c>
      <c r="K14" s="41" t="n">
        <f aca="false">Baseline*100+J14</f>
        <v>8.66467604777336</v>
      </c>
      <c r="M14" s="7" t="n">
        <f aca="false">MATCH("Rental growth",$B14:$E14,0)</f>
        <v>1</v>
      </c>
      <c r="N14" s="7" t="n">
        <f aca="false">MATCH("Business plan",$B14:$E14,0)</f>
        <v>2</v>
      </c>
      <c r="O14" s="7" t="n">
        <f aca="false">MATCH("Exit yield",$B14:$E14,0)</f>
        <v>3</v>
      </c>
      <c r="P14" s="7" t="n">
        <f aca="false">MATCH("Leverage",$B14:$E14,0)</f>
        <v>4</v>
      </c>
    </row>
    <row r="15" customFormat="false" ht="15" hidden="false" customHeight="false" outlineLevel="0" collapsed="false">
      <c r="A15" s="38" t="n">
        <v>2</v>
      </c>
      <c r="B15" s="39" t="s">
        <v>185</v>
      </c>
      <c r="C15" s="39" t="s">
        <v>186</v>
      </c>
      <c r="D15" s="39" t="s">
        <v>156</v>
      </c>
      <c r="E15" s="39" t="s">
        <v>114</v>
      </c>
      <c r="F15" s="40" t="n">
        <f aca="false">(INDEX(RunIRR,(1+8*($M15&lt;$M15)+4*($N15&lt;$M15)+2*($O15&lt;$M15)+($P15&lt;$M15))+8)-INDEX(RunIRR,(1+8*($M15&lt;$M15)+4*($N15&lt;$M15)+2*($O15&lt;$M15)+($P15&lt;$M15))))*100</f>
        <v>1.11318618707676</v>
      </c>
      <c r="G15" s="40" t="n">
        <f aca="false">(INDEX(RunIRR,(1+8*($M15&lt;$N15)+4*($N15&lt;$N15)+2*($O15&lt;$N15)+($P15&lt;$N15))+4)-INDEX(RunIRR,(1+8*($M15&lt;$N15)+4*($N15&lt;$N15)+2*($O15&lt;$N15)+($P15&lt;$N15))))*100</f>
        <v>1.76451689457051</v>
      </c>
      <c r="H15" s="40" t="n">
        <f aca="false">(INDEX(RunIRR,(1+8*($M15&lt;$O15)+4*($N15&lt;$O15)+2*($O15&lt;$O15)+($P15&lt;$O15))+2)-INDEX(RunIRR,(1+8*($M15&lt;$O15)+4*($N15&lt;$O15)+2*($O15&lt;$O15)+($P15&lt;$O15))))*100</f>
        <v>0.800551083611933</v>
      </c>
      <c r="I15" s="40" t="n">
        <f aca="false">(INDEX(RunIRR,(1+8*($M15&lt;$P15)+4*($N15&lt;$P15)+2*($O15&lt;$P15)+($P15&lt;$P15))+1)-INDEX(RunIRR,(1+8*($M15&lt;$P15)+4*($N15&lt;$P15)+2*($O15&lt;$P15)+($P15&lt;$P15))))*100</f>
        <v>1.52035348503479</v>
      </c>
      <c r="J15" s="41" t="n">
        <f aca="false">SUM(F15:I15)</f>
        <v>5.19860765029399</v>
      </c>
      <c r="K15" s="41" t="n">
        <f aca="false">Baseline*100+J15</f>
        <v>8.66467604777336</v>
      </c>
      <c r="M15" s="7" t="n">
        <f aca="false">MATCH("Rental growth",$B15:$E15,0)</f>
        <v>1</v>
      </c>
      <c r="N15" s="7" t="n">
        <f aca="false">MATCH("Business plan",$B15:$E15,0)</f>
        <v>2</v>
      </c>
      <c r="O15" s="7" t="n">
        <f aca="false">MATCH("Exit yield",$B15:$E15,0)</f>
        <v>4</v>
      </c>
      <c r="P15" s="7" t="n">
        <f aca="false">MATCH("Leverage",$B15:$E15,0)</f>
        <v>3</v>
      </c>
    </row>
    <row r="16" customFormat="false" ht="15" hidden="false" customHeight="false" outlineLevel="0" collapsed="false">
      <c r="A16" s="38" t="n">
        <v>3</v>
      </c>
      <c r="B16" s="39" t="s">
        <v>185</v>
      </c>
      <c r="C16" s="39" t="s">
        <v>114</v>
      </c>
      <c r="D16" s="39" t="s">
        <v>186</v>
      </c>
      <c r="E16" s="39" t="s">
        <v>156</v>
      </c>
      <c r="F16" s="40" t="n">
        <f aca="false">(INDEX(RunIRR,(1+8*($M16&lt;$M16)+4*($N16&lt;$M16)+2*($O16&lt;$M16)+($P16&lt;$M16))+8)-INDEX(RunIRR,(1+8*($M16&lt;$M16)+4*($N16&lt;$M16)+2*($O16&lt;$M16)+($P16&lt;$M16))))*100</f>
        <v>1.11318618707676</v>
      </c>
      <c r="G16" s="40" t="n">
        <f aca="false">(INDEX(RunIRR,(1+8*($M16&lt;$N16)+4*($N16&lt;$N16)+2*($O16&lt;$N16)+($P16&lt;$N16))+4)-INDEX(RunIRR,(1+8*($M16&lt;$N16)+4*($N16&lt;$N16)+2*($O16&lt;$N16)+($P16&lt;$N16))))*100</f>
        <v>1.76644506566628</v>
      </c>
      <c r="H16" s="40" t="n">
        <f aca="false">(INDEX(RunIRR,(1+8*($M16&lt;$O16)+4*($N16&lt;$O16)+2*($O16&lt;$O16)+($P16&lt;$O16))+2)-INDEX(RunIRR,(1+8*($M16&lt;$O16)+4*($N16&lt;$O16)+2*($O16&lt;$O16)+($P16&lt;$O16))))*100</f>
        <v>0.474846733263988</v>
      </c>
      <c r="I16" s="40" t="n">
        <f aca="false">(INDEX(RunIRR,(1+8*($M16&lt;$P16)+4*($N16&lt;$P16)+2*($O16&lt;$P16)+($P16&lt;$P16))+1)-INDEX(RunIRR,(1+8*($M16&lt;$P16)+4*($N16&lt;$P16)+2*($O16&lt;$P16)+($P16&lt;$P16))))*100</f>
        <v>1.84412966428697</v>
      </c>
      <c r="J16" s="41" t="n">
        <f aca="false">SUM(F16:I16)</f>
        <v>5.19860765029399</v>
      </c>
      <c r="K16" s="41" t="n">
        <f aca="false">Baseline*100+J16</f>
        <v>8.66467604777336</v>
      </c>
      <c r="M16" s="7" t="n">
        <f aca="false">MATCH("Rental growth",$B16:$E16,0)</f>
        <v>1</v>
      </c>
      <c r="N16" s="7" t="n">
        <f aca="false">MATCH("Business plan",$B16:$E16,0)</f>
        <v>3</v>
      </c>
      <c r="O16" s="7" t="n">
        <f aca="false">MATCH("Exit yield",$B16:$E16,0)</f>
        <v>2</v>
      </c>
      <c r="P16" s="7" t="n">
        <f aca="false">MATCH("Leverage",$B16:$E16,0)</f>
        <v>4</v>
      </c>
    </row>
    <row r="17" customFormat="false" ht="15" hidden="false" customHeight="false" outlineLevel="0" collapsed="false">
      <c r="A17" s="38" t="n">
        <v>4</v>
      </c>
      <c r="B17" s="39" t="s">
        <v>185</v>
      </c>
      <c r="C17" s="39" t="s">
        <v>114</v>
      </c>
      <c r="D17" s="39" t="s">
        <v>156</v>
      </c>
      <c r="E17" s="39" t="s">
        <v>186</v>
      </c>
      <c r="F17" s="40" t="n">
        <f aca="false">(INDEX(RunIRR,(1+8*($M17&lt;$M17)+4*($N17&lt;$M17)+2*($O17&lt;$M17)+($P17&lt;$M17))+8)-INDEX(RunIRR,(1+8*($M17&lt;$M17)+4*($N17&lt;$M17)+2*($O17&lt;$M17)+($P17&lt;$M17))))*100</f>
        <v>1.11318618707676</v>
      </c>
      <c r="G17" s="40" t="n">
        <f aca="false">(INDEX(RunIRR,(1+8*($M17&lt;$N17)+4*($N17&lt;$N17)+2*($O17&lt;$N17)+($P17&lt;$N17))+4)-INDEX(RunIRR,(1+8*($M17&lt;$N17)+4*($N17&lt;$N17)+2*($O17&lt;$N17)+($P17&lt;$N17))))*100</f>
        <v>3.04260313936912</v>
      </c>
      <c r="H17" s="40" t="n">
        <f aca="false">(INDEX(RunIRR,(1+8*($M17&lt;$O17)+4*($N17&lt;$O17)+2*($O17&lt;$O17)+($P17&lt;$O17))+2)-INDEX(RunIRR,(1+8*($M17&lt;$O17)+4*($N17&lt;$O17)+2*($O17&lt;$O17)+($P17&lt;$O17))))*100</f>
        <v>0.474846733263988</v>
      </c>
      <c r="I17" s="40" t="n">
        <f aca="false">(INDEX(RunIRR,(1+8*($M17&lt;$P17)+4*($N17&lt;$P17)+2*($O17&lt;$P17)+($P17&lt;$P17))+1)-INDEX(RunIRR,(1+8*($M17&lt;$P17)+4*($N17&lt;$P17)+2*($O17&lt;$P17)+($P17&lt;$P17))))*100</f>
        <v>0.567971590584133</v>
      </c>
      <c r="J17" s="41" t="n">
        <f aca="false">SUM(F17:I17)</f>
        <v>5.19860765029399</v>
      </c>
      <c r="K17" s="41" t="n">
        <f aca="false">Baseline*100+J17</f>
        <v>8.66467604777336</v>
      </c>
      <c r="M17" s="7" t="n">
        <f aca="false">MATCH("Rental growth",$B17:$E17,0)</f>
        <v>1</v>
      </c>
      <c r="N17" s="7" t="n">
        <f aca="false">MATCH("Business plan",$B17:$E17,0)</f>
        <v>4</v>
      </c>
      <c r="O17" s="7" t="n">
        <f aca="false">MATCH("Exit yield",$B17:$E17,0)</f>
        <v>2</v>
      </c>
      <c r="P17" s="7" t="n">
        <f aca="false">MATCH("Leverage",$B17:$E17,0)</f>
        <v>3</v>
      </c>
    </row>
    <row r="18" customFormat="false" ht="15" hidden="false" customHeight="false" outlineLevel="0" collapsed="false">
      <c r="A18" s="38" t="n">
        <v>5</v>
      </c>
      <c r="B18" s="39" t="s">
        <v>185</v>
      </c>
      <c r="C18" s="39" t="s">
        <v>156</v>
      </c>
      <c r="D18" s="39" t="s">
        <v>186</v>
      </c>
      <c r="E18" s="39" t="s">
        <v>114</v>
      </c>
      <c r="F18" s="40" t="n">
        <f aca="false">(INDEX(RunIRR,(1+8*($M18&lt;$M18)+4*($N18&lt;$M18)+2*($O18&lt;$M18)+($P18&lt;$M18))+8)-INDEX(RunIRR,(1+8*($M18&lt;$M18)+4*($N18&lt;$M18)+2*($O18&lt;$M18)+($P18&lt;$M18))))*100</f>
        <v>1.11318618707676</v>
      </c>
      <c r="G18" s="40" t="n">
        <f aca="false">(INDEX(RunIRR,(1+8*($M18&lt;$N18)+4*($N18&lt;$N18)+2*($O18&lt;$N18)+($P18&lt;$N18))+4)-INDEX(RunIRR,(1+8*($M18&lt;$N18)+4*($N18&lt;$N18)+2*($O18&lt;$N18)+($P18&lt;$N18))))*100</f>
        <v>3.18999796588869</v>
      </c>
      <c r="H18" s="40" t="n">
        <f aca="false">(INDEX(RunIRR,(1+8*($M18&lt;$O18)+4*($N18&lt;$O18)+2*($O18&lt;$O18)+($P18&lt;$O18))+2)-INDEX(RunIRR,(1+8*($M18&lt;$O18)+4*($N18&lt;$O18)+2*($O18&lt;$O18)+($P18&lt;$O18))))*100</f>
        <v>0.800551083611933</v>
      </c>
      <c r="I18" s="40" t="n">
        <f aca="false">(INDEX(RunIRR,(1+8*($M18&lt;$P18)+4*($N18&lt;$P18)+2*($O18&lt;$P18)+($P18&lt;$P18))+1)-INDEX(RunIRR,(1+8*($M18&lt;$P18)+4*($N18&lt;$P18)+2*($O18&lt;$P18)+($P18&lt;$P18))))*100</f>
        <v>0.0948724137166117</v>
      </c>
      <c r="J18" s="41" t="n">
        <f aca="false">SUM(F18:I18)</f>
        <v>5.19860765029399</v>
      </c>
      <c r="K18" s="41" t="n">
        <f aca="false">Baseline*100+J18</f>
        <v>8.66467604777336</v>
      </c>
      <c r="M18" s="7" t="n">
        <f aca="false">MATCH("Rental growth",$B18:$E18,0)</f>
        <v>1</v>
      </c>
      <c r="N18" s="7" t="n">
        <f aca="false">MATCH("Business plan",$B18:$E18,0)</f>
        <v>3</v>
      </c>
      <c r="O18" s="7" t="n">
        <f aca="false">MATCH("Exit yield",$B18:$E18,0)</f>
        <v>4</v>
      </c>
      <c r="P18" s="7" t="n">
        <f aca="false">MATCH("Leverage",$B18:$E18,0)</f>
        <v>2</v>
      </c>
    </row>
    <row r="19" customFormat="false" ht="15" hidden="false" customHeight="false" outlineLevel="0" collapsed="false">
      <c r="A19" s="38" t="n">
        <v>6</v>
      </c>
      <c r="B19" s="39" t="s">
        <v>185</v>
      </c>
      <c r="C19" s="39" t="s">
        <v>156</v>
      </c>
      <c r="D19" s="39" t="s">
        <v>114</v>
      </c>
      <c r="E19" s="39" t="s">
        <v>186</v>
      </c>
      <c r="F19" s="40" t="n">
        <f aca="false">(INDEX(RunIRR,(1+8*($M19&lt;$M19)+4*($N19&lt;$M19)+2*($O19&lt;$M19)+($P19&lt;$M19))+8)-INDEX(RunIRR,(1+8*($M19&lt;$M19)+4*($N19&lt;$M19)+2*($O19&lt;$M19)+($P19&lt;$M19))))*100</f>
        <v>1.11318618707676</v>
      </c>
      <c r="G19" s="40" t="n">
        <f aca="false">(INDEX(RunIRR,(1+8*($M19&lt;$N19)+4*($N19&lt;$N19)+2*($O19&lt;$N19)+($P19&lt;$N19))+4)-INDEX(RunIRR,(1+8*($M19&lt;$N19)+4*($N19&lt;$N19)+2*($O19&lt;$N19)+($P19&lt;$N19))))*100</f>
        <v>3.04260313936912</v>
      </c>
      <c r="H19" s="40" t="n">
        <f aca="false">(INDEX(RunIRR,(1+8*($M19&lt;$O19)+4*($N19&lt;$O19)+2*($O19&lt;$O19)+($P19&lt;$O19))+2)-INDEX(RunIRR,(1+8*($M19&lt;$O19)+4*($N19&lt;$O19)+2*($O19&lt;$O19)+($P19&lt;$O19))))*100</f>
        <v>0.94794591013151</v>
      </c>
      <c r="I19" s="40" t="n">
        <f aca="false">(INDEX(RunIRR,(1+8*($M19&lt;$P19)+4*($N19&lt;$P19)+2*($O19&lt;$P19)+($P19&lt;$P19))+1)-INDEX(RunIRR,(1+8*($M19&lt;$P19)+4*($N19&lt;$P19)+2*($O19&lt;$P19)+($P19&lt;$P19))))*100</f>
        <v>0.0948724137166117</v>
      </c>
      <c r="J19" s="41" t="n">
        <f aca="false">SUM(F19:I19)</f>
        <v>5.19860765029399</v>
      </c>
      <c r="K19" s="41" t="n">
        <f aca="false">Baseline*100+J19</f>
        <v>8.66467604777336</v>
      </c>
      <c r="M19" s="7" t="n">
        <f aca="false">MATCH("Rental growth",$B19:$E19,0)</f>
        <v>1</v>
      </c>
      <c r="N19" s="7" t="n">
        <f aca="false">MATCH("Business plan",$B19:$E19,0)</f>
        <v>4</v>
      </c>
      <c r="O19" s="7" t="n">
        <f aca="false">MATCH("Exit yield",$B19:$E19,0)</f>
        <v>3</v>
      </c>
      <c r="P19" s="7" t="n">
        <f aca="false">MATCH("Leverage",$B19:$E19,0)</f>
        <v>2</v>
      </c>
    </row>
    <row r="20" customFormat="false" ht="15" hidden="false" customHeight="false" outlineLevel="0" collapsed="false">
      <c r="A20" s="38" t="n">
        <v>7</v>
      </c>
      <c r="B20" s="39" t="s">
        <v>186</v>
      </c>
      <c r="C20" s="39" t="s">
        <v>185</v>
      </c>
      <c r="D20" s="39" t="s">
        <v>114</v>
      </c>
      <c r="E20" s="39" t="s">
        <v>156</v>
      </c>
      <c r="F20" s="40" t="n">
        <f aca="false">(INDEX(RunIRR,(1+8*($M20&lt;$M20)+4*($N20&lt;$M20)+2*($O20&lt;$M20)+($P20&lt;$M20))+8)-INDEX(RunIRR,(1+8*($M20&lt;$M20)+4*($N20&lt;$M20)+2*($O20&lt;$M20)+($P20&lt;$M20))))*100</f>
        <v>0.961642734562779</v>
      </c>
      <c r="G20" s="40" t="n">
        <f aca="false">(INDEX(RunIRR,(1+8*($M20&lt;$N20)+4*($N20&lt;$N20)+2*($O20&lt;$N20)+($P20&lt;$N20))+4)-INDEX(RunIRR,(1+8*($M20&lt;$N20)+4*($N20&lt;$N20)+2*($O20&lt;$N20)+($P20&lt;$N20))))*100</f>
        <v>1.91606034708449</v>
      </c>
      <c r="H20" s="40" t="n">
        <f aca="false">(INDEX(RunIRR,(1+8*($M20&lt;$O20)+4*($N20&lt;$O20)+2*($O20&lt;$O20)+($P20&lt;$O20))+2)-INDEX(RunIRR,(1+8*($M20&lt;$O20)+4*($N20&lt;$O20)+2*($O20&lt;$O20)+($P20&lt;$O20))))*100</f>
        <v>0.476774904359754</v>
      </c>
      <c r="I20" s="40" t="n">
        <f aca="false">(INDEX(RunIRR,(1+8*($M20&lt;$P20)+4*($N20&lt;$P20)+2*($O20&lt;$P20)+($P20&lt;$P20))+1)-INDEX(RunIRR,(1+8*($M20&lt;$P20)+4*($N20&lt;$P20)+2*($O20&lt;$P20)+($P20&lt;$P20))))*100</f>
        <v>1.84412966428697</v>
      </c>
      <c r="J20" s="41" t="n">
        <f aca="false">SUM(F20:I20)</f>
        <v>5.19860765029399</v>
      </c>
      <c r="K20" s="41" t="n">
        <f aca="false">Baseline*100+J20</f>
        <v>8.66467604777336</v>
      </c>
      <c r="M20" s="7" t="n">
        <f aca="false">MATCH("Rental growth",$B20:$E20,0)</f>
        <v>2</v>
      </c>
      <c r="N20" s="7" t="n">
        <f aca="false">MATCH("Business plan",$B20:$E20,0)</f>
        <v>1</v>
      </c>
      <c r="O20" s="7" t="n">
        <f aca="false">MATCH("Exit yield",$B20:$E20,0)</f>
        <v>3</v>
      </c>
      <c r="P20" s="7" t="n">
        <f aca="false">MATCH("Leverage",$B20:$E20,0)</f>
        <v>4</v>
      </c>
    </row>
    <row r="21" customFormat="false" ht="15" hidden="false" customHeight="false" outlineLevel="0" collapsed="false">
      <c r="A21" s="38" t="n">
        <v>8</v>
      </c>
      <c r="B21" s="39" t="s">
        <v>186</v>
      </c>
      <c r="C21" s="39" t="s">
        <v>185</v>
      </c>
      <c r="D21" s="39" t="s">
        <v>156</v>
      </c>
      <c r="E21" s="39" t="s">
        <v>114</v>
      </c>
      <c r="F21" s="40" t="n">
        <f aca="false">(INDEX(RunIRR,(1+8*($M21&lt;$M21)+4*($N21&lt;$M21)+2*($O21&lt;$M21)+($P21&lt;$M21))+8)-INDEX(RunIRR,(1+8*($M21&lt;$M21)+4*($N21&lt;$M21)+2*($O21&lt;$M21)+($P21&lt;$M21))))*100</f>
        <v>0.961642734562779</v>
      </c>
      <c r="G21" s="40" t="n">
        <f aca="false">(INDEX(RunIRR,(1+8*($M21&lt;$N21)+4*($N21&lt;$N21)+2*($O21&lt;$N21)+($P21&lt;$N21))+4)-INDEX(RunIRR,(1+8*($M21&lt;$N21)+4*($N21&lt;$N21)+2*($O21&lt;$N21)+($P21&lt;$N21))))*100</f>
        <v>1.91606034708449</v>
      </c>
      <c r="H21" s="40" t="n">
        <f aca="false">(INDEX(RunIRR,(1+8*($M21&lt;$O21)+4*($N21&lt;$O21)+2*($O21&lt;$O21)+($P21&lt;$O21))+2)-INDEX(RunIRR,(1+8*($M21&lt;$O21)+4*($N21&lt;$O21)+2*($O21&lt;$O21)+($P21&lt;$O21))))*100</f>
        <v>0.800551083611933</v>
      </c>
      <c r="I21" s="40" t="n">
        <f aca="false">(INDEX(RunIRR,(1+8*($M21&lt;$P21)+4*($N21&lt;$P21)+2*($O21&lt;$P21)+($P21&lt;$P21))+1)-INDEX(RunIRR,(1+8*($M21&lt;$P21)+4*($N21&lt;$P21)+2*($O21&lt;$P21)+($P21&lt;$P21))))*100</f>
        <v>1.52035348503479</v>
      </c>
      <c r="J21" s="41" t="n">
        <f aca="false">SUM(F21:I21)</f>
        <v>5.19860765029399</v>
      </c>
      <c r="K21" s="41" t="n">
        <f aca="false">Baseline*100+J21</f>
        <v>8.66467604777336</v>
      </c>
      <c r="M21" s="7" t="n">
        <f aca="false">MATCH("Rental growth",$B21:$E21,0)</f>
        <v>2</v>
      </c>
      <c r="N21" s="7" t="n">
        <f aca="false">MATCH("Business plan",$B21:$E21,0)</f>
        <v>1</v>
      </c>
      <c r="O21" s="7" t="n">
        <f aca="false">MATCH("Exit yield",$B21:$E21,0)</f>
        <v>4</v>
      </c>
      <c r="P21" s="7" t="n">
        <f aca="false">MATCH("Leverage",$B21:$E21,0)</f>
        <v>3</v>
      </c>
    </row>
    <row r="22" customFormat="false" ht="15" hidden="false" customHeight="false" outlineLevel="0" collapsed="false">
      <c r="A22" s="38" t="n">
        <v>9</v>
      </c>
      <c r="B22" s="39" t="s">
        <v>186</v>
      </c>
      <c r="C22" s="39" t="s">
        <v>114</v>
      </c>
      <c r="D22" s="39" t="s">
        <v>185</v>
      </c>
      <c r="E22" s="39" t="s">
        <v>156</v>
      </c>
      <c r="F22" s="40" t="n">
        <f aca="false">(INDEX(RunIRR,(1+8*($M22&lt;$M22)+4*($N22&lt;$M22)+2*($O22&lt;$M22)+($P22&lt;$M22))+8)-INDEX(RunIRR,(1+8*($M22&lt;$M22)+4*($N22&lt;$M22)+2*($O22&lt;$M22)+($P22&lt;$M22))))*100</f>
        <v>0.968642709019264</v>
      </c>
      <c r="G22" s="40" t="n">
        <f aca="false">(INDEX(RunIRR,(1+8*($M22&lt;$N22)+4*($N22&lt;$N22)+2*($O22&lt;$N22)+($P22&lt;$N22))+4)-INDEX(RunIRR,(1+8*($M22&lt;$N22)+4*($N22&lt;$N22)+2*($O22&lt;$N22)+($P22&lt;$N22))))*100</f>
        <v>1.91606034708449</v>
      </c>
      <c r="H22" s="40" t="n">
        <f aca="false">(INDEX(RunIRR,(1+8*($M22&lt;$O22)+4*($N22&lt;$O22)+2*($O22&lt;$O22)+($P22&lt;$O22))+2)-INDEX(RunIRR,(1+8*($M22&lt;$O22)+4*($N22&lt;$O22)+2*($O22&lt;$O22)+($P22&lt;$O22))))*100</f>
        <v>0.46977492990327</v>
      </c>
      <c r="I22" s="40" t="n">
        <f aca="false">(INDEX(RunIRR,(1+8*($M22&lt;$P22)+4*($N22&lt;$P22)+2*($O22&lt;$P22)+($P22&lt;$P22))+1)-INDEX(RunIRR,(1+8*($M22&lt;$P22)+4*($N22&lt;$P22)+2*($O22&lt;$P22)+($P22&lt;$P22))))*100</f>
        <v>1.84412966428697</v>
      </c>
      <c r="J22" s="41" t="n">
        <f aca="false">SUM(F22:I22)</f>
        <v>5.19860765029399</v>
      </c>
      <c r="K22" s="41" t="n">
        <f aca="false">Baseline*100+J22</f>
        <v>8.66467604777336</v>
      </c>
      <c r="M22" s="7" t="n">
        <f aca="false">MATCH("Rental growth",$B22:$E22,0)</f>
        <v>3</v>
      </c>
      <c r="N22" s="7" t="n">
        <f aca="false">MATCH("Business plan",$B22:$E22,0)</f>
        <v>1</v>
      </c>
      <c r="O22" s="7" t="n">
        <f aca="false">MATCH("Exit yield",$B22:$E22,0)</f>
        <v>2</v>
      </c>
      <c r="P22" s="7" t="n">
        <f aca="false">MATCH("Leverage",$B22:$E22,0)</f>
        <v>4</v>
      </c>
    </row>
    <row r="23" customFormat="false" ht="15" hidden="false" customHeight="false" outlineLevel="0" collapsed="false">
      <c r="A23" s="38" t="n">
        <v>10</v>
      </c>
      <c r="B23" s="39" t="s">
        <v>186</v>
      </c>
      <c r="C23" s="39" t="s">
        <v>114</v>
      </c>
      <c r="D23" s="39" t="s">
        <v>156</v>
      </c>
      <c r="E23" s="39" t="s">
        <v>185</v>
      </c>
      <c r="F23" s="40" t="n">
        <f aca="false">(INDEX(RunIRR,(1+8*($M23&lt;$M23)+4*($N23&lt;$M23)+2*($O23&lt;$M23)+($P23&lt;$M23))+8)-INDEX(RunIRR,(1+8*($M23&lt;$M23)+4*($N23&lt;$M23)+2*($O23&lt;$M23)+($P23&lt;$M23))))*100</f>
        <v>1.65909579534075</v>
      </c>
      <c r="G23" s="40" t="n">
        <f aca="false">(INDEX(RunIRR,(1+8*($M23&lt;$N23)+4*($N23&lt;$N23)+2*($O23&lt;$N23)+($P23&lt;$N23))+4)-INDEX(RunIRR,(1+8*($M23&lt;$N23)+4*($N23&lt;$N23)+2*($O23&lt;$N23)+($P23&lt;$N23))))*100</f>
        <v>1.91606034708449</v>
      </c>
      <c r="H23" s="40" t="n">
        <f aca="false">(INDEX(RunIRR,(1+8*($M23&lt;$O23)+4*($N23&lt;$O23)+2*($O23&lt;$O23)+($P23&lt;$O23))+2)-INDEX(RunIRR,(1+8*($M23&lt;$O23)+4*($N23&lt;$O23)+2*($O23&lt;$O23)+($P23&lt;$O23))))*100</f>
        <v>0.46977492990327</v>
      </c>
      <c r="I23" s="40" t="n">
        <f aca="false">(INDEX(RunIRR,(1+8*($M23&lt;$P23)+4*($N23&lt;$P23)+2*($O23&lt;$P23)+($P23&lt;$P23))+1)-INDEX(RunIRR,(1+8*($M23&lt;$P23)+4*($N23&lt;$P23)+2*($O23&lt;$P23)+($P23&lt;$P23))))*100</f>
        <v>1.15367657796548</v>
      </c>
      <c r="J23" s="41" t="n">
        <f aca="false">SUM(F23:I23)</f>
        <v>5.19860765029399</v>
      </c>
      <c r="K23" s="41" t="n">
        <f aca="false">Baseline*100+J23</f>
        <v>8.66467604777336</v>
      </c>
      <c r="M23" s="7" t="n">
        <f aca="false">MATCH("Rental growth",$B23:$E23,0)</f>
        <v>4</v>
      </c>
      <c r="N23" s="7" t="n">
        <f aca="false">MATCH("Business plan",$B23:$E23,0)</f>
        <v>1</v>
      </c>
      <c r="O23" s="7" t="n">
        <f aca="false">MATCH("Exit yield",$B23:$E23,0)</f>
        <v>2</v>
      </c>
      <c r="P23" s="7" t="n">
        <f aca="false">MATCH("Leverage",$B23:$E23,0)</f>
        <v>3</v>
      </c>
    </row>
    <row r="24" customFormat="false" ht="15" hidden="false" customHeight="false" outlineLevel="0" collapsed="false">
      <c r="A24" s="38" t="n">
        <v>11</v>
      </c>
      <c r="B24" s="39" t="s">
        <v>186</v>
      </c>
      <c r="C24" s="39" t="s">
        <v>156</v>
      </c>
      <c r="D24" s="39" t="s">
        <v>185</v>
      </c>
      <c r="E24" s="39" t="s">
        <v>114</v>
      </c>
      <c r="F24" s="40" t="n">
        <f aca="false">(INDEX(RunIRR,(1+8*($M24&lt;$M24)+4*($N24&lt;$M24)+2*($O24&lt;$M24)+($P24&lt;$M24))+8)-INDEX(RunIRR,(1+8*($M24&lt;$M24)+4*($N24&lt;$M24)+2*($O24&lt;$M24)+($P24&lt;$M24))))*100</f>
        <v>1.69644821023338</v>
      </c>
      <c r="G24" s="40" t="n">
        <f aca="false">(INDEX(RunIRR,(1+8*($M24&lt;$N24)+4*($N24&lt;$N24)+2*($O24&lt;$N24)+($P24&lt;$N24))+4)-INDEX(RunIRR,(1+8*($M24&lt;$N24)+4*($N24&lt;$N24)+2*($O24&lt;$N24)+($P24&lt;$N24))))*100</f>
        <v>1.91606034708449</v>
      </c>
      <c r="H24" s="40" t="n">
        <f aca="false">(INDEX(RunIRR,(1+8*($M24&lt;$O24)+4*($N24&lt;$O24)+2*($O24&lt;$O24)+($P24&lt;$O24))+2)-INDEX(RunIRR,(1+8*($M24&lt;$O24)+4*($N24&lt;$O24)+2*($O24&lt;$O24)+($P24&lt;$O24))))*100</f>
        <v>0.800551083611933</v>
      </c>
      <c r="I24" s="40" t="n">
        <f aca="false">(INDEX(RunIRR,(1+8*($M24&lt;$P24)+4*($N24&lt;$P24)+2*($O24&lt;$P24)+($P24&lt;$P24))+1)-INDEX(RunIRR,(1+8*($M24&lt;$P24)+4*($N24&lt;$P24)+2*($O24&lt;$P24)+($P24&lt;$P24))))*100</f>
        <v>0.785548009364188</v>
      </c>
      <c r="J24" s="41" t="n">
        <f aca="false">SUM(F24:I24)</f>
        <v>5.19860765029399</v>
      </c>
      <c r="K24" s="41" t="n">
        <f aca="false">Baseline*100+J24</f>
        <v>8.66467604777336</v>
      </c>
      <c r="M24" s="7" t="n">
        <f aca="false">MATCH("Rental growth",$B24:$E24,0)</f>
        <v>3</v>
      </c>
      <c r="N24" s="7" t="n">
        <f aca="false">MATCH("Business plan",$B24:$E24,0)</f>
        <v>1</v>
      </c>
      <c r="O24" s="7" t="n">
        <f aca="false">MATCH("Exit yield",$B24:$E24,0)</f>
        <v>4</v>
      </c>
      <c r="P24" s="7" t="n">
        <f aca="false">MATCH("Leverage",$B24:$E24,0)</f>
        <v>2</v>
      </c>
    </row>
    <row r="25" customFormat="false" ht="15" hidden="false" customHeight="false" outlineLevel="0" collapsed="false">
      <c r="A25" s="38" t="n">
        <v>12</v>
      </c>
      <c r="B25" s="39" t="s">
        <v>186</v>
      </c>
      <c r="C25" s="39" t="s">
        <v>156</v>
      </c>
      <c r="D25" s="39" t="s">
        <v>114</v>
      </c>
      <c r="E25" s="39" t="s">
        <v>185</v>
      </c>
      <c r="F25" s="40" t="n">
        <f aca="false">(INDEX(RunIRR,(1+8*($M25&lt;$M25)+4*($N25&lt;$M25)+2*($O25&lt;$M25)+($P25&lt;$M25))+8)-INDEX(RunIRR,(1+8*($M25&lt;$M25)+4*($N25&lt;$M25)+2*($O25&lt;$M25)+($P25&lt;$M25))))*100</f>
        <v>1.65909579534075</v>
      </c>
      <c r="G25" s="40" t="n">
        <f aca="false">(INDEX(RunIRR,(1+8*($M25&lt;$N25)+4*($N25&lt;$N25)+2*($O25&lt;$N25)+($P25&lt;$N25))+4)-INDEX(RunIRR,(1+8*($M25&lt;$N25)+4*($N25&lt;$N25)+2*($O25&lt;$N25)+($P25&lt;$N25))))*100</f>
        <v>1.91606034708449</v>
      </c>
      <c r="H25" s="40" t="n">
        <f aca="false">(INDEX(RunIRR,(1+8*($M25&lt;$O25)+4*($N25&lt;$O25)+2*($O25&lt;$O25)+($P25&lt;$O25))+2)-INDEX(RunIRR,(1+8*($M25&lt;$O25)+4*($N25&lt;$O25)+2*($O25&lt;$O25)+($P25&lt;$O25))))*100</f>
        <v>0.837903498504564</v>
      </c>
      <c r="I25" s="40" t="n">
        <f aca="false">(INDEX(RunIRR,(1+8*($M25&lt;$P25)+4*($N25&lt;$P25)+2*($O25&lt;$P25)+($P25&lt;$P25))+1)-INDEX(RunIRR,(1+8*($M25&lt;$P25)+4*($N25&lt;$P25)+2*($O25&lt;$P25)+($P25&lt;$P25))))*100</f>
        <v>0.785548009364188</v>
      </c>
      <c r="J25" s="41" t="n">
        <f aca="false">SUM(F25:I25)</f>
        <v>5.19860765029399</v>
      </c>
      <c r="K25" s="41" t="n">
        <f aca="false">Baseline*100+J25</f>
        <v>8.66467604777336</v>
      </c>
      <c r="M25" s="7" t="n">
        <f aca="false">MATCH("Rental growth",$B25:$E25,0)</f>
        <v>4</v>
      </c>
      <c r="N25" s="7" t="n">
        <f aca="false">MATCH("Business plan",$B25:$E25,0)</f>
        <v>1</v>
      </c>
      <c r="O25" s="7" t="n">
        <f aca="false">MATCH("Exit yield",$B25:$E25,0)</f>
        <v>3</v>
      </c>
      <c r="P25" s="7" t="n">
        <f aca="false">MATCH("Leverage",$B25:$E25,0)</f>
        <v>2</v>
      </c>
    </row>
    <row r="26" customFormat="false" ht="15" hidden="false" customHeight="false" outlineLevel="0" collapsed="false">
      <c r="A26" s="38" t="n">
        <v>13</v>
      </c>
      <c r="B26" s="39" t="s">
        <v>114</v>
      </c>
      <c r="C26" s="39" t="s">
        <v>185</v>
      </c>
      <c r="D26" s="39" t="s">
        <v>186</v>
      </c>
      <c r="E26" s="39" t="s">
        <v>156</v>
      </c>
      <c r="F26" s="40" t="n">
        <f aca="false">(INDEX(RunIRR,(1+8*($M26&lt;$M26)+4*($N26&lt;$M26)+2*($O26&lt;$M26)+($P26&lt;$M26))+8)-INDEX(RunIRR,(1+8*($M26&lt;$M26)+4*($N26&lt;$M26)+2*($O26&lt;$M26)+($P26&lt;$M26))))*100</f>
        <v>1.12142060198104</v>
      </c>
      <c r="G26" s="40" t="n">
        <f aca="false">(INDEX(RunIRR,(1+8*($M26&lt;$N26)+4*($N26&lt;$N26)+2*($O26&lt;$N26)+($P26&lt;$N26))+4)-INDEX(RunIRR,(1+8*($M26&lt;$N26)+4*($N26&lt;$N26)+2*($O26&lt;$N26)+($P26&lt;$N26))))*100</f>
        <v>1.76644506566628</v>
      </c>
      <c r="H26" s="40" t="n">
        <f aca="false">(INDEX(RunIRR,(1+8*($M26&lt;$O26)+4*($N26&lt;$O26)+2*($O26&lt;$O26)+($P26&lt;$O26))+2)-INDEX(RunIRR,(1+8*($M26&lt;$O26)+4*($N26&lt;$O26)+2*($O26&lt;$O26)+($P26&lt;$O26))))*100</f>
        <v>0.466612318359699</v>
      </c>
      <c r="I26" s="40" t="n">
        <f aca="false">(INDEX(RunIRR,(1+8*($M26&lt;$P26)+4*($N26&lt;$P26)+2*($O26&lt;$P26)+($P26&lt;$P26))+1)-INDEX(RunIRR,(1+8*($M26&lt;$P26)+4*($N26&lt;$P26)+2*($O26&lt;$P26)+($P26&lt;$P26))))*100</f>
        <v>1.84412966428697</v>
      </c>
      <c r="J26" s="41" t="n">
        <f aca="false">SUM(F26:I26)</f>
        <v>5.19860765029399</v>
      </c>
      <c r="K26" s="41" t="n">
        <f aca="false">Baseline*100+J26</f>
        <v>8.66467604777336</v>
      </c>
      <c r="M26" s="7" t="n">
        <f aca="false">MATCH("Rental growth",$B26:$E26,0)</f>
        <v>2</v>
      </c>
      <c r="N26" s="7" t="n">
        <f aca="false">MATCH("Business plan",$B26:$E26,0)</f>
        <v>3</v>
      </c>
      <c r="O26" s="7" t="n">
        <f aca="false">MATCH("Exit yield",$B26:$E26,0)</f>
        <v>1</v>
      </c>
      <c r="P26" s="7" t="n">
        <f aca="false">MATCH("Leverage",$B26:$E26,0)</f>
        <v>4</v>
      </c>
    </row>
    <row r="27" customFormat="false" ht="15" hidden="false" customHeight="false" outlineLevel="0" collapsed="false">
      <c r="A27" s="38" t="n">
        <v>14</v>
      </c>
      <c r="B27" s="39" t="s">
        <v>114</v>
      </c>
      <c r="C27" s="39" t="s">
        <v>185</v>
      </c>
      <c r="D27" s="39" t="s">
        <v>156</v>
      </c>
      <c r="E27" s="39" t="s">
        <v>186</v>
      </c>
      <c r="F27" s="40" t="n">
        <f aca="false">(INDEX(RunIRR,(1+8*($M27&lt;$M27)+4*($N27&lt;$M27)+2*($O27&lt;$M27)+($P27&lt;$M27))+8)-INDEX(RunIRR,(1+8*($M27&lt;$M27)+4*($N27&lt;$M27)+2*($O27&lt;$M27)+($P27&lt;$M27))))*100</f>
        <v>1.12142060198104</v>
      </c>
      <c r="G27" s="40" t="n">
        <f aca="false">(INDEX(RunIRR,(1+8*($M27&lt;$N27)+4*($N27&lt;$N27)+2*($O27&lt;$N27)+($P27&lt;$N27))+4)-INDEX(RunIRR,(1+8*($M27&lt;$N27)+4*($N27&lt;$N27)+2*($O27&lt;$N27)+($P27&lt;$N27))))*100</f>
        <v>3.04260313936912</v>
      </c>
      <c r="H27" s="40" t="n">
        <f aca="false">(INDEX(RunIRR,(1+8*($M27&lt;$O27)+4*($N27&lt;$O27)+2*($O27&lt;$O27)+($P27&lt;$O27))+2)-INDEX(RunIRR,(1+8*($M27&lt;$O27)+4*($N27&lt;$O27)+2*($O27&lt;$O27)+($P27&lt;$O27))))*100</f>
        <v>0.466612318359699</v>
      </c>
      <c r="I27" s="40" t="n">
        <f aca="false">(INDEX(RunIRR,(1+8*($M27&lt;$P27)+4*($N27&lt;$P27)+2*($O27&lt;$P27)+($P27&lt;$P27))+1)-INDEX(RunIRR,(1+8*($M27&lt;$P27)+4*($N27&lt;$P27)+2*($O27&lt;$P27)+($P27&lt;$P27))))*100</f>
        <v>0.567971590584133</v>
      </c>
      <c r="J27" s="41" t="n">
        <f aca="false">SUM(F27:I27)</f>
        <v>5.19860765029399</v>
      </c>
      <c r="K27" s="41" t="n">
        <f aca="false">Baseline*100+J27</f>
        <v>8.66467604777336</v>
      </c>
      <c r="M27" s="7" t="n">
        <f aca="false">MATCH("Rental growth",$B27:$E27,0)</f>
        <v>2</v>
      </c>
      <c r="N27" s="7" t="n">
        <f aca="false">MATCH("Business plan",$B27:$E27,0)</f>
        <v>4</v>
      </c>
      <c r="O27" s="7" t="n">
        <f aca="false">MATCH("Exit yield",$B27:$E27,0)</f>
        <v>1</v>
      </c>
      <c r="P27" s="7" t="n">
        <f aca="false">MATCH("Leverage",$B27:$E27,0)</f>
        <v>3</v>
      </c>
    </row>
    <row r="28" customFormat="false" ht="15" hidden="false" customHeight="false" outlineLevel="0" collapsed="false">
      <c r="A28" s="38" t="n">
        <v>15</v>
      </c>
      <c r="B28" s="39" t="s">
        <v>114</v>
      </c>
      <c r="C28" s="39" t="s">
        <v>186</v>
      </c>
      <c r="D28" s="39" t="s">
        <v>185</v>
      </c>
      <c r="E28" s="39" t="s">
        <v>156</v>
      </c>
      <c r="F28" s="40" t="n">
        <f aca="false">(INDEX(RunIRR,(1+8*($M28&lt;$M28)+4*($N28&lt;$M28)+2*($O28&lt;$M28)+($P28&lt;$M28))+8)-INDEX(RunIRR,(1+8*($M28&lt;$M28)+4*($N28&lt;$M28)+2*($O28&lt;$M28)+($P28&lt;$M28))))*100</f>
        <v>0.968642709019264</v>
      </c>
      <c r="G28" s="40" t="n">
        <f aca="false">(INDEX(RunIRR,(1+8*($M28&lt;$N28)+4*($N28&lt;$N28)+2*($O28&lt;$N28)+($P28&lt;$N28))+4)-INDEX(RunIRR,(1+8*($M28&lt;$N28)+4*($N28&lt;$N28)+2*($O28&lt;$N28)+($P28&lt;$N28))))*100</f>
        <v>1.91922295862806</v>
      </c>
      <c r="H28" s="40" t="n">
        <f aca="false">(INDEX(RunIRR,(1+8*($M28&lt;$O28)+4*($N28&lt;$O28)+2*($O28&lt;$O28)+($P28&lt;$O28))+2)-INDEX(RunIRR,(1+8*($M28&lt;$O28)+4*($N28&lt;$O28)+2*($O28&lt;$O28)+($P28&lt;$O28))))*100</f>
        <v>0.466612318359699</v>
      </c>
      <c r="I28" s="40" t="n">
        <f aca="false">(INDEX(RunIRR,(1+8*($M28&lt;$P28)+4*($N28&lt;$P28)+2*($O28&lt;$P28)+($P28&lt;$P28))+1)-INDEX(RunIRR,(1+8*($M28&lt;$P28)+4*($N28&lt;$P28)+2*($O28&lt;$P28)+($P28&lt;$P28))))*100</f>
        <v>1.84412966428697</v>
      </c>
      <c r="J28" s="41" t="n">
        <f aca="false">SUM(F28:I28)</f>
        <v>5.19860765029399</v>
      </c>
      <c r="K28" s="41" t="n">
        <f aca="false">Baseline*100+J28</f>
        <v>8.66467604777336</v>
      </c>
      <c r="M28" s="7" t="n">
        <f aca="false">MATCH("Rental growth",$B28:$E28,0)</f>
        <v>3</v>
      </c>
      <c r="N28" s="7" t="n">
        <f aca="false">MATCH("Business plan",$B28:$E28,0)</f>
        <v>2</v>
      </c>
      <c r="O28" s="7" t="n">
        <f aca="false">MATCH("Exit yield",$B28:$E28,0)</f>
        <v>1</v>
      </c>
      <c r="P28" s="7" t="n">
        <f aca="false">MATCH("Leverage",$B28:$E28,0)</f>
        <v>4</v>
      </c>
    </row>
    <row r="29" customFormat="false" ht="15" hidden="false" customHeight="false" outlineLevel="0" collapsed="false">
      <c r="A29" s="38" t="n">
        <v>16</v>
      </c>
      <c r="B29" s="39" t="s">
        <v>114</v>
      </c>
      <c r="C29" s="39" t="s">
        <v>186</v>
      </c>
      <c r="D29" s="39" t="s">
        <v>156</v>
      </c>
      <c r="E29" s="39" t="s">
        <v>185</v>
      </c>
      <c r="F29" s="40" t="n">
        <f aca="false">(INDEX(RunIRR,(1+8*($M29&lt;$M29)+4*($N29&lt;$M29)+2*($O29&lt;$M29)+($P29&lt;$M29))+8)-INDEX(RunIRR,(1+8*($M29&lt;$M29)+4*($N29&lt;$M29)+2*($O29&lt;$M29)+($P29&lt;$M29))))*100</f>
        <v>1.65909579534075</v>
      </c>
      <c r="G29" s="40" t="n">
        <f aca="false">(INDEX(RunIRR,(1+8*($M29&lt;$N29)+4*($N29&lt;$N29)+2*($O29&lt;$N29)+($P29&lt;$N29))+4)-INDEX(RunIRR,(1+8*($M29&lt;$N29)+4*($N29&lt;$N29)+2*($O29&lt;$N29)+($P29&lt;$N29))))*100</f>
        <v>1.91922295862806</v>
      </c>
      <c r="H29" s="40" t="n">
        <f aca="false">(INDEX(RunIRR,(1+8*($M29&lt;$O29)+4*($N29&lt;$O29)+2*($O29&lt;$O29)+($P29&lt;$O29))+2)-INDEX(RunIRR,(1+8*($M29&lt;$O29)+4*($N29&lt;$O29)+2*($O29&lt;$O29)+($P29&lt;$O29))))*100</f>
        <v>0.466612318359699</v>
      </c>
      <c r="I29" s="40" t="n">
        <f aca="false">(INDEX(RunIRR,(1+8*($M29&lt;$P29)+4*($N29&lt;$P29)+2*($O29&lt;$P29)+($P29&lt;$P29))+1)-INDEX(RunIRR,(1+8*($M29&lt;$P29)+4*($N29&lt;$P29)+2*($O29&lt;$P29)+($P29&lt;$P29))))*100</f>
        <v>1.15367657796548</v>
      </c>
      <c r="J29" s="41" t="n">
        <f aca="false">SUM(F29:I29)</f>
        <v>5.19860765029399</v>
      </c>
      <c r="K29" s="41" t="n">
        <f aca="false">Baseline*100+J29</f>
        <v>8.66467604777336</v>
      </c>
      <c r="M29" s="7" t="n">
        <f aca="false">MATCH("Rental growth",$B29:$E29,0)</f>
        <v>4</v>
      </c>
      <c r="N29" s="7" t="n">
        <f aca="false">MATCH("Business plan",$B29:$E29,0)</f>
        <v>2</v>
      </c>
      <c r="O29" s="7" t="n">
        <f aca="false">MATCH("Exit yield",$B29:$E29,0)</f>
        <v>1</v>
      </c>
      <c r="P29" s="7" t="n">
        <f aca="false">MATCH("Leverage",$B29:$E29,0)</f>
        <v>3</v>
      </c>
    </row>
    <row r="30" customFormat="false" ht="15" hidden="false" customHeight="false" outlineLevel="0" collapsed="false">
      <c r="A30" s="38" t="n">
        <v>17</v>
      </c>
      <c r="B30" s="39" t="s">
        <v>114</v>
      </c>
      <c r="C30" s="39" t="s">
        <v>156</v>
      </c>
      <c r="D30" s="39" t="s">
        <v>185</v>
      </c>
      <c r="E30" s="39" t="s">
        <v>186</v>
      </c>
      <c r="F30" s="40" t="n">
        <f aca="false">(INDEX(RunIRR,(1+8*($M30&lt;$M30)+4*($N30&lt;$M30)+2*($O30&lt;$M30)+($P30&lt;$M30))+8)-INDEX(RunIRR,(1+8*($M30&lt;$M30)+4*($N30&lt;$M30)+2*($O30&lt;$M30)+($P30&lt;$M30))))*100</f>
        <v>2.3090094303457</v>
      </c>
      <c r="G30" s="40" t="n">
        <f aca="false">(INDEX(RunIRR,(1+8*($M30&lt;$N30)+4*($N30&lt;$N30)+2*($O30&lt;$N30)+($P30&lt;$N30))+4)-INDEX(RunIRR,(1+8*($M30&lt;$N30)+4*($N30&lt;$N30)+2*($O30&lt;$N30)+($P30&lt;$N30))))*100</f>
        <v>3.04260313936912</v>
      </c>
      <c r="H30" s="40" t="n">
        <f aca="false">(INDEX(RunIRR,(1+8*($M30&lt;$O30)+4*($N30&lt;$O30)+2*($O30&lt;$O30)+($P30&lt;$O30))+2)-INDEX(RunIRR,(1+8*($M30&lt;$O30)+4*($N30&lt;$O30)+2*($O30&lt;$O30)+($P30&lt;$O30))))*100</f>
        <v>0.466612318359699</v>
      </c>
      <c r="I30" s="40" t="n">
        <f aca="false">(INDEX(RunIRR,(1+8*($M30&lt;$P30)+4*($N30&lt;$P30)+2*($O30&lt;$P30)+($P30&lt;$P30))+1)-INDEX(RunIRR,(1+8*($M30&lt;$P30)+4*($N30&lt;$P30)+2*($O30&lt;$P30)+($P30&lt;$P30))))*100</f>
        <v>-0.619617237780525</v>
      </c>
      <c r="J30" s="41" t="n">
        <f aca="false">SUM(F30:I30)</f>
        <v>5.19860765029399</v>
      </c>
      <c r="K30" s="41" t="n">
        <f aca="false">Baseline*100+J30</f>
        <v>8.66467604777336</v>
      </c>
      <c r="M30" s="7" t="n">
        <f aca="false">MATCH("Rental growth",$B30:$E30,0)</f>
        <v>3</v>
      </c>
      <c r="N30" s="7" t="n">
        <f aca="false">MATCH("Business plan",$B30:$E30,0)</f>
        <v>4</v>
      </c>
      <c r="O30" s="7" t="n">
        <f aca="false">MATCH("Exit yield",$B30:$E30,0)</f>
        <v>1</v>
      </c>
      <c r="P30" s="7" t="n">
        <f aca="false">MATCH("Leverage",$B30:$E30,0)</f>
        <v>2</v>
      </c>
    </row>
    <row r="31" customFormat="false" ht="15" hidden="false" customHeight="false" outlineLevel="0" collapsed="false">
      <c r="A31" s="38" t="n">
        <v>18</v>
      </c>
      <c r="B31" s="39" t="s">
        <v>114</v>
      </c>
      <c r="C31" s="39" t="s">
        <v>156</v>
      </c>
      <c r="D31" s="39" t="s">
        <v>186</v>
      </c>
      <c r="E31" s="39" t="s">
        <v>185</v>
      </c>
      <c r="F31" s="40" t="n">
        <f aca="false">(INDEX(RunIRR,(1+8*($M31&lt;$M31)+4*($N31&lt;$M31)+2*($O31&lt;$M31)+($P31&lt;$M31))+8)-INDEX(RunIRR,(1+8*($M31&lt;$M31)+4*($N31&lt;$M31)+2*($O31&lt;$M31)+($P31&lt;$M31))))*100</f>
        <v>1.65909579534075</v>
      </c>
      <c r="G31" s="40" t="n">
        <f aca="false">(INDEX(RunIRR,(1+8*($M31&lt;$N31)+4*($N31&lt;$N31)+2*($O31&lt;$N31)+($P31&lt;$N31))+4)-INDEX(RunIRR,(1+8*($M31&lt;$N31)+4*($N31&lt;$N31)+2*($O31&lt;$N31)+($P31&lt;$N31))))*100</f>
        <v>3.69251677437407</v>
      </c>
      <c r="H31" s="40" t="n">
        <f aca="false">(INDEX(RunIRR,(1+8*($M31&lt;$O31)+4*($N31&lt;$O31)+2*($O31&lt;$O31)+($P31&lt;$O31))+2)-INDEX(RunIRR,(1+8*($M31&lt;$O31)+4*($N31&lt;$O31)+2*($O31&lt;$O31)+($P31&lt;$O31))))*100</f>
        <v>0.466612318359699</v>
      </c>
      <c r="I31" s="40" t="n">
        <f aca="false">(INDEX(RunIRR,(1+8*($M31&lt;$P31)+4*($N31&lt;$P31)+2*($O31&lt;$P31)+($P31&lt;$P31))+1)-INDEX(RunIRR,(1+8*($M31&lt;$P31)+4*($N31&lt;$P31)+2*($O31&lt;$P31)+($P31&lt;$P31))))*100</f>
        <v>-0.619617237780525</v>
      </c>
      <c r="J31" s="41" t="n">
        <f aca="false">SUM(F31:I31)</f>
        <v>5.19860765029399</v>
      </c>
      <c r="K31" s="41" t="n">
        <f aca="false">Baseline*100+J31</f>
        <v>8.66467604777336</v>
      </c>
      <c r="M31" s="7" t="n">
        <f aca="false">MATCH("Rental growth",$B31:$E31,0)</f>
        <v>4</v>
      </c>
      <c r="N31" s="7" t="n">
        <f aca="false">MATCH("Business plan",$B31:$E31,0)</f>
        <v>3</v>
      </c>
      <c r="O31" s="7" t="n">
        <f aca="false">MATCH("Exit yield",$B31:$E31,0)</f>
        <v>1</v>
      </c>
      <c r="P31" s="7" t="n">
        <f aca="false">MATCH("Leverage",$B31:$E31,0)</f>
        <v>2</v>
      </c>
    </row>
    <row r="32" customFormat="false" ht="15" hidden="false" customHeight="false" outlineLevel="0" collapsed="false">
      <c r="A32" s="38" t="n">
        <v>19</v>
      </c>
      <c r="B32" s="39" t="s">
        <v>156</v>
      </c>
      <c r="C32" s="39" t="s">
        <v>185</v>
      </c>
      <c r="D32" s="39" t="s">
        <v>186</v>
      </c>
      <c r="E32" s="39" t="s">
        <v>114</v>
      </c>
      <c r="F32" s="40" t="n">
        <f aca="false">(INDEX(RunIRR,(1+8*($M32&lt;$M32)+4*($N32&lt;$M32)+2*($O32&lt;$M32)+($P32&lt;$M32))+8)-INDEX(RunIRR,(1+8*($M32&lt;$M32)+4*($N32&lt;$M32)+2*($O32&lt;$M32)+($P32&lt;$M32))))*100</f>
        <v>2.40578108842448</v>
      </c>
      <c r="G32" s="40" t="n">
        <f aca="false">(INDEX(RunIRR,(1+8*($M32&lt;$N32)+4*($N32&lt;$N32)+2*($O32&lt;$N32)+($P32&lt;$N32))+4)-INDEX(RunIRR,(1+8*($M32&lt;$N32)+4*($N32&lt;$N32)+2*($O32&lt;$N32)+($P32&lt;$N32))))*100</f>
        <v>3.18999796588869</v>
      </c>
      <c r="H32" s="40" t="n">
        <f aca="false">(INDEX(RunIRR,(1+8*($M32&lt;$O32)+4*($N32&lt;$O32)+2*($O32&lt;$O32)+($P32&lt;$O32))+2)-INDEX(RunIRR,(1+8*($M32&lt;$O32)+4*($N32&lt;$O32)+2*($O32&lt;$O32)+($P32&lt;$O32))))*100</f>
        <v>0.800551083611933</v>
      </c>
      <c r="I32" s="40" t="n">
        <f aca="false">(INDEX(RunIRR,(1+8*($M32&lt;$P32)+4*($N32&lt;$P32)+2*($O32&lt;$P32)+($P32&lt;$P32))+1)-INDEX(RunIRR,(1+8*($M32&lt;$P32)+4*($N32&lt;$P32)+2*($O32&lt;$P32)+($P32&lt;$P32))))*100</f>
        <v>-1.19772248763111</v>
      </c>
      <c r="J32" s="41" t="n">
        <f aca="false">SUM(F32:I32)</f>
        <v>5.19860765029399</v>
      </c>
      <c r="K32" s="41" t="n">
        <f aca="false">Baseline*100+J32</f>
        <v>8.66467604777336</v>
      </c>
      <c r="M32" s="7" t="n">
        <f aca="false">MATCH("Rental growth",$B32:$E32,0)</f>
        <v>2</v>
      </c>
      <c r="N32" s="7" t="n">
        <f aca="false">MATCH("Business plan",$B32:$E32,0)</f>
        <v>3</v>
      </c>
      <c r="O32" s="7" t="n">
        <f aca="false">MATCH("Exit yield",$B32:$E32,0)</f>
        <v>4</v>
      </c>
      <c r="P32" s="7" t="n">
        <f aca="false">MATCH("Leverage",$B32:$E32,0)</f>
        <v>1</v>
      </c>
    </row>
    <row r="33" customFormat="false" ht="15" hidden="false" customHeight="false" outlineLevel="0" collapsed="false">
      <c r="A33" s="38" t="n">
        <v>20</v>
      </c>
      <c r="B33" s="39" t="s">
        <v>156</v>
      </c>
      <c r="C33" s="39" t="s">
        <v>185</v>
      </c>
      <c r="D33" s="39" t="s">
        <v>114</v>
      </c>
      <c r="E33" s="39" t="s">
        <v>186</v>
      </c>
      <c r="F33" s="40" t="n">
        <f aca="false">(INDEX(RunIRR,(1+8*($M33&lt;$M33)+4*($N33&lt;$M33)+2*($O33&lt;$M33)+($P33&lt;$M33))+8)-INDEX(RunIRR,(1+8*($M33&lt;$M33)+4*($N33&lt;$M33)+2*($O33&lt;$M33)+($P33&lt;$M33))))*100</f>
        <v>2.40578108842448</v>
      </c>
      <c r="G33" s="40" t="n">
        <f aca="false">(INDEX(RunIRR,(1+8*($M33&lt;$N33)+4*($N33&lt;$N33)+2*($O33&lt;$N33)+($P33&lt;$N33))+4)-INDEX(RunIRR,(1+8*($M33&lt;$N33)+4*($N33&lt;$N33)+2*($O33&lt;$N33)+($P33&lt;$N33))))*100</f>
        <v>3.04260313936912</v>
      </c>
      <c r="H33" s="40" t="n">
        <f aca="false">(INDEX(RunIRR,(1+8*($M33&lt;$O33)+4*($N33&lt;$O33)+2*($O33&lt;$O33)+($P33&lt;$O33))+2)-INDEX(RunIRR,(1+8*($M33&lt;$O33)+4*($N33&lt;$O33)+2*($O33&lt;$O33)+($P33&lt;$O33))))*100</f>
        <v>0.94794591013151</v>
      </c>
      <c r="I33" s="40" t="n">
        <f aca="false">(INDEX(RunIRR,(1+8*($M33&lt;$P33)+4*($N33&lt;$P33)+2*($O33&lt;$P33)+($P33&lt;$P33))+1)-INDEX(RunIRR,(1+8*($M33&lt;$P33)+4*($N33&lt;$P33)+2*($O33&lt;$P33)+($P33&lt;$P33))))*100</f>
        <v>-1.19772248763111</v>
      </c>
      <c r="J33" s="41" t="n">
        <f aca="false">SUM(F33:I33)</f>
        <v>5.19860765029399</v>
      </c>
      <c r="K33" s="41" t="n">
        <f aca="false">Baseline*100+J33</f>
        <v>8.66467604777336</v>
      </c>
      <c r="M33" s="7" t="n">
        <f aca="false">MATCH("Rental growth",$B33:$E33,0)</f>
        <v>2</v>
      </c>
      <c r="N33" s="7" t="n">
        <f aca="false">MATCH("Business plan",$B33:$E33,0)</f>
        <v>4</v>
      </c>
      <c r="O33" s="7" t="n">
        <f aca="false">MATCH("Exit yield",$B33:$E33,0)</f>
        <v>3</v>
      </c>
      <c r="P33" s="7" t="n">
        <f aca="false">MATCH("Leverage",$B33:$E33,0)</f>
        <v>1</v>
      </c>
    </row>
    <row r="34" customFormat="false" ht="15" hidden="false" customHeight="false" outlineLevel="0" collapsed="false">
      <c r="A34" s="38" t="n">
        <v>21</v>
      </c>
      <c r="B34" s="39" t="s">
        <v>156</v>
      </c>
      <c r="C34" s="39" t="s">
        <v>186</v>
      </c>
      <c r="D34" s="39" t="s">
        <v>185</v>
      </c>
      <c r="E34" s="39" t="s">
        <v>114</v>
      </c>
      <c r="F34" s="40" t="n">
        <f aca="false">(INDEX(RunIRR,(1+8*($M34&lt;$M34)+4*($N34&lt;$M34)+2*($O34&lt;$M34)+($P34&lt;$M34))+8)-INDEX(RunIRR,(1+8*($M34&lt;$M34)+4*($N34&lt;$M34)+2*($O34&lt;$M34)+($P34&lt;$M34))))*100</f>
        <v>1.69644821023338</v>
      </c>
      <c r="G34" s="40" t="n">
        <f aca="false">(INDEX(RunIRR,(1+8*($M34&lt;$N34)+4*($N34&lt;$N34)+2*($O34&lt;$N34)+($P34&lt;$N34))+4)-INDEX(RunIRR,(1+8*($M34&lt;$N34)+4*($N34&lt;$N34)+2*($O34&lt;$N34)+($P34&lt;$N34))))*100</f>
        <v>3.89933084407979</v>
      </c>
      <c r="H34" s="40" t="n">
        <f aca="false">(INDEX(RunIRR,(1+8*($M34&lt;$O34)+4*($N34&lt;$O34)+2*($O34&lt;$O34)+($P34&lt;$O34))+2)-INDEX(RunIRR,(1+8*($M34&lt;$O34)+4*($N34&lt;$O34)+2*($O34&lt;$O34)+($P34&lt;$O34))))*100</f>
        <v>0.800551083611933</v>
      </c>
      <c r="I34" s="40" t="n">
        <f aca="false">(INDEX(RunIRR,(1+8*($M34&lt;$P34)+4*($N34&lt;$P34)+2*($O34&lt;$P34)+($P34&lt;$P34))+1)-INDEX(RunIRR,(1+8*($M34&lt;$P34)+4*($N34&lt;$P34)+2*($O34&lt;$P34)+($P34&lt;$P34))))*100</f>
        <v>-1.19772248763111</v>
      </c>
      <c r="J34" s="41" t="n">
        <f aca="false">SUM(F34:I34)</f>
        <v>5.19860765029399</v>
      </c>
      <c r="K34" s="41" t="n">
        <f aca="false">Baseline*100+J34</f>
        <v>8.66467604777336</v>
      </c>
      <c r="M34" s="7" t="n">
        <f aca="false">MATCH("Rental growth",$B34:$E34,0)</f>
        <v>3</v>
      </c>
      <c r="N34" s="7" t="n">
        <f aca="false">MATCH("Business plan",$B34:$E34,0)</f>
        <v>2</v>
      </c>
      <c r="O34" s="7" t="n">
        <f aca="false">MATCH("Exit yield",$B34:$E34,0)</f>
        <v>4</v>
      </c>
      <c r="P34" s="7" t="n">
        <f aca="false">MATCH("Leverage",$B34:$E34,0)</f>
        <v>1</v>
      </c>
    </row>
    <row r="35" customFormat="false" ht="15" hidden="false" customHeight="false" outlineLevel="0" collapsed="false">
      <c r="A35" s="38" t="n">
        <v>22</v>
      </c>
      <c r="B35" s="39" t="s">
        <v>156</v>
      </c>
      <c r="C35" s="39" t="s">
        <v>186</v>
      </c>
      <c r="D35" s="39" t="s">
        <v>114</v>
      </c>
      <c r="E35" s="39" t="s">
        <v>185</v>
      </c>
      <c r="F35" s="40" t="n">
        <f aca="false">(INDEX(RunIRR,(1+8*($M35&lt;$M35)+4*($N35&lt;$M35)+2*($O35&lt;$M35)+($P35&lt;$M35))+8)-INDEX(RunIRR,(1+8*($M35&lt;$M35)+4*($N35&lt;$M35)+2*($O35&lt;$M35)+($P35&lt;$M35))))*100</f>
        <v>1.65909579534075</v>
      </c>
      <c r="G35" s="40" t="n">
        <f aca="false">(INDEX(RunIRR,(1+8*($M35&lt;$N35)+4*($N35&lt;$N35)+2*($O35&lt;$N35)+($P35&lt;$N35))+4)-INDEX(RunIRR,(1+8*($M35&lt;$N35)+4*($N35&lt;$N35)+2*($O35&lt;$N35)+($P35&lt;$N35))))*100</f>
        <v>3.89933084407979</v>
      </c>
      <c r="H35" s="40" t="n">
        <f aca="false">(INDEX(RunIRR,(1+8*($M35&lt;$O35)+4*($N35&lt;$O35)+2*($O35&lt;$O35)+($P35&lt;$O35))+2)-INDEX(RunIRR,(1+8*($M35&lt;$O35)+4*($N35&lt;$O35)+2*($O35&lt;$O35)+($P35&lt;$O35))))*100</f>
        <v>0.837903498504564</v>
      </c>
      <c r="I35" s="40" t="n">
        <f aca="false">(INDEX(RunIRR,(1+8*($M35&lt;$P35)+4*($N35&lt;$P35)+2*($O35&lt;$P35)+($P35&lt;$P35))+1)-INDEX(RunIRR,(1+8*($M35&lt;$P35)+4*($N35&lt;$P35)+2*($O35&lt;$P35)+($P35&lt;$P35))))*100</f>
        <v>-1.19772248763111</v>
      </c>
      <c r="J35" s="41" t="n">
        <f aca="false">SUM(F35:I35)</f>
        <v>5.19860765029399</v>
      </c>
      <c r="K35" s="41" t="n">
        <f aca="false">Baseline*100+J35</f>
        <v>8.66467604777336</v>
      </c>
      <c r="M35" s="7" t="n">
        <f aca="false">MATCH("Rental growth",$B35:$E35,0)</f>
        <v>4</v>
      </c>
      <c r="N35" s="7" t="n">
        <f aca="false">MATCH("Business plan",$B35:$E35,0)</f>
        <v>2</v>
      </c>
      <c r="O35" s="7" t="n">
        <f aca="false">MATCH("Exit yield",$B35:$E35,0)</f>
        <v>3</v>
      </c>
      <c r="P35" s="7" t="n">
        <f aca="false">MATCH("Leverage",$B35:$E35,0)</f>
        <v>1</v>
      </c>
    </row>
    <row r="36" customFormat="false" ht="15" hidden="false" customHeight="false" outlineLevel="0" collapsed="false">
      <c r="A36" s="38" t="n">
        <v>23</v>
      </c>
      <c r="B36" s="39" t="s">
        <v>156</v>
      </c>
      <c r="C36" s="39" t="s">
        <v>114</v>
      </c>
      <c r="D36" s="39" t="s">
        <v>185</v>
      </c>
      <c r="E36" s="39" t="s">
        <v>186</v>
      </c>
      <c r="F36" s="40" t="n">
        <f aca="false">(INDEX(RunIRR,(1+8*($M36&lt;$M36)+4*($N36&lt;$M36)+2*($O36&lt;$M36)+($P36&lt;$M36))+8)-INDEX(RunIRR,(1+8*($M36&lt;$M36)+4*($N36&lt;$M36)+2*($O36&lt;$M36)+($P36&lt;$M36))))*100</f>
        <v>2.3090094303457</v>
      </c>
      <c r="G36" s="40" t="n">
        <f aca="false">(INDEX(RunIRR,(1+8*($M36&lt;$N36)+4*($N36&lt;$N36)+2*($O36&lt;$N36)+($P36&lt;$N36))+4)-INDEX(RunIRR,(1+8*($M36&lt;$N36)+4*($N36&lt;$N36)+2*($O36&lt;$N36)+($P36&lt;$N36))))*100</f>
        <v>3.04260313936912</v>
      </c>
      <c r="H36" s="40" t="n">
        <f aca="false">(INDEX(RunIRR,(1+8*($M36&lt;$O36)+4*($N36&lt;$O36)+2*($O36&lt;$O36)+($P36&lt;$O36))+2)-INDEX(RunIRR,(1+8*($M36&lt;$O36)+4*($N36&lt;$O36)+2*($O36&lt;$O36)+($P36&lt;$O36))))*100</f>
        <v>1.04471756821029</v>
      </c>
      <c r="I36" s="40" t="n">
        <f aca="false">(INDEX(RunIRR,(1+8*($M36&lt;$P36)+4*($N36&lt;$P36)+2*($O36&lt;$P36)+($P36&lt;$P36))+1)-INDEX(RunIRR,(1+8*($M36&lt;$P36)+4*($N36&lt;$P36)+2*($O36&lt;$P36)+($P36&lt;$P36))))*100</f>
        <v>-1.19772248763111</v>
      </c>
      <c r="J36" s="41" t="n">
        <f aca="false">SUM(F36:I36)</f>
        <v>5.19860765029399</v>
      </c>
      <c r="K36" s="41" t="n">
        <f aca="false">Baseline*100+J36</f>
        <v>8.66467604777336</v>
      </c>
      <c r="M36" s="7" t="n">
        <f aca="false">MATCH("Rental growth",$B36:$E36,0)</f>
        <v>3</v>
      </c>
      <c r="N36" s="7" t="n">
        <f aca="false">MATCH("Business plan",$B36:$E36,0)</f>
        <v>4</v>
      </c>
      <c r="O36" s="7" t="n">
        <f aca="false">MATCH("Exit yield",$B36:$E36,0)</f>
        <v>2</v>
      </c>
      <c r="P36" s="7" t="n">
        <f aca="false">MATCH("Leverage",$B36:$E36,0)</f>
        <v>1</v>
      </c>
    </row>
    <row r="37" customFormat="false" ht="15" hidden="false" customHeight="false" outlineLevel="0" collapsed="false">
      <c r="A37" s="38" t="n">
        <v>24</v>
      </c>
      <c r="B37" s="39" t="s">
        <v>156</v>
      </c>
      <c r="C37" s="39" t="s">
        <v>114</v>
      </c>
      <c r="D37" s="39" t="s">
        <v>186</v>
      </c>
      <c r="E37" s="39" t="s">
        <v>185</v>
      </c>
      <c r="F37" s="40" t="n">
        <f aca="false">(INDEX(RunIRR,(1+8*($M37&lt;$M37)+4*($N37&lt;$M37)+2*($O37&lt;$M37)+($P37&lt;$M37))+8)-INDEX(RunIRR,(1+8*($M37&lt;$M37)+4*($N37&lt;$M37)+2*($O37&lt;$M37)+($P37&lt;$M37))))*100</f>
        <v>1.65909579534075</v>
      </c>
      <c r="G37" s="40" t="n">
        <f aca="false">(INDEX(RunIRR,(1+8*($M37&lt;$N37)+4*($N37&lt;$N37)+2*($O37&lt;$N37)+($P37&lt;$N37))+4)-INDEX(RunIRR,(1+8*($M37&lt;$N37)+4*($N37&lt;$N37)+2*($O37&lt;$N37)+($P37&lt;$N37))))*100</f>
        <v>3.69251677437407</v>
      </c>
      <c r="H37" s="40" t="n">
        <f aca="false">(INDEX(RunIRR,(1+8*($M37&lt;$O37)+4*($N37&lt;$O37)+2*($O37&lt;$O37)+($P37&lt;$O37))+2)-INDEX(RunIRR,(1+8*($M37&lt;$O37)+4*($N37&lt;$O37)+2*($O37&lt;$O37)+($P37&lt;$O37))))*100</f>
        <v>1.04471756821029</v>
      </c>
      <c r="I37" s="40" t="n">
        <f aca="false">(INDEX(RunIRR,(1+8*($M37&lt;$P37)+4*($N37&lt;$P37)+2*($O37&lt;$P37)+($P37&lt;$P37))+1)-INDEX(RunIRR,(1+8*($M37&lt;$P37)+4*($N37&lt;$P37)+2*($O37&lt;$P37)+($P37&lt;$P37))))*100</f>
        <v>-1.19772248763111</v>
      </c>
      <c r="J37" s="41" t="n">
        <f aca="false">SUM(F37:I37)</f>
        <v>5.19860765029399</v>
      </c>
      <c r="K37" s="41" t="n">
        <f aca="false">Baseline*100+J37</f>
        <v>8.66467604777336</v>
      </c>
      <c r="M37" s="7" t="n">
        <f aca="false">MATCH("Rental growth",$B37:$E37,0)</f>
        <v>4</v>
      </c>
      <c r="N37" s="7" t="n">
        <f aca="false">MATCH("Business plan",$B37:$E37,0)</f>
        <v>3</v>
      </c>
      <c r="O37" s="7" t="n">
        <f aca="false">MATCH("Exit yield",$B37:$E37,0)</f>
        <v>2</v>
      </c>
      <c r="P37" s="7" t="n">
        <f aca="false">MATCH("Leverage",$B37:$E37,0)</f>
        <v>1</v>
      </c>
    </row>
    <row r="39" customFormat="false" ht="15" hidden="false" customHeight="false" outlineLevel="0" collapsed="false">
      <c r="A39" s="18" t="s">
        <v>193</v>
      </c>
    </row>
    <row r="41" customFormat="false" ht="15" hidden="false" customHeight="false" outlineLevel="0" collapsed="false">
      <c r="A41" s="4" t="s">
        <v>194</v>
      </c>
      <c r="B41" s="6"/>
      <c r="C41" s="6"/>
      <c r="D41" s="6"/>
      <c r="E41" s="6"/>
      <c r="F41" s="6"/>
      <c r="G41" s="6"/>
      <c r="H41" s="6"/>
      <c r="I41" s="6"/>
      <c r="J41" s="6"/>
      <c r="K41" s="6"/>
    </row>
    <row r="43" customFormat="false" ht="30" hidden="false" customHeight="true" outlineLevel="0" collapsed="false">
      <c r="A43" s="16"/>
      <c r="B43" s="17" t="s">
        <v>195</v>
      </c>
      <c r="C43" s="17" t="s">
        <v>196</v>
      </c>
      <c r="D43" s="17" t="s">
        <v>197</v>
      </c>
      <c r="E43" s="17" t="s">
        <v>198</v>
      </c>
      <c r="F43" s="17" t="s">
        <v>199</v>
      </c>
    </row>
    <row r="44" customFormat="false" ht="15" hidden="false" customHeight="false" outlineLevel="0" collapsed="false">
      <c r="B44" s="7" t="s">
        <v>185</v>
      </c>
      <c r="C44" s="41" t="n">
        <f aca="false">MIN(F$14:F$37)</f>
        <v>0.961642734562779</v>
      </c>
      <c r="D44" s="41" t="n">
        <f aca="false">MAX(F$14:F$37)</f>
        <v>2.40578108842448</v>
      </c>
      <c r="E44" s="41" t="n">
        <f aca="false">D44-C44</f>
        <v>1.4441383538617</v>
      </c>
      <c r="F44" s="15" t="n">
        <f aca="false">AVERAGE(F$14:F$37)</f>
        <v>1.48164922681826</v>
      </c>
    </row>
    <row r="45" customFormat="false" ht="15" hidden="false" customHeight="false" outlineLevel="0" collapsed="false">
      <c r="B45" s="7" t="s">
        <v>186</v>
      </c>
      <c r="C45" s="41" t="n">
        <f aca="false">MIN(G$14:G$37)</f>
        <v>1.76451689457051</v>
      </c>
      <c r="D45" s="41" t="n">
        <f aca="false">MAX(G$14:G$37)</f>
        <v>3.89933084407979</v>
      </c>
      <c r="E45" s="41" t="n">
        <f aca="false">D45-C45</f>
        <v>2.13481394950928</v>
      </c>
      <c r="F45" s="15" t="n">
        <f aca="false">AVERAGE(G$14:G$37)</f>
        <v>2.59233508021402</v>
      </c>
    </row>
    <row r="46" customFormat="false" ht="15" hidden="false" customHeight="false" outlineLevel="0" collapsed="false">
      <c r="B46" s="7" t="s">
        <v>114</v>
      </c>
      <c r="C46" s="41" t="n">
        <f aca="false">MIN(H$14:H$37)</f>
        <v>0.466612318359699</v>
      </c>
      <c r="D46" s="41" t="n">
        <f aca="false">MAX(H$14:H$37)</f>
        <v>1.04471756821029</v>
      </c>
      <c r="E46" s="41" t="n">
        <f aca="false">D46-C46</f>
        <v>0.578105249850587</v>
      </c>
      <c r="F46" s="15" t="n">
        <f aca="false">AVERAGE(H$14:H$37)</f>
        <v>0.671121145857356</v>
      </c>
    </row>
    <row r="47" customFormat="false" ht="15" hidden="false" customHeight="false" outlineLevel="0" collapsed="false">
      <c r="B47" s="7" t="s">
        <v>156</v>
      </c>
      <c r="C47" s="41" t="n">
        <f aca="false">MIN(I$14:I$37)</f>
        <v>-1.19772248763111</v>
      </c>
      <c r="D47" s="41" t="n">
        <f aca="false">MAX(I$14:I$37)</f>
        <v>1.84412966428697</v>
      </c>
      <c r="E47" s="41" t="n">
        <f aca="false">D47-C47</f>
        <v>3.04185215191808</v>
      </c>
      <c r="F47" s="15" t="n">
        <f aca="false">AVERAGE(I$14:I$37)</f>
        <v>0.453502197404354</v>
      </c>
    </row>
    <row r="48" customFormat="false" ht="15" hidden="false" customHeight="false" outlineLevel="0" collapsed="false">
      <c r="B48" s="11" t="s">
        <v>200</v>
      </c>
      <c r="F48" s="15" t="n">
        <f aca="false">SUM(F44:F47)</f>
        <v>5.19860765029399</v>
      </c>
      <c r="L48" s="7" t="s">
        <v>201</v>
      </c>
    </row>
    <row r="49" customFormat="false" ht="15" hidden="false" customHeight="false" outlineLevel="0" collapsed="false">
      <c r="B49" s="11" t="s">
        <v>178</v>
      </c>
      <c r="F49" s="15" t="n">
        <f aca="false">C9</f>
        <v>5.19860765029398</v>
      </c>
    </row>
    <row r="50" customFormat="false" ht="15" hidden="false" customHeight="false" outlineLevel="0" collapsed="false">
      <c r="B50" s="11" t="s">
        <v>202</v>
      </c>
      <c r="F50" s="42" t="n">
        <f aca="false">F48-F49</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3" min="2" style="0" width="16"/>
    <col collapsed="false" customWidth="true" hidden="false" outlineLevel="0" max="4" min="4" style="0" width="8"/>
    <col collapsed="false" customWidth="true" hidden="false" outlineLevel="0" max="5" min="5" style="0" width="60"/>
  </cols>
  <sheetData>
    <row r="1" customFormat="false" ht="24" hidden="false" customHeight="true" outlineLevel="0" collapsed="false">
      <c r="A1" s="1" t="s">
        <v>203</v>
      </c>
    </row>
    <row r="2" customFormat="false" ht="15" hidden="false" customHeight="false" outlineLevel="0" collapsed="false">
      <c r="A2" s="2" t="s">
        <v>204</v>
      </c>
    </row>
    <row r="3" customFormat="false" ht="15" hidden="false" customHeight="false" outlineLevel="0" collapsed="false">
      <c r="A3" s="3"/>
      <c r="B3" s="3"/>
      <c r="C3" s="3"/>
      <c r="D3" s="3"/>
      <c r="E3" s="3"/>
    </row>
    <row r="5" customFormat="false" ht="15" hidden="false" customHeight="false" outlineLevel="0" collapsed="false">
      <c r="A5" s="18" t="s">
        <v>205</v>
      </c>
    </row>
    <row r="7" customFormat="false" ht="15" hidden="false" customHeight="false" outlineLevel="0" collapsed="false">
      <c r="A7" s="4" t="s">
        <v>206</v>
      </c>
      <c r="B7" s="6"/>
      <c r="C7" s="6"/>
      <c r="D7" s="6"/>
      <c r="E7" s="6"/>
    </row>
    <row r="9" customFormat="false" ht="15" hidden="false" customHeight="false" outlineLevel="0" collapsed="false">
      <c r="A9" s="7" t="s">
        <v>207</v>
      </c>
      <c r="B9" s="13" t="n">
        <v>1</v>
      </c>
    </row>
    <row r="10" customFormat="false" ht="15" hidden="false" customHeight="false" outlineLevel="0" collapsed="false">
      <c r="A10" s="11" t="s">
        <v>174</v>
      </c>
      <c r="C10" s="15" t="n">
        <f aca="false">Baseline*100</f>
        <v>3.46606839747937</v>
      </c>
    </row>
    <row r="11" customFormat="false" ht="15" hidden="false" customHeight="false" outlineLevel="0" collapsed="false">
      <c r="A11" s="0" t="str">
        <f aca="false">INDEX(Orders!$B$14:$E$37,MATCH($B$9,OrderNo,0),1)</f>
        <v>Rental growth</v>
      </c>
      <c r="B11" s="41" t="n">
        <f aca="false">INDEX(Steps,MATCH($B$9,OrderNo,0),MATCH($A11,DriverHead,0))</f>
        <v>1.11318618707676</v>
      </c>
      <c r="C11" s="41" t="n">
        <f aca="false">C10+B11</f>
        <v>4.57925458455613</v>
      </c>
    </row>
    <row r="12" customFormat="false" ht="15" hidden="false" customHeight="false" outlineLevel="0" collapsed="false">
      <c r="A12" s="0" t="str">
        <f aca="false">INDEX(Orders!$B$14:$E$37,MATCH($B$9,OrderNo,0),2)</f>
        <v>Business plan</v>
      </c>
      <c r="B12" s="41" t="n">
        <f aca="false">INDEX(Steps,MATCH($B$9,OrderNo,0),MATCH($A12,DriverHead,0))</f>
        <v>1.76451689457051</v>
      </c>
      <c r="C12" s="41" t="n">
        <f aca="false">C11+B12</f>
        <v>6.34377147912664</v>
      </c>
    </row>
    <row r="13" customFormat="false" ht="15" hidden="false" customHeight="false" outlineLevel="0" collapsed="false">
      <c r="A13" s="0" t="str">
        <f aca="false">INDEX(Orders!$B$14:$E$37,MATCH($B$9,OrderNo,0),3)</f>
        <v>Exit yield</v>
      </c>
      <c r="B13" s="41" t="n">
        <f aca="false">INDEX(Steps,MATCH($B$9,OrderNo,0),MATCH($A13,DriverHead,0))</f>
        <v>0.476774904359754</v>
      </c>
      <c r="C13" s="41" t="n">
        <f aca="false">C12+B13</f>
        <v>6.82054638348639</v>
      </c>
    </row>
    <row r="14" customFormat="false" ht="15" hidden="false" customHeight="false" outlineLevel="0" collapsed="false">
      <c r="A14" s="0" t="str">
        <f aca="false">INDEX(Orders!$B$14:$E$37,MATCH($B$9,OrderNo,0),4)</f>
        <v>Leverage</v>
      </c>
      <c r="B14" s="41" t="n">
        <f aca="false">INDEX(Steps,MATCH($B$9,OrderNo,0),MATCH($A14,DriverHead,0))</f>
        <v>1.84412966428697</v>
      </c>
      <c r="C14" s="41" t="n">
        <f aca="false">C13+B14</f>
        <v>8.66467604777336</v>
      </c>
    </row>
    <row r="15" customFormat="false" ht="15" hidden="false" customHeight="false" outlineLevel="0" collapsed="false">
      <c r="A15" s="11" t="s">
        <v>188</v>
      </c>
      <c r="C15" s="15" t="n">
        <f aca="false">C14</f>
        <v>8.66467604777336</v>
      </c>
    </row>
    <row r="17" customFormat="false" ht="15" hidden="false" customHeight="false" outlineLevel="0" collapsed="false">
      <c r="A17" s="4" t="s">
        <v>208</v>
      </c>
      <c r="B17" s="6"/>
      <c r="C17" s="6"/>
      <c r="D17" s="6"/>
      <c r="E17" s="6"/>
    </row>
    <row r="19" customFormat="false" ht="15" hidden="false" customHeight="false" outlineLevel="0" collapsed="false">
      <c r="A19" s="7" t="s">
        <v>207</v>
      </c>
      <c r="B19" s="13" t="n">
        <v>24</v>
      </c>
    </row>
    <row r="20" customFormat="false" ht="15" hidden="false" customHeight="false" outlineLevel="0" collapsed="false">
      <c r="A20" s="11" t="s">
        <v>174</v>
      </c>
      <c r="C20" s="15" t="n">
        <f aca="false">Baseline*100</f>
        <v>3.46606839747937</v>
      </c>
    </row>
    <row r="21" customFormat="false" ht="15" hidden="false" customHeight="false" outlineLevel="0" collapsed="false">
      <c r="A21" s="0" t="str">
        <f aca="false">INDEX(Orders!$B$14:$E$37,MATCH($B$19,OrderNo,0),1)</f>
        <v>Leverage</v>
      </c>
      <c r="B21" s="41" t="n">
        <f aca="false">INDEX(Steps,MATCH($B$19,OrderNo,0),MATCH($A21,DriverHead,0))</f>
        <v>-1.19772248763111</v>
      </c>
      <c r="C21" s="41" t="n">
        <f aca="false">C20+B21</f>
        <v>2.26834590984826</v>
      </c>
    </row>
    <row r="22" customFormat="false" ht="15" hidden="false" customHeight="false" outlineLevel="0" collapsed="false">
      <c r="A22" s="0" t="str">
        <f aca="false">INDEX(Orders!$B$14:$E$37,MATCH($B$19,OrderNo,0),2)</f>
        <v>Exit yield</v>
      </c>
      <c r="B22" s="41" t="n">
        <f aca="false">INDEX(Steps,MATCH($B$19,OrderNo,0),MATCH($A22,DriverHead,0))</f>
        <v>1.04471756821029</v>
      </c>
      <c r="C22" s="41" t="n">
        <f aca="false">C21+B22</f>
        <v>3.31306347805854</v>
      </c>
    </row>
    <row r="23" customFormat="false" ht="15" hidden="false" customHeight="false" outlineLevel="0" collapsed="false">
      <c r="A23" s="0" t="str">
        <f aca="false">INDEX(Orders!$B$14:$E$37,MATCH($B$19,OrderNo,0),3)</f>
        <v>Business plan</v>
      </c>
      <c r="B23" s="41" t="n">
        <f aca="false">INDEX(Steps,MATCH($B$19,OrderNo,0),MATCH($A23,DriverHead,0))</f>
        <v>3.69251677437407</v>
      </c>
      <c r="C23" s="41" t="n">
        <f aca="false">C22+B23</f>
        <v>7.00558025243261</v>
      </c>
    </row>
    <row r="24" customFormat="false" ht="15" hidden="false" customHeight="false" outlineLevel="0" collapsed="false">
      <c r="A24" s="0" t="str">
        <f aca="false">INDEX(Orders!$B$14:$E$37,MATCH($B$19,OrderNo,0),4)</f>
        <v>Rental growth</v>
      </c>
      <c r="B24" s="41" t="n">
        <f aca="false">INDEX(Steps,MATCH($B$19,OrderNo,0),MATCH($A24,DriverHead,0))</f>
        <v>1.65909579534075</v>
      </c>
      <c r="C24" s="41" t="n">
        <f aca="false">C23+B24</f>
        <v>8.66467604777336</v>
      </c>
    </row>
    <row r="25" customFormat="false" ht="15" hidden="false" customHeight="false" outlineLevel="0" collapsed="false">
      <c r="A25" s="11" t="s">
        <v>188</v>
      </c>
      <c r="C25" s="15" t="n">
        <f aca="false">C24</f>
        <v>8.66467604777336</v>
      </c>
    </row>
    <row r="27" customFormat="false" ht="15" hidden="false" customHeight="false" outlineLevel="0" collapsed="false">
      <c r="A27" s="4" t="s">
        <v>209</v>
      </c>
      <c r="B27" s="6"/>
      <c r="C27" s="6"/>
      <c r="D27" s="6"/>
      <c r="E27" s="6"/>
    </row>
    <row r="29" customFormat="false" ht="15" hidden="false" customHeight="false" outlineLevel="0" collapsed="false">
      <c r="A29" s="7" t="s">
        <v>185</v>
      </c>
      <c r="B29" s="41" t="n">
        <f aca="false">INDEX(Steps,MATCH(1,OrderNo,0),1)</f>
        <v>1.11318618707676</v>
      </c>
      <c r="C29" s="41" t="n">
        <f aca="false">INDEX(Steps,MATCH(24,OrderNo,0),1)</f>
        <v>1.65909579534075</v>
      </c>
      <c r="D29" s="41" t="n">
        <f aca="false">C29-B29</f>
        <v>0.545909608263994</v>
      </c>
    </row>
    <row r="30" customFormat="false" ht="15" hidden="false" customHeight="false" outlineLevel="0" collapsed="false">
      <c r="A30" s="7" t="s">
        <v>186</v>
      </c>
      <c r="B30" s="41" t="n">
        <f aca="false">INDEX(Steps,MATCH(1,OrderNo,0),2)</f>
        <v>1.76451689457051</v>
      </c>
      <c r="C30" s="41" t="n">
        <f aca="false">INDEX(Steps,MATCH(24,OrderNo,0),2)</f>
        <v>3.69251677437407</v>
      </c>
      <c r="D30" s="41" t="n">
        <f aca="false">C30-B30</f>
        <v>1.92799987980355</v>
      </c>
    </row>
    <row r="31" customFormat="false" ht="15" hidden="false" customHeight="false" outlineLevel="0" collapsed="false">
      <c r="A31" s="7" t="s">
        <v>114</v>
      </c>
      <c r="B31" s="41" t="n">
        <f aca="false">INDEX(Steps,MATCH(1,OrderNo,0),3)</f>
        <v>0.476774904359754</v>
      </c>
      <c r="C31" s="41" t="n">
        <f aca="false">INDEX(Steps,MATCH(24,OrderNo,0),3)</f>
        <v>1.04471756821029</v>
      </c>
      <c r="D31" s="41" t="n">
        <f aca="false">C31-B31</f>
        <v>0.567942663850532</v>
      </c>
    </row>
    <row r="32" customFormat="false" ht="15" hidden="false" customHeight="false" outlineLevel="0" collapsed="false">
      <c r="A32" s="7" t="s">
        <v>156</v>
      </c>
      <c r="B32" s="41" t="n">
        <f aca="false">INDEX(Steps,MATCH(1,OrderNo,0),4)</f>
        <v>1.84412966428697</v>
      </c>
      <c r="C32" s="41" t="n">
        <f aca="false">INDEX(Steps,MATCH(24,OrderNo,0),4)</f>
        <v>-1.19772248763111</v>
      </c>
      <c r="D32" s="41" t="n">
        <f aca="false">C32-B32</f>
        <v>-3.04185215191808</v>
      </c>
    </row>
    <row r="34" customFormat="false" ht="15" hidden="false" customHeight="false" outlineLevel="0" collapsed="false">
      <c r="A34" s="18" t="s">
        <v>210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18" min="2" style="0" width="12"/>
  </cols>
  <sheetData>
    <row r="1" customFormat="false" ht="19.7" hidden="false" customHeight="false" outlineLevel="0" collapsed="false">
      <c r="A1" s="29" t="s">
        <v>211</v>
      </c>
    </row>
    <row r="2" customFormat="false" ht="15" hidden="false" customHeight="false" outlineLevel="0" collapsed="false">
      <c r="A2" s="30" t="s">
        <v>212</v>
      </c>
    </row>
    <row r="4" customFormat="false" ht="15" hidden="false" customHeight="false" outlineLevel="0" collapsed="false">
      <c r="A4" s="30" t="s">
        <v>213</v>
      </c>
    </row>
    <row r="6" customFormat="false" ht="15" hidden="false" customHeight="false" outlineLevel="0" collapsed="false">
      <c r="A6" s="35" t="s">
        <v>55</v>
      </c>
      <c r="B6" s="36" t="n">
        <v>1</v>
      </c>
      <c r="C6" s="36" t="n">
        <f aca="false">B6+1</f>
        <v>2</v>
      </c>
      <c r="D6" s="36" t="n">
        <f aca="false">C6+1</f>
        <v>3</v>
      </c>
      <c r="E6" s="36" t="n">
        <f aca="false">D6+1</f>
        <v>4</v>
      </c>
      <c r="F6" s="36" t="n">
        <f aca="false">E6+1</f>
        <v>5</v>
      </c>
      <c r="G6" s="36" t="n">
        <f aca="false">F6+1</f>
        <v>6</v>
      </c>
      <c r="H6" s="36" t="n">
        <f aca="false">G6+1</f>
        <v>7</v>
      </c>
      <c r="I6" s="36" t="n">
        <f aca="false">H6+1</f>
        <v>8</v>
      </c>
      <c r="J6" s="36" t="n">
        <f aca="false">I6+1</f>
        <v>9</v>
      </c>
      <c r="K6" s="36" t="n">
        <f aca="false">J6+1</f>
        <v>10</v>
      </c>
      <c r="L6" s="36" t="n">
        <f aca="false">K6+1</f>
        <v>11</v>
      </c>
      <c r="M6" s="36" t="n">
        <f aca="false">L6+1</f>
        <v>12</v>
      </c>
      <c r="N6" s="36" t="n">
        <f aca="false">M6+1</f>
        <v>13</v>
      </c>
      <c r="O6" s="36" t="n">
        <f aca="false">N6+1</f>
        <v>14</v>
      </c>
      <c r="P6" s="36" t="n">
        <f aca="false">O6+1</f>
        <v>15</v>
      </c>
      <c r="Q6" s="36" t="n">
        <f aca="false">P6+1</f>
        <v>16</v>
      </c>
    </row>
    <row r="7" customFormat="false" ht="15" hidden="false" customHeight="false" outlineLevel="0" collapsed="false">
      <c r="A7" s="7" t="str">
        <f aca="false">'Rent roll'!$A8</f>
        <v>Ardgour Logistics</v>
      </c>
      <c r="B7" s="21" t="n">
        <f aca="false">IF(B$6&lt;='Rent roll'!$E8,'Rent roll'!$C8,IF(B$6='Rent roll'!$F8,'Rent roll'!$G8*LetFrac,'Rent roll'!$G8))</f>
        <v>472500</v>
      </c>
      <c r="C7" s="21" t="n">
        <f aca="false">IF(C$6&lt;='Rent roll'!$E8,'Rent roll'!$C8,IF(C$6='Rent roll'!$F8,'Rent roll'!$G8*LetFrac,'Rent roll'!$G8))</f>
        <v>472500</v>
      </c>
      <c r="D7" s="21" t="n">
        <f aca="false">IF(D$6&lt;='Rent roll'!$E8,'Rent roll'!$C8,IF(D$6='Rent roll'!$F8,'Rent roll'!$G8*LetFrac,'Rent roll'!$G8))</f>
        <v>472500</v>
      </c>
      <c r="E7" s="21" t="n">
        <f aca="false">IF(E$6&lt;='Rent roll'!$E8,'Rent roll'!$C8,IF(E$6='Rent roll'!$F8,'Rent roll'!$G8*LetFrac,'Rent roll'!$G8))</f>
        <v>472500</v>
      </c>
      <c r="F7" s="21" t="n">
        <f aca="false">IF(F$6&lt;='Rent roll'!$E8,'Rent roll'!$C8,IF(F$6='Rent roll'!$F8,'Rent roll'!$G8*LetFrac,'Rent roll'!$G8))</f>
        <v>472500</v>
      </c>
      <c r="G7" s="21" t="n">
        <f aca="false">IF(G$6&lt;='Rent roll'!$E8,'Rent roll'!$C8,IF(G$6='Rent roll'!$F8,'Rent roll'!$G8*LetFrac,'Rent roll'!$G8))</f>
        <v>472500</v>
      </c>
      <c r="H7" s="21" t="n">
        <f aca="false">IF(H$6&lt;='Rent roll'!$E8,'Rent roll'!$C8,IF(H$6='Rent roll'!$F8,'Rent roll'!$G8*LetFrac,'Rent roll'!$G8))</f>
        <v>472500</v>
      </c>
      <c r="I7" s="21" t="n">
        <f aca="false">IF(I$6&lt;='Rent roll'!$E8,'Rent roll'!$C8,IF(I$6='Rent roll'!$F8,'Rent roll'!$G8*LetFrac,'Rent roll'!$G8))</f>
        <v>147235.915763989</v>
      </c>
      <c r="J7" s="21" t="n">
        <f aca="false">IF(J$6&lt;='Rent roll'!$E8,'Rent roll'!$C8,IF(J$6='Rent roll'!$F8,'Rent roll'!$G8*LetFrac,'Rent roll'!$G8))</f>
        <v>588943.663055956</v>
      </c>
      <c r="K7" s="21" t="n">
        <f aca="false">IF(K$6&lt;='Rent roll'!$E8,'Rent roll'!$C8,IF(K$6='Rent roll'!$F8,'Rent roll'!$G8*LetFrac,'Rent roll'!$G8))</f>
        <v>588943.663055956</v>
      </c>
      <c r="L7" s="21" t="n">
        <f aca="false">IF(L$6&lt;='Rent roll'!$E8,'Rent roll'!$C8,IF(L$6='Rent roll'!$F8,'Rent roll'!$G8*LetFrac,'Rent roll'!$G8))</f>
        <v>588943.663055956</v>
      </c>
      <c r="M7" s="21" t="n">
        <f aca="false">IF(M$6&lt;='Rent roll'!$E8,'Rent roll'!$C8,IF(M$6='Rent roll'!$F8,'Rent roll'!$G8*LetFrac,'Rent roll'!$G8))</f>
        <v>588943.663055956</v>
      </c>
      <c r="N7" s="21" t="n">
        <f aca="false">IF(N$6&lt;='Rent roll'!$E8,'Rent roll'!$C8,IF(N$6='Rent roll'!$F8,'Rent roll'!$G8*LetFrac,'Rent roll'!$G8))</f>
        <v>588943.663055956</v>
      </c>
      <c r="O7" s="21" t="n">
        <f aca="false">IF(O$6&lt;='Rent roll'!$E8,'Rent roll'!$C8,IF(O$6='Rent roll'!$F8,'Rent roll'!$G8*LetFrac,'Rent roll'!$G8))</f>
        <v>588943.663055956</v>
      </c>
      <c r="P7" s="21" t="n">
        <f aca="false">IF(P$6&lt;='Rent roll'!$E8,'Rent roll'!$C8,IF(P$6='Rent roll'!$F8,'Rent roll'!$G8*LetFrac,'Rent roll'!$G8))</f>
        <v>588943.663055956</v>
      </c>
      <c r="Q7" s="21" t="n">
        <f aca="false">IF(Q$6&lt;='Rent roll'!$E8,'Rent roll'!$C8,IF(Q$6='Rent roll'!$F8,'Rent roll'!$G8*LetFrac,'Rent roll'!$G8))</f>
        <v>588943.663055956</v>
      </c>
    </row>
    <row r="8" customFormat="false" ht="15" hidden="false" customHeight="false" outlineLevel="0" collapsed="false">
      <c r="A8" s="7" t="str">
        <f aca="false">'Rent roll'!$A9</f>
        <v>Kilmory Print</v>
      </c>
      <c r="B8" s="21" t="n">
        <f aca="false">IF(B$6&lt;='Rent roll'!$E9,'Rent roll'!$C9,IF(B$6='Rent roll'!$F9,'Rent roll'!$G9*LetFrac,'Rent roll'!$G9))</f>
        <v>257400</v>
      </c>
      <c r="C8" s="21" t="n">
        <f aca="false">IF(C$6&lt;='Rent roll'!$E9,'Rent roll'!$C9,IF(C$6='Rent roll'!$F9,'Rent roll'!$G9*LetFrac,'Rent roll'!$G9))</f>
        <v>257400</v>
      </c>
      <c r="D8" s="21" t="n">
        <f aca="false">IF(D$6&lt;='Rent roll'!$E9,'Rent roll'!$C9,IF(D$6='Rent roll'!$F9,'Rent roll'!$G9*LetFrac,'Rent roll'!$G9))</f>
        <v>257400</v>
      </c>
      <c r="E8" s="21" t="n">
        <f aca="false">IF(E$6&lt;='Rent roll'!$E9,'Rent roll'!$C9,IF(E$6='Rent roll'!$F9,'Rent roll'!$G9*LetFrac,'Rent roll'!$G9))</f>
        <v>84667.1871375</v>
      </c>
      <c r="F8" s="21" t="n">
        <f aca="false">IF(F$6&lt;='Rent roll'!$E9,'Rent roll'!$C9,IF(F$6='Rent roll'!$F9,'Rent roll'!$G9*LetFrac,'Rent roll'!$G9))</f>
        <v>338668.74855</v>
      </c>
      <c r="G8" s="21" t="n">
        <f aca="false">IF(G$6&lt;='Rent roll'!$E9,'Rent roll'!$C9,IF(G$6='Rent roll'!$F9,'Rent roll'!$G9*LetFrac,'Rent roll'!$G9))</f>
        <v>338668.74855</v>
      </c>
      <c r="H8" s="21" t="n">
        <f aca="false">IF(H$6&lt;='Rent roll'!$E9,'Rent roll'!$C9,IF(H$6='Rent roll'!$F9,'Rent roll'!$G9*LetFrac,'Rent roll'!$G9))</f>
        <v>338668.74855</v>
      </c>
      <c r="I8" s="21" t="n">
        <f aca="false">IF(I$6&lt;='Rent roll'!$E9,'Rent roll'!$C9,IF(I$6='Rent roll'!$F9,'Rent roll'!$G9*LetFrac,'Rent roll'!$G9))</f>
        <v>338668.74855</v>
      </c>
      <c r="J8" s="21" t="n">
        <f aca="false">IF(J$6&lt;='Rent roll'!$E9,'Rent roll'!$C9,IF(J$6='Rent roll'!$F9,'Rent roll'!$G9*LetFrac,'Rent roll'!$G9))</f>
        <v>338668.74855</v>
      </c>
      <c r="K8" s="21" t="n">
        <f aca="false">IF(K$6&lt;='Rent roll'!$E9,'Rent roll'!$C9,IF(K$6='Rent roll'!$F9,'Rent roll'!$G9*LetFrac,'Rent roll'!$G9))</f>
        <v>338668.74855</v>
      </c>
      <c r="L8" s="21" t="n">
        <f aca="false">IF(L$6&lt;='Rent roll'!$E9,'Rent roll'!$C9,IF(L$6='Rent roll'!$F9,'Rent roll'!$G9*LetFrac,'Rent roll'!$G9))</f>
        <v>338668.74855</v>
      </c>
      <c r="M8" s="21" t="n">
        <f aca="false">IF(M$6&lt;='Rent roll'!$E9,'Rent roll'!$C9,IF(M$6='Rent roll'!$F9,'Rent roll'!$G9*LetFrac,'Rent roll'!$G9))</f>
        <v>338668.74855</v>
      </c>
      <c r="N8" s="21" t="n">
        <f aca="false">IF(N$6&lt;='Rent roll'!$E9,'Rent roll'!$C9,IF(N$6='Rent roll'!$F9,'Rent roll'!$G9*LetFrac,'Rent roll'!$G9))</f>
        <v>338668.74855</v>
      </c>
      <c r="O8" s="21" t="n">
        <f aca="false">IF(O$6&lt;='Rent roll'!$E9,'Rent roll'!$C9,IF(O$6='Rent roll'!$F9,'Rent roll'!$G9*LetFrac,'Rent roll'!$G9))</f>
        <v>338668.74855</v>
      </c>
      <c r="P8" s="21" t="n">
        <f aca="false">IF(P$6&lt;='Rent roll'!$E9,'Rent roll'!$C9,IF(P$6='Rent roll'!$F9,'Rent roll'!$G9*LetFrac,'Rent roll'!$G9))</f>
        <v>338668.74855</v>
      </c>
      <c r="Q8" s="21" t="n">
        <f aca="false">IF(Q$6&lt;='Rent roll'!$E9,'Rent roll'!$C9,IF(Q$6='Rent roll'!$F9,'Rent roll'!$G9*LetFrac,'Rent roll'!$G9))</f>
        <v>338668.74855</v>
      </c>
    </row>
    <row r="9" customFormat="false" ht="15" hidden="false" customHeight="false" outlineLevel="0" collapsed="false">
      <c r="A9" s="7" t="str">
        <f aca="false">'Rent roll'!$A10</f>
        <v>Tannoch Foods</v>
      </c>
      <c r="B9" s="21" t="n">
        <f aca="false">IF(B$6&lt;='Rent roll'!$E10,'Rent roll'!$C10,IF(B$6='Rent roll'!$F10,'Rent roll'!$G10*LetFrac,'Rent roll'!$G10))</f>
        <v>229600</v>
      </c>
      <c r="C9" s="21" t="n">
        <f aca="false">IF(C$6&lt;='Rent roll'!$E10,'Rent roll'!$C10,IF(C$6='Rent roll'!$F10,'Rent roll'!$G10*LetFrac,'Rent roll'!$G10))</f>
        <v>229600</v>
      </c>
      <c r="D9" s="21" t="n">
        <f aca="false">IF(D$6&lt;='Rent roll'!$E10,'Rent roll'!$C10,IF(D$6='Rent roll'!$F10,'Rent roll'!$G10*LetFrac,'Rent roll'!$G10))</f>
        <v>229600</v>
      </c>
      <c r="E9" s="21" t="n">
        <f aca="false">IF(E$6&lt;='Rent roll'!$E10,'Rent roll'!$C10,IF(E$6='Rent roll'!$F10,'Rent roll'!$G10*LetFrac,'Rent roll'!$G10))</f>
        <v>229600</v>
      </c>
      <c r="F9" s="21" t="n">
        <f aca="false">IF(F$6&lt;='Rent roll'!$E10,'Rent roll'!$C10,IF(F$6='Rent roll'!$F10,'Rent roll'!$G10*LetFrac,'Rent roll'!$G10))</f>
        <v>229600</v>
      </c>
      <c r="G9" s="21" t="n">
        <f aca="false">IF(G$6&lt;='Rent roll'!$E10,'Rent roll'!$C10,IF(G$6='Rent roll'!$F10,'Rent roll'!$G10*LetFrac,'Rent roll'!$G10))</f>
        <v>229600</v>
      </c>
      <c r="H9" s="21" t="n">
        <f aca="false">IF(H$6&lt;='Rent roll'!$E10,'Rent roll'!$C10,IF(H$6='Rent roll'!$F10,'Rent roll'!$G10*LetFrac,'Rent roll'!$G10))</f>
        <v>229600</v>
      </c>
      <c r="I9" s="21" t="n">
        <f aca="false">IF(I$6&lt;='Rent roll'!$E10,'Rent roll'!$C10,IF(I$6='Rent roll'!$F10,'Rent roll'!$G10*LetFrac,'Rent roll'!$G10))</f>
        <v>229600</v>
      </c>
      <c r="J9" s="21" t="n">
        <f aca="false">IF(J$6&lt;='Rent roll'!$E10,'Rent roll'!$C10,IF(J$6='Rent roll'!$F10,'Rent roll'!$G10*LetFrac,'Rent roll'!$G10))</f>
        <v>229600</v>
      </c>
      <c r="K9" s="21" t="n">
        <f aca="false">IF(K$6&lt;='Rent roll'!$E10,'Rent roll'!$C10,IF(K$6='Rent roll'!$F10,'Rent roll'!$G10*LetFrac,'Rent roll'!$G10))</f>
        <v>80144.493668377</v>
      </c>
      <c r="L9" s="21" t="n">
        <f aca="false">IF(L$6&lt;='Rent roll'!$E10,'Rent roll'!$C10,IF(L$6='Rent roll'!$F10,'Rent roll'!$G10*LetFrac,'Rent roll'!$G10))</f>
        <v>320577.974673508</v>
      </c>
      <c r="M9" s="21" t="n">
        <f aca="false">IF(M$6&lt;='Rent roll'!$E10,'Rent roll'!$C10,IF(M$6='Rent roll'!$F10,'Rent roll'!$G10*LetFrac,'Rent roll'!$G10))</f>
        <v>320577.974673508</v>
      </c>
      <c r="N9" s="21" t="n">
        <f aca="false">IF(N$6&lt;='Rent roll'!$E10,'Rent roll'!$C10,IF(N$6='Rent roll'!$F10,'Rent roll'!$G10*LetFrac,'Rent roll'!$G10))</f>
        <v>320577.974673508</v>
      </c>
      <c r="O9" s="21" t="n">
        <f aca="false">IF(O$6&lt;='Rent roll'!$E10,'Rent roll'!$C10,IF(O$6='Rent roll'!$F10,'Rent roll'!$G10*LetFrac,'Rent roll'!$G10))</f>
        <v>320577.974673508</v>
      </c>
      <c r="P9" s="21" t="n">
        <f aca="false">IF(P$6&lt;='Rent roll'!$E10,'Rent roll'!$C10,IF(P$6='Rent roll'!$F10,'Rent roll'!$G10*LetFrac,'Rent roll'!$G10))</f>
        <v>320577.974673508</v>
      </c>
      <c r="Q9" s="21" t="n">
        <f aca="false">IF(Q$6&lt;='Rent roll'!$E10,'Rent roll'!$C10,IF(Q$6='Rent roll'!$F10,'Rent roll'!$G10*LetFrac,'Rent roll'!$G10))</f>
        <v>320577.974673508</v>
      </c>
    </row>
    <row r="10" customFormat="false" ht="15" hidden="false" customHeight="false" outlineLevel="0" collapsed="false">
      <c r="A10" s="7" t="str">
        <f aca="false">'Rent roll'!$A11</f>
        <v>Struan Instruments</v>
      </c>
      <c r="B10" s="21" t="n">
        <f aca="false">IF(B$6&lt;='Rent roll'!$E11,'Rent roll'!$C11,IF(B$6='Rent roll'!$F11,'Rent roll'!$G11*LetFrac,'Rent roll'!$G11))</f>
        <v>183400</v>
      </c>
      <c r="C10" s="21" t="n">
        <f aca="false">IF(C$6&lt;='Rent roll'!$E11,'Rent roll'!$C11,IF(C$6='Rent roll'!$F11,'Rent roll'!$G11*LetFrac,'Rent roll'!$G11))</f>
        <v>183400</v>
      </c>
      <c r="D10" s="21" t="n">
        <f aca="false">IF(D$6&lt;='Rent roll'!$E11,'Rent roll'!$C11,IF(D$6='Rent roll'!$F11,'Rent roll'!$G11*LetFrac,'Rent roll'!$G11))</f>
        <v>183400</v>
      </c>
      <c r="E10" s="21" t="n">
        <f aca="false">IF(E$6&lt;='Rent roll'!$E11,'Rent roll'!$C11,IF(E$6='Rent roll'!$F11,'Rent roll'!$G11*LetFrac,'Rent roll'!$G11))</f>
        <v>183400</v>
      </c>
      <c r="F10" s="21" t="n">
        <f aca="false">IF(F$6&lt;='Rent roll'!$E11,'Rent roll'!$C11,IF(F$6='Rent roll'!$F11,'Rent roll'!$G11*LetFrac,'Rent roll'!$G11))</f>
        <v>183400</v>
      </c>
      <c r="G10" s="21" t="n">
        <f aca="false">IF(G$6&lt;='Rent roll'!$E11,'Rent roll'!$C11,IF(G$6='Rent roll'!$F11,'Rent roll'!$G11*LetFrac,'Rent roll'!$G11))</f>
        <v>58566.3111373992</v>
      </c>
      <c r="H10" s="21" t="n">
        <f aca="false">IF(H$6&lt;='Rent roll'!$E11,'Rent roll'!$C11,IF(H$6='Rent roll'!$F11,'Rent roll'!$G11*LetFrac,'Rent roll'!$G11))</f>
        <v>234265.244549597</v>
      </c>
      <c r="I10" s="21" t="n">
        <f aca="false">IF(I$6&lt;='Rent roll'!$E11,'Rent roll'!$C11,IF(I$6='Rent roll'!$F11,'Rent roll'!$G11*LetFrac,'Rent roll'!$G11))</f>
        <v>234265.244549597</v>
      </c>
      <c r="J10" s="21" t="n">
        <f aca="false">IF(J$6&lt;='Rent roll'!$E11,'Rent roll'!$C11,IF(J$6='Rent roll'!$F11,'Rent roll'!$G11*LetFrac,'Rent roll'!$G11))</f>
        <v>234265.244549597</v>
      </c>
      <c r="K10" s="21" t="n">
        <f aca="false">IF(K$6&lt;='Rent roll'!$E11,'Rent roll'!$C11,IF(K$6='Rent roll'!$F11,'Rent roll'!$G11*LetFrac,'Rent roll'!$G11))</f>
        <v>234265.244549597</v>
      </c>
      <c r="L10" s="21" t="n">
        <f aca="false">IF(L$6&lt;='Rent roll'!$E11,'Rent roll'!$C11,IF(L$6='Rent roll'!$F11,'Rent roll'!$G11*LetFrac,'Rent roll'!$G11))</f>
        <v>234265.244549597</v>
      </c>
      <c r="M10" s="21" t="n">
        <f aca="false">IF(M$6&lt;='Rent roll'!$E11,'Rent roll'!$C11,IF(M$6='Rent roll'!$F11,'Rent roll'!$G11*LetFrac,'Rent roll'!$G11))</f>
        <v>234265.244549597</v>
      </c>
      <c r="N10" s="21" t="n">
        <f aca="false">IF(N$6&lt;='Rent roll'!$E11,'Rent roll'!$C11,IF(N$6='Rent roll'!$F11,'Rent roll'!$G11*LetFrac,'Rent roll'!$G11))</f>
        <v>234265.244549597</v>
      </c>
      <c r="O10" s="21" t="n">
        <f aca="false">IF(O$6&lt;='Rent roll'!$E11,'Rent roll'!$C11,IF(O$6='Rent roll'!$F11,'Rent roll'!$G11*LetFrac,'Rent roll'!$G11))</f>
        <v>234265.244549597</v>
      </c>
      <c r="P10" s="21" t="n">
        <f aca="false">IF(P$6&lt;='Rent roll'!$E11,'Rent roll'!$C11,IF(P$6='Rent roll'!$F11,'Rent roll'!$G11*LetFrac,'Rent roll'!$G11))</f>
        <v>234265.244549597</v>
      </c>
      <c r="Q10" s="21" t="n">
        <f aca="false">IF(Q$6&lt;='Rent roll'!$E11,'Rent roll'!$C11,IF(Q$6='Rent roll'!$F11,'Rent roll'!$G11*LetFrac,'Rent roll'!$G11))</f>
        <v>234265.244549597</v>
      </c>
    </row>
    <row r="11" customFormat="false" ht="15" hidden="false" customHeight="false" outlineLevel="0" collapsed="false">
      <c r="A11" s="7" t="str">
        <f aca="false">'Rent roll'!$A12</f>
        <v>Balvaig Textiles</v>
      </c>
      <c r="B11" s="21" t="n">
        <f aca="false">IF(B$6&lt;='Rent roll'!$E12,'Rent roll'!$C12,IF(B$6='Rent roll'!$F12,'Rent roll'!$G12*LetFrac,'Rent roll'!$G12))</f>
        <v>117600</v>
      </c>
      <c r="C11" s="21" t="n">
        <f aca="false">IF(C$6&lt;='Rent roll'!$E12,'Rent roll'!$C12,IF(C$6='Rent roll'!$F12,'Rent roll'!$G12*LetFrac,'Rent roll'!$G12))</f>
        <v>117600</v>
      </c>
      <c r="D11" s="21" t="n">
        <f aca="false">IF(D$6&lt;='Rent roll'!$E12,'Rent roll'!$C12,IF(D$6='Rent roll'!$F12,'Rent roll'!$G12*LetFrac,'Rent roll'!$G12))</f>
        <v>40983.845</v>
      </c>
      <c r="E11" s="21" t="n">
        <f aca="false">IF(E$6&lt;='Rent roll'!$E12,'Rent roll'!$C12,IF(E$6='Rent roll'!$F12,'Rent roll'!$G12*LetFrac,'Rent roll'!$G12))</f>
        <v>163935.38</v>
      </c>
      <c r="F11" s="21" t="n">
        <f aca="false">IF(F$6&lt;='Rent roll'!$E12,'Rent roll'!$C12,IF(F$6='Rent roll'!$F12,'Rent roll'!$G12*LetFrac,'Rent roll'!$G12))</f>
        <v>163935.38</v>
      </c>
      <c r="G11" s="21" t="n">
        <f aca="false">IF(G$6&lt;='Rent roll'!$E12,'Rent roll'!$C12,IF(G$6='Rent roll'!$F12,'Rent roll'!$G12*LetFrac,'Rent roll'!$G12))</f>
        <v>163935.38</v>
      </c>
      <c r="H11" s="21" t="n">
        <f aca="false">IF(H$6&lt;='Rent roll'!$E12,'Rent roll'!$C12,IF(H$6='Rent roll'!$F12,'Rent roll'!$G12*LetFrac,'Rent roll'!$G12))</f>
        <v>163935.38</v>
      </c>
      <c r="I11" s="21" t="n">
        <f aca="false">IF(I$6&lt;='Rent roll'!$E12,'Rent roll'!$C12,IF(I$6='Rent roll'!$F12,'Rent roll'!$G12*LetFrac,'Rent roll'!$G12))</f>
        <v>163935.38</v>
      </c>
      <c r="J11" s="21" t="n">
        <f aca="false">IF(J$6&lt;='Rent roll'!$E12,'Rent roll'!$C12,IF(J$6='Rent roll'!$F12,'Rent roll'!$G12*LetFrac,'Rent roll'!$G12))</f>
        <v>163935.38</v>
      </c>
      <c r="K11" s="21" t="n">
        <f aca="false">IF(K$6&lt;='Rent roll'!$E12,'Rent roll'!$C12,IF(K$6='Rent roll'!$F12,'Rent roll'!$G12*LetFrac,'Rent roll'!$G12))</f>
        <v>163935.38</v>
      </c>
      <c r="L11" s="21" t="n">
        <f aca="false">IF(L$6&lt;='Rent roll'!$E12,'Rent roll'!$C12,IF(L$6='Rent roll'!$F12,'Rent roll'!$G12*LetFrac,'Rent roll'!$G12))</f>
        <v>163935.38</v>
      </c>
      <c r="M11" s="21" t="n">
        <f aca="false">IF(M$6&lt;='Rent roll'!$E12,'Rent roll'!$C12,IF(M$6='Rent roll'!$F12,'Rent roll'!$G12*LetFrac,'Rent roll'!$G12))</f>
        <v>163935.38</v>
      </c>
      <c r="N11" s="21" t="n">
        <f aca="false">IF(N$6&lt;='Rent roll'!$E12,'Rent roll'!$C12,IF(N$6='Rent roll'!$F12,'Rent roll'!$G12*LetFrac,'Rent roll'!$G12))</f>
        <v>163935.38</v>
      </c>
      <c r="O11" s="21" t="n">
        <f aca="false">IF(O$6&lt;='Rent roll'!$E12,'Rent roll'!$C12,IF(O$6='Rent roll'!$F12,'Rent roll'!$G12*LetFrac,'Rent roll'!$G12))</f>
        <v>163935.38</v>
      </c>
      <c r="P11" s="21" t="n">
        <f aca="false">IF(P$6&lt;='Rent roll'!$E12,'Rent roll'!$C12,IF(P$6='Rent roll'!$F12,'Rent roll'!$G12*LetFrac,'Rent roll'!$G12))</f>
        <v>163935.38</v>
      </c>
      <c r="Q11" s="21" t="n">
        <f aca="false">IF(Q$6&lt;='Rent roll'!$E12,'Rent roll'!$C12,IF(Q$6='Rent roll'!$F12,'Rent roll'!$G12*LetFrac,'Rent roll'!$G12))</f>
        <v>163935.38</v>
      </c>
    </row>
    <row r="12" customFormat="false" ht="15" hidden="false" customHeight="false" outlineLevel="0" collapsed="false">
      <c r="A12" s="7" t="str">
        <f aca="false">'Rent roll'!$A13</f>
        <v>Corrour Systems</v>
      </c>
      <c r="B12" s="21" t="n">
        <f aca="false">IF(B$6&lt;='Rent roll'!$E13,'Rent roll'!$C13,IF(B$6='Rent roll'!$F13,'Rent roll'!$G13*LetFrac,'Rent roll'!$G13))</f>
        <v>129000</v>
      </c>
      <c r="C12" s="21" t="n">
        <f aca="false">IF(C$6&lt;='Rent roll'!$E13,'Rent roll'!$C13,IF(C$6='Rent roll'!$F13,'Rent roll'!$G13*LetFrac,'Rent roll'!$G13))</f>
        <v>129000</v>
      </c>
      <c r="D12" s="21" t="n">
        <f aca="false">IF(D$6&lt;='Rent roll'!$E13,'Rent roll'!$C13,IF(D$6='Rent roll'!$F13,'Rent roll'!$G13*LetFrac,'Rent roll'!$G13))</f>
        <v>129000</v>
      </c>
      <c r="E12" s="21" t="n">
        <f aca="false">IF(E$6&lt;='Rent roll'!$E13,'Rent roll'!$C13,IF(E$6='Rent roll'!$F13,'Rent roll'!$G13*LetFrac,'Rent roll'!$G13))</f>
        <v>129000</v>
      </c>
      <c r="F12" s="21" t="n">
        <f aca="false">IF(F$6&lt;='Rent roll'!$E13,'Rent roll'!$C13,IF(F$6='Rent roll'!$F13,'Rent roll'!$G13*LetFrac,'Rent roll'!$G13))</f>
        <v>129000</v>
      </c>
      <c r="G12" s="21" t="n">
        <f aca="false">IF(G$6&lt;='Rent roll'!$E13,'Rent roll'!$C13,IF(G$6='Rent roll'!$F13,'Rent roll'!$G13*LetFrac,'Rent roll'!$G13))</f>
        <v>129000</v>
      </c>
      <c r="H12" s="21" t="n">
        <f aca="false">IF(H$6&lt;='Rent roll'!$E13,'Rent roll'!$C13,IF(H$6='Rent roll'!$F13,'Rent roll'!$G13*LetFrac,'Rent roll'!$G13))</f>
        <v>129000</v>
      </c>
      <c r="I12" s="21" t="n">
        <f aca="false">IF(I$6&lt;='Rent roll'!$E13,'Rent roll'!$C13,IF(I$6='Rent roll'!$F13,'Rent roll'!$G13*LetFrac,'Rent roll'!$G13))</f>
        <v>129000</v>
      </c>
      <c r="J12" s="21" t="n">
        <f aca="false">IF(J$6&lt;='Rent roll'!$E13,'Rent roll'!$C13,IF(J$6='Rent roll'!$F13,'Rent roll'!$G13*LetFrac,'Rent roll'!$G13))</f>
        <v>129000</v>
      </c>
      <c r="K12" s="21" t="n">
        <f aca="false">IF(K$6&lt;='Rent roll'!$E13,'Rent roll'!$C13,IF(K$6='Rent roll'!$F13,'Rent roll'!$G13*LetFrac,'Rent roll'!$G13))</f>
        <v>129000</v>
      </c>
      <c r="L12" s="21" t="n">
        <f aca="false">IF(L$6&lt;='Rent roll'!$E13,'Rent roll'!$C13,IF(L$6='Rent roll'!$F13,'Rent roll'!$G13*LetFrac,'Rent roll'!$G13))</f>
        <v>129000</v>
      </c>
      <c r="M12" s="21" t="n">
        <f aca="false">IF(M$6&lt;='Rent roll'!$E13,'Rent roll'!$C13,IF(M$6='Rent roll'!$F13,'Rent roll'!$G13*LetFrac,'Rent roll'!$G13))</f>
        <v>43939.4813223788</v>
      </c>
      <c r="N12" s="21" t="n">
        <f aca="false">IF(N$6&lt;='Rent roll'!$E13,'Rent roll'!$C13,IF(N$6='Rent roll'!$F13,'Rent roll'!$G13*LetFrac,'Rent roll'!$G13))</f>
        <v>175757.925289515</v>
      </c>
      <c r="O12" s="21" t="n">
        <f aca="false">IF(O$6&lt;='Rent roll'!$E13,'Rent roll'!$C13,IF(O$6='Rent roll'!$F13,'Rent roll'!$G13*LetFrac,'Rent roll'!$G13))</f>
        <v>175757.925289515</v>
      </c>
      <c r="P12" s="21" t="n">
        <f aca="false">IF(P$6&lt;='Rent roll'!$E13,'Rent roll'!$C13,IF(P$6='Rent roll'!$F13,'Rent roll'!$G13*LetFrac,'Rent roll'!$G13))</f>
        <v>175757.925289515</v>
      </c>
      <c r="Q12" s="21" t="n">
        <f aca="false">IF(Q$6&lt;='Rent roll'!$E13,'Rent roll'!$C13,IF(Q$6='Rent roll'!$F13,'Rent roll'!$G13*LetFrac,'Rent roll'!$G13))</f>
        <v>175757.925289515</v>
      </c>
    </row>
    <row r="13" customFormat="false" ht="15" hidden="false" customHeight="false" outlineLevel="0" collapsed="false">
      <c r="A13" s="7" t="str">
        <f aca="false">'Rent roll'!$A14</f>
        <v>Dunardry Media</v>
      </c>
      <c r="B13" s="21" t="n">
        <f aca="false">IF(B$6&lt;='Rent roll'!$E14,'Rent roll'!$C14,IF(B$6='Rent roll'!$F14,'Rent roll'!$G14*LetFrac,'Rent roll'!$G14))</f>
        <v>93600</v>
      </c>
      <c r="C13" s="21" t="n">
        <f aca="false">IF(C$6&lt;='Rent roll'!$E14,'Rent roll'!$C14,IF(C$6='Rent roll'!$F14,'Rent roll'!$G14*LetFrac,'Rent roll'!$G14))</f>
        <v>93600</v>
      </c>
      <c r="D13" s="21" t="n">
        <f aca="false">IF(D$6&lt;='Rent roll'!$E14,'Rent roll'!$C14,IF(D$6='Rent roll'!$F14,'Rent roll'!$G14*LetFrac,'Rent roll'!$G14))</f>
        <v>93600</v>
      </c>
      <c r="E13" s="21" t="n">
        <f aca="false">IF(E$6&lt;='Rent roll'!$E14,'Rent roll'!$C14,IF(E$6='Rent roll'!$F14,'Rent roll'!$G14*LetFrac,'Rent roll'!$G14))</f>
        <v>93600</v>
      </c>
      <c r="F13" s="21" t="n">
        <f aca="false">IF(F$6&lt;='Rent roll'!$E14,'Rent roll'!$C14,IF(F$6='Rent roll'!$F14,'Rent roll'!$G14*LetFrac,'Rent roll'!$G14))</f>
        <v>31480.799581125</v>
      </c>
      <c r="G13" s="21" t="n">
        <f aca="false">IF(G$6&lt;='Rent roll'!$E14,'Rent roll'!$C14,IF(G$6='Rent roll'!$F14,'Rent roll'!$G14*LetFrac,'Rent roll'!$G14))</f>
        <v>125923.1983245</v>
      </c>
      <c r="H13" s="21" t="n">
        <f aca="false">IF(H$6&lt;='Rent roll'!$E14,'Rent roll'!$C14,IF(H$6='Rent roll'!$F14,'Rent roll'!$G14*LetFrac,'Rent roll'!$G14))</f>
        <v>125923.1983245</v>
      </c>
      <c r="I13" s="21" t="n">
        <f aca="false">IF(I$6&lt;='Rent roll'!$E14,'Rent roll'!$C14,IF(I$6='Rent roll'!$F14,'Rent roll'!$G14*LetFrac,'Rent roll'!$G14))</f>
        <v>125923.1983245</v>
      </c>
      <c r="J13" s="21" t="n">
        <f aca="false">IF(J$6&lt;='Rent roll'!$E14,'Rent roll'!$C14,IF(J$6='Rent roll'!$F14,'Rent roll'!$G14*LetFrac,'Rent roll'!$G14))</f>
        <v>125923.1983245</v>
      </c>
      <c r="K13" s="21" t="n">
        <f aca="false">IF(K$6&lt;='Rent roll'!$E14,'Rent roll'!$C14,IF(K$6='Rent roll'!$F14,'Rent roll'!$G14*LetFrac,'Rent roll'!$G14))</f>
        <v>125923.1983245</v>
      </c>
      <c r="L13" s="21" t="n">
        <f aca="false">IF(L$6&lt;='Rent roll'!$E14,'Rent roll'!$C14,IF(L$6='Rent roll'!$F14,'Rent roll'!$G14*LetFrac,'Rent roll'!$G14))</f>
        <v>125923.1983245</v>
      </c>
      <c r="M13" s="21" t="n">
        <f aca="false">IF(M$6&lt;='Rent roll'!$E14,'Rent roll'!$C14,IF(M$6='Rent roll'!$F14,'Rent roll'!$G14*LetFrac,'Rent roll'!$G14))</f>
        <v>125923.1983245</v>
      </c>
      <c r="N13" s="21" t="n">
        <f aca="false">IF(N$6&lt;='Rent roll'!$E14,'Rent roll'!$C14,IF(N$6='Rent roll'!$F14,'Rent roll'!$G14*LetFrac,'Rent roll'!$G14))</f>
        <v>125923.1983245</v>
      </c>
      <c r="O13" s="21" t="n">
        <f aca="false">IF(O$6&lt;='Rent roll'!$E14,'Rent roll'!$C14,IF(O$6='Rent roll'!$F14,'Rent roll'!$G14*LetFrac,'Rent roll'!$G14))</f>
        <v>125923.1983245</v>
      </c>
      <c r="P13" s="21" t="n">
        <f aca="false">IF(P$6&lt;='Rent roll'!$E14,'Rent roll'!$C14,IF(P$6='Rent roll'!$F14,'Rent roll'!$G14*LetFrac,'Rent roll'!$G14))</f>
        <v>125923.1983245</v>
      </c>
      <c r="Q13" s="21" t="n">
        <f aca="false">IF(Q$6&lt;='Rent roll'!$E14,'Rent roll'!$C14,IF(Q$6='Rent roll'!$F14,'Rent roll'!$G14*LetFrac,'Rent roll'!$G14))</f>
        <v>125923.1983245</v>
      </c>
    </row>
    <row r="14" customFormat="false" ht="15" hidden="false" customHeight="false" outlineLevel="0" collapsed="false">
      <c r="A14" s="7" t="str">
        <f aca="false">'Rent roll'!$A15</f>
        <v>Eilanreach Labs</v>
      </c>
      <c r="B14" s="21" t="n">
        <f aca="false">IF(B$6&lt;='Rent roll'!$E15,'Rent roll'!$C15,IF(B$6='Rent roll'!$F15,'Rent roll'!$G15*LetFrac,'Rent roll'!$G15))</f>
        <v>92800</v>
      </c>
      <c r="C14" s="21" t="n">
        <f aca="false">IF(C$6&lt;='Rent roll'!$E15,'Rent roll'!$C15,IF(C$6='Rent roll'!$F15,'Rent roll'!$G15*LetFrac,'Rent roll'!$G15))</f>
        <v>92800</v>
      </c>
      <c r="D14" s="21" t="n">
        <f aca="false">IF(D$6&lt;='Rent roll'!$E15,'Rent roll'!$C15,IF(D$6='Rent roll'!$F15,'Rent roll'!$G15*LetFrac,'Rent roll'!$G15))</f>
        <v>92800</v>
      </c>
      <c r="E14" s="21" t="n">
        <f aca="false">IF(E$6&lt;='Rent roll'!$E15,'Rent roll'!$C15,IF(E$6='Rent roll'!$F15,'Rent roll'!$G15*LetFrac,'Rent roll'!$G15))</f>
        <v>92800</v>
      </c>
      <c r="F14" s="21" t="n">
        <f aca="false">IF(F$6&lt;='Rent roll'!$E15,'Rent roll'!$C15,IF(F$6='Rent roll'!$F15,'Rent roll'!$G15*LetFrac,'Rent roll'!$G15))</f>
        <v>92800</v>
      </c>
      <c r="G14" s="21" t="n">
        <f aca="false">IF(G$6&lt;='Rent roll'!$E15,'Rent roll'!$C15,IF(G$6='Rent roll'!$F15,'Rent roll'!$G15*LetFrac,'Rent roll'!$G15))</f>
        <v>92800</v>
      </c>
      <c r="H14" s="21" t="n">
        <f aca="false">IF(H$6&lt;='Rent roll'!$E15,'Rent roll'!$C15,IF(H$6='Rent roll'!$F15,'Rent roll'!$G15*LetFrac,'Rent roll'!$G15))</f>
        <v>92800</v>
      </c>
      <c r="I14" s="21" t="n">
        <f aca="false">IF(I$6&lt;='Rent roll'!$E15,'Rent roll'!$C15,IF(I$6='Rent roll'!$F15,'Rent roll'!$G15*LetFrac,'Rent roll'!$G15))</f>
        <v>92800</v>
      </c>
      <c r="J14" s="21" t="n">
        <f aca="false">IF(J$6&lt;='Rent roll'!$E15,'Rent roll'!$C15,IF(J$6='Rent roll'!$F15,'Rent roll'!$G15*LetFrac,'Rent roll'!$G15))</f>
        <v>30587.6772304617</v>
      </c>
      <c r="K14" s="21" t="n">
        <f aca="false">IF(K$6&lt;='Rent roll'!$E15,'Rent roll'!$C15,IF(K$6='Rent roll'!$F15,'Rent roll'!$G15*LetFrac,'Rent roll'!$G15))</f>
        <v>122350.708921847</v>
      </c>
      <c r="L14" s="21" t="n">
        <f aca="false">IF(L$6&lt;='Rent roll'!$E15,'Rent roll'!$C15,IF(L$6='Rent roll'!$F15,'Rent roll'!$G15*LetFrac,'Rent roll'!$G15))</f>
        <v>122350.708921847</v>
      </c>
      <c r="M14" s="21" t="n">
        <f aca="false">IF(M$6&lt;='Rent roll'!$E15,'Rent roll'!$C15,IF(M$6='Rent roll'!$F15,'Rent roll'!$G15*LetFrac,'Rent roll'!$G15))</f>
        <v>122350.708921847</v>
      </c>
      <c r="N14" s="21" t="n">
        <f aca="false">IF(N$6&lt;='Rent roll'!$E15,'Rent roll'!$C15,IF(N$6='Rent roll'!$F15,'Rent roll'!$G15*LetFrac,'Rent roll'!$G15))</f>
        <v>122350.708921847</v>
      </c>
      <c r="O14" s="21" t="n">
        <f aca="false">IF(O$6&lt;='Rent roll'!$E15,'Rent roll'!$C15,IF(O$6='Rent roll'!$F15,'Rent roll'!$G15*LetFrac,'Rent roll'!$G15))</f>
        <v>122350.708921847</v>
      </c>
      <c r="P14" s="21" t="n">
        <f aca="false">IF(P$6&lt;='Rent roll'!$E15,'Rent roll'!$C15,IF(P$6='Rent roll'!$F15,'Rent roll'!$G15*LetFrac,'Rent roll'!$G15))</f>
        <v>122350.708921847</v>
      </c>
      <c r="Q14" s="21" t="n">
        <f aca="false">IF(Q$6&lt;='Rent roll'!$E15,'Rent roll'!$C15,IF(Q$6='Rent roll'!$F15,'Rent roll'!$G15*LetFrac,'Rent roll'!$G15))</f>
        <v>122350.708921847</v>
      </c>
    </row>
    <row r="15" customFormat="false" ht="15" hidden="false" customHeight="false" outlineLevel="0" collapsed="false">
      <c r="A15" s="7" t="str">
        <f aca="false">'Rent roll'!$A16</f>
        <v>Unit 9 (empty at acquisition)</v>
      </c>
      <c r="B15" s="21" t="n">
        <f aca="false">IF(B$6&lt;='Rent roll'!$E16,'Rent roll'!$C16,IF(B$6='Rent roll'!$F16,'Rent roll'!$G16*LetFrac,'Rent roll'!$G16))</f>
        <v>58078</v>
      </c>
      <c r="C15" s="21" t="n">
        <f aca="false">IF(C$6&lt;='Rent roll'!$E16,'Rent roll'!$C16,IF(C$6='Rent roll'!$F16,'Rent roll'!$G16*LetFrac,'Rent roll'!$G16))</f>
        <v>232312</v>
      </c>
      <c r="D15" s="21" t="n">
        <f aca="false">IF(D$6&lt;='Rent roll'!$E16,'Rent roll'!$C16,IF(D$6='Rent roll'!$F16,'Rent roll'!$G16*LetFrac,'Rent roll'!$G16))</f>
        <v>232312</v>
      </c>
      <c r="E15" s="21" t="n">
        <f aca="false">IF(E$6&lt;='Rent roll'!$E16,'Rent roll'!$C16,IF(E$6='Rent roll'!$F16,'Rent roll'!$G16*LetFrac,'Rent roll'!$G16))</f>
        <v>232312</v>
      </c>
      <c r="F15" s="21" t="n">
        <f aca="false">IF(F$6&lt;='Rent roll'!$E16,'Rent roll'!$C16,IF(F$6='Rent roll'!$F16,'Rent roll'!$G16*LetFrac,'Rent roll'!$G16))</f>
        <v>232312</v>
      </c>
      <c r="G15" s="21" t="n">
        <f aca="false">IF(G$6&lt;='Rent roll'!$E16,'Rent roll'!$C16,IF(G$6='Rent roll'!$F16,'Rent roll'!$G16*LetFrac,'Rent roll'!$G16))</f>
        <v>232312</v>
      </c>
      <c r="H15" s="21" t="n">
        <f aca="false">IF(H$6&lt;='Rent roll'!$E16,'Rent roll'!$C16,IF(H$6='Rent roll'!$F16,'Rent roll'!$G16*LetFrac,'Rent roll'!$G16))</f>
        <v>232312</v>
      </c>
      <c r="I15" s="21" t="n">
        <f aca="false">IF(I$6&lt;='Rent roll'!$E16,'Rent roll'!$C16,IF(I$6='Rent roll'!$F16,'Rent roll'!$G16*LetFrac,'Rent roll'!$G16))</f>
        <v>232312</v>
      </c>
      <c r="J15" s="21" t="n">
        <f aca="false">IF(J$6&lt;='Rent roll'!$E16,'Rent roll'!$C16,IF(J$6='Rent roll'!$F16,'Rent roll'!$G16*LetFrac,'Rent roll'!$G16))</f>
        <v>232312</v>
      </c>
      <c r="K15" s="21" t="n">
        <f aca="false">IF(K$6&lt;='Rent roll'!$E16,'Rent roll'!$C16,IF(K$6='Rent roll'!$F16,'Rent roll'!$G16*LetFrac,'Rent roll'!$G16))</f>
        <v>232312</v>
      </c>
      <c r="L15" s="21" t="n">
        <f aca="false">IF(L$6&lt;='Rent roll'!$E16,'Rent roll'!$C16,IF(L$6='Rent roll'!$F16,'Rent roll'!$G16*LetFrac,'Rent roll'!$G16))</f>
        <v>232312</v>
      </c>
      <c r="M15" s="21" t="n">
        <f aca="false">IF(M$6&lt;='Rent roll'!$E16,'Rent roll'!$C16,IF(M$6='Rent roll'!$F16,'Rent roll'!$G16*LetFrac,'Rent roll'!$G16))</f>
        <v>232312</v>
      </c>
      <c r="N15" s="21" t="n">
        <f aca="false">IF(N$6&lt;='Rent roll'!$E16,'Rent roll'!$C16,IF(N$6='Rent roll'!$F16,'Rent roll'!$G16*LetFrac,'Rent roll'!$G16))</f>
        <v>232312</v>
      </c>
      <c r="O15" s="21" t="n">
        <f aca="false">IF(O$6&lt;='Rent roll'!$E16,'Rent roll'!$C16,IF(O$6='Rent roll'!$F16,'Rent roll'!$G16*LetFrac,'Rent roll'!$G16))</f>
        <v>232312</v>
      </c>
      <c r="P15" s="21" t="n">
        <f aca="false">IF(P$6&lt;='Rent roll'!$E16,'Rent roll'!$C16,IF(P$6='Rent roll'!$F16,'Rent roll'!$G16*LetFrac,'Rent roll'!$G16))</f>
        <v>232312</v>
      </c>
      <c r="Q15" s="21" t="n">
        <f aca="false">IF(Q$6&lt;='Rent roll'!$E16,'Rent roll'!$C16,IF(Q$6='Rent roll'!$F16,'Rent roll'!$G16*LetFrac,'Rent roll'!$G16))</f>
        <v>232312</v>
      </c>
    </row>
    <row r="16" customFormat="false" ht="15" hidden="false" customHeight="false" outlineLevel="0" collapsed="false">
      <c r="A16" s="7" t="str">
        <f aca="false">'Rent roll'!$A17</f>
        <v>Unit 12 (empty at acquisition)</v>
      </c>
      <c r="B16" s="21" t="n">
        <f aca="false">IF(B$6&lt;='Rent roll'!$E17,'Rent roll'!$C17,IF(B$6='Rent roll'!$F17,'Rent roll'!$G17*LetFrac,'Rent roll'!$G17))</f>
        <v>64417.5</v>
      </c>
      <c r="C16" s="21" t="n">
        <f aca="false">IF(C$6&lt;='Rent roll'!$E17,'Rent roll'!$C17,IF(C$6='Rent roll'!$F17,'Rent roll'!$G17*LetFrac,'Rent roll'!$G17))</f>
        <v>257670</v>
      </c>
      <c r="D16" s="21" t="n">
        <f aca="false">IF(D$6&lt;='Rent roll'!$E17,'Rent roll'!$C17,IF(D$6='Rent roll'!$F17,'Rent roll'!$G17*LetFrac,'Rent roll'!$G17))</f>
        <v>257670</v>
      </c>
      <c r="E16" s="21" t="n">
        <f aca="false">IF(E$6&lt;='Rent roll'!$E17,'Rent roll'!$C17,IF(E$6='Rent roll'!$F17,'Rent roll'!$G17*LetFrac,'Rent roll'!$G17))</f>
        <v>257670</v>
      </c>
      <c r="F16" s="21" t="n">
        <f aca="false">IF(F$6&lt;='Rent roll'!$E17,'Rent roll'!$C17,IF(F$6='Rent roll'!$F17,'Rent roll'!$G17*LetFrac,'Rent roll'!$G17))</f>
        <v>257670</v>
      </c>
      <c r="G16" s="21" t="n">
        <f aca="false">IF(G$6&lt;='Rent roll'!$E17,'Rent roll'!$C17,IF(G$6='Rent roll'!$F17,'Rent roll'!$G17*LetFrac,'Rent roll'!$G17))</f>
        <v>257670</v>
      </c>
      <c r="H16" s="21" t="n">
        <f aca="false">IF(H$6&lt;='Rent roll'!$E17,'Rent roll'!$C17,IF(H$6='Rent roll'!$F17,'Rent roll'!$G17*LetFrac,'Rent roll'!$G17))</f>
        <v>257670</v>
      </c>
      <c r="I16" s="21" t="n">
        <f aca="false">IF(I$6&lt;='Rent roll'!$E17,'Rent roll'!$C17,IF(I$6='Rent roll'!$F17,'Rent roll'!$G17*LetFrac,'Rent roll'!$G17))</f>
        <v>257670</v>
      </c>
      <c r="J16" s="21" t="n">
        <f aca="false">IF(J$6&lt;='Rent roll'!$E17,'Rent roll'!$C17,IF(J$6='Rent roll'!$F17,'Rent roll'!$G17*LetFrac,'Rent roll'!$G17))</f>
        <v>257670</v>
      </c>
      <c r="K16" s="21" t="n">
        <f aca="false">IF(K$6&lt;='Rent roll'!$E17,'Rent roll'!$C17,IF(K$6='Rent roll'!$F17,'Rent roll'!$G17*LetFrac,'Rent roll'!$G17))</f>
        <v>257670</v>
      </c>
      <c r="L16" s="21" t="n">
        <f aca="false">IF(L$6&lt;='Rent roll'!$E17,'Rent roll'!$C17,IF(L$6='Rent roll'!$F17,'Rent roll'!$G17*LetFrac,'Rent roll'!$G17))</f>
        <v>257670</v>
      </c>
      <c r="M16" s="21" t="n">
        <f aca="false">IF(M$6&lt;='Rent roll'!$E17,'Rent roll'!$C17,IF(M$6='Rent roll'!$F17,'Rent roll'!$G17*LetFrac,'Rent roll'!$G17))</f>
        <v>257670</v>
      </c>
      <c r="N16" s="21" t="n">
        <f aca="false">IF(N$6&lt;='Rent roll'!$E17,'Rent roll'!$C17,IF(N$6='Rent roll'!$F17,'Rent roll'!$G17*LetFrac,'Rent roll'!$G17))</f>
        <v>257670</v>
      </c>
      <c r="O16" s="21" t="n">
        <f aca="false">IF(O$6&lt;='Rent roll'!$E17,'Rent roll'!$C17,IF(O$6='Rent roll'!$F17,'Rent roll'!$G17*LetFrac,'Rent roll'!$G17))</f>
        <v>257670</v>
      </c>
      <c r="P16" s="21" t="n">
        <f aca="false">IF(P$6&lt;='Rent roll'!$E17,'Rent roll'!$C17,IF(P$6='Rent roll'!$F17,'Rent roll'!$G17*LetFrac,'Rent roll'!$G17))</f>
        <v>257670</v>
      </c>
      <c r="Q16" s="21" t="n">
        <f aca="false">IF(Q$6&lt;='Rent roll'!$E17,'Rent roll'!$C17,IF(Q$6='Rent roll'!$F17,'Rent roll'!$G17*LetFrac,'Rent roll'!$G17))</f>
        <v>257670</v>
      </c>
    </row>
    <row r="17" customFormat="false" ht="15" hidden="false" customHeight="false" outlineLevel="0" collapsed="false">
      <c r="A17" s="7" t="s">
        <v>145</v>
      </c>
      <c r="B17" s="21" t="n">
        <f aca="false">SUM(B7:B16)</f>
        <v>1698395.5</v>
      </c>
      <c r="C17" s="21" t="n">
        <f aca="false">SUM(C7:C16)</f>
        <v>2065882</v>
      </c>
      <c r="D17" s="21" t="n">
        <f aca="false">SUM(D7:D16)</f>
        <v>1989265.845</v>
      </c>
      <c r="E17" s="21" t="n">
        <f aca="false">SUM(E7:E16)</f>
        <v>1939484.5671375</v>
      </c>
      <c r="F17" s="21" t="n">
        <f aca="false">SUM(F7:F16)</f>
        <v>2131366.92813113</v>
      </c>
      <c r="G17" s="21" t="n">
        <f aca="false">SUM(G7:G16)</f>
        <v>2100975.6380119</v>
      </c>
      <c r="H17" s="21" t="n">
        <f aca="false">SUM(H7:H16)</f>
        <v>2276674.5714241</v>
      </c>
      <c r="I17" s="21" t="n">
        <f aca="false">SUM(I7:I16)</f>
        <v>1951410.48718809</v>
      </c>
      <c r="J17" s="21" t="n">
        <f aca="false">SUM(J7:J16)</f>
        <v>2330905.91171051</v>
      </c>
      <c r="K17" s="21" t="n">
        <f aca="false">SUM(K7:K16)</f>
        <v>2273213.43707028</v>
      </c>
      <c r="L17" s="21" t="n">
        <f aca="false">SUM(L7:L16)</f>
        <v>2513646.91807541</v>
      </c>
      <c r="M17" s="21" t="n">
        <f aca="false">SUM(M7:M16)</f>
        <v>2428586.39939779</v>
      </c>
      <c r="N17" s="21" t="n">
        <f aca="false">SUM(N7:N16)</f>
        <v>2560404.84336492</v>
      </c>
      <c r="O17" s="21" t="n">
        <f aca="false">SUM(O7:O16)</f>
        <v>2560404.84336492</v>
      </c>
      <c r="P17" s="21" t="n">
        <f aca="false">SUM(P7:P16)</f>
        <v>2560404.84336492</v>
      </c>
      <c r="Q17" s="21" t="n">
        <f aca="false">SUM(Q7:Q16)</f>
        <v>2560404.84336492</v>
      </c>
    </row>
    <row r="18" customFormat="false" ht="15" hidden="false" customHeight="false" outlineLevel="0" collapsed="false">
      <c r="A18" s="7" t="s">
        <v>106</v>
      </c>
      <c r="B18" s="21" t="n">
        <f aca="false">SUMPRODUCT(('Rent roll'!$F$8:$F$17=B$6)*'Rent roll'!$H$8:$H$17)</f>
        <v>73497.3</v>
      </c>
      <c r="C18" s="21" t="n">
        <f aca="false">SUMPRODUCT(('Rent roll'!$F$8:$F$17=C$6)*'Rent roll'!$H$8:$H$17)</f>
        <v>0</v>
      </c>
      <c r="D18" s="21" t="n">
        <f aca="false">SUMPRODUCT(('Rent roll'!$F$8:$F$17=D$6)*'Rent roll'!$H$8:$H$17)</f>
        <v>24590.307</v>
      </c>
      <c r="E18" s="21" t="n">
        <f aca="false">SUMPRODUCT(('Rent roll'!$F$8:$F$17=E$6)*'Rent roll'!$H$8:$H$17)</f>
        <v>50800.3122825</v>
      </c>
      <c r="F18" s="21" t="n">
        <f aca="false">SUMPRODUCT(('Rent roll'!$F$8:$F$17=F$6)*'Rent roll'!$H$8:$H$17)</f>
        <v>18888.479748675</v>
      </c>
      <c r="G18" s="21" t="n">
        <f aca="false">SUMPRODUCT(('Rent roll'!$F$8:$F$17=G$6)*'Rent roll'!$H$8:$H$17)</f>
        <v>35139.7866824395</v>
      </c>
      <c r="H18" s="21" t="n">
        <f aca="false">SUMPRODUCT(('Rent roll'!$F$8:$F$17=H$6)*'Rent roll'!$H$8:$H$17)</f>
        <v>0</v>
      </c>
      <c r="I18" s="21" t="n">
        <f aca="false">SUMPRODUCT(('Rent roll'!$F$8:$F$17=I$6)*'Rent roll'!$H$8:$H$17)</f>
        <v>88341.5494583934</v>
      </c>
      <c r="J18" s="21" t="n">
        <f aca="false">SUMPRODUCT(('Rent roll'!$F$8:$F$17=J$6)*'Rent roll'!$H$8:$H$17)</f>
        <v>18352.606338277</v>
      </c>
      <c r="K18" s="21" t="n">
        <f aca="false">SUMPRODUCT(('Rent roll'!$F$8:$F$17=K$6)*'Rent roll'!$H$8:$H$17)</f>
        <v>48086.6962010262</v>
      </c>
      <c r="L18" s="21" t="n">
        <f aca="false">SUMPRODUCT(('Rent roll'!$F$8:$F$17=L$6)*'Rent roll'!$H$8:$H$17)</f>
        <v>0</v>
      </c>
      <c r="M18" s="21" t="n">
        <f aca="false">SUMPRODUCT(('Rent roll'!$F$8:$F$17=M$6)*'Rent roll'!$H$8:$H$17)</f>
        <v>26363.6887934273</v>
      </c>
      <c r="N18" s="21" t="n">
        <f aca="false">SUMPRODUCT(('Rent roll'!$F$8:$F$17=N$6)*'Rent roll'!$H$8:$H$17)</f>
        <v>0</v>
      </c>
      <c r="O18" s="21" t="n">
        <f aca="false">SUMPRODUCT(('Rent roll'!$F$8:$F$17=O$6)*'Rent roll'!$H$8:$H$17)</f>
        <v>0</v>
      </c>
      <c r="P18" s="21" t="n">
        <f aca="false">SUMPRODUCT(('Rent roll'!$F$8:$F$17=P$6)*'Rent roll'!$H$8:$H$17)</f>
        <v>0</v>
      </c>
      <c r="Q18" s="21" t="n">
        <f aca="false">SUMPRODUCT(('Rent roll'!$F$8:$F$17=Q$6)*'Rent roll'!$H$8:$H$17)</f>
        <v>0</v>
      </c>
    </row>
    <row r="19" customFormat="false" ht="15" hidden="false" customHeight="false" outlineLevel="0" collapsed="false">
      <c r="A19" s="7" t="s">
        <v>105</v>
      </c>
      <c r="B19" s="21" t="n">
        <f aca="false">B17*(1-NonRec-MgmtFee)</f>
        <v>1657634.008</v>
      </c>
      <c r="C19" s="21" t="n">
        <f aca="false">C17*(1-NonRec-MgmtFee)</f>
        <v>2016300.832</v>
      </c>
      <c r="D19" s="21" t="n">
        <f aca="false">D17*(1-NonRec-MgmtFee)</f>
        <v>1941523.46472</v>
      </c>
      <c r="E19" s="21" t="n">
        <f aca="false">E17*(1-NonRec-MgmtFee)</f>
        <v>1892936.9375262</v>
      </c>
      <c r="F19" s="21" t="n">
        <f aca="false">F17*(1-NonRec-MgmtFee)</f>
        <v>2080214.12185598</v>
      </c>
      <c r="G19" s="21" t="n">
        <f aca="false">G17*(1-NonRec-MgmtFee)</f>
        <v>2050552.22269961</v>
      </c>
      <c r="H19" s="21" t="n">
        <f aca="false">H17*(1-NonRec-MgmtFee)</f>
        <v>2222034.38170992</v>
      </c>
      <c r="I19" s="21" t="n">
        <f aca="false">I17*(1-NonRec-MgmtFee)</f>
        <v>1904576.63549557</v>
      </c>
      <c r="J19" s="21" t="n">
        <f aca="false">J17*(1-NonRec-MgmtFee)</f>
        <v>2274964.16982946</v>
      </c>
      <c r="K19" s="21" t="n">
        <f aca="false">K17*(1-NonRec-MgmtFee)</f>
        <v>2218656.31458059</v>
      </c>
      <c r="L19" s="21" t="n">
        <f aca="false">L17*(1-NonRec-MgmtFee)</f>
        <v>2453319.3920416</v>
      </c>
      <c r="M19" s="21" t="n">
        <f aca="false">M17*(1-NonRec-MgmtFee)</f>
        <v>2370300.32581224</v>
      </c>
      <c r="N19" s="21" t="n">
        <f aca="false">N17*(1-NonRec-MgmtFee)</f>
        <v>2498955.12712416</v>
      </c>
      <c r="O19" s="21" t="n">
        <f aca="false">O17*(1-NonRec-MgmtFee)</f>
        <v>2498955.12712416</v>
      </c>
      <c r="P19" s="21" t="n">
        <f aca="false">P17*(1-NonRec-MgmtFee)</f>
        <v>2498955.12712416</v>
      </c>
      <c r="Q19" s="21" t="n">
        <f aca="false">Q17*(1-NonRec-MgmtFee)</f>
        <v>2498955.12712416</v>
      </c>
    </row>
    <row r="20" customFormat="false" ht="15" hidden="false" customHeight="false" outlineLevel="0" collapsed="false">
      <c r="A20" s="7" t="s">
        <v>107</v>
      </c>
      <c r="B20" s="21" t="n">
        <f aca="false">SUMIF(CapexYr,B$6,CapexAmt)</f>
        <v>1850000</v>
      </c>
      <c r="C20" s="21" t="n">
        <f aca="false">SUMIF(CapexYr,C$6,CapexAmt)</f>
        <v>940000</v>
      </c>
      <c r="D20" s="21" t="n">
        <f aca="false">SUMIF(CapexYr,D$6,CapexAmt)</f>
        <v>610000</v>
      </c>
      <c r="E20" s="21" t="n">
        <f aca="false">SUMIF(CapexYr,E$6,CapexAmt)</f>
        <v>0</v>
      </c>
      <c r="F20" s="21" t="n">
        <f aca="false">SUMIF(CapexYr,F$6,CapexAmt)</f>
        <v>0</v>
      </c>
      <c r="G20" s="21" t="n">
        <f aca="false">SUMIF(CapexYr,G$6,CapexAmt)</f>
        <v>0</v>
      </c>
      <c r="H20" s="21" t="n">
        <f aca="false">SUMIF(CapexYr,H$6,CapexAmt)</f>
        <v>0</v>
      </c>
      <c r="I20" s="21" t="n">
        <f aca="false">SUMIF(CapexYr,I$6,CapexAmt)</f>
        <v>0</v>
      </c>
      <c r="J20" s="21" t="n">
        <f aca="false">SUMIF(CapexYr,J$6,CapexAmt)</f>
        <v>0</v>
      </c>
      <c r="K20" s="21" t="n">
        <f aca="false">SUMIF(CapexYr,K$6,CapexAmt)</f>
        <v>0</v>
      </c>
      <c r="L20" s="21" t="n">
        <f aca="false">SUMIF(CapexYr,L$6,CapexAmt)</f>
        <v>0</v>
      </c>
      <c r="M20" s="21" t="n">
        <f aca="false">SUMIF(CapexYr,M$6,CapexAmt)</f>
        <v>0</v>
      </c>
      <c r="N20" s="21" t="n">
        <f aca="false">SUMIF(CapexYr,N$6,CapexAmt)</f>
        <v>0</v>
      </c>
      <c r="O20" s="21" t="n">
        <f aca="false">SUMIF(CapexYr,O$6,CapexAmt)</f>
        <v>0</v>
      </c>
      <c r="P20" s="21" t="n">
        <f aca="false">SUMIF(CapexYr,P$6,CapexAmt)</f>
        <v>0</v>
      </c>
      <c r="Q20" s="21" t="n">
        <f aca="false">SUMIF(CapexYr,Q$6,CapexAmt)</f>
        <v>0</v>
      </c>
    </row>
    <row r="21" customFormat="false" ht="15" hidden="false" customHeight="false" outlineLevel="0" collapsed="false">
      <c r="A21" s="11" t="s">
        <v>146</v>
      </c>
      <c r="B21" s="12" t="n">
        <f aca="false">B19-B18-B20</f>
        <v>-265863.292</v>
      </c>
      <c r="C21" s="12" t="n">
        <f aca="false">C19-C18-C20</f>
        <v>1076300.832</v>
      </c>
      <c r="D21" s="12" t="n">
        <f aca="false">D19-D18-D20</f>
        <v>1306933.15772</v>
      </c>
      <c r="E21" s="12" t="n">
        <f aca="false">E19-E18-E20</f>
        <v>1842136.6252437</v>
      </c>
      <c r="F21" s="12" t="n">
        <f aca="false">F19-F18-F20</f>
        <v>2061325.6421073</v>
      </c>
      <c r="G21" s="12" t="n">
        <f aca="false">G19-G18-G20</f>
        <v>2015412.43601717</v>
      </c>
      <c r="H21" s="12" t="n">
        <f aca="false">H19-H18-H20</f>
        <v>2222034.38170992</v>
      </c>
      <c r="I21" s="12" t="n">
        <f aca="false">I19-I18-I20</f>
        <v>1816235.08603718</v>
      </c>
      <c r="J21" s="12" t="n">
        <f aca="false">J19-J18-J20</f>
        <v>2256611.56349119</v>
      </c>
      <c r="K21" s="12" t="n">
        <f aca="false">K19-K18-K20</f>
        <v>2170569.61837956</v>
      </c>
      <c r="L21" s="12" t="n">
        <f aca="false">L19-L18-L20</f>
        <v>2453319.3920416</v>
      </c>
      <c r="M21" s="12" t="n">
        <f aca="false">M19-M18-M20</f>
        <v>2343936.63701881</v>
      </c>
      <c r="N21" s="12" t="n">
        <f aca="false">N19-N18-N20</f>
        <v>2498955.12712416</v>
      </c>
      <c r="O21" s="12" t="n">
        <f aca="false">O19-O18-O20</f>
        <v>2498955.12712416</v>
      </c>
      <c r="P21" s="12" t="n">
        <f aca="false">P19-P18-P20</f>
        <v>2498955.12712416</v>
      </c>
      <c r="Q21" s="12" t="n">
        <f aca="false">Q19-Q18-Q20</f>
        <v>2498955.12712416</v>
      </c>
    </row>
    <row r="23" customFormat="false" ht="15" hidden="false" customHeight="false" outlineLevel="0" collapsed="false">
      <c r="A23" s="31" t="s">
        <v>214</v>
      </c>
    </row>
    <row r="24" customFormat="false" ht="15" hidden="false" customHeight="false" outlineLevel="0" collapsed="false">
      <c r="A24" s="32" t="s">
        <v>215</v>
      </c>
      <c r="B24" s="33" t="s">
        <v>158</v>
      </c>
      <c r="C24" s="33" t="s">
        <v>159</v>
      </c>
      <c r="D24" s="33" t="s">
        <v>160</v>
      </c>
      <c r="E24" s="33" t="s">
        <v>161</v>
      </c>
      <c r="F24" s="33" t="s">
        <v>162</v>
      </c>
      <c r="G24" s="33" t="s">
        <v>163</v>
      </c>
      <c r="H24" s="33" t="s">
        <v>164</v>
      </c>
      <c r="I24" s="33" t="s">
        <v>165</v>
      </c>
      <c r="J24" s="33" t="s">
        <v>166</v>
      </c>
      <c r="K24" s="33" t="s">
        <v>167</v>
      </c>
      <c r="L24" s="33" t="s">
        <v>168</v>
      </c>
      <c r="M24" s="33" t="s">
        <v>216</v>
      </c>
      <c r="N24" s="33" t="s">
        <v>217</v>
      </c>
      <c r="O24" s="33" t="s">
        <v>218</v>
      </c>
      <c r="P24" s="33" t="s">
        <v>219</v>
      </c>
      <c r="Q24" s="33" t="s">
        <v>220</v>
      </c>
    </row>
    <row r="25" customFormat="false" ht="15" hidden="false" customHeight="false" outlineLevel="0" collapsed="false">
      <c r="A25" s="43" t="n">
        <v>3</v>
      </c>
      <c r="B25" s="21" t="n">
        <f aca="false">-Equity0</f>
        <v>-13834920</v>
      </c>
      <c r="C25" s="21" t="n">
        <f aca="false">IF(1&lt;$A25,B$21-AMFee-Interest,IF(1=$A25,B$21-AMFee-Interest+INDEX($B$19:$Q$19,1+1)/ExitYld*(1-SaleCost)-Debt,0))</f>
        <v>-1108947.292</v>
      </c>
      <c r="D25" s="21" t="n">
        <f aca="false">IF(2&lt;$A25,C$21-AMFee-Interest,IF(2=$A25,C$21-AMFee-Interest+INDEX($B$19:$Q$19,2+1)/ExitYld*(1-SaleCost)-Debt,0))</f>
        <v>233216.832</v>
      </c>
      <c r="E25" s="21" t="n">
        <f aca="false">IF(3&lt;$A25,D$21-AMFee-Interest,IF(3=$A25,D$21-AMFee-Interest+INDEX($B$19:$Q$19,3+1)/ExitYld*(1-SaleCost)-Debt,0))</f>
        <v>14053251.0495564</v>
      </c>
      <c r="F25" s="21" t="n">
        <f aca="false">IF(4&lt;$A25,E$21-AMFee-Interest,IF(4=$A25,E$21-AMFee-Interest+INDEX($B$19:$Q$19,4+1)/ExitYld*(1-SaleCost)-Debt,0))</f>
        <v>0</v>
      </c>
      <c r="G25" s="21" t="n">
        <f aca="false">IF(5&lt;$A25,F$21-AMFee-Interest,IF(5=$A25,F$21-AMFee-Interest+INDEX($B$19:$Q$19,5+1)/ExitYld*(1-SaleCost)-Debt,0))</f>
        <v>0</v>
      </c>
      <c r="H25" s="21" t="n">
        <f aca="false">IF(6&lt;$A25,G$21-AMFee-Interest,IF(6=$A25,G$21-AMFee-Interest+INDEX($B$19:$Q$19,6+1)/ExitYld*(1-SaleCost)-Debt,0))</f>
        <v>0</v>
      </c>
      <c r="I25" s="21" t="n">
        <f aca="false">IF(7&lt;$A25,H$21-AMFee-Interest,IF(7=$A25,H$21-AMFee-Interest+INDEX($B$19:$Q$19,7+1)/ExitYld*(1-SaleCost)-Debt,0))</f>
        <v>0</v>
      </c>
      <c r="J25" s="21" t="n">
        <f aca="false">IF(8&lt;$A25,I$21-AMFee-Interest,IF(8=$A25,I$21-AMFee-Interest+INDEX($B$19:$Q$19,8+1)/ExitYld*(1-SaleCost)-Debt,0))</f>
        <v>0</v>
      </c>
      <c r="K25" s="21" t="n">
        <f aca="false">IF(9&lt;$A25,J$21-AMFee-Interest,IF(9=$A25,J$21-AMFee-Interest+INDEX($B$19:$Q$19,9+1)/ExitYld*(1-SaleCost)-Debt,0))</f>
        <v>0</v>
      </c>
      <c r="L25" s="21" t="n">
        <f aca="false">IF(10&lt;$A25,K$21-AMFee-Interest,IF(10=$A25,K$21-AMFee-Interest+INDEX($B$19:$Q$19,10+1)/ExitYld*(1-SaleCost)-Debt,0))</f>
        <v>0</v>
      </c>
      <c r="M25" s="21" t="n">
        <f aca="false">IF(11&lt;$A25,L$21-AMFee-Interest,IF(11=$A25,L$21-AMFee-Interest+INDEX($B$19:$Q$19,11+1)/ExitYld*(1-SaleCost)-Debt,0))</f>
        <v>0</v>
      </c>
      <c r="N25" s="21" t="n">
        <f aca="false">IF(12&lt;$A25,M$21-AMFee-Interest,IF(12=$A25,M$21-AMFee-Interest+INDEX($B$19:$Q$19,12+1)/ExitYld*(1-SaleCost)-Debt,0))</f>
        <v>0</v>
      </c>
      <c r="O25" s="21" t="n">
        <f aca="false">IF(13&lt;$A25,N$21-AMFee-Interest,IF(13=$A25,N$21-AMFee-Interest+INDEX($B$19:$Q$19,13+1)/ExitYld*(1-SaleCost)-Debt,0))</f>
        <v>0</v>
      </c>
      <c r="P25" s="21" t="n">
        <f aca="false">IF(14&lt;$A25,O$21-AMFee-Interest,IF(14=$A25,O$21-AMFee-Interest+INDEX($B$19:$Q$19,14+1)/ExitYld*(1-SaleCost)-Debt,0))</f>
        <v>0</v>
      </c>
      <c r="Q25" s="21" t="n">
        <f aca="false">IF(15&lt;$A25,P$21-AMFee-Interest,IF(15=$A25,P$21-AMFee-Interest+INDEX($B$19:$Q$19,15+1)/ExitYld*(1-SaleCost)-Debt,0))</f>
        <v>0</v>
      </c>
    </row>
    <row r="26" customFormat="false" ht="15" hidden="false" customHeight="false" outlineLevel="0" collapsed="false">
      <c r="A26" s="43" t="n">
        <v>4</v>
      </c>
      <c r="B26" s="21" t="n">
        <f aca="false">-Equity0</f>
        <v>-13834920</v>
      </c>
      <c r="C26" s="21" t="n">
        <f aca="false">IF(1&lt;$A26,B$21-AMFee-Interest,IF(1=$A26,B$21-AMFee-Interest+INDEX($B$19:$Q$19,1+1)/ExitYld*(1-SaleCost)-Debt,0))</f>
        <v>-1108947.292</v>
      </c>
      <c r="D26" s="21" t="n">
        <f aca="false">IF(2&lt;$A26,C$21-AMFee-Interest,IF(2=$A26,C$21-AMFee-Interest+INDEX($B$19:$Q$19,2+1)/ExitYld*(1-SaleCost)-Debt,0))</f>
        <v>233216.832</v>
      </c>
      <c r="E26" s="21" t="n">
        <f aca="false">IF(3&lt;$A26,D$21-AMFee-Interest,IF(3=$A26,D$21-AMFee-Interest+INDEX($B$19:$Q$19,3+1)/ExitYld*(1-SaleCost)-Debt,0))</f>
        <v>463849.15772</v>
      </c>
      <c r="F26" s="21" t="n">
        <f aca="false">IF(4&lt;$A26,E$21-AMFee-Interest,IF(4=$A26,E$21-AMFee-Interest+INDEX($B$19:$Q$19,4+1)/ExitYld*(1-SaleCost)-Debt,0))</f>
        <v>17369450.2994208</v>
      </c>
      <c r="G26" s="21" t="n">
        <f aca="false">IF(5&lt;$A26,F$21-AMFee-Interest,IF(5=$A26,F$21-AMFee-Interest+INDEX($B$19:$Q$19,5+1)/ExitYld*(1-SaleCost)-Debt,0))</f>
        <v>0</v>
      </c>
      <c r="H26" s="21" t="n">
        <f aca="false">IF(6&lt;$A26,G$21-AMFee-Interest,IF(6=$A26,G$21-AMFee-Interest+INDEX($B$19:$Q$19,6+1)/ExitYld*(1-SaleCost)-Debt,0))</f>
        <v>0</v>
      </c>
      <c r="I26" s="21" t="n">
        <f aca="false">IF(7&lt;$A26,H$21-AMFee-Interest,IF(7=$A26,H$21-AMFee-Interest+INDEX($B$19:$Q$19,7+1)/ExitYld*(1-SaleCost)-Debt,0))</f>
        <v>0</v>
      </c>
      <c r="J26" s="21" t="n">
        <f aca="false">IF(8&lt;$A26,I$21-AMFee-Interest,IF(8=$A26,I$21-AMFee-Interest+INDEX($B$19:$Q$19,8+1)/ExitYld*(1-SaleCost)-Debt,0))</f>
        <v>0</v>
      </c>
      <c r="K26" s="21" t="n">
        <f aca="false">IF(9&lt;$A26,J$21-AMFee-Interest,IF(9=$A26,J$21-AMFee-Interest+INDEX($B$19:$Q$19,9+1)/ExitYld*(1-SaleCost)-Debt,0))</f>
        <v>0</v>
      </c>
      <c r="L26" s="21" t="n">
        <f aca="false">IF(10&lt;$A26,K$21-AMFee-Interest,IF(10=$A26,K$21-AMFee-Interest+INDEX($B$19:$Q$19,10+1)/ExitYld*(1-SaleCost)-Debt,0))</f>
        <v>0</v>
      </c>
      <c r="M26" s="21" t="n">
        <f aca="false">IF(11&lt;$A26,L$21-AMFee-Interest,IF(11=$A26,L$21-AMFee-Interest+INDEX($B$19:$Q$19,11+1)/ExitYld*(1-SaleCost)-Debt,0))</f>
        <v>0</v>
      </c>
      <c r="N26" s="21" t="n">
        <f aca="false">IF(12&lt;$A26,M$21-AMFee-Interest,IF(12=$A26,M$21-AMFee-Interest+INDEX($B$19:$Q$19,12+1)/ExitYld*(1-SaleCost)-Debt,0))</f>
        <v>0</v>
      </c>
      <c r="O26" s="21" t="n">
        <f aca="false">IF(13&lt;$A26,N$21-AMFee-Interest,IF(13=$A26,N$21-AMFee-Interest+INDEX($B$19:$Q$19,13+1)/ExitYld*(1-SaleCost)-Debt,0))</f>
        <v>0</v>
      </c>
      <c r="P26" s="21" t="n">
        <f aca="false">IF(14&lt;$A26,O$21-AMFee-Interest,IF(14=$A26,O$21-AMFee-Interest+INDEX($B$19:$Q$19,14+1)/ExitYld*(1-SaleCost)-Debt,0))</f>
        <v>0</v>
      </c>
      <c r="Q26" s="21" t="n">
        <f aca="false">IF(15&lt;$A26,P$21-AMFee-Interest,IF(15=$A26,P$21-AMFee-Interest+INDEX($B$19:$Q$19,15+1)/ExitYld*(1-SaleCost)-Debt,0))</f>
        <v>0</v>
      </c>
    </row>
    <row r="27" customFormat="false" ht="15" hidden="false" customHeight="false" outlineLevel="0" collapsed="false">
      <c r="A27" s="43" t="n">
        <v>5</v>
      </c>
      <c r="B27" s="21" t="n">
        <f aca="false">-Equity0</f>
        <v>-13834920</v>
      </c>
      <c r="C27" s="21" t="n">
        <f aca="false">IF(1&lt;$A27,B$21-AMFee-Interest,IF(1=$A27,B$21-AMFee-Interest+INDEX($B$19:$Q$19,1+1)/ExitYld*(1-SaleCost)-Debt,0))</f>
        <v>-1108947.292</v>
      </c>
      <c r="D27" s="21" t="n">
        <f aca="false">IF(2&lt;$A27,C$21-AMFee-Interest,IF(2=$A27,C$21-AMFee-Interest+INDEX($B$19:$Q$19,2+1)/ExitYld*(1-SaleCost)-Debt,0))</f>
        <v>233216.832</v>
      </c>
      <c r="E27" s="21" t="n">
        <f aca="false">IF(3&lt;$A27,D$21-AMFee-Interest,IF(3=$A27,D$21-AMFee-Interest+INDEX($B$19:$Q$19,3+1)/ExitYld*(1-SaleCost)-Debt,0))</f>
        <v>463849.15772</v>
      </c>
      <c r="F27" s="21" t="n">
        <f aca="false">IF(4&lt;$A27,E$21-AMFee-Interest,IF(4=$A27,E$21-AMFee-Interest+INDEX($B$19:$Q$19,4+1)/ExitYld*(1-SaleCost)-Debt,0))</f>
        <v>999052.6252437</v>
      </c>
      <c r="G27" s="21" t="n">
        <f aca="false">IF(5&lt;$A27,F$21-AMFee-Interest,IF(5=$A27,F$21-AMFee-Interest+INDEX($B$19:$Q$19,5+1)/ExitYld*(1-SaleCost)-Debt,0))</f>
        <v>17148171.2649023</v>
      </c>
      <c r="H27" s="21" t="n">
        <f aca="false">IF(6&lt;$A27,G$21-AMFee-Interest,IF(6=$A27,G$21-AMFee-Interest+INDEX($B$19:$Q$19,6+1)/ExitYld*(1-SaleCost)-Debt,0))</f>
        <v>0</v>
      </c>
      <c r="I27" s="21" t="n">
        <f aca="false">IF(7&lt;$A27,H$21-AMFee-Interest,IF(7=$A27,H$21-AMFee-Interest+INDEX($B$19:$Q$19,7+1)/ExitYld*(1-SaleCost)-Debt,0))</f>
        <v>0</v>
      </c>
      <c r="J27" s="21" t="n">
        <f aca="false">IF(8&lt;$A27,I$21-AMFee-Interest,IF(8=$A27,I$21-AMFee-Interest+INDEX($B$19:$Q$19,8+1)/ExitYld*(1-SaleCost)-Debt,0))</f>
        <v>0</v>
      </c>
      <c r="K27" s="21" t="n">
        <f aca="false">IF(9&lt;$A27,J$21-AMFee-Interest,IF(9=$A27,J$21-AMFee-Interest+INDEX($B$19:$Q$19,9+1)/ExitYld*(1-SaleCost)-Debt,0))</f>
        <v>0</v>
      </c>
      <c r="L27" s="21" t="n">
        <f aca="false">IF(10&lt;$A27,K$21-AMFee-Interest,IF(10=$A27,K$21-AMFee-Interest+INDEX($B$19:$Q$19,10+1)/ExitYld*(1-SaleCost)-Debt,0))</f>
        <v>0</v>
      </c>
      <c r="M27" s="21" t="n">
        <f aca="false">IF(11&lt;$A27,L$21-AMFee-Interest,IF(11=$A27,L$21-AMFee-Interest+INDEX($B$19:$Q$19,11+1)/ExitYld*(1-SaleCost)-Debt,0))</f>
        <v>0</v>
      </c>
      <c r="N27" s="21" t="n">
        <f aca="false">IF(12&lt;$A27,M$21-AMFee-Interest,IF(12=$A27,M$21-AMFee-Interest+INDEX($B$19:$Q$19,12+1)/ExitYld*(1-SaleCost)-Debt,0))</f>
        <v>0</v>
      </c>
      <c r="O27" s="21" t="n">
        <f aca="false">IF(13&lt;$A27,N$21-AMFee-Interest,IF(13=$A27,N$21-AMFee-Interest+INDEX($B$19:$Q$19,13+1)/ExitYld*(1-SaleCost)-Debt,0))</f>
        <v>0</v>
      </c>
      <c r="P27" s="21" t="n">
        <f aca="false">IF(14&lt;$A27,O$21-AMFee-Interest,IF(14=$A27,O$21-AMFee-Interest+INDEX($B$19:$Q$19,14+1)/ExitYld*(1-SaleCost)-Debt,0))</f>
        <v>0</v>
      </c>
      <c r="Q27" s="21" t="n">
        <f aca="false">IF(15&lt;$A27,P$21-AMFee-Interest,IF(15=$A27,P$21-AMFee-Interest+INDEX($B$19:$Q$19,15+1)/ExitYld*(1-SaleCost)-Debt,0))</f>
        <v>0</v>
      </c>
    </row>
    <row r="28" customFormat="false" ht="15" hidden="false" customHeight="false" outlineLevel="0" collapsed="false">
      <c r="A28" s="43" t="n">
        <v>6</v>
      </c>
      <c r="B28" s="21" t="n">
        <f aca="false">-Equity0</f>
        <v>-13834920</v>
      </c>
      <c r="C28" s="21" t="n">
        <f aca="false">IF(1&lt;$A28,B$21-AMFee-Interest,IF(1=$A28,B$21-AMFee-Interest+INDEX($B$19:$Q$19,1+1)/ExitYld*(1-SaleCost)-Debt,0))</f>
        <v>-1108947.292</v>
      </c>
      <c r="D28" s="21" t="n">
        <f aca="false">IF(2&lt;$A28,C$21-AMFee-Interest,IF(2=$A28,C$21-AMFee-Interest+INDEX($B$19:$Q$19,2+1)/ExitYld*(1-SaleCost)-Debt,0))</f>
        <v>233216.832</v>
      </c>
      <c r="E28" s="21" t="n">
        <f aca="false">IF(3&lt;$A28,D$21-AMFee-Interest,IF(3=$A28,D$21-AMFee-Interest+INDEX($B$19:$Q$19,3+1)/ExitYld*(1-SaleCost)-Debt,0))</f>
        <v>463849.15772</v>
      </c>
      <c r="F28" s="21" t="n">
        <f aca="false">IF(4&lt;$A28,E$21-AMFee-Interest,IF(4=$A28,E$21-AMFee-Interest+INDEX($B$19:$Q$19,4+1)/ExitYld*(1-SaleCost)-Debt,0))</f>
        <v>999052.6252437</v>
      </c>
      <c r="G28" s="21" t="n">
        <f aca="false">IF(5&lt;$A28,F$21-AMFee-Interest,IF(5=$A28,F$21-AMFee-Interest+INDEX($B$19:$Q$19,5+1)/ExitYld*(1-SaleCost)-Debt,0))</f>
        <v>1218241.6421073</v>
      </c>
      <c r="H28" s="21" t="n">
        <f aca="false">IF(6&lt;$A28,G$21-AMFee-Interest,IF(6=$A28,G$21-AMFee-Interest+INDEX($B$19:$Q$19,6+1)/ExitYld*(1-SaleCost)-Debt,0))</f>
        <v>19648703.6531381</v>
      </c>
      <c r="I28" s="21" t="n">
        <f aca="false">IF(7&lt;$A28,H$21-AMFee-Interest,IF(7=$A28,H$21-AMFee-Interest+INDEX($B$19:$Q$19,7+1)/ExitYld*(1-SaleCost)-Debt,0))</f>
        <v>0</v>
      </c>
      <c r="J28" s="21" t="n">
        <f aca="false">IF(8&lt;$A28,I$21-AMFee-Interest,IF(8=$A28,I$21-AMFee-Interest+INDEX($B$19:$Q$19,8+1)/ExitYld*(1-SaleCost)-Debt,0))</f>
        <v>0</v>
      </c>
      <c r="K28" s="21" t="n">
        <f aca="false">IF(9&lt;$A28,J$21-AMFee-Interest,IF(9=$A28,J$21-AMFee-Interest+INDEX($B$19:$Q$19,9+1)/ExitYld*(1-SaleCost)-Debt,0))</f>
        <v>0</v>
      </c>
      <c r="L28" s="21" t="n">
        <f aca="false">IF(10&lt;$A28,K$21-AMFee-Interest,IF(10=$A28,K$21-AMFee-Interest+INDEX($B$19:$Q$19,10+1)/ExitYld*(1-SaleCost)-Debt,0))</f>
        <v>0</v>
      </c>
      <c r="M28" s="21" t="n">
        <f aca="false">IF(11&lt;$A28,L$21-AMFee-Interest,IF(11=$A28,L$21-AMFee-Interest+INDEX($B$19:$Q$19,11+1)/ExitYld*(1-SaleCost)-Debt,0))</f>
        <v>0</v>
      </c>
      <c r="N28" s="21" t="n">
        <f aca="false">IF(12&lt;$A28,M$21-AMFee-Interest,IF(12=$A28,M$21-AMFee-Interest+INDEX($B$19:$Q$19,12+1)/ExitYld*(1-SaleCost)-Debt,0))</f>
        <v>0</v>
      </c>
      <c r="O28" s="21" t="n">
        <f aca="false">IF(13&lt;$A28,N$21-AMFee-Interest,IF(13=$A28,N$21-AMFee-Interest+INDEX($B$19:$Q$19,13+1)/ExitYld*(1-SaleCost)-Debt,0))</f>
        <v>0</v>
      </c>
      <c r="P28" s="21" t="n">
        <f aca="false">IF(14&lt;$A28,O$21-AMFee-Interest,IF(14=$A28,O$21-AMFee-Interest+INDEX($B$19:$Q$19,14+1)/ExitYld*(1-SaleCost)-Debt,0))</f>
        <v>0</v>
      </c>
      <c r="Q28" s="21" t="n">
        <f aca="false">IF(15&lt;$A28,P$21-AMFee-Interest,IF(15=$A28,P$21-AMFee-Interest+INDEX($B$19:$Q$19,15+1)/ExitYld*(1-SaleCost)-Debt,0))</f>
        <v>0</v>
      </c>
    </row>
    <row r="29" customFormat="false" ht="15" hidden="false" customHeight="false" outlineLevel="0" collapsed="false">
      <c r="A29" s="43" t="n">
        <v>7</v>
      </c>
      <c r="B29" s="21" t="n">
        <f aca="false">-Equity0</f>
        <v>-13834920</v>
      </c>
      <c r="C29" s="21" t="n">
        <f aca="false">IF(1&lt;$A29,B$21-AMFee-Interest,IF(1=$A29,B$21-AMFee-Interest+INDEX($B$19:$Q$19,1+1)/ExitYld*(1-SaleCost)-Debt,0))</f>
        <v>-1108947.292</v>
      </c>
      <c r="D29" s="21" t="n">
        <f aca="false">IF(2&lt;$A29,C$21-AMFee-Interest,IF(2=$A29,C$21-AMFee-Interest+INDEX($B$19:$Q$19,2+1)/ExitYld*(1-SaleCost)-Debt,0))</f>
        <v>233216.832</v>
      </c>
      <c r="E29" s="21" t="n">
        <f aca="false">IF(3&lt;$A29,D$21-AMFee-Interest,IF(3=$A29,D$21-AMFee-Interest+INDEX($B$19:$Q$19,3+1)/ExitYld*(1-SaleCost)-Debt,0))</f>
        <v>463849.15772</v>
      </c>
      <c r="F29" s="21" t="n">
        <f aca="false">IF(4&lt;$A29,E$21-AMFee-Interest,IF(4=$A29,E$21-AMFee-Interest+INDEX($B$19:$Q$19,4+1)/ExitYld*(1-SaleCost)-Debt,0))</f>
        <v>999052.6252437</v>
      </c>
      <c r="G29" s="21" t="n">
        <f aca="false">IF(5&lt;$A29,F$21-AMFee-Interest,IF(5=$A29,F$21-AMFee-Interest+INDEX($B$19:$Q$19,5+1)/ExitYld*(1-SaleCost)-Debt,0))</f>
        <v>1218241.6421073</v>
      </c>
      <c r="H29" s="21" t="n">
        <f aca="false">IF(6&lt;$A29,G$21-AMFee-Interest,IF(6=$A29,G$21-AMFee-Interest+INDEX($B$19:$Q$19,6+1)/ExitYld*(1-SaleCost)-Debt,0))</f>
        <v>1172328.43601717</v>
      </c>
      <c r="I29" s="21" t="n">
        <f aca="false">IF(7&lt;$A29,H$21-AMFee-Interest,IF(7=$A29,H$21-AMFee-Interest+INDEX($B$19:$Q$19,7+1)/ExitYld*(1-SaleCost)-Debt,0))</f>
        <v>15141197.4125652</v>
      </c>
      <c r="J29" s="21" t="n">
        <f aca="false">IF(8&lt;$A29,I$21-AMFee-Interest,IF(8=$A29,I$21-AMFee-Interest+INDEX($B$19:$Q$19,8+1)/ExitYld*(1-SaleCost)-Debt,0))</f>
        <v>0</v>
      </c>
      <c r="K29" s="21" t="n">
        <f aca="false">IF(9&lt;$A29,J$21-AMFee-Interest,IF(9=$A29,J$21-AMFee-Interest+INDEX($B$19:$Q$19,9+1)/ExitYld*(1-SaleCost)-Debt,0))</f>
        <v>0</v>
      </c>
      <c r="L29" s="21" t="n">
        <f aca="false">IF(10&lt;$A29,K$21-AMFee-Interest,IF(10=$A29,K$21-AMFee-Interest+INDEX($B$19:$Q$19,10+1)/ExitYld*(1-SaleCost)-Debt,0))</f>
        <v>0</v>
      </c>
      <c r="M29" s="21" t="n">
        <f aca="false">IF(11&lt;$A29,L$21-AMFee-Interest,IF(11=$A29,L$21-AMFee-Interest+INDEX($B$19:$Q$19,11+1)/ExitYld*(1-SaleCost)-Debt,0))</f>
        <v>0</v>
      </c>
      <c r="N29" s="21" t="n">
        <f aca="false">IF(12&lt;$A29,M$21-AMFee-Interest,IF(12=$A29,M$21-AMFee-Interest+INDEX($B$19:$Q$19,12+1)/ExitYld*(1-SaleCost)-Debt,0))</f>
        <v>0</v>
      </c>
      <c r="O29" s="21" t="n">
        <f aca="false">IF(13&lt;$A29,N$21-AMFee-Interest,IF(13=$A29,N$21-AMFee-Interest+INDEX($B$19:$Q$19,13+1)/ExitYld*(1-SaleCost)-Debt,0))</f>
        <v>0</v>
      </c>
      <c r="P29" s="21" t="n">
        <f aca="false">IF(14&lt;$A29,O$21-AMFee-Interest,IF(14=$A29,O$21-AMFee-Interest+INDEX($B$19:$Q$19,14+1)/ExitYld*(1-SaleCost)-Debt,0))</f>
        <v>0</v>
      </c>
      <c r="Q29" s="21" t="n">
        <f aca="false">IF(15&lt;$A29,P$21-AMFee-Interest,IF(15=$A29,P$21-AMFee-Interest+INDEX($B$19:$Q$19,15+1)/ExitYld*(1-SaleCost)-Debt,0))</f>
        <v>0</v>
      </c>
    </row>
    <row r="30" customFormat="false" ht="15" hidden="false" customHeight="false" outlineLevel="0" collapsed="false">
      <c r="A30" s="43" t="n">
        <v>8</v>
      </c>
      <c r="B30" s="21" t="n">
        <f aca="false">-Equity0</f>
        <v>-13834920</v>
      </c>
      <c r="C30" s="21" t="n">
        <f aca="false">IF(1&lt;$A30,B$21-AMFee-Interest,IF(1=$A30,B$21-AMFee-Interest+INDEX($B$19:$Q$19,1+1)/ExitYld*(1-SaleCost)-Debt,0))</f>
        <v>-1108947.292</v>
      </c>
      <c r="D30" s="21" t="n">
        <f aca="false">IF(2&lt;$A30,C$21-AMFee-Interest,IF(2=$A30,C$21-AMFee-Interest+INDEX($B$19:$Q$19,2+1)/ExitYld*(1-SaleCost)-Debt,0))</f>
        <v>233216.832</v>
      </c>
      <c r="E30" s="21" t="n">
        <f aca="false">IF(3&lt;$A30,D$21-AMFee-Interest,IF(3=$A30,D$21-AMFee-Interest+INDEX($B$19:$Q$19,3+1)/ExitYld*(1-SaleCost)-Debt,0))</f>
        <v>463849.15772</v>
      </c>
      <c r="F30" s="21" t="n">
        <f aca="false">IF(4&lt;$A30,E$21-AMFee-Interest,IF(4=$A30,E$21-AMFee-Interest+INDEX($B$19:$Q$19,4+1)/ExitYld*(1-SaleCost)-Debt,0))</f>
        <v>999052.6252437</v>
      </c>
      <c r="G30" s="21" t="n">
        <f aca="false">IF(5&lt;$A30,F$21-AMFee-Interest,IF(5=$A30,F$21-AMFee-Interest+INDEX($B$19:$Q$19,5+1)/ExitYld*(1-SaleCost)-Debt,0))</f>
        <v>1218241.6421073</v>
      </c>
      <c r="H30" s="21" t="n">
        <f aca="false">IF(6&lt;$A30,G$21-AMFee-Interest,IF(6=$A30,G$21-AMFee-Interest+INDEX($B$19:$Q$19,6+1)/ExitYld*(1-SaleCost)-Debt,0))</f>
        <v>1172328.43601717</v>
      </c>
      <c r="I30" s="21" t="n">
        <f aca="false">IF(7&lt;$A30,H$21-AMFee-Interest,IF(7=$A30,H$21-AMFee-Interest+INDEX($B$19:$Q$19,7+1)/ExitYld*(1-SaleCost)-Debt,0))</f>
        <v>1378950.38170992</v>
      </c>
      <c r="J30" s="21" t="n">
        <f aca="false">IF(8&lt;$A30,I$21-AMFee-Interest,IF(8=$A30,I$21-AMFee-Interest+INDEX($B$19:$Q$19,8+1)/ExitYld*(1-SaleCost)-Debt,0))</f>
        <v>20235513.7583168</v>
      </c>
      <c r="K30" s="21" t="n">
        <f aca="false">IF(9&lt;$A30,J$21-AMFee-Interest,IF(9=$A30,J$21-AMFee-Interest+INDEX($B$19:$Q$19,9+1)/ExitYld*(1-SaleCost)-Debt,0))</f>
        <v>0</v>
      </c>
      <c r="L30" s="21" t="n">
        <f aca="false">IF(10&lt;$A30,K$21-AMFee-Interest,IF(10=$A30,K$21-AMFee-Interest+INDEX($B$19:$Q$19,10+1)/ExitYld*(1-SaleCost)-Debt,0))</f>
        <v>0</v>
      </c>
      <c r="M30" s="21" t="n">
        <f aca="false">IF(11&lt;$A30,L$21-AMFee-Interest,IF(11=$A30,L$21-AMFee-Interest+INDEX($B$19:$Q$19,11+1)/ExitYld*(1-SaleCost)-Debt,0))</f>
        <v>0</v>
      </c>
      <c r="N30" s="21" t="n">
        <f aca="false">IF(12&lt;$A30,M$21-AMFee-Interest,IF(12=$A30,M$21-AMFee-Interest+INDEX($B$19:$Q$19,12+1)/ExitYld*(1-SaleCost)-Debt,0))</f>
        <v>0</v>
      </c>
      <c r="O30" s="21" t="n">
        <f aca="false">IF(13&lt;$A30,N$21-AMFee-Interest,IF(13=$A30,N$21-AMFee-Interest+INDEX($B$19:$Q$19,13+1)/ExitYld*(1-SaleCost)-Debt,0))</f>
        <v>0</v>
      </c>
      <c r="P30" s="21" t="n">
        <f aca="false">IF(14&lt;$A30,O$21-AMFee-Interest,IF(14=$A30,O$21-AMFee-Interest+INDEX($B$19:$Q$19,14+1)/ExitYld*(1-SaleCost)-Debt,0))</f>
        <v>0</v>
      </c>
      <c r="Q30" s="21" t="n">
        <f aca="false">IF(15&lt;$A30,P$21-AMFee-Interest,IF(15=$A30,P$21-AMFee-Interest+INDEX($B$19:$Q$19,15+1)/ExitYld*(1-SaleCost)-Debt,0))</f>
        <v>0</v>
      </c>
    </row>
    <row r="31" customFormat="false" ht="15" hidden="false" customHeight="false" outlineLevel="0" collapsed="false">
      <c r="A31" s="43" t="n">
        <v>9</v>
      </c>
      <c r="B31" s="21" t="n">
        <f aca="false">-Equity0</f>
        <v>-13834920</v>
      </c>
      <c r="C31" s="21" t="n">
        <f aca="false">IF(1&lt;$A31,B$21-AMFee-Interest,IF(1=$A31,B$21-AMFee-Interest+INDEX($B$19:$Q$19,1+1)/ExitYld*(1-SaleCost)-Debt,0))</f>
        <v>-1108947.292</v>
      </c>
      <c r="D31" s="21" t="n">
        <f aca="false">IF(2&lt;$A31,C$21-AMFee-Interest,IF(2=$A31,C$21-AMFee-Interest+INDEX($B$19:$Q$19,2+1)/ExitYld*(1-SaleCost)-Debt,0))</f>
        <v>233216.832</v>
      </c>
      <c r="E31" s="21" t="n">
        <f aca="false">IF(3&lt;$A31,D$21-AMFee-Interest,IF(3=$A31,D$21-AMFee-Interest+INDEX($B$19:$Q$19,3+1)/ExitYld*(1-SaleCost)-Debt,0))</f>
        <v>463849.15772</v>
      </c>
      <c r="F31" s="21" t="n">
        <f aca="false">IF(4&lt;$A31,E$21-AMFee-Interest,IF(4=$A31,E$21-AMFee-Interest+INDEX($B$19:$Q$19,4+1)/ExitYld*(1-SaleCost)-Debt,0))</f>
        <v>999052.6252437</v>
      </c>
      <c r="G31" s="21" t="n">
        <f aca="false">IF(5&lt;$A31,F$21-AMFee-Interest,IF(5=$A31,F$21-AMFee-Interest+INDEX($B$19:$Q$19,5+1)/ExitYld*(1-SaleCost)-Debt,0))</f>
        <v>1218241.6421073</v>
      </c>
      <c r="H31" s="21" t="n">
        <f aca="false">IF(6&lt;$A31,G$21-AMFee-Interest,IF(6=$A31,G$21-AMFee-Interest+INDEX($B$19:$Q$19,6+1)/ExitYld*(1-SaleCost)-Debt,0))</f>
        <v>1172328.43601717</v>
      </c>
      <c r="I31" s="21" t="n">
        <f aca="false">IF(7&lt;$A31,H$21-AMFee-Interest,IF(7=$A31,H$21-AMFee-Interest+INDEX($B$19:$Q$19,7+1)/ExitYld*(1-SaleCost)-Debt,0))</f>
        <v>1378950.38170992</v>
      </c>
      <c r="J31" s="21" t="n">
        <f aca="false">IF(8&lt;$A31,I$21-AMFee-Interest,IF(8=$A31,I$21-AMFee-Interest+INDEX($B$19:$Q$19,8+1)/ExitYld*(1-SaleCost)-Debt,0))</f>
        <v>973151.086037179</v>
      </c>
      <c r="K31" s="21" t="n">
        <f aca="false">IF(9&lt;$A31,J$21-AMFee-Interest,IF(9=$A31,J$21-AMFee-Interest+INDEX($B$19:$Q$19,9+1)/ExitYld*(1-SaleCost)-Debt,0))</f>
        <v>19839739.7536917</v>
      </c>
      <c r="L31" s="21" t="n">
        <f aca="false">IF(10&lt;$A31,K$21-AMFee-Interest,IF(10=$A31,K$21-AMFee-Interest+INDEX($B$19:$Q$19,10+1)/ExitYld*(1-SaleCost)-Debt,0))</f>
        <v>0</v>
      </c>
      <c r="M31" s="21" t="n">
        <f aca="false">IF(11&lt;$A31,L$21-AMFee-Interest,IF(11=$A31,L$21-AMFee-Interest+INDEX($B$19:$Q$19,11+1)/ExitYld*(1-SaleCost)-Debt,0))</f>
        <v>0</v>
      </c>
      <c r="N31" s="21" t="n">
        <f aca="false">IF(12&lt;$A31,M$21-AMFee-Interest,IF(12=$A31,M$21-AMFee-Interest+INDEX($B$19:$Q$19,12+1)/ExitYld*(1-SaleCost)-Debt,0))</f>
        <v>0</v>
      </c>
      <c r="O31" s="21" t="n">
        <f aca="false">IF(13&lt;$A31,N$21-AMFee-Interest,IF(13=$A31,N$21-AMFee-Interest+INDEX($B$19:$Q$19,13+1)/ExitYld*(1-SaleCost)-Debt,0))</f>
        <v>0</v>
      </c>
      <c r="P31" s="21" t="n">
        <f aca="false">IF(14&lt;$A31,O$21-AMFee-Interest,IF(14=$A31,O$21-AMFee-Interest+INDEX($B$19:$Q$19,14+1)/ExitYld*(1-SaleCost)-Debt,0))</f>
        <v>0</v>
      </c>
      <c r="Q31" s="21" t="n">
        <f aca="false">IF(15&lt;$A31,P$21-AMFee-Interest,IF(15=$A31,P$21-AMFee-Interest+INDEX($B$19:$Q$19,15+1)/ExitYld*(1-SaleCost)-Debt,0))</f>
        <v>0</v>
      </c>
    </row>
    <row r="32" customFormat="false" ht="15" hidden="false" customHeight="false" outlineLevel="0" collapsed="false">
      <c r="A32" s="43" t="n">
        <v>10</v>
      </c>
      <c r="B32" s="21" t="n">
        <f aca="false">-Equity0</f>
        <v>-13834920</v>
      </c>
      <c r="C32" s="21" t="n">
        <f aca="false">IF(1&lt;$A32,B$21-AMFee-Interest,IF(1=$A32,B$21-AMFee-Interest+INDEX($B$19:$Q$19,1+1)/ExitYld*(1-SaleCost)-Debt,0))</f>
        <v>-1108947.292</v>
      </c>
      <c r="D32" s="21" t="n">
        <f aca="false">IF(2&lt;$A32,C$21-AMFee-Interest,IF(2=$A32,C$21-AMFee-Interest+INDEX($B$19:$Q$19,2+1)/ExitYld*(1-SaleCost)-Debt,0))</f>
        <v>233216.832</v>
      </c>
      <c r="E32" s="21" t="n">
        <f aca="false">IF(3&lt;$A32,D$21-AMFee-Interest,IF(3=$A32,D$21-AMFee-Interest+INDEX($B$19:$Q$19,3+1)/ExitYld*(1-SaleCost)-Debt,0))</f>
        <v>463849.15772</v>
      </c>
      <c r="F32" s="21" t="n">
        <f aca="false">IF(4&lt;$A32,E$21-AMFee-Interest,IF(4=$A32,E$21-AMFee-Interest+INDEX($B$19:$Q$19,4+1)/ExitYld*(1-SaleCost)-Debt,0))</f>
        <v>999052.6252437</v>
      </c>
      <c r="G32" s="21" t="n">
        <f aca="false">IF(5&lt;$A32,F$21-AMFee-Interest,IF(5=$A32,F$21-AMFee-Interest+INDEX($B$19:$Q$19,5+1)/ExitYld*(1-SaleCost)-Debt,0))</f>
        <v>1218241.6421073</v>
      </c>
      <c r="H32" s="21" t="n">
        <f aca="false">IF(6&lt;$A32,G$21-AMFee-Interest,IF(6=$A32,G$21-AMFee-Interest+INDEX($B$19:$Q$19,6+1)/ExitYld*(1-SaleCost)-Debt,0))</f>
        <v>1172328.43601717</v>
      </c>
      <c r="I32" s="21" t="n">
        <f aca="false">IF(7&lt;$A32,H$21-AMFee-Interest,IF(7=$A32,H$21-AMFee-Interest+INDEX($B$19:$Q$19,7+1)/ExitYld*(1-SaleCost)-Debt,0))</f>
        <v>1378950.38170992</v>
      </c>
      <c r="J32" s="21" t="n">
        <f aca="false">IF(8&lt;$A32,I$21-AMFee-Interest,IF(8=$A32,I$21-AMFee-Interest+INDEX($B$19:$Q$19,8+1)/ExitYld*(1-SaleCost)-Debt,0))</f>
        <v>973151.086037179</v>
      </c>
      <c r="K32" s="21" t="n">
        <f aca="false">IF(9&lt;$A32,J$21-AMFee-Interest,IF(9=$A32,J$21-AMFee-Interest+INDEX($B$19:$Q$19,9+1)/ExitYld*(1-SaleCost)-Debt,0))</f>
        <v>1413527.56349119</v>
      </c>
      <c r="L32" s="21" t="n">
        <f aca="false">IF(10&lt;$A32,K$21-AMFee-Interest,IF(10=$A32,K$21-AMFee-Interest+INDEX($B$19:$Q$19,10+1)/ExitYld*(1-SaleCost)-Debt,0))</f>
        <v>23238356.289674</v>
      </c>
      <c r="M32" s="21" t="n">
        <f aca="false">IF(11&lt;$A32,L$21-AMFee-Interest,IF(11=$A32,L$21-AMFee-Interest+INDEX($B$19:$Q$19,11+1)/ExitYld*(1-SaleCost)-Debt,0))</f>
        <v>0</v>
      </c>
      <c r="N32" s="21" t="n">
        <f aca="false">IF(12&lt;$A32,M$21-AMFee-Interest,IF(12=$A32,M$21-AMFee-Interest+INDEX($B$19:$Q$19,12+1)/ExitYld*(1-SaleCost)-Debt,0))</f>
        <v>0</v>
      </c>
      <c r="O32" s="21" t="n">
        <f aca="false">IF(13&lt;$A32,N$21-AMFee-Interest,IF(13=$A32,N$21-AMFee-Interest+INDEX($B$19:$Q$19,13+1)/ExitYld*(1-SaleCost)-Debt,0))</f>
        <v>0</v>
      </c>
      <c r="P32" s="21" t="n">
        <f aca="false">IF(14&lt;$A32,O$21-AMFee-Interest,IF(14=$A32,O$21-AMFee-Interest+INDEX($B$19:$Q$19,14+1)/ExitYld*(1-SaleCost)-Debt,0))</f>
        <v>0</v>
      </c>
      <c r="Q32" s="21" t="n">
        <f aca="false">IF(15&lt;$A32,P$21-AMFee-Interest,IF(15=$A32,P$21-AMFee-Interest+INDEX($B$19:$Q$19,15+1)/ExitYld*(1-SaleCost)-Debt,0))</f>
        <v>0</v>
      </c>
    </row>
    <row r="33" customFormat="false" ht="15" hidden="false" customHeight="false" outlineLevel="0" collapsed="false">
      <c r="A33" s="43" t="n">
        <v>11</v>
      </c>
      <c r="B33" s="21" t="n">
        <f aca="false">-Equity0</f>
        <v>-13834920</v>
      </c>
      <c r="C33" s="21" t="n">
        <f aca="false">IF(1&lt;$A33,B$21-AMFee-Interest,IF(1=$A33,B$21-AMFee-Interest+INDEX($B$19:$Q$19,1+1)/ExitYld*(1-SaleCost)-Debt,0))</f>
        <v>-1108947.292</v>
      </c>
      <c r="D33" s="21" t="n">
        <f aca="false">IF(2&lt;$A33,C$21-AMFee-Interest,IF(2=$A33,C$21-AMFee-Interest+INDEX($B$19:$Q$19,2+1)/ExitYld*(1-SaleCost)-Debt,0))</f>
        <v>233216.832</v>
      </c>
      <c r="E33" s="21" t="n">
        <f aca="false">IF(3&lt;$A33,D$21-AMFee-Interest,IF(3=$A33,D$21-AMFee-Interest+INDEX($B$19:$Q$19,3+1)/ExitYld*(1-SaleCost)-Debt,0))</f>
        <v>463849.15772</v>
      </c>
      <c r="F33" s="21" t="n">
        <f aca="false">IF(4&lt;$A33,E$21-AMFee-Interest,IF(4=$A33,E$21-AMFee-Interest+INDEX($B$19:$Q$19,4+1)/ExitYld*(1-SaleCost)-Debt,0))</f>
        <v>999052.6252437</v>
      </c>
      <c r="G33" s="21" t="n">
        <f aca="false">IF(5&lt;$A33,F$21-AMFee-Interest,IF(5=$A33,F$21-AMFee-Interest+INDEX($B$19:$Q$19,5+1)/ExitYld*(1-SaleCost)-Debt,0))</f>
        <v>1218241.6421073</v>
      </c>
      <c r="H33" s="21" t="n">
        <f aca="false">IF(6&lt;$A33,G$21-AMFee-Interest,IF(6=$A33,G$21-AMFee-Interest+INDEX($B$19:$Q$19,6+1)/ExitYld*(1-SaleCost)-Debt,0))</f>
        <v>1172328.43601717</v>
      </c>
      <c r="I33" s="21" t="n">
        <f aca="false">IF(7&lt;$A33,H$21-AMFee-Interest,IF(7=$A33,H$21-AMFee-Interest+INDEX($B$19:$Q$19,7+1)/ExitYld*(1-SaleCost)-Debt,0))</f>
        <v>1378950.38170992</v>
      </c>
      <c r="J33" s="21" t="n">
        <f aca="false">IF(8&lt;$A33,I$21-AMFee-Interest,IF(8=$A33,I$21-AMFee-Interest+INDEX($B$19:$Q$19,8+1)/ExitYld*(1-SaleCost)-Debt,0))</f>
        <v>973151.086037179</v>
      </c>
      <c r="K33" s="21" t="n">
        <f aca="false">IF(9&lt;$A33,J$21-AMFee-Interest,IF(9=$A33,J$21-AMFee-Interest+INDEX($B$19:$Q$19,9+1)/ExitYld*(1-SaleCost)-Debt,0))</f>
        <v>1413527.56349119</v>
      </c>
      <c r="L33" s="21" t="n">
        <f aca="false">IF(10&lt;$A33,K$21-AMFee-Interest,IF(10=$A33,K$21-AMFee-Interest+INDEX($B$19:$Q$19,10+1)/ExitYld*(1-SaleCost)-Debt,0))</f>
        <v>1327485.61837956</v>
      </c>
      <c r="M33" s="21" t="n">
        <f aca="false">IF(11&lt;$A33,L$21-AMFee-Interest,IF(11=$A33,L$21-AMFee-Interest+INDEX($B$19:$Q$19,11+1)/ExitYld*(1-SaleCost)-Debt,0))</f>
        <v>22288304.1400053</v>
      </c>
      <c r="N33" s="21" t="n">
        <f aca="false">IF(12&lt;$A33,M$21-AMFee-Interest,IF(12=$A33,M$21-AMFee-Interest+INDEX($B$19:$Q$19,12+1)/ExitYld*(1-SaleCost)-Debt,0))</f>
        <v>0</v>
      </c>
      <c r="O33" s="21" t="n">
        <f aca="false">IF(13&lt;$A33,N$21-AMFee-Interest,IF(13=$A33,N$21-AMFee-Interest+INDEX($B$19:$Q$19,13+1)/ExitYld*(1-SaleCost)-Debt,0))</f>
        <v>0</v>
      </c>
      <c r="P33" s="21" t="n">
        <f aca="false">IF(14&lt;$A33,O$21-AMFee-Interest,IF(14=$A33,O$21-AMFee-Interest+INDEX($B$19:$Q$19,14+1)/ExitYld*(1-SaleCost)-Debt,0))</f>
        <v>0</v>
      </c>
      <c r="Q33" s="21" t="n">
        <f aca="false">IF(15&lt;$A33,P$21-AMFee-Interest,IF(15=$A33,P$21-AMFee-Interest+INDEX($B$19:$Q$19,15+1)/ExitYld*(1-SaleCost)-Debt,0))</f>
        <v>0</v>
      </c>
    </row>
    <row r="34" customFormat="false" ht="15" hidden="false" customHeight="false" outlineLevel="0" collapsed="false">
      <c r="A34" s="43" t="n">
        <v>12</v>
      </c>
      <c r="B34" s="21" t="n">
        <f aca="false">-Equity0</f>
        <v>-13834920</v>
      </c>
      <c r="C34" s="21" t="n">
        <f aca="false">IF(1&lt;$A34,B$21-AMFee-Interest,IF(1=$A34,B$21-AMFee-Interest+INDEX($B$19:$Q$19,1+1)/ExitYld*(1-SaleCost)-Debt,0))</f>
        <v>-1108947.292</v>
      </c>
      <c r="D34" s="21" t="n">
        <f aca="false">IF(2&lt;$A34,C$21-AMFee-Interest,IF(2=$A34,C$21-AMFee-Interest+INDEX($B$19:$Q$19,2+1)/ExitYld*(1-SaleCost)-Debt,0))</f>
        <v>233216.832</v>
      </c>
      <c r="E34" s="21" t="n">
        <f aca="false">IF(3&lt;$A34,D$21-AMFee-Interest,IF(3=$A34,D$21-AMFee-Interest+INDEX($B$19:$Q$19,3+1)/ExitYld*(1-SaleCost)-Debt,0))</f>
        <v>463849.15772</v>
      </c>
      <c r="F34" s="21" t="n">
        <f aca="false">IF(4&lt;$A34,E$21-AMFee-Interest,IF(4=$A34,E$21-AMFee-Interest+INDEX($B$19:$Q$19,4+1)/ExitYld*(1-SaleCost)-Debt,0))</f>
        <v>999052.6252437</v>
      </c>
      <c r="G34" s="21" t="n">
        <f aca="false">IF(5&lt;$A34,F$21-AMFee-Interest,IF(5=$A34,F$21-AMFee-Interest+INDEX($B$19:$Q$19,5+1)/ExitYld*(1-SaleCost)-Debt,0))</f>
        <v>1218241.6421073</v>
      </c>
      <c r="H34" s="21" t="n">
        <f aca="false">IF(6&lt;$A34,G$21-AMFee-Interest,IF(6=$A34,G$21-AMFee-Interest+INDEX($B$19:$Q$19,6+1)/ExitYld*(1-SaleCost)-Debt,0))</f>
        <v>1172328.43601717</v>
      </c>
      <c r="I34" s="21" t="n">
        <f aca="false">IF(7&lt;$A34,H$21-AMFee-Interest,IF(7=$A34,H$21-AMFee-Interest+INDEX($B$19:$Q$19,7+1)/ExitYld*(1-SaleCost)-Debt,0))</f>
        <v>1378950.38170992</v>
      </c>
      <c r="J34" s="21" t="n">
        <f aca="false">IF(8&lt;$A34,I$21-AMFee-Interest,IF(8=$A34,I$21-AMFee-Interest+INDEX($B$19:$Q$19,8+1)/ExitYld*(1-SaleCost)-Debt,0))</f>
        <v>973151.086037179</v>
      </c>
      <c r="K34" s="21" t="n">
        <f aca="false">IF(9&lt;$A34,J$21-AMFee-Interest,IF(9=$A34,J$21-AMFee-Interest+INDEX($B$19:$Q$19,9+1)/ExitYld*(1-SaleCost)-Debt,0))</f>
        <v>1413527.56349119</v>
      </c>
      <c r="L34" s="21" t="n">
        <f aca="false">IF(10&lt;$A34,K$21-AMFee-Interest,IF(10=$A34,K$21-AMFee-Interest+INDEX($B$19:$Q$19,10+1)/ExitYld*(1-SaleCost)-Debt,0))</f>
        <v>1327485.61837956</v>
      </c>
      <c r="M34" s="21" t="n">
        <f aca="false">IF(11&lt;$A34,L$21-AMFee-Interest,IF(11=$A34,L$21-AMFee-Interest+INDEX($B$19:$Q$19,11+1)/ExitYld*(1-SaleCost)-Debt,0))</f>
        <v>1610235.3920416</v>
      </c>
      <c r="N34" s="21" t="n">
        <f aca="false">IF(12&lt;$A34,M$21-AMFee-Interest,IF(12=$A34,M$21-AMFee-Interest+INDEX($B$19:$Q$19,12+1)/ExitYld*(1-SaleCost)-Debt,0))</f>
        <v>24089396.817998</v>
      </c>
      <c r="O34" s="21" t="n">
        <f aca="false">IF(13&lt;$A34,N$21-AMFee-Interest,IF(13=$A34,N$21-AMFee-Interest+INDEX($B$19:$Q$19,13+1)/ExitYld*(1-SaleCost)-Debt,0))</f>
        <v>0</v>
      </c>
      <c r="P34" s="21" t="n">
        <f aca="false">IF(14&lt;$A34,O$21-AMFee-Interest,IF(14=$A34,O$21-AMFee-Interest+INDEX($B$19:$Q$19,14+1)/ExitYld*(1-SaleCost)-Debt,0))</f>
        <v>0</v>
      </c>
      <c r="Q34" s="21" t="n">
        <f aca="false">IF(15&lt;$A34,P$21-AMFee-Interest,IF(15=$A34,P$21-AMFee-Interest+INDEX($B$19:$Q$19,15+1)/ExitYld*(1-SaleCost)-Debt,0))</f>
        <v>0</v>
      </c>
    </row>
    <row r="35" customFormat="false" ht="15" hidden="false" customHeight="false" outlineLevel="0" collapsed="false">
      <c r="A35" s="43" t="n">
        <v>13</v>
      </c>
      <c r="B35" s="21" t="n">
        <f aca="false">-Equity0</f>
        <v>-13834920</v>
      </c>
      <c r="C35" s="21" t="n">
        <f aca="false">IF(1&lt;$A35,B$21-AMFee-Interest,IF(1=$A35,B$21-AMFee-Interest+INDEX($B$19:$Q$19,1+1)/ExitYld*(1-SaleCost)-Debt,0))</f>
        <v>-1108947.292</v>
      </c>
      <c r="D35" s="21" t="n">
        <f aca="false">IF(2&lt;$A35,C$21-AMFee-Interest,IF(2=$A35,C$21-AMFee-Interest+INDEX($B$19:$Q$19,2+1)/ExitYld*(1-SaleCost)-Debt,0))</f>
        <v>233216.832</v>
      </c>
      <c r="E35" s="21" t="n">
        <f aca="false">IF(3&lt;$A35,D$21-AMFee-Interest,IF(3=$A35,D$21-AMFee-Interest+INDEX($B$19:$Q$19,3+1)/ExitYld*(1-SaleCost)-Debt,0))</f>
        <v>463849.15772</v>
      </c>
      <c r="F35" s="21" t="n">
        <f aca="false">IF(4&lt;$A35,E$21-AMFee-Interest,IF(4=$A35,E$21-AMFee-Interest+INDEX($B$19:$Q$19,4+1)/ExitYld*(1-SaleCost)-Debt,0))</f>
        <v>999052.6252437</v>
      </c>
      <c r="G35" s="21" t="n">
        <f aca="false">IF(5&lt;$A35,F$21-AMFee-Interest,IF(5=$A35,F$21-AMFee-Interest+INDEX($B$19:$Q$19,5+1)/ExitYld*(1-SaleCost)-Debt,0))</f>
        <v>1218241.6421073</v>
      </c>
      <c r="H35" s="21" t="n">
        <f aca="false">IF(6&lt;$A35,G$21-AMFee-Interest,IF(6=$A35,G$21-AMFee-Interest+INDEX($B$19:$Q$19,6+1)/ExitYld*(1-SaleCost)-Debt,0))</f>
        <v>1172328.43601717</v>
      </c>
      <c r="I35" s="21" t="n">
        <f aca="false">IF(7&lt;$A35,H$21-AMFee-Interest,IF(7=$A35,H$21-AMFee-Interest+INDEX($B$19:$Q$19,7+1)/ExitYld*(1-SaleCost)-Debt,0))</f>
        <v>1378950.38170992</v>
      </c>
      <c r="J35" s="21" t="n">
        <f aca="false">IF(8&lt;$A35,I$21-AMFee-Interest,IF(8=$A35,I$21-AMFee-Interest+INDEX($B$19:$Q$19,8+1)/ExitYld*(1-SaleCost)-Debt,0))</f>
        <v>973151.086037179</v>
      </c>
      <c r="K35" s="21" t="n">
        <f aca="false">IF(9&lt;$A35,J$21-AMFee-Interest,IF(9=$A35,J$21-AMFee-Interest+INDEX($B$19:$Q$19,9+1)/ExitYld*(1-SaleCost)-Debt,0))</f>
        <v>1413527.56349119</v>
      </c>
      <c r="L35" s="21" t="n">
        <f aca="false">IF(10&lt;$A35,K$21-AMFee-Interest,IF(10=$A35,K$21-AMFee-Interest+INDEX($B$19:$Q$19,10+1)/ExitYld*(1-SaleCost)-Debt,0))</f>
        <v>1327485.61837956</v>
      </c>
      <c r="M35" s="21" t="n">
        <f aca="false">IF(11&lt;$A35,L$21-AMFee-Interest,IF(11=$A35,L$21-AMFee-Interest+INDEX($B$19:$Q$19,11+1)/ExitYld*(1-SaleCost)-Debt,0))</f>
        <v>1610235.3920416</v>
      </c>
      <c r="N35" s="21" t="n">
        <f aca="false">IF(12&lt;$A35,M$21-AMFee-Interest,IF(12=$A35,M$21-AMFee-Interest+INDEX($B$19:$Q$19,12+1)/ExitYld*(1-SaleCost)-Debt,0))</f>
        <v>1500852.63701881</v>
      </c>
      <c r="O35" s="21" t="n">
        <f aca="false">IF(13&lt;$A35,N$21-AMFee-Interest,IF(13=$A35,N$21-AMFee-Interest+INDEX($B$19:$Q$19,13+1)/ExitYld*(1-SaleCost)-Debt,0))</f>
        <v>24244415.3081033</v>
      </c>
      <c r="P35" s="21" t="n">
        <f aca="false">IF(14&lt;$A35,O$21-AMFee-Interest,IF(14=$A35,O$21-AMFee-Interest+INDEX($B$19:$Q$19,14+1)/ExitYld*(1-SaleCost)-Debt,0))</f>
        <v>0</v>
      </c>
      <c r="Q35" s="21" t="n">
        <f aca="false">IF(15&lt;$A35,P$21-AMFee-Interest,IF(15=$A35,P$21-AMFee-Interest+INDEX($B$19:$Q$19,15+1)/ExitYld*(1-SaleCost)-Debt,0))</f>
        <v>0</v>
      </c>
    </row>
    <row r="36" customFormat="false" ht="15" hidden="false" customHeight="false" outlineLevel="0" collapsed="false">
      <c r="A36" s="43" t="n">
        <v>14</v>
      </c>
      <c r="B36" s="21" t="n">
        <f aca="false">-Equity0</f>
        <v>-13834920</v>
      </c>
      <c r="C36" s="21" t="n">
        <f aca="false">IF(1&lt;$A36,B$21-AMFee-Interest,IF(1=$A36,B$21-AMFee-Interest+INDEX($B$19:$Q$19,1+1)/ExitYld*(1-SaleCost)-Debt,0))</f>
        <v>-1108947.292</v>
      </c>
      <c r="D36" s="21" t="n">
        <f aca="false">IF(2&lt;$A36,C$21-AMFee-Interest,IF(2=$A36,C$21-AMFee-Interest+INDEX($B$19:$Q$19,2+1)/ExitYld*(1-SaleCost)-Debt,0))</f>
        <v>233216.832</v>
      </c>
      <c r="E36" s="21" t="n">
        <f aca="false">IF(3&lt;$A36,D$21-AMFee-Interest,IF(3=$A36,D$21-AMFee-Interest+INDEX($B$19:$Q$19,3+1)/ExitYld*(1-SaleCost)-Debt,0))</f>
        <v>463849.15772</v>
      </c>
      <c r="F36" s="21" t="n">
        <f aca="false">IF(4&lt;$A36,E$21-AMFee-Interest,IF(4=$A36,E$21-AMFee-Interest+INDEX($B$19:$Q$19,4+1)/ExitYld*(1-SaleCost)-Debt,0))</f>
        <v>999052.6252437</v>
      </c>
      <c r="G36" s="21" t="n">
        <f aca="false">IF(5&lt;$A36,F$21-AMFee-Interest,IF(5=$A36,F$21-AMFee-Interest+INDEX($B$19:$Q$19,5+1)/ExitYld*(1-SaleCost)-Debt,0))</f>
        <v>1218241.6421073</v>
      </c>
      <c r="H36" s="21" t="n">
        <f aca="false">IF(6&lt;$A36,G$21-AMFee-Interest,IF(6=$A36,G$21-AMFee-Interest+INDEX($B$19:$Q$19,6+1)/ExitYld*(1-SaleCost)-Debt,0))</f>
        <v>1172328.43601717</v>
      </c>
      <c r="I36" s="21" t="n">
        <f aca="false">IF(7&lt;$A36,H$21-AMFee-Interest,IF(7=$A36,H$21-AMFee-Interest+INDEX($B$19:$Q$19,7+1)/ExitYld*(1-SaleCost)-Debt,0))</f>
        <v>1378950.38170992</v>
      </c>
      <c r="J36" s="21" t="n">
        <f aca="false">IF(8&lt;$A36,I$21-AMFee-Interest,IF(8=$A36,I$21-AMFee-Interest+INDEX($B$19:$Q$19,8+1)/ExitYld*(1-SaleCost)-Debt,0))</f>
        <v>973151.086037179</v>
      </c>
      <c r="K36" s="21" t="n">
        <f aca="false">IF(9&lt;$A36,J$21-AMFee-Interest,IF(9=$A36,J$21-AMFee-Interest+INDEX($B$19:$Q$19,9+1)/ExitYld*(1-SaleCost)-Debt,0))</f>
        <v>1413527.56349119</v>
      </c>
      <c r="L36" s="21" t="n">
        <f aca="false">IF(10&lt;$A36,K$21-AMFee-Interest,IF(10=$A36,K$21-AMFee-Interest+INDEX($B$19:$Q$19,10+1)/ExitYld*(1-SaleCost)-Debt,0))</f>
        <v>1327485.61837956</v>
      </c>
      <c r="M36" s="21" t="n">
        <f aca="false">IF(11&lt;$A36,L$21-AMFee-Interest,IF(11=$A36,L$21-AMFee-Interest+INDEX($B$19:$Q$19,11+1)/ExitYld*(1-SaleCost)-Debt,0))</f>
        <v>1610235.3920416</v>
      </c>
      <c r="N36" s="21" t="n">
        <f aca="false">IF(12&lt;$A36,M$21-AMFee-Interest,IF(12=$A36,M$21-AMFee-Interest+INDEX($B$19:$Q$19,12+1)/ExitYld*(1-SaleCost)-Debt,0))</f>
        <v>1500852.63701881</v>
      </c>
      <c r="O36" s="21" t="n">
        <f aca="false">IF(13&lt;$A36,N$21-AMFee-Interest,IF(13=$A36,N$21-AMFee-Interest+INDEX($B$19:$Q$19,13+1)/ExitYld*(1-SaleCost)-Debt,0))</f>
        <v>1655871.12712416</v>
      </c>
      <c r="P36" s="21" t="n">
        <f aca="false">IF(14&lt;$A36,O$21-AMFee-Interest,IF(14=$A36,O$21-AMFee-Interest+INDEX($B$19:$Q$19,14+1)/ExitYld*(1-SaleCost)-Debt,0))</f>
        <v>24244415.3081033</v>
      </c>
      <c r="Q36" s="21" t="n">
        <f aca="false">IF(15&lt;$A36,P$21-AMFee-Interest,IF(15=$A36,P$21-AMFee-Interest+INDEX($B$19:$Q$19,15+1)/ExitYld*(1-SaleCost)-Debt,0))</f>
        <v>0</v>
      </c>
    </row>
    <row r="37" customFormat="false" ht="15" hidden="false" customHeight="false" outlineLevel="0" collapsed="false">
      <c r="A37" s="43" t="n">
        <v>15</v>
      </c>
      <c r="B37" s="21" t="n">
        <f aca="false">-Equity0</f>
        <v>-13834920</v>
      </c>
      <c r="C37" s="21" t="n">
        <f aca="false">IF(1&lt;$A37,B$21-AMFee-Interest,IF(1=$A37,B$21-AMFee-Interest+INDEX($B$19:$Q$19,1+1)/ExitYld*(1-SaleCost)-Debt,0))</f>
        <v>-1108947.292</v>
      </c>
      <c r="D37" s="21" t="n">
        <f aca="false">IF(2&lt;$A37,C$21-AMFee-Interest,IF(2=$A37,C$21-AMFee-Interest+INDEX($B$19:$Q$19,2+1)/ExitYld*(1-SaleCost)-Debt,0))</f>
        <v>233216.832</v>
      </c>
      <c r="E37" s="21" t="n">
        <f aca="false">IF(3&lt;$A37,D$21-AMFee-Interest,IF(3=$A37,D$21-AMFee-Interest+INDEX($B$19:$Q$19,3+1)/ExitYld*(1-SaleCost)-Debt,0))</f>
        <v>463849.15772</v>
      </c>
      <c r="F37" s="21" t="n">
        <f aca="false">IF(4&lt;$A37,E$21-AMFee-Interest,IF(4=$A37,E$21-AMFee-Interest+INDEX($B$19:$Q$19,4+1)/ExitYld*(1-SaleCost)-Debt,0))</f>
        <v>999052.6252437</v>
      </c>
      <c r="G37" s="21" t="n">
        <f aca="false">IF(5&lt;$A37,F$21-AMFee-Interest,IF(5=$A37,F$21-AMFee-Interest+INDEX($B$19:$Q$19,5+1)/ExitYld*(1-SaleCost)-Debt,0))</f>
        <v>1218241.6421073</v>
      </c>
      <c r="H37" s="21" t="n">
        <f aca="false">IF(6&lt;$A37,G$21-AMFee-Interest,IF(6=$A37,G$21-AMFee-Interest+INDEX($B$19:$Q$19,6+1)/ExitYld*(1-SaleCost)-Debt,0))</f>
        <v>1172328.43601717</v>
      </c>
      <c r="I37" s="21" t="n">
        <f aca="false">IF(7&lt;$A37,H$21-AMFee-Interest,IF(7=$A37,H$21-AMFee-Interest+INDEX($B$19:$Q$19,7+1)/ExitYld*(1-SaleCost)-Debt,0))</f>
        <v>1378950.38170992</v>
      </c>
      <c r="J37" s="21" t="n">
        <f aca="false">IF(8&lt;$A37,I$21-AMFee-Interest,IF(8=$A37,I$21-AMFee-Interest+INDEX($B$19:$Q$19,8+1)/ExitYld*(1-SaleCost)-Debt,0))</f>
        <v>973151.086037179</v>
      </c>
      <c r="K37" s="21" t="n">
        <f aca="false">IF(9&lt;$A37,J$21-AMFee-Interest,IF(9=$A37,J$21-AMFee-Interest+INDEX($B$19:$Q$19,9+1)/ExitYld*(1-SaleCost)-Debt,0))</f>
        <v>1413527.56349119</v>
      </c>
      <c r="L37" s="21" t="n">
        <f aca="false">IF(10&lt;$A37,K$21-AMFee-Interest,IF(10=$A37,K$21-AMFee-Interest+INDEX($B$19:$Q$19,10+1)/ExitYld*(1-SaleCost)-Debt,0))</f>
        <v>1327485.61837956</v>
      </c>
      <c r="M37" s="21" t="n">
        <f aca="false">IF(11&lt;$A37,L$21-AMFee-Interest,IF(11=$A37,L$21-AMFee-Interest+INDEX($B$19:$Q$19,11+1)/ExitYld*(1-SaleCost)-Debt,0))</f>
        <v>1610235.3920416</v>
      </c>
      <c r="N37" s="21" t="n">
        <f aca="false">IF(12&lt;$A37,M$21-AMFee-Interest,IF(12=$A37,M$21-AMFee-Interest+INDEX($B$19:$Q$19,12+1)/ExitYld*(1-SaleCost)-Debt,0))</f>
        <v>1500852.63701881</v>
      </c>
      <c r="O37" s="21" t="n">
        <f aca="false">IF(13&lt;$A37,N$21-AMFee-Interest,IF(13=$A37,N$21-AMFee-Interest+INDEX($B$19:$Q$19,13+1)/ExitYld*(1-SaleCost)-Debt,0))</f>
        <v>1655871.12712416</v>
      </c>
      <c r="P37" s="21" t="n">
        <f aca="false">IF(14&lt;$A37,O$21-AMFee-Interest,IF(14=$A37,O$21-AMFee-Interest+INDEX($B$19:$Q$19,14+1)/ExitYld*(1-SaleCost)-Debt,0))</f>
        <v>1655871.12712416</v>
      </c>
      <c r="Q37" s="21" t="n">
        <f aca="false">IF(15&lt;$A37,P$21-AMFee-Interest,IF(15=$A37,P$21-AMFee-Interest+INDEX($B$19:$Q$19,15+1)/ExitYld*(1-SaleCost)-Debt,0))</f>
        <v>24244415.3081033</v>
      </c>
    </row>
    <row r="39" customFormat="false" ht="15" hidden="false" customHeight="false" outlineLevel="0" collapsed="false">
      <c r="A39" s="31" t="s">
        <v>221</v>
      </c>
    </row>
    <row r="40" customFormat="false" ht="35.05" hidden="false" customHeight="false" outlineLevel="0" collapsed="false">
      <c r="A40" s="32" t="s">
        <v>215</v>
      </c>
      <c r="B40" s="33" t="s">
        <v>169</v>
      </c>
      <c r="C40" s="33" t="s">
        <v>222</v>
      </c>
      <c r="D40" s="33" t="s">
        <v>135</v>
      </c>
      <c r="E40" s="33" t="s">
        <v>223</v>
      </c>
      <c r="F40" s="33" t="s">
        <v>224</v>
      </c>
      <c r="G40" s="33" t="s">
        <v>225</v>
      </c>
      <c r="H40" s="33" t="s">
        <v>226</v>
      </c>
    </row>
    <row r="41" customFormat="false" ht="15" hidden="false" customHeight="false" outlineLevel="0" collapsed="false">
      <c r="A41" s="7" t="n">
        <f aca="false">A25</f>
        <v>3</v>
      </c>
      <c r="B41" s="27" t="n">
        <f aca="false">IRR(B25:Q25)</f>
        <v>-0.0153459055625801</v>
      </c>
      <c r="C41" s="41" t="n">
        <f aca="false">(Equity0+SUM(B25:Q25))/Equity0</f>
        <v>0.95248260124066</v>
      </c>
      <c r="D41" s="21" t="n">
        <f aca="false">SUM(B25:Q25)</f>
        <v>-657399.410443569</v>
      </c>
      <c r="E41" s="7" t="n">
        <f aca="false">A41+1</f>
        <v>4</v>
      </c>
      <c r="F41" s="21" t="n">
        <f aca="false">INDEX($B$19:$Q$19,E41)</f>
        <v>1892936.9375262</v>
      </c>
      <c r="G41" s="21" t="n">
        <f aca="false">INDEX($B$18:$Q$18,E41)</f>
        <v>50800.3122825</v>
      </c>
      <c r="H41" s="21" t="n">
        <f aca="false">AMFee*A41</f>
        <v>634392</v>
      </c>
    </row>
    <row r="42" customFormat="false" ht="15" hidden="false" customHeight="false" outlineLevel="0" collapsed="false">
      <c r="A42" s="7" t="n">
        <f aca="false">A26</f>
        <v>4</v>
      </c>
      <c r="B42" s="27" t="n">
        <f aca="false">IRR(B26:Q26)</f>
        <v>0.0502011595686009</v>
      </c>
      <c r="C42" s="41" t="n">
        <f aca="false">(Equity0+SUM(B26:Q26))/Equity0</f>
        <v>1.22570777403417</v>
      </c>
      <c r="D42" s="21" t="n">
        <f aca="false">SUM(B26:Q26)</f>
        <v>3122648.99714082</v>
      </c>
      <c r="E42" s="7" t="n">
        <f aca="false">A42+1</f>
        <v>5</v>
      </c>
      <c r="F42" s="21" t="n">
        <f aca="false">INDEX($B$19:$Q$19,E42)</f>
        <v>2080214.12185598</v>
      </c>
      <c r="G42" s="21" t="n">
        <f aca="false">INDEX($B$18:$Q$18,E42)</f>
        <v>18888.479748675</v>
      </c>
      <c r="H42" s="21" t="n">
        <f aca="false">AMFee*A42</f>
        <v>845856</v>
      </c>
    </row>
    <row r="43" customFormat="false" ht="15" hidden="false" customHeight="false" outlineLevel="0" collapsed="false">
      <c r="A43" s="7" t="n">
        <f aca="false">A27</f>
        <v>5</v>
      </c>
      <c r="B43" s="27" t="n">
        <f aca="false">IRR(B27:Q27)</f>
        <v>0.0496917681596513</v>
      </c>
      <c r="C43" s="41" t="n">
        <f aca="false">(Equity0+SUM(B27:Q27))/Equity0</f>
        <v>1.28192592280013</v>
      </c>
      <c r="D43" s="21" t="n">
        <f aca="false">SUM(B27:Q27)</f>
        <v>3900422.58786602</v>
      </c>
      <c r="E43" s="7" t="n">
        <f aca="false">A43+1</f>
        <v>6</v>
      </c>
      <c r="F43" s="21" t="n">
        <f aca="false">INDEX($B$19:$Q$19,E43)</f>
        <v>2050552.22269961</v>
      </c>
      <c r="G43" s="21" t="n">
        <f aca="false">INDEX($B$18:$Q$18,E43)</f>
        <v>35139.7866824395</v>
      </c>
      <c r="H43" s="21" t="n">
        <f aca="false">AMFee*A43</f>
        <v>1057320</v>
      </c>
    </row>
    <row r="44" customFormat="false" ht="15" hidden="false" customHeight="false" outlineLevel="0" collapsed="false">
      <c r="A44" s="7" t="n">
        <f aca="false">A28</f>
        <v>6</v>
      </c>
      <c r="B44" s="27" t="n">
        <f aca="false">IRR(B28:Q28)</f>
        <v>0.0754730989016351</v>
      </c>
      <c r="C44" s="41" t="n">
        <f aca="false">(Equity0+SUM(B28:Q28))/Equity0</f>
        <v>1.55072213053701</v>
      </c>
      <c r="D44" s="21" t="n">
        <f aca="false">SUM(B28:Q28)</f>
        <v>7619196.61820915</v>
      </c>
      <c r="E44" s="7" t="n">
        <f aca="false">A44+1</f>
        <v>7</v>
      </c>
      <c r="F44" s="21" t="n">
        <f aca="false">INDEX($B$19:$Q$19,E44)</f>
        <v>2222034.38170992</v>
      </c>
      <c r="G44" s="21" t="n">
        <f aca="false">INDEX($B$18:$Q$18,E44)</f>
        <v>0</v>
      </c>
      <c r="H44" s="21" t="n">
        <f aca="false">AMFee*A44</f>
        <v>1268784</v>
      </c>
    </row>
    <row r="45" customFormat="false" ht="15" hidden="false" customHeight="false" outlineLevel="0" collapsed="false">
      <c r="A45" s="7" t="n">
        <f aca="false">A29</f>
        <v>7</v>
      </c>
      <c r="B45" s="27" t="n">
        <f aca="false">IRR(B29:Q29)</f>
        <v>0.0401601613474614</v>
      </c>
      <c r="C45" s="41" t="n">
        <f aca="false">(Equity0+SUM(B29:Q29))/Equity0</f>
        <v>1.30965259023206</v>
      </c>
      <c r="D45" s="21" t="n">
        <f aca="false">SUM(B29:Q29)</f>
        <v>4284018.8136534</v>
      </c>
      <c r="E45" s="7" t="n">
        <f aca="false">A45+1</f>
        <v>8</v>
      </c>
      <c r="F45" s="21" t="n">
        <f aca="false">INDEX($B$19:$Q$19,E45)</f>
        <v>1904576.63549557</v>
      </c>
      <c r="G45" s="21" t="n">
        <f aca="false">INDEX($B$18:$Q$18,E45)</f>
        <v>88341.5494583934</v>
      </c>
      <c r="H45" s="21" t="n">
        <f aca="false">AMFee*A45</f>
        <v>1480248</v>
      </c>
    </row>
    <row r="46" customFormat="false" ht="15" hidden="false" customHeight="false" outlineLevel="0" collapsed="false">
      <c r="A46" s="7" t="n">
        <f aca="false">A30</f>
        <v>8</v>
      </c>
      <c r="B46" s="27" t="n">
        <f aca="false">IRR(B30:Q30)</f>
        <v>0.0774152096704468</v>
      </c>
      <c r="C46" s="41" t="n">
        <f aca="false">(Equity0+SUM(B30:Q30))/Equity0</f>
        <v>1.77754591577797</v>
      </c>
      <c r="D46" s="21" t="n">
        <f aca="false">SUM(B30:Q30)</f>
        <v>10757285.5411149</v>
      </c>
      <c r="E46" s="7" t="n">
        <f aca="false">A46+1</f>
        <v>9</v>
      </c>
      <c r="F46" s="21" t="n">
        <f aca="false">INDEX($B$19:$Q$19,E46)</f>
        <v>2274964.16982946</v>
      </c>
      <c r="G46" s="21" t="n">
        <f aca="false">INDEX($B$18:$Q$18,E46)</f>
        <v>18352.606338277</v>
      </c>
      <c r="H46" s="21" t="n">
        <f aca="false">AMFee*A46</f>
        <v>1691712</v>
      </c>
    </row>
    <row r="47" customFormat="false" ht="15" hidden="false" customHeight="false" outlineLevel="0" collapsed="false">
      <c r="A47" s="7" t="n">
        <f aca="false">A31</f>
        <v>9</v>
      </c>
      <c r="B47" s="27" t="n">
        <f aca="false">IRR(B31:Q31)</f>
        <v>0.0730626689464134</v>
      </c>
      <c r="C47" s="41" t="n">
        <f aca="false">(Equity0+SUM(B31:Q31))/Equity0</f>
        <v>1.81927923128771</v>
      </c>
      <c r="D47" s="21" t="n">
        <f aca="false">SUM(B31:Q31)</f>
        <v>11334662.622527</v>
      </c>
      <c r="E47" s="7" t="n">
        <f aca="false">A47+1</f>
        <v>10</v>
      </c>
      <c r="F47" s="21" t="n">
        <f aca="false">INDEX($B$19:$Q$19,E47)</f>
        <v>2218656.31458059</v>
      </c>
      <c r="G47" s="21" t="n">
        <f aca="false">INDEX($B$18:$Q$18,E47)</f>
        <v>48086.6962010262</v>
      </c>
      <c r="H47" s="21" t="n">
        <f aca="false">AMFee*A47</f>
        <v>1903176</v>
      </c>
    </row>
    <row r="48" customFormat="false" ht="15" hidden="false" customHeight="false" outlineLevel="0" collapsed="false">
      <c r="A48" s="7" t="n">
        <f aca="false">A32</f>
        <v>10</v>
      </c>
      <c r="B48" s="27" t="n">
        <f aca="false">IRR(B32:Q32)</f>
        <v>0.0866467604777336</v>
      </c>
      <c r="C48" s="41" t="n">
        <f aca="false">(Equity0+SUM(B32:Q32))/Equity0</f>
        <v>2.16710517458724</v>
      </c>
      <c r="D48" s="21" t="n">
        <f aca="false">SUM(B32:Q32)</f>
        <v>16146806.7220004</v>
      </c>
      <c r="E48" s="7" t="n">
        <f aca="false">A48+1</f>
        <v>11</v>
      </c>
      <c r="F48" s="21" t="n">
        <f aca="false">INDEX($B$19:$Q$19,E48)</f>
        <v>2453319.3920416</v>
      </c>
      <c r="G48" s="21" t="n">
        <f aca="false">INDEX($B$18:$Q$18,E48)</f>
        <v>0</v>
      </c>
      <c r="H48" s="21" t="n">
        <f aca="false">AMFee*A48</f>
        <v>2114640</v>
      </c>
    </row>
    <row r="49" customFormat="false" ht="15" hidden="false" customHeight="false" outlineLevel="0" collapsed="false">
      <c r="A49" s="7" t="n">
        <f aca="false">A33</f>
        <v>11</v>
      </c>
      <c r="B49" s="27" t="n">
        <f aca="false">IRR(B33:Q33)</f>
        <v>0.0817191199677606</v>
      </c>
      <c r="C49" s="41" t="n">
        <f aca="false">(Equity0+SUM(B33:Q33))/Equity0</f>
        <v>2.19438639260013</v>
      </c>
      <c r="D49" s="21" t="n">
        <f aca="false">SUM(B33:Q33)</f>
        <v>16524240.1907113</v>
      </c>
      <c r="E49" s="7" t="n">
        <f aca="false">A49+1</f>
        <v>12</v>
      </c>
      <c r="F49" s="21" t="n">
        <f aca="false">INDEX($B$19:$Q$19,E49)</f>
        <v>2370300.32581224</v>
      </c>
      <c r="G49" s="21" t="n">
        <f aca="false">INDEX($B$18:$Q$18,E49)</f>
        <v>26363.6887934273</v>
      </c>
      <c r="H49" s="21" t="n">
        <f aca="false">AMFee*A49</f>
        <v>2326104</v>
      </c>
    </row>
    <row r="50" customFormat="false" ht="15" hidden="false" customHeight="false" outlineLevel="0" collapsed="false">
      <c r="A50" s="7" t="n">
        <f aca="false">A34</f>
        <v>12</v>
      </c>
      <c r="B50" s="27" t="n">
        <f aca="false">IRR(B34:Q34)</f>
        <v>0.086555921773316</v>
      </c>
      <c r="C50" s="41" t="n">
        <f aca="false">(Equity0+SUM(B34:Q34))/Equity0</f>
        <v>2.44096014004747</v>
      </c>
      <c r="D50" s="21" t="n">
        <f aca="false">SUM(B34:Q34)</f>
        <v>19935568.2607456</v>
      </c>
      <c r="E50" s="7" t="n">
        <f aca="false">A50+1</f>
        <v>13</v>
      </c>
      <c r="F50" s="21" t="n">
        <f aca="false">INDEX($B$19:$Q$19,E50)</f>
        <v>2498955.12712416</v>
      </c>
      <c r="G50" s="21" t="n">
        <f aca="false">INDEX($B$18:$Q$18,E50)</f>
        <v>0</v>
      </c>
      <c r="H50" s="21" t="n">
        <f aca="false">AMFee*A50</f>
        <v>2537568</v>
      </c>
    </row>
    <row r="51" customFormat="false" ht="15" hidden="false" customHeight="false" outlineLevel="0" collapsed="false">
      <c r="A51" s="7" t="n">
        <f aca="false">A35</f>
        <v>13</v>
      </c>
      <c r="B51" s="27" t="n">
        <f aca="false">IRR(B35:Q35)</f>
        <v>0.0858398951020099</v>
      </c>
      <c r="C51" s="41" t="n">
        <f aca="false">(Equity0+SUM(B35:Q35))/Equity0</f>
        <v>2.56064793926309</v>
      </c>
      <c r="D51" s="21" t="n">
        <f aca="false">SUM(B35:Q35)</f>
        <v>21591439.3878697</v>
      </c>
      <c r="E51" s="7" t="n">
        <f aca="false">A51+1</f>
        <v>14</v>
      </c>
      <c r="F51" s="21" t="n">
        <f aca="false">INDEX($B$19:$Q$19,E51)</f>
        <v>2498955.12712416</v>
      </c>
      <c r="G51" s="21" t="n">
        <f aca="false">INDEX($B$18:$Q$18,E51)</f>
        <v>0</v>
      </c>
      <c r="H51" s="21" t="n">
        <f aca="false">AMFee*A51</f>
        <v>2749032</v>
      </c>
    </row>
    <row r="52" customFormat="false" ht="15" hidden="false" customHeight="false" outlineLevel="0" collapsed="false">
      <c r="A52" s="7" t="n">
        <f aca="false">A36</f>
        <v>14</v>
      </c>
      <c r="B52" s="27" t="n">
        <f aca="false">IRR(B36:Q36)</f>
        <v>0.0852407778148931</v>
      </c>
      <c r="C52" s="41" t="n">
        <f aca="false">(Equity0+SUM(B36:Q36))/Equity0</f>
        <v>2.68033573847871</v>
      </c>
      <c r="D52" s="21" t="n">
        <f aca="false">SUM(B36:Q36)</f>
        <v>23247310.5149939</v>
      </c>
      <c r="E52" s="7" t="n">
        <f aca="false">A52+1</f>
        <v>15</v>
      </c>
      <c r="F52" s="21" t="n">
        <f aca="false">INDEX($B$19:$Q$19,E52)</f>
        <v>2498955.12712416</v>
      </c>
      <c r="G52" s="21" t="n">
        <f aca="false">INDEX($B$18:$Q$18,E52)</f>
        <v>0</v>
      </c>
      <c r="H52" s="21" t="n">
        <f aca="false">AMFee*A52</f>
        <v>2960496</v>
      </c>
    </row>
    <row r="53" customFormat="false" ht="15" hidden="false" customHeight="false" outlineLevel="0" collapsed="false">
      <c r="A53" s="7" t="n">
        <f aca="false">A37</f>
        <v>15</v>
      </c>
      <c r="B53" s="27" t="n">
        <f aca="false">IRR(B37:Q37)</f>
        <v>0.0847334509161886</v>
      </c>
      <c r="C53" s="41" t="n">
        <f aca="false">(Equity0+SUM(B37:Q37))/Equity0</f>
        <v>2.80002353769433</v>
      </c>
      <c r="D53" s="21" t="n">
        <f aca="false">SUM(B37:Q37)</f>
        <v>24903181.6421181</v>
      </c>
      <c r="E53" s="7" t="n">
        <f aca="false">A53+1</f>
        <v>16</v>
      </c>
      <c r="F53" s="21" t="n">
        <f aca="false">INDEX($B$19:$Q$19,E53)</f>
        <v>2498955.12712416</v>
      </c>
      <c r="G53" s="21" t="n">
        <f aca="false">INDEX($B$18:$Q$18,E53)</f>
        <v>0</v>
      </c>
      <c r="H53" s="21" t="n">
        <f aca="false">AMFee*A53</f>
        <v>3171960</v>
      </c>
    </row>
    <row r="55" customFormat="false" ht="15" hidden="false" customHeight="false" outlineLevel="0" collapsed="false">
      <c r="A55" s="7" t="s">
        <v>227</v>
      </c>
      <c r="B55" s="44" t="n">
        <f aca="false">INDEX(A41:A53,MATCH(MAX(B41:B53),B41:B53,0))</f>
        <v>10</v>
      </c>
    </row>
    <row r="56" customFormat="false" ht="15" hidden="false" customHeight="false" outlineLevel="0" collapsed="false">
      <c r="A56" s="7" t="s">
        <v>228</v>
      </c>
      <c r="B56" s="12" t="n">
        <f aca="false">(INDEX($B$19:$Q$19,7)-INDEX($B$19:$Q$19,8))/ExitYld*(1-SaleCost)</f>
        <v>4714128.18626568</v>
      </c>
    </row>
    <row r="57" customFormat="false" ht="15" hidden="false" customHeight="false" outlineLevel="0" collapsed="false">
      <c r="A57" s="7" t="s">
        <v>229</v>
      </c>
      <c r="B57" s="15" t="n">
        <f aca="false">(B44-B45)*100</f>
        <v>3.53129375541738</v>
      </c>
    </row>
    <row r="58" customFormat="false" ht="15" hidden="false" customHeight="false" outlineLevel="0" collapsed="false">
      <c r="A58" s="30" t="s">
        <v>230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8"/>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231</v>
      </c>
    </row>
    <row r="2" customFormat="false" ht="15" hidden="false" customHeight="false" outlineLevel="0" collapsed="false">
      <c r="A2" s="2" t="s">
        <v>232</v>
      </c>
    </row>
    <row r="3" customFormat="false" ht="15" hidden="false" customHeight="false" outlineLevel="0" collapsed="false">
      <c r="A3" s="3"/>
      <c r="B3" s="3"/>
      <c r="C3" s="3"/>
      <c r="D3" s="3"/>
      <c r="E3" s="3"/>
      <c r="F3" s="3"/>
    </row>
    <row r="5" customFormat="false" ht="15" hidden="false" customHeight="false" outlineLevel="0" collapsed="false">
      <c r="A5" s="18" t="s">
        <v>233</v>
      </c>
    </row>
    <row r="7" customFormat="false" ht="30" hidden="false" customHeight="true" outlineLevel="0" collapsed="false">
      <c r="A7" s="16" t="s">
        <v>234</v>
      </c>
      <c r="B7" s="17" t="s">
        <v>235</v>
      </c>
      <c r="C7" s="17" t="s">
        <v>236</v>
      </c>
      <c r="D7" s="17" t="s">
        <v>237</v>
      </c>
      <c r="E7" s="17" t="s">
        <v>202</v>
      </c>
      <c r="F7" s="17" t="s">
        <v>238</v>
      </c>
    </row>
    <row r="8" customFormat="false" ht="15" hidden="false" customHeight="false" outlineLevel="0" collapsed="false">
      <c r="A8" s="7" t="s">
        <v>239</v>
      </c>
      <c r="B8" s="7" t="s">
        <v>133</v>
      </c>
      <c r="C8" s="23" t="n">
        <v>0.086647</v>
      </c>
      <c r="D8" s="23" t="n">
        <f aca="false">'Cash flows'!B33</f>
        <v>0.0866467604777335</v>
      </c>
      <c r="E8" s="45" t="n">
        <f aca="false">D8-C8</f>
        <v>-2.39522266520797E-007</v>
      </c>
      <c r="F8" s="46" t="str">
        <f aca="false">IF(ABS(E8)&lt;=0.0000005,"PASS","FAIL")</f>
        <v>PASS</v>
      </c>
    </row>
    <row r="9" customFormat="false" ht="15" hidden="false" customHeight="false" outlineLevel="0" collapsed="false">
      <c r="A9" s="47" t="s">
        <v>240</v>
      </c>
      <c r="B9" s="47" t="s">
        <v>174</v>
      </c>
      <c r="C9" s="48" t="n">
        <v>0.034661</v>
      </c>
      <c r="D9" s="48" t="n">
        <f aca="false">Orders!C7</f>
        <v>0.0346606839747937</v>
      </c>
      <c r="E9" s="49" t="n">
        <f aca="false">D9-C9</f>
        <v>-3.16025206302528E-007</v>
      </c>
      <c r="F9" s="50" t="str">
        <f aca="false">IF(ABS(E9)&lt;=0.0000005,"PASS","FAIL")</f>
        <v>PASS</v>
      </c>
    </row>
    <row r="10" customFormat="false" ht="15" hidden="false" customHeight="false" outlineLevel="0" collapsed="false">
      <c r="A10" s="7" t="s">
        <v>240</v>
      </c>
      <c r="B10" s="7" t="s">
        <v>178</v>
      </c>
      <c r="C10" s="41" t="n">
        <v>5.1986</v>
      </c>
      <c r="D10" s="41" t="n">
        <f aca="false">Orders!C9</f>
        <v>5.19860765029398</v>
      </c>
      <c r="E10" s="45" t="n">
        <f aca="false">D10-C10</f>
        <v>7.65029397875594E-006</v>
      </c>
      <c r="F10" s="46" t="str">
        <f aca="false">IF(ABS(E10)&lt;=0.00005,"PASS","FAIL")</f>
        <v>PASS</v>
      </c>
    </row>
    <row r="11" customFormat="false" ht="15" hidden="false" customHeight="false" outlineLevel="0" collapsed="false">
      <c r="A11" s="47" t="s">
        <v>240</v>
      </c>
      <c r="B11" s="47" t="s">
        <v>241</v>
      </c>
      <c r="C11" s="51" t="n">
        <v>1.1132</v>
      </c>
      <c r="D11" s="51" t="n">
        <f aca="false">Ladders!B11</f>
        <v>1.11318618707676</v>
      </c>
      <c r="E11" s="49" t="n">
        <f aca="false">D11-C11</f>
        <v>-1.38129232445383E-005</v>
      </c>
      <c r="F11" s="50" t="str">
        <f aca="false">IF(ABS(E11)&lt;=0.00005,"PASS","FAIL")</f>
        <v>PASS</v>
      </c>
    </row>
    <row r="12" customFormat="false" ht="15" hidden="false" customHeight="false" outlineLevel="0" collapsed="false">
      <c r="A12" s="7" t="s">
        <v>240</v>
      </c>
      <c r="B12" s="7" t="s">
        <v>242</v>
      </c>
      <c r="C12" s="41" t="n">
        <v>1.7645</v>
      </c>
      <c r="D12" s="41" t="n">
        <f aca="false">Ladders!B12</f>
        <v>1.76451689457051</v>
      </c>
      <c r="E12" s="45" t="n">
        <f aca="false">D12-C12</f>
        <v>1.68945705141255E-005</v>
      </c>
      <c r="F12" s="46" t="str">
        <f aca="false">IF(ABS(E12)&lt;=0.00005,"PASS","FAIL")</f>
        <v>PASS</v>
      </c>
    </row>
    <row r="13" customFormat="false" ht="15" hidden="false" customHeight="false" outlineLevel="0" collapsed="false">
      <c r="A13" s="47" t="s">
        <v>240</v>
      </c>
      <c r="B13" s="47" t="s">
        <v>243</v>
      </c>
      <c r="C13" s="51" t="n">
        <v>0.4768</v>
      </c>
      <c r="D13" s="51" t="n">
        <f aca="false">Ladders!B13</f>
        <v>0.476774904359754</v>
      </c>
      <c r="E13" s="49" t="n">
        <f aca="false">D13-C13</f>
        <v>-2.50956402456093E-005</v>
      </c>
      <c r="F13" s="50" t="str">
        <f aca="false">IF(ABS(E13)&lt;=0.00005,"PASS","FAIL")</f>
        <v>PASS</v>
      </c>
    </row>
    <row r="14" customFormat="false" ht="15" hidden="false" customHeight="false" outlineLevel="0" collapsed="false">
      <c r="A14" s="7" t="s">
        <v>240</v>
      </c>
      <c r="B14" s="7" t="s">
        <v>244</v>
      </c>
      <c r="C14" s="41" t="n">
        <v>1.8441</v>
      </c>
      <c r="D14" s="41" t="n">
        <f aca="false">Ladders!B14</f>
        <v>1.84412966428697</v>
      </c>
      <c r="E14" s="45" t="n">
        <f aca="false">D14-C14</f>
        <v>2.96642869683783E-005</v>
      </c>
      <c r="F14" s="46" t="str">
        <f aca="false">IF(ABS(E14)&lt;=0.00005,"PASS","FAIL")</f>
        <v>PASS</v>
      </c>
    </row>
    <row r="15" customFormat="false" ht="15" hidden="false" customHeight="false" outlineLevel="0" collapsed="false">
      <c r="A15" s="47" t="s">
        <v>240</v>
      </c>
      <c r="B15" s="47" t="s">
        <v>245</v>
      </c>
      <c r="C15" s="51" t="n">
        <v>8.6647</v>
      </c>
      <c r="D15" s="51" t="n">
        <f aca="false">Ladders!C15</f>
        <v>8.66467604777336</v>
      </c>
      <c r="E15" s="49" t="n">
        <f aca="false">D15-C15</f>
        <v>-2.39522266376468E-005</v>
      </c>
      <c r="F15" s="50" t="str">
        <f aca="false">IF(ABS(E15)&lt;=0.00005,"PASS","FAIL")</f>
        <v>PASS</v>
      </c>
    </row>
    <row r="16" customFormat="false" ht="15" hidden="false" customHeight="false" outlineLevel="0" collapsed="false">
      <c r="A16" s="7" t="s">
        <v>240</v>
      </c>
      <c r="B16" s="7" t="s">
        <v>246</v>
      </c>
      <c r="C16" s="41" t="n">
        <v>-1.1977</v>
      </c>
      <c r="D16" s="41" t="n">
        <f aca="false">Ladders!B21</f>
        <v>-1.19772248763111</v>
      </c>
      <c r="E16" s="45" t="n">
        <f aca="false">D16-C16</f>
        <v>-2.24876311125666E-005</v>
      </c>
      <c r="F16" s="46" t="str">
        <f aca="false">IF(ABS(E16)&lt;=0.00005,"PASS","FAIL")</f>
        <v>PASS</v>
      </c>
    </row>
    <row r="17" customFormat="false" ht="15" hidden="false" customHeight="false" outlineLevel="0" collapsed="false">
      <c r="A17" s="47" t="s">
        <v>240</v>
      </c>
      <c r="B17" s="47" t="s">
        <v>247</v>
      </c>
      <c r="C17" s="51" t="n">
        <v>1.0447</v>
      </c>
      <c r="D17" s="51" t="n">
        <f aca="false">Ladders!B22</f>
        <v>1.04471756821029</v>
      </c>
      <c r="E17" s="49" t="n">
        <f aca="false">D17-C17</f>
        <v>1.75682102867558E-005</v>
      </c>
      <c r="F17" s="50" t="str">
        <f aca="false">IF(ABS(E17)&lt;=0.00005,"PASS","FAIL")</f>
        <v>PASS</v>
      </c>
    </row>
    <row r="18" customFormat="false" ht="15" hidden="false" customHeight="false" outlineLevel="0" collapsed="false">
      <c r="A18" s="7" t="s">
        <v>240</v>
      </c>
      <c r="B18" s="7" t="s">
        <v>248</v>
      </c>
      <c r="C18" s="41" t="n">
        <v>3.6925</v>
      </c>
      <c r="D18" s="41" t="n">
        <f aca="false">Ladders!B23</f>
        <v>3.69251677437407</v>
      </c>
      <c r="E18" s="45" t="n">
        <f aca="false">D18-C18</f>
        <v>1.67743740688842E-005</v>
      </c>
      <c r="F18" s="46" t="str">
        <f aca="false">IF(ABS(E18)&lt;=0.00005,"PASS","FAIL")</f>
        <v>PASS</v>
      </c>
    </row>
    <row r="19" customFormat="false" ht="15" hidden="false" customHeight="false" outlineLevel="0" collapsed="false">
      <c r="A19" s="47" t="s">
        <v>240</v>
      </c>
      <c r="B19" s="47" t="s">
        <v>249</v>
      </c>
      <c r="C19" s="51" t="n">
        <v>1.6591</v>
      </c>
      <c r="D19" s="51" t="n">
        <f aca="false">Ladders!B24</f>
        <v>1.65909579534075</v>
      </c>
      <c r="E19" s="49" t="n">
        <f aca="false">D19-C19</f>
        <v>-4.20465925055069E-006</v>
      </c>
      <c r="F19" s="50" t="str">
        <f aca="false">IF(ABS(E19)&lt;=0.00005,"PASS","FAIL")</f>
        <v>PASS</v>
      </c>
    </row>
    <row r="20" customFormat="false" ht="15" hidden="false" customHeight="false" outlineLevel="0" collapsed="false">
      <c r="A20" s="7" t="s">
        <v>240</v>
      </c>
      <c r="B20" s="7" t="s">
        <v>250</v>
      </c>
      <c r="C20" s="41" t="n">
        <v>8.6647</v>
      </c>
      <c r="D20" s="41" t="n">
        <f aca="false">Ladders!C25</f>
        <v>8.66467604777336</v>
      </c>
      <c r="E20" s="45" t="n">
        <f aca="false">D20-C20</f>
        <v>-2.39522266376468E-005</v>
      </c>
      <c r="F20" s="46" t="str">
        <f aca="false">IF(ABS(E20)&lt;=0.00005,"PASS","FAIL")</f>
        <v>PASS</v>
      </c>
    </row>
    <row r="21" customFormat="false" ht="15" hidden="false" customHeight="false" outlineLevel="0" collapsed="false">
      <c r="A21" s="47" t="s">
        <v>240</v>
      </c>
      <c r="B21" s="47" t="s">
        <v>251</v>
      </c>
      <c r="C21" s="51" t="n">
        <v>0.9616</v>
      </c>
      <c r="D21" s="51" t="n">
        <f aca="false">Orders!C44</f>
        <v>0.961642734562779</v>
      </c>
      <c r="E21" s="49" t="n">
        <f aca="false">D21-C21</f>
        <v>4.27345627793674E-005</v>
      </c>
      <c r="F21" s="50" t="str">
        <f aca="false">IF(ABS(E21)&lt;=0.00005,"PASS","FAIL")</f>
        <v>PASS</v>
      </c>
    </row>
    <row r="22" customFormat="false" ht="15" hidden="false" customHeight="false" outlineLevel="0" collapsed="false">
      <c r="A22" s="7" t="s">
        <v>240</v>
      </c>
      <c r="B22" s="7" t="s">
        <v>252</v>
      </c>
      <c r="C22" s="41" t="n">
        <v>2.4058</v>
      </c>
      <c r="D22" s="41" t="n">
        <f aca="false">Orders!D44</f>
        <v>2.40578108842448</v>
      </c>
      <c r="E22" s="45" t="n">
        <f aca="false">D22-C22</f>
        <v>-1.89115755202529E-005</v>
      </c>
      <c r="F22" s="46" t="str">
        <f aca="false">IF(ABS(E22)&lt;=0.00005,"PASS","FAIL")</f>
        <v>PASS</v>
      </c>
    </row>
    <row r="23" customFormat="false" ht="15" hidden="false" customHeight="false" outlineLevel="0" collapsed="false">
      <c r="A23" s="47" t="s">
        <v>240</v>
      </c>
      <c r="B23" s="47" t="s">
        <v>253</v>
      </c>
      <c r="C23" s="51" t="n">
        <v>1.4441</v>
      </c>
      <c r="D23" s="51" t="n">
        <f aca="false">Orders!E44</f>
        <v>1.4441383538617</v>
      </c>
      <c r="E23" s="49" t="n">
        <f aca="false">D23-C23</f>
        <v>3.83538617005907E-005</v>
      </c>
      <c r="F23" s="50" t="str">
        <f aca="false">IF(ABS(E23)&lt;=0.00005,"PASS","FAIL")</f>
        <v>PASS</v>
      </c>
    </row>
    <row r="24" customFormat="false" ht="15" hidden="false" customHeight="false" outlineLevel="0" collapsed="false">
      <c r="A24" s="7" t="s">
        <v>240</v>
      </c>
      <c r="B24" s="7" t="s">
        <v>254</v>
      </c>
      <c r="C24" s="41" t="n">
        <v>1.7645</v>
      </c>
      <c r="D24" s="41" t="n">
        <f aca="false">Orders!C45</f>
        <v>1.76451689457051</v>
      </c>
      <c r="E24" s="45" t="n">
        <f aca="false">D24-C24</f>
        <v>1.68945705141255E-005</v>
      </c>
      <c r="F24" s="46" t="str">
        <f aca="false">IF(ABS(E24)&lt;=0.00005,"PASS","FAIL")</f>
        <v>PASS</v>
      </c>
    </row>
    <row r="25" customFormat="false" ht="15" hidden="false" customHeight="false" outlineLevel="0" collapsed="false">
      <c r="A25" s="47" t="s">
        <v>240</v>
      </c>
      <c r="B25" s="47" t="s">
        <v>255</v>
      </c>
      <c r="C25" s="51" t="n">
        <v>3.8993</v>
      </c>
      <c r="D25" s="51" t="n">
        <f aca="false">Orders!D45</f>
        <v>3.89933084407979</v>
      </c>
      <c r="E25" s="49" t="n">
        <f aca="false">D25-C25</f>
        <v>3.08440797915921E-005</v>
      </c>
      <c r="F25" s="50" t="str">
        <f aca="false">IF(ABS(E25)&lt;=0.00005,"PASS","FAIL")</f>
        <v>PASS</v>
      </c>
    </row>
    <row r="26" customFormat="false" ht="15" hidden="false" customHeight="false" outlineLevel="0" collapsed="false">
      <c r="A26" s="7" t="s">
        <v>240</v>
      </c>
      <c r="B26" s="7" t="s">
        <v>256</v>
      </c>
      <c r="C26" s="41" t="n">
        <v>2.1348</v>
      </c>
      <c r="D26" s="41" t="n">
        <f aca="false">Orders!E45</f>
        <v>2.13481394950928</v>
      </c>
      <c r="E26" s="45" t="n">
        <f aca="false">D26-C26</f>
        <v>1.39495092779107E-005</v>
      </c>
      <c r="F26" s="46" t="str">
        <f aca="false">IF(ABS(E26)&lt;=0.00005,"PASS","FAIL")</f>
        <v>PASS</v>
      </c>
    </row>
    <row r="27" customFormat="false" ht="15" hidden="false" customHeight="false" outlineLevel="0" collapsed="false">
      <c r="A27" s="47" t="s">
        <v>240</v>
      </c>
      <c r="B27" s="47" t="s">
        <v>257</v>
      </c>
      <c r="C27" s="51" t="n">
        <v>0.4666</v>
      </c>
      <c r="D27" s="51" t="n">
        <f aca="false">Orders!C46</f>
        <v>0.466612318359699</v>
      </c>
      <c r="E27" s="49" t="n">
        <f aca="false">D27-C27</f>
        <v>1.23183596992815E-005</v>
      </c>
      <c r="F27" s="50" t="str">
        <f aca="false">IF(ABS(E27)&lt;=0.00005,"PASS","FAIL")</f>
        <v>PASS</v>
      </c>
    </row>
    <row r="28" customFormat="false" ht="15" hidden="false" customHeight="false" outlineLevel="0" collapsed="false">
      <c r="A28" s="7" t="s">
        <v>240</v>
      </c>
      <c r="B28" s="7" t="s">
        <v>258</v>
      </c>
      <c r="C28" s="41" t="n">
        <v>1.0447</v>
      </c>
      <c r="D28" s="41" t="n">
        <f aca="false">Orders!D46</f>
        <v>1.04471756821029</v>
      </c>
      <c r="E28" s="45" t="n">
        <f aca="false">D28-C28</f>
        <v>1.75682102867558E-005</v>
      </c>
      <c r="F28" s="46" t="str">
        <f aca="false">IF(ABS(E28)&lt;=0.00005,"PASS","FAIL")</f>
        <v>PASS</v>
      </c>
    </row>
    <row r="29" customFormat="false" ht="15" hidden="false" customHeight="false" outlineLevel="0" collapsed="false">
      <c r="A29" s="47" t="s">
        <v>240</v>
      </c>
      <c r="B29" s="47" t="s">
        <v>259</v>
      </c>
      <c r="C29" s="51" t="n">
        <v>0.5781</v>
      </c>
      <c r="D29" s="51" t="n">
        <f aca="false">Orders!E46</f>
        <v>0.578105249850587</v>
      </c>
      <c r="E29" s="49" t="n">
        <f aca="false">D29-C29</f>
        <v>5.24985058747429E-006</v>
      </c>
      <c r="F29" s="50" t="str">
        <f aca="false">IF(ABS(E29)&lt;=0.00005,"PASS","FAIL")</f>
        <v>PASS</v>
      </c>
    </row>
    <row r="30" customFormat="false" ht="15" hidden="false" customHeight="false" outlineLevel="0" collapsed="false">
      <c r="A30" s="7" t="s">
        <v>260</v>
      </c>
      <c r="B30" s="7" t="s">
        <v>261</v>
      </c>
      <c r="C30" s="41" t="n">
        <v>-1.1977</v>
      </c>
      <c r="D30" s="41" t="n">
        <f aca="false">Orders!C47</f>
        <v>-1.19772248763111</v>
      </c>
      <c r="E30" s="45" t="n">
        <f aca="false">D30-C30</f>
        <v>-2.24876311125666E-005</v>
      </c>
      <c r="F30" s="46" t="str">
        <f aca="false">IF(ABS(E30)&lt;=0.00005,"PASS","FAIL")</f>
        <v>PASS</v>
      </c>
    </row>
    <row r="31" customFormat="false" ht="15" hidden="false" customHeight="false" outlineLevel="0" collapsed="false">
      <c r="A31" s="47" t="s">
        <v>260</v>
      </c>
      <c r="B31" s="47" t="s">
        <v>262</v>
      </c>
      <c r="C31" s="51" t="n">
        <v>1.8441</v>
      </c>
      <c r="D31" s="51" t="n">
        <f aca="false">Orders!D47</f>
        <v>1.84412966428697</v>
      </c>
      <c r="E31" s="49" t="n">
        <f aca="false">D31-C31</f>
        <v>2.96642869683783E-005</v>
      </c>
      <c r="F31" s="50" t="str">
        <f aca="false">IF(ABS(E31)&lt;=0.00005,"PASS","FAIL")</f>
        <v>PASS</v>
      </c>
    </row>
    <row r="32" customFormat="false" ht="15" hidden="false" customHeight="false" outlineLevel="0" collapsed="false">
      <c r="A32" s="7" t="s">
        <v>260</v>
      </c>
      <c r="B32" s="7" t="s">
        <v>263</v>
      </c>
      <c r="C32" s="41" t="n">
        <v>3.0419</v>
      </c>
      <c r="D32" s="41" t="n">
        <f aca="false">Orders!E47</f>
        <v>3.04185215191808</v>
      </c>
      <c r="E32" s="45" t="n">
        <f aca="false">D32-C32</f>
        <v>-4.78480819188221E-005</v>
      </c>
      <c r="F32" s="46" t="str">
        <f aca="false">IF(ABS(E32)&lt;=0.00005,"PASS","FAIL")</f>
        <v>PASS</v>
      </c>
    </row>
    <row r="33" customFormat="false" ht="15" hidden="false" customHeight="false" outlineLevel="0" collapsed="false">
      <c r="A33" s="47" t="s">
        <v>240</v>
      </c>
      <c r="B33" s="47" t="s">
        <v>264</v>
      </c>
      <c r="C33" s="51" t="n">
        <v>1.4816</v>
      </c>
      <c r="D33" s="51" t="n">
        <f aca="false">Orders!F44</f>
        <v>1.48164922681826</v>
      </c>
      <c r="E33" s="49" t="n">
        <f aca="false">D33-C33</f>
        <v>4.92268182636924E-005</v>
      </c>
      <c r="F33" s="50" t="str">
        <f aca="false">IF(ABS(E33)&lt;=0.00005,"PASS","FAIL")</f>
        <v>PASS</v>
      </c>
    </row>
    <row r="34" customFormat="false" ht="15" hidden="false" customHeight="false" outlineLevel="0" collapsed="false">
      <c r="A34" s="7" t="s">
        <v>240</v>
      </c>
      <c r="B34" s="7" t="s">
        <v>265</v>
      </c>
      <c r="C34" s="41" t="n">
        <v>2.5923</v>
      </c>
      <c r="D34" s="41" t="n">
        <f aca="false">Orders!F45</f>
        <v>2.59233508021402</v>
      </c>
      <c r="E34" s="45" t="n">
        <f aca="false">D34-C34</f>
        <v>3.50802140189899E-005</v>
      </c>
      <c r="F34" s="46" t="str">
        <f aca="false">IF(ABS(E34)&lt;=0.00005,"PASS","FAIL")</f>
        <v>PASS</v>
      </c>
    </row>
    <row r="35" customFormat="false" ht="15" hidden="false" customHeight="false" outlineLevel="0" collapsed="false">
      <c r="A35" s="47" t="s">
        <v>240</v>
      </c>
      <c r="B35" s="47" t="s">
        <v>266</v>
      </c>
      <c r="C35" s="51" t="n">
        <v>0.6711</v>
      </c>
      <c r="D35" s="51" t="n">
        <f aca="false">Orders!F46</f>
        <v>0.671121145857356</v>
      </c>
      <c r="E35" s="49" t="n">
        <f aca="false">D35-C35</f>
        <v>2.11458573559087E-005</v>
      </c>
      <c r="F35" s="50" t="str">
        <f aca="false">IF(ABS(E35)&lt;=0.00005,"PASS","FAIL")</f>
        <v>PASS</v>
      </c>
    </row>
    <row r="36" customFormat="false" ht="15" hidden="false" customHeight="false" outlineLevel="0" collapsed="false">
      <c r="A36" s="7" t="s">
        <v>240</v>
      </c>
      <c r="B36" s="7" t="s">
        <v>267</v>
      </c>
      <c r="C36" s="41" t="n">
        <v>0.4535</v>
      </c>
      <c r="D36" s="41" t="n">
        <f aca="false">Orders!F47</f>
        <v>0.453502197404354</v>
      </c>
      <c r="E36" s="45" t="n">
        <f aca="false">D36-C36</f>
        <v>2.19740435397631E-006</v>
      </c>
      <c r="F36" s="46" t="str">
        <f aca="false">IF(ABS(E36)&lt;=0.00005,"PASS","FAIL")</f>
        <v>PASS</v>
      </c>
    </row>
    <row r="37" customFormat="false" ht="15" hidden="false" customHeight="false" outlineLevel="0" collapsed="false">
      <c r="A37" s="47" t="s">
        <v>240</v>
      </c>
      <c r="B37" s="47" t="s">
        <v>268</v>
      </c>
      <c r="C37" s="51" t="n">
        <v>5.1986</v>
      </c>
      <c r="D37" s="51" t="n">
        <f aca="false">Orders!F48</f>
        <v>5.19860765029399</v>
      </c>
      <c r="E37" s="49" t="n">
        <f aca="false">D37-C37</f>
        <v>7.65029399207862E-006</v>
      </c>
      <c r="F37" s="50" t="str">
        <f aca="false">IF(ABS(E37)&lt;=0.00005,"PASS","FAIL")</f>
        <v>PASS</v>
      </c>
    </row>
    <row r="38" customFormat="false" ht="15" hidden="false" customHeight="false" outlineLevel="0" collapsed="false">
      <c r="A38" s="7" t="s">
        <v>240</v>
      </c>
      <c r="B38" s="7" t="s">
        <v>269</v>
      </c>
      <c r="C38" s="41" t="n">
        <v>8.6647</v>
      </c>
      <c r="D38" s="41" t="n">
        <f aca="false">Orders!K14</f>
        <v>8.66467604777336</v>
      </c>
      <c r="E38" s="45" t="n">
        <f aca="false">D38-C38</f>
        <v>-2.39522266376468E-005</v>
      </c>
      <c r="F38" s="46" t="str">
        <f aca="false">IF(ABS(E38)&lt;=0.00005,"PASS","FAIL")</f>
        <v>PASS</v>
      </c>
    </row>
    <row r="39" customFormat="false" ht="15" hidden="false" customHeight="false" outlineLevel="0" collapsed="false">
      <c r="A39" s="47" t="s">
        <v>240</v>
      </c>
      <c r="B39" s="47" t="s">
        <v>270</v>
      </c>
      <c r="C39" s="51" t="n">
        <v>8.6647</v>
      </c>
      <c r="D39" s="51" t="n">
        <f aca="false">Orders!K37</f>
        <v>8.66467604777336</v>
      </c>
      <c r="E39" s="49" t="n">
        <f aca="false">D39-C39</f>
        <v>-2.39522266376468E-005</v>
      </c>
      <c r="F39" s="50" t="str">
        <f aca="false">IF(ABS(E39)&lt;=0.00005,"PASS","FAIL")</f>
        <v>PASS</v>
      </c>
    </row>
    <row r="40" customFormat="false" ht="15" hidden="false" customHeight="false" outlineLevel="0" collapsed="false">
      <c r="A40" s="7" t="s">
        <v>240</v>
      </c>
      <c r="B40" s="7" t="s">
        <v>271</v>
      </c>
      <c r="C40" s="41" t="n">
        <v>0.8379</v>
      </c>
      <c r="D40" s="41" t="n">
        <f aca="false">Orders!H25</f>
        <v>0.837903498504564</v>
      </c>
      <c r="E40" s="45" t="n">
        <f aca="false">D40-C40</f>
        <v>3.49850456426992E-006</v>
      </c>
      <c r="F40" s="46" t="str">
        <f aca="false">IF(ABS(E40)&lt;=0.00005,"PASS","FAIL")</f>
        <v>PASS</v>
      </c>
    </row>
    <row r="41" customFormat="false" ht="15" hidden="false" customHeight="false" outlineLevel="0" collapsed="false">
      <c r="A41" s="47" t="s">
        <v>240</v>
      </c>
      <c r="B41" s="47" t="s">
        <v>272</v>
      </c>
      <c r="C41" s="51" t="n">
        <v>2.309</v>
      </c>
      <c r="D41" s="51" t="n">
        <f aca="false">Orders!F30</f>
        <v>2.3090094303457</v>
      </c>
      <c r="E41" s="49" t="n">
        <f aca="false">D41-C41</f>
        <v>9.43034570255463E-006</v>
      </c>
      <c r="F41" s="50" t="str">
        <f aca="false">IF(ABS(E41)&lt;=0.00005,"PASS","FAIL")</f>
        <v>PASS</v>
      </c>
    </row>
    <row r="42" customFormat="false" ht="15" hidden="false" customHeight="false" outlineLevel="0" collapsed="false">
      <c r="A42" s="7" t="s">
        <v>240</v>
      </c>
      <c r="B42" s="7" t="s">
        <v>273</v>
      </c>
      <c r="C42" s="41" t="n">
        <v>3.8993</v>
      </c>
      <c r="D42" s="41" t="n">
        <f aca="false">Orders!G34</f>
        <v>3.89933084407979</v>
      </c>
      <c r="E42" s="45" t="n">
        <f aca="false">D42-C42</f>
        <v>3.08440797915921E-005</v>
      </c>
      <c r="F42" s="46" t="str">
        <f aca="false">IF(ABS(E42)&lt;=0.00005,"PASS","FAIL")</f>
        <v>PASS</v>
      </c>
    </row>
    <row r="43" customFormat="false" ht="15" hidden="false" customHeight="false" outlineLevel="0" collapsed="false">
      <c r="A43" s="7" t="s">
        <v>274</v>
      </c>
      <c r="B43" s="7" t="s">
        <v>275</v>
      </c>
      <c r="C43" s="23" t="n">
        <v>0.056221</v>
      </c>
      <c r="D43" s="23" t="n">
        <f aca="false">'Sixteen runs'!R102</f>
        <v>0.0562207290840425</v>
      </c>
      <c r="E43" s="23" t="n">
        <f aca="false">D43-C43</f>
        <v>-2.70915957535645E-007</v>
      </c>
      <c r="F43" s="11" t="str">
        <f aca="false">IF(ABS(E43)&lt;=0.0000005,"PASS","FAIL")</f>
        <v>PASS</v>
      </c>
    </row>
    <row r="44" customFormat="false" ht="15" hidden="false" customHeight="false" outlineLevel="0" collapsed="false">
      <c r="A44" s="7" t="s">
        <v>274</v>
      </c>
      <c r="B44" s="7" t="s">
        <v>276</v>
      </c>
      <c r="C44" s="23" t="n">
        <v>0.050541</v>
      </c>
      <c r="D44" s="23" t="n">
        <f aca="false">'Sixteen runs'!R101</f>
        <v>0.0505410131782011</v>
      </c>
      <c r="E44" s="23" t="n">
        <f aca="false">D44-C44</f>
        <v>1.31782011275616E-008</v>
      </c>
      <c r="F44" s="11" t="str">
        <f aca="false">IF(ABS(E44)&lt;=0.0000005,"PASS","FAIL")</f>
        <v>PASS</v>
      </c>
    </row>
    <row r="45" customFormat="false" ht="15" hidden="false" customHeight="false" outlineLevel="0" collapsed="false">
      <c r="A45" s="7" t="s">
        <v>277</v>
      </c>
      <c r="B45" s="7" t="s">
        <v>278</v>
      </c>
      <c r="C45" s="23" t="n">
        <v>0.070056</v>
      </c>
      <c r="D45" s="23" t="n">
        <f aca="false">'Sixteen runs'!R98</f>
        <v>0.0700558025243261</v>
      </c>
      <c r="E45" s="23" t="n">
        <f aca="false">D45-C45</f>
        <v>-1.97475673868741E-007</v>
      </c>
      <c r="F45" s="11" t="str">
        <f aca="false">IF(ABS(E45)&lt;=0.0000005,"PASS","FAIL")</f>
        <v>PASS</v>
      </c>
    </row>
    <row r="46" customFormat="false" ht="15" hidden="false" customHeight="false" outlineLevel="0" collapsed="false">
      <c r="A46" s="7" t="s">
        <v>277</v>
      </c>
      <c r="B46" s="7" t="s">
        <v>279</v>
      </c>
      <c r="C46" s="23" t="n">
        <v>0.058519</v>
      </c>
      <c r="D46" s="23" t="n">
        <f aca="false">'Sixteen runs'!R97</f>
        <v>0.0585190367446713</v>
      </c>
      <c r="E46" s="23" t="n">
        <f aca="false">D46-C46</f>
        <v>3.67446712987163E-008</v>
      </c>
      <c r="F46" s="11" t="str">
        <f aca="false">IF(ABS(E46)&lt;=0.0000005,"PASS","FAIL")</f>
        <v>PASS</v>
      </c>
    </row>
    <row r="47" customFormat="false" ht="15" hidden="false" customHeight="false" outlineLevel="0" collapsed="false">
      <c r="A47" s="7" t="s">
        <v>280</v>
      </c>
      <c r="B47" s="7" t="s">
        <v>281</v>
      </c>
      <c r="C47" s="23" t="n">
        <v>0.078641</v>
      </c>
      <c r="D47" s="23" t="n">
        <f aca="false">'Sixteen runs'!R104</f>
        <v>0.0786412496416143</v>
      </c>
      <c r="E47" s="23" t="n">
        <f aca="false">D47-C47</f>
        <v>2.49641614283314E-007</v>
      </c>
      <c r="F47" s="11" t="str">
        <f aca="false">IF(ABS(E47)&lt;=0.0000005,"PASS","FAIL")</f>
        <v>PASS</v>
      </c>
    </row>
    <row r="48" customFormat="false" ht="15" hidden="false" customHeight="false" outlineLevel="0" collapsed="false">
      <c r="A48" s="7" t="s">
        <v>282</v>
      </c>
      <c r="B48" s="7" t="s">
        <v>283</v>
      </c>
      <c r="C48" s="23" t="n">
        <v>0.063438</v>
      </c>
      <c r="D48" s="23" t="n">
        <f aca="false">'Sixteen runs'!R103</f>
        <v>0.0634377147912664</v>
      </c>
      <c r="E48" s="23" t="n">
        <f aca="false">D48-C48</f>
        <v>-2.85208733602493E-007</v>
      </c>
      <c r="F48" s="11" t="str">
        <f aca="false">IF(ABS(E48)&lt;=0.0000005,"PASS","FAIL")</f>
        <v>PASS</v>
      </c>
    </row>
    <row r="49" customFormat="false" ht="15" hidden="false" customHeight="false" outlineLevel="0" collapsed="false">
      <c r="A49" s="7" t="s">
        <v>239</v>
      </c>
      <c r="B49" s="7" t="s">
        <v>284</v>
      </c>
      <c r="C49" s="23" t="n">
        <f aca="false">'Cash flows'!B33</f>
        <v>0.0866467604777335</v>
      </c>
      <c r="D49" s="23" t="n">
        <f aca="false">'Sixteen runs'!R106</f>
        <v>0.0866467604777336</v>
      </c>
      <c r="E49" s="23" t="n">
        <f aca="false">D49-C49</f>
        <v>0</v>
      </c>
      <c r="F49" s="11" t="str">
        <f aca="false">IF(ABS(E49)&lt;=0.000000000001,"PASS","FAIL")</f>
        <v>PASS</v>
      </c>
    </row>
    <row r="50" customFormat="false" ht="15" hidden="false" customHeight="false" outlineLevel="0" collapsed="false">
      <c r="A50" s="7" t="s">
        <v>240</v>
      </c>
      <c r="B50" s="7" t="s">
        <v>285</v>
      </c>
      <c r="C50" s="41" t="n">
        <v>2.2982</v>
      </c>
      <c r="D50" s="41" t="n">
        <f aca="false">INDEX(Steps,1,1)+INDEX(Steps,7,2)+INDEX(Steps,13,3)+INDEX(Steps,19,4)</f>
        <v>2.29813636488983</v>
      </c>
      <c r="E50" s="41" t="n">
        <f aca="false">D50-C50</f>
        <v>-6.36351101679367E-005</v>
      </c>
      <c r="F50" s="11" t="str">
        <f aca="false">IF(ABS(E50)&lt;=0.00015,"PASS","FAIL")</f>
        <v>PASS</v>
      </c>
    </row>
    <row r="51" customFormat="false" ht="15" hidden="false" customHeight="false" outlineLevel="0" collapsed="false">
      <c r="A51" s="7" t="s">
        <v>240</v>
      </c>
      <c r="B51" s="7" t="s">
        <v>286</v>
      </c>
      <c r="C51" s="41" t="n">
        <v>7.3464</v>
      </c>
      <c r="D51" s="41" t="n">
        <f aca="false">INDEX(Steps,10,1)+INDEX(Steps,4,2)+INDEX(Steps,2,3)+INDEX(Steps,1,4)</f>
        <v>7.34637968260877</v>
      </c>
      <c r="E51" s="41" t="n">
        <f aca="false">D51-C51</f>
        <v>-2.03173912325383E-005</v>
      </c>
      <c r="F51" s="11" t="str">
        <f aca="false">IF(ABS(E51)&lt;=0.00005,"PASS","FAIL")</f>
        <v>PASS</v>
      </c>
    </row>
    <row r="52" customFormat="false" ht="15" hidden="false" customHeight="false" outlineLevel="0" collapsed="false">
      <c r="A52" s="7" t="s">
        <v>287</v>
      </c>
      <c r="B52" s="7" t="s">
        <v>288</v>
      </c>
      <c r="C52" s="23" t="n">
        <v>-0.015346</v>
      </c>
      <c r="D52" s="23" t="n">
        <f aca="false">'Hold period'!B41</f>
        <v>-0.0153459055625801</v>
      </c>
      <c r="E52" s="23" t="n">
        <f aca="false">D52-C52</f>
        <v>9.44374198546399E-008</v>
      </c>
      <c r="F52" s="11" t="str">
        <f aca="false">IF(ABS(E52)&lt;=0.0000005,"PASS","FAIL")</f>
        <v>PASS</v>
      </c>
    </row>
    <row r="53" customFormat="false" ht="15" hidden="false" customHeight="false" outlineLevel="0" collapsed="false">
      <c r="A53" s="7" t="s">
        <v>287</v>
      </c>
      <c r="B53" s="7" t="s">
        <v>289</v>
      </c>
      <c r="C53" s="41" t="n">
        <v>0.9525</v>
      </c>
      <c r="D53" s="41" t="n">
        <f aca="false">'Hold period'!C41</f>
        <v>0.95248260124066</v>
      </c>
      <c r="E53" s="41" t="n">
        <f aca="false">D53-C53</f>
        <v>-1.73987593400371E-005</v>
      </c>
      <c r="F53" s="11" t="str">
        <f aca="false">IF(ABS(E53)&lt;=0.00005,"PASS","FAIL")</f>
        <v>PASS</v>
      </c>
    </row>
    <row r="54" customFormat="false" ht="15" hidden="false" customHeight="false" outlineLevel="0" collapsed="false">
      <c r="A54" s="7" t="s">
        <v>287</v>
      </c>
      <c r="B54" s="7" t="s">
        <v>290</v>
      </c>
      <c r="C54" s="23" t="n">
        <v>0.075473</v>
      </c>
      <c r="D54" s="23" t="n">
        <f aca="false">'Hold period'!B44</f>
        <v>0.0754730989016351</v>
      </c>
      <c r="E54" s="23" t="n">
        <f aca="false">D54-C54</f>
        <v>9.89016351315986E-008</v>
      </c>
      <c r="F54" s="11" t="str">
        <f aca="false">IF(ABS(E54)&lt;=0.0000005,"PASS","FAIL")</f>
        <v>PASS</v>
      </c>
    </row>
    <row r="55" customFormat="false" ht="15" hidden="false" customHeight="false" outlineLevel="0" collapsed="false">
      <c r="A55" s="7" t="s">
        <v>287</v>
      </c>
      <c r="B55" s="7" t="s">
        <v>291</v>
      </c>
      <c r="C55" s="23" t="n">
        <v>0.04016</v>
      </c>
      <c r="D55" s="23" t="n">
        <f aca="false">'Hold period'!B45</f>
        <v>0.0401601613474614</v>
      </c>
      <c r="E55" s="23" t="n">
        <f aca="false">D55-C55</f>
        <v>1.61347461370698E-007</v>
      </c>
      <c r="F55" s="11" t="str">
        <f aca="false">IF(ABS(E55)&lt;=0.0000005,"PASS","FAIL")</f>
        <v>PASS</v>
      </c>
    </row>
    <row r="56" customFormat="false" ht="15" hidden="false" customHeight="false" outlineLevel="0" collapsed="false">
      <c r="A56" s="7" t="s">
        <v>287</v>
      </c>
      <c r="B56" s="7" t="s">
        <v>292</v>
      </c>
      <c r="C56" s="23" t="n">
        <v>0.077415</v>
      </c>
      <c r="D56" s="23" t="n">
        <f aca="false">'Hold period'!B46</f>
        <v>0.0774152096704468</v>
      </c>
      <c r="E56" s="23" t="n">
        <f aca="false">D56-C56</f>
        <v>2.09670446754684E-007</v>
      </c>
      <c r="F56" s="11" t="str">
        <f aca="false">IF(ABS(E56)&lt;=0.0000005,"PASS","FAIL")</f>
        <v>PASS</v>
      </c>
    </row>
    <row r="57" customFormat="false" ht="15" hidden="false" customHeight="false" outlineLevel="0" collapsed="false">
      <c r="A57" s="7" t="s">
        <v>287</v>
      </c>
      <c r="B57" s="7" t="s">
        <v>293</v>
      </c>
      <c r="C57" s="23" t="n">
        <v>0.086647</v>
      </c>
      <c r="D57" s="23" t="n">
        <f aca="false">'Hold period'!B48</f>
        <v>0.0866467604777336</v>
      </c>
      <c r="E57" s="23" t="n">
        <f aca="false">D57-C57</f>
        <v>-2.3952226638202E-007</v>
      </c>
      <c r="F57" s="11" t="str">
        <f aca="false">IF(ABS(E57)&lt;=0.0000005,"PASS","FAIL")</f>
        <v>PASS</v>
      </c>
    </row>
    <row r="58" customFormat="false" ht="15" hidden="false" customHeight="false" outlineLevel="0" collapsed="false">
      <c r="A58" s="7" t="s">
        <v>287</v>
      </c>
      <c r="B58" s="7" t="s">
        <v>294</v>
      </c>
      <c r="C58" s="23" t="n">
        <v>0.081719</v>
      </c>
      <c r="D58" s="23" t="n">
        <f aca="false">'Hold period'!B49</f>
        <v>0.0817191199677606</v>
      </c>
      <c r="E58" s="23" t="n">
        <f aca="false">D58-C58</f>
        <v>1.19967760572881E-007</v>
      </c>
      <c r="F58" s="11" t="str">
        <f aca="false">IF(ABS(E58)&lt;=0.0000005,"PASS","FAIL")</f>
        <v>PASS</v>
      </c>
    </row>
    <row r="59" customFormat="false" ht="15" hidden="false" customHeight="false" outlineLevel="0" collapsed="false">
      <c r="A59" s="7" t="s">
        <v>287</v>
      </c>
      <c r="B59" s="7" t="s">
        <v>295</v>
      </c>
      <c r="C59" s="23" t="n">
        <v>0.086556</v>
      </c>
      <c r="D59" s="23" t="n">
        <f aca="false">'Hold period'!B50</f>
        <v>0.086555921773316</v>
      </c>
      <c r="E59" s="23" t="n">
        <f aca="false">D59-C59</f>
        <v>-7.82266840193557E-008</v>
      </c>
      <c r="F59" s="11" t="str">
        <f aca="false">IF(ABS(E59)&lt;=0.0000005,"PASS","FAIL")</f>
        <v>PASS</v>
      </c>
    </row>
    <row r="60" customFormat="false" ht="15" hidden="false" customHeight="false" outlineLevel="0" collapsed="false">
      <c r="A60" s="7" t="s">
        <v>287</v>
      </c>
      <c r="B60" s="7" t="s">
        <v>296</v>
      </c>
      <c r="C60" s="23" t="n">
        <v>0.084733</v>
      </c>
      <c r="D60" s="23" t="n">
        <f aca="false">'Hold period'!B53</f>
        <v>0.0847334509161886</v>
      </c>
      <c r="E60" s="23" t="n">
        <f aca="false">D60-C60</f>
        <v>4.50916188568518E-007</v>
      </c>
      <c r="F60" s="11" t="str">
        <f aca="false">IF(ABS(E60)&lt;=0.0000005,"PASS","FAIL")</f>
        <v>PASS</v>
      </c>
    </row>
    <row r="61" customFormat="false" ht="15" hidden="false" customHeight="false" outlineLevel="0" collapsed="false">
      <c r="A61" s="7" t="s">
        <v>287</v>
      </c>
      <c r="B61" s="7" t="s">
        <v>297</v>
      </c>
      <c r="C61" s="41" t="n">
        <v>2.8</v>
      </c>
      <c r="D61" s="41" t="n">
        <f aca="false">'Hold period'!C53</f>
        <v>2.80002353769433</v>
      </c>
      <c r="E61" s="41" t="n">
        <f aca="false">D61-C61</f>
        <v>2.35376943331644E-005</v>
      </c>
      <c r="F61" s="11" t="str">
        <f aca="false">IF(ABS(E61)&lt;=0.00005,"PASS","FAIL")</f>
        <v>PASS</v>
      </c>
    </row>
    <row r="62" customFormat="false" ht="15" hidden="false" customHeight="false" outlineLevel="0" collapsed="false">
      <c r="A62" s="7" t="s">
        <v>287</v>
      </c>
      <c r="B62" s="7" t="s">
        <v>298</v>
      </c>
      <c r="C62" s="21" t="n">
        <v>24903182</v>
      </c>
      <c r="D62" s="21" t="n">
        <f aca="false">'Hold period'!D53</f>
        <v>24903181.6421181</v>
      </c>
      <c r="E62" s="21" t="n">
        <f aca="false">D62-C62</f>
        <v>-0.357881926000118</v>
      </c>
      <c r="F62" s="11" t="str">
        <f aca="false">IF(ABS(E62)&lt;=1,"PASS","FAIL")</f>
        <v>PASS</v>
      </c>
    </row>
    <row r="63" customFormat="false" ht="15" hidden="false" customHeight="false" outlineLevel="0" collapsed="false">
      <c r="A63" s="7" t="s">
        <v>287</v>
      </c>
      <c r="B63" s="7" t="s">
        <v>299</v>
      </c>
      <c r="C63" s="21" t="n">
        <v>1904577</v>
      </c>
      <c r="D63" s="21" t="n">
        <f aca="false">'Hold period'!F45</f>
        <v>1904576.63549557</v>
      </c>
      <c r="E63" s="21" t="n">
        <f aca="false">D63-C63</f>
        <v>-0.364504428114742</v>
      </c>
      <c r="F63" s="11" t="str">
        <f aca="false">IF(ABS(E63)&lt;=1,"PASS","FAIL")</f>
        <v>PASS</v>
      </c>
    </row>
    <row r="64" customFormat="false" ht="15" hidden="false" customHeight="false" outlineLevel="0" collapsed="false">
      <c r="A64" s="7" t="s">
        <v>287</v>
      </c>
      <c r="B64" s="7" t="s">
        <v>300</v>
      </c>
      <c r="C64" s="21" t="n">
        <v>4714128</v>
      </c>
      <c r="D64" s="21" t="n">
        <f aca="false">'Hold period'!B56</f>
        <v>4714128.18626568</v>
      </c>
      <c r="E64" s="21" t="n">
        <f aca="false">D64-C64</f>
        <v>0.186265679076314</v>
      </c>
      <c r="F64" s="11" t="str">
        <f aca="false">IF(ABS(E64)&lt;=1,"PASS","FAIL")</f>
        <v>PASS</v>
      </c>
    </row>
    <row r="65" customFormat="false" ht="15" hidden="false" customHeight="false" outlineLevel="0" collapsed="false">
      <c r="A65" s="7" t="s">
        <v>287</v>
      </c>
      <c r="B65" s="7" t="s">
        <v>229</v>
      </c>
      <c r="C65" s="41" t="n">
        <v>3.5313</v>
      </c>
      <c r="D65" s="41" t="n">
        <f aca="false">'Hold period'!B57</f>
        <v>3.53129375541738</v>
      </c>
      <c r="E65" s="41" t="n">
        <f aca="false">D65-C65</f>
        <v>-6.24458262388217E-006</v>
      </c>
      <c r="F65" s="11" t="str">
        <f aca="false">IF(ABS(E65)&lt;=0.00005,"PASS","FAIL")</f>
        <v>PASS</v>
      </c>
    </row>
    <row r="66" customFormat="false" ht="15" hidden="false" customHeight="false" outlineLevel="0" collapsed="false">
      <c r="A66" s="7" t="s">
        <v>287</v>
      </c>
      <c r="B66" s="7" t="s">
        <v>227</v>
      </c>
      <c r="C66" s="19" t="n">
        <v>10</v>
      </c>
      <c r="D66" s="19" t="n">
        <f aca="false">'Hold period'!B55</f>
        <v>10</v>
      </c>
      <c r="E66" s="19" t="n">
        <f aca="false">D66-C66</f>
        <v>0</v>
      </c>
      <c r="F66" s="11" t="str">
        <f aca="false">IF(ABS(E66)&lt;=0,"PASS","FAIL")</f>
        <v>PASS</v>
      </c>
    </row>
    <row r="68" customFormat="false" ht="15" hidden="false" customHeight="false" outlineLevel="0" collapsed="false">
      <c r="B68" s="11" t="s">
        <v>301</v>
      </c>
      <c r="C68" s="11" t="n">
        <f aca="false">COUNTIF(F8:F66,"PASS")</f>
        <v>59</v>
      </c>
    </row>
    <row r="69" customFormat="false" ht="15" hidden="false" customHeight="false" outlineLevel="0" collapsed="false">
      <c r="B69" s="11" t="s">
        <v>302</v>
      </c>
      <c r="C69" s="11" t="n">
        <f aca="false">COUNTIF(F8:F66,"FAIL")</f>
        <v>0</v>
      </c>
    </row>
    <row r="70" customFormat="false" ht="15" hidden="false" customHeight="false" outlineLevel="0" collapsed="false">
      <c r="B70" s="11" t="s">
        <v>303</v>
      </c>
      <c r="C70" s="11" t="str">
        <f aca="false">IF(C69=0,"ALL OK",C69&amp;"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2026-08-29T20:25:02Z</dcterms:created>
  <dc:creator>openpyxl</dc:creator>
  <dc:description/>
  <dc:language>en-US</dc:language>
  <cp:lastModifiedBy/>
  <dcterms:modified xsi:type="dcterms:W3CDTF">2026-09-23T23:30:41Z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