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Inputs" sheetId="2" state="visible" r:id="rId4"/>
    <sheet name="2. Chapter 10, Restated" sheetId="3" state="visible" r:id="rId5"/>
    <sheet name="3. Through to Equity" sheetId="4" state="visible" r:id="rId6"/>
    <sheet name="4. The Line That Was Dropped" sheetId="5" state="visible" r:id="rId7"/>
    <sheet name="5. The Half-Turn" sheetId="6" state="visible" r:id="rId8"/>
    <sheet name="6. The Two Clocks" sheetId="7" state="visible" r:id="rId9"/>
    <sheet name="7. 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<sst xmlns="http://schemas.openxmlformats.org/spreadsheetml/2006/main" count="238" uniqueCount="197">
  <si>
    <t xml:space="preserve">What the Exit Is Actually Worth</t>
  </si>
  <si>
    <t xml:space="preserve">A companion to Appendix G, and to Chapter 14</t>
  </si>
  <si>
    <t xml:space="preserve">Chapter 10 of this book is its most quantitative: a worked case with a fleet saving, a turnover reduction, a cost, an exit multiple and a total. Chapter 14 is titled Exit — Proving the Value You Created, and it contains no figure of any kind. Not a euro, not a percentage, not a multiple. In one paragraph it writes X, Y and Z where the numbers belong and tells the reader to fill them in.</t>
  </si>
  <si>
    <t xml:space="preserve">That would be a stylistic choice except for what falls into the gap between the two chapters. Chapter 10's own worked example contains a line — a hundred and fifty thousand spent to meet two large customers' supplier requirements, protecting eleven million of revenue — and the chapter's total at the end of the case EXCLUDES it. Two paragraphs later the same case says the eventual buyer cited supplier-readiness as the reason it preferred this asset. The book names the fact and never prices it, because pricing it happens at exit, and the exit chapter has no arithmetic.</t>
  </si>
  <si>
    <t xml:space="preserve">Four things the arithmetic says</t>
  </si>
  <si>
    <t xml:space="preserve">One. Chapter 10 stops at enterprise value. No investment committee decides in enterprise value. Carried through an ordinary capital structure, the programme is worth 8.86 of EQUITY, 0.16 of multiple on invested capital, and 2.2 points of gross internal rate of return. That last sentence is the one that funds an ESG budget, and it appears nowhere in the book.</t>
  </si>
  <si>
    <t xml:space="preserve">Two. The line the book drops is, per euro spent, the best thing in its own example. At a fifty per cent loss assumption the hundred and fifty thousand protects 6.89 of enterprise value: 46 times its cost, against 14.3 times for the two lines the chapter does count (11.7 times on the whole 830,000, which includes the dropped line's cost). Even at a quarter of the EBITDA at risk it returns 23 times.</t>
  </si>
  <si>
    <t xml:space="preserve">Three. But it does not beat the creation case, and saying so matters. At a fifty per cent loss and full attribution the protected value is 6.89 against 9.69 created. Defence overtakes creation only when the share lost times the attribution passes 0.70: total loss at 71 per cent attribution, or full attribution at a 71 per cent loss. And full attribution is the wrong assumption: the commercial diligence would have priced customer-concentration risk whether or not an ESG function existed. Sheet 4 shows the answer at nought, fifty and a hundred per cent attribution, because quoting the gross figure is exactly the double-count the book warns gets ESG managers "discounted entirely".</t>
  </si>
  <si>
    <t xml:space="preserve">Four, and this is the uncomfortable one. The case buys at eight times and sells at eight and a half, and never says why. On the exit earnings that half-turn is worth 10.0 of enterprise value — slightly MORE than the entire value-creation programme it sits beside. Put the other way: the whole programme is worth 0.485 of a turn. If the exit multiple lands half a turn below the assumption, everything the ESG function did is cancelled by something nobody in the room controls. That is worth knowing before you promise an outcome.</t>
  </si>
  <si>
    <t xml:space="preserve">And a correction</t>
  </si>
  <si>
    <t xml:space="preserve">Chapter 14 says to start eighteen months out, and that "eighteen months is enough time to remediate contamination, obtain a certification, close out an enforcement matter… Six months is not." Sheet 6 walks the two critical paths that sentence names in the same breath. A management system certification runs about eight to eleven months. Groundwater remediation through to a closure statement runs about nineteen to thirty-two months, because the validation monitoring alone is four quarters and the regulator's agreement on the target is not on your clock. Eighteen months is generous for the first and short for the second — and the second is the one the sentence lists first. The honest rule is not an interval at all: it is the longest validation clock on your list.</t>
  </si>
  <si>
    <t xml:space="preserve">The sheets</t>
  </si>
  <si>
    <t xml:space="preserve">1. The Inputs — the Chapter 10 case, plus the capital structure the book never states</t>
  </si>
  <si>
    <t xml:space="preserve">2. Chapter 10, Restated — what the book computes, reproduced exactly</t>
  </si>
  <si>
    <t xml:space="preserve">3. Through to Equity — the step to multiple on invested capital and rate of return</t>
  </si>
  <si>
    <t xml:space="preserve">4. The Line That Was Dropped — priced, at three attribution levels</t>
  </si>
  <si>
    <t xml:space="preserve">5. The Half-Turn — what the multiple assumption is worth beside the programme</t>
  </si>
  <si>
    <t xml:space="preserve">6. The Two Clocks — the eighteen-month claim, walked</t>
  </si>
  <si>
    <t xml:space="preserve">7. Checks — every figure in the appendix, recomputed here</t>
  </si>
  <si>
    <t xml:space="preserve">Conventions</t>
  </si>
  <si>
    <t xml:space="preserve">Amber cells are inputs. Grey cells are formulas. Nothing is locked or protected.</t>
  </si>
  <si>
    <t xml:space="preserve">The company, the programme and the exit are the book's own invented case. The capital structure, the exit earnings and the process durations are added here as illustrative inputs, because the book does not state them — they are marked as such and every one is a cell you can overwrite.</t>
  </si>
  <si>
    <t xml:space="preserve">Revised 22 September 2026. The 830,000 of cost includes the 150,000 line whose benefit the total leaves out, so the two lines the book counts cost 680,000 and returned 14.3 times in enterprise value, not 11.7 (sheet 2, row 12). Defence overtakes creation whenever the share lost times the attribution passes 0.70, not only at total loss and full attribution (sheet 4, row 24). Sheet 4 now credits Chapter 10, not Chapter 14, with the buyer's remark. Two checks added: twenty-nine in all.</t>
  </si>
  <si>
    <t xml:space="preserve">Every figure in this file</t>
  </si>
  <si>
    <t xml:space="preserve">Rows 5 to 15 are the book's own worked case. Rows 17 to 21 are added here, because the book does not state them.</t>
  </si>
  <si>
    <t xml:space="preserve">Value</t>
  </si>
  <si>
    <t xml:space="preserve">Where it comes from</t>
  </si>
  <si>
    <t xml:space="preserve">Revenue at entry</t>
  </si>
  <si>
    <t xml:space="preserve">Chapter 10, the worked case</t>
  </si>
  <si>
    <t xml:space="preserve">EBITDA at entry</t>
  </si>
  <si>
    <t xml:space="preserve">Chapter 10</t>
  </si>
  <si>
    <t xml:space="preserve">Entry multiple</t>
  </si>
  <si>
    <t xml:space="preserve">Exit multiple</t>
  </si>
  <si>
    <t xml:space="preserve">Fleet saving delivered</t>
  </si>
  <si>
    <t xml:space="preserve">Chapter 10, outcome at exit</t>
  </si>
  <si>
    <t xml:space="preserve">Turnover saving delivered</t>
  </si>
  <si>
    <t xml:space="preserve">Total programme cost</t>
  </si>
  <si>
    <t xml:space="preserve">  of which, the customer-compliance line</t>
  </si>
  <si>
    <t xml:space="preserve">Chapter 10 — the line the total leaves out</t>
  </si>
  <si>
    <t xml:space="preserve">Revenue at risk from two large customers</t>
  </si>
  <si>
    <t xml:space="preserve">Chapter 10, diligence findings</t>
  </si>
  <si>
    <t xml:space="preserve">Hold period, years</t>
  </si>
  <si>
    <t xml:space="preserve">Chapter 10, "four years later"</t>
  </si>
  <si>
    <t xml:space="preserve">Turnover at entry / at exit</t>
  </si>
  <si>
    <t xml:space="preserve">31 per cent, reduced to 24</t>
  </si>
  <si>
    <t xml:space="preserve">Entry leverage, multiple of EBITDA</t>
  </si>
  <si>
    <t xml:space="preserve">ADDED — the book states no capital structure</t>
  </si>
  <si>
    <t xml:space="preserve">EBITDA at exit</t>
  </si>
  <si>
    <t xml:space="preserve">ADDED — illustrative growth</t>
  </si>
  <si>
    <t xml:space="preserve">Net debt at exit</t>
  </si>
  <si>
    <t xml:space="preserve">ADDED — illustrative</t>
  </si>
  <si>
    <t xml:space="preserve">Share of the at-risk EBITDA lost if the customers go</t>
  </si>
  <si>
    <t xml:space="preserve">ADDED — the key sensitivity, see sheet 4</t>
  </si>
  <si>
    <t xml:space="preserve">Share attributable to the ESG function</t>
  </si>
  <si>
    <t xml:space="preserve">ADDED — commercial diligence would price some of it anyway</t>
  </si>
  <si>
    <t xml:space="preserve">The two rows at the bottom are the ones to argue about. They decide whether the line the book drops is worth three million or fourteen, and quoting the top of that range without stating the assumptions is how an ESG manager gets disbelieved.</t>
  </si>
  <si>
    <t xml:space="preserve">What the book computes, reproduced exactly</t>
  </si>
  <si>
    <t xml:space="preserve">This sheet adds nothing. It exists so the rest of the file can be checked against the book rather than against itself.</t>
  </si>
  <si>
    <t xml:space="preserve">Reading</t>
  </si>
  <si>
    <t xml:space="preserve">Fleet saving</t>
  </si>
  <si>
    <t xml:space="preserve">Turnover saving</t>
  </si>
  <si>
    <t xml:space="preserve">COMBINED EBITDA EFFECT</t>
  </si>
  <si>
    <t xml:space="preserve">the book says "roughly 1.1 million"</t>
  </si>
  <si>
    <t xml:space="preserve">ENTERPRISE VALUE CONTRIBUTED</t>
  </si>
  <si>
    <t xml:space="preserve">the book says "approximately 9.4 million"</t>
  </si>
  <si>
    <t xml:space="preserve">Programme cost</t>
  </si>
  <si>
    <t xml:space="preserve">Return on cost, in enterprise value</t>
  </si>
  <si>
    <t xml:space="preserve">Return on the two lines the book counts</t>
  </si>
  <si>
    <t xml:space="preserve">the 830,000 includes the 150,000 line whose benefit the total leaves out</t>
  </si>
  <si>
    <t xml:space="preserve">Note the small rounding in the book: 0.340 plus 0.800 is 1.140, not 1.1, and 1.140 times 8.5 is 9.69, not 9.4. The difference does not matter to any conclusion, and it is worth saying out loud rather than quietly reconciling — a reader who checks the multiplication should find the author has already checked it.</t>
  </si>
  <si>
    <t xml:space="preserve">The step the book never takes</t>
  </si>
  <si>
    <t xml:space="preserve">Chapter 10 stops at enterprise value. No investment committee decides in enterprise value.</t>
  </si>
  <si>
    <t xml:space="preserve">EV at entry</t>
  </si>
  <si>
    <t xml:space="preserve">Net debt at entry</t>
  </si>
  <si>
    <t xml:space="preserve">EQUITY AT ENTRY</t>
  </si>
  <si>
    <t xml:space="preserve">At exit</t>
  </si>
  <si>
    <t xml:space="preserve">With the programme</t>
  </si>
  <si>
    <t xml:space="preserve">Without it</t>
  </si>
  <si>
    <t xml:space="preserve">Difference</t>
  </si>
  <si>
    <t xml:space="preserve">EBITDA</t>
  </si>
  <si>
    <t xml:space="preserve">Enterprise value</t>
  </si>
  <si>
    <t xml:space="preserve">Net debt</t>
  </si>
  <si>
    <t xml:space="preserve">the cost was never spent, so the debt is lower</t>
  </si>
  <si>
    <t xml:space="preserve">EQUITY</t>
  </si>
  <si>
    <t xml:space="preserve">MULTIPLE ON INVESTED CAPITAL</t>
  </si>
  <si>
    <t xml:space="preserve">Internal rate of return</t>
  </si>
  <si>
    <t xml:space="preserve">Return on the programme cost, measured in EQUITY</t>
  </si>
  <si>
    <t xml:space="preserve">Two point two points of gross internal rate of return, and 0.16 of multiple on invested capital. Those are the two numbers an investment committee recognises, and Chapter 14 asks the reader to make the case to one without ever producing either. The enterprise-value figure the book does produce is not wrong — it is simply in a unit the audience does not use.</t>
  </si>
  <si>
    <t xml:space="preserve">Note the small asymmetry in the without-case: the programme cost was never spent, so the debt is lower by exactly that amount. Leaving that out would overstate the programme by its own cost, which on these numbers is a tenth of the answer.</t>
  </si>
  <si>
    <t xml:space="preserve">A hundred and fifty thousand, and eleven million of revenue</t>
  </si>
  <si>
    <t xml:space="preserve">Chapter 10 states both figures, then excludes the benefit from its own total while keeping the cost in it. Two paragraphs later the same chapter says the buyer cited supplier-readiness as a reason for preferring the asset.</t>
  </si>
  <si>
    <t xml:space="preserve">EBITDA margin</t>
  </si>
  <si>
    <t xml:space="preserve">14 over 95</t>
  </si>
  <si>
    <t xml:space="preserve">Revenue at risk</t>
  </si>
  <si>
    <t xml:space="preserve">the two large customers</t>
  </si>
  <si>
    <t xml:space="preserve">EBITDA it carries</t>
  </si>
  <si>
    <t xml:space="preserve">Share lost if they go</t>
  </si>
  <si>
    <t xml:space="preserve">an input, and the one to argue about</t>
  </si>
  <si>
    <t xml:space="preserve">EBITDA at stake</t>
  </si>
  <si>
    <t xml:space="preserve">ENTERPRISE VALUE PROTECTED, gross</t>
  </si>
  <si>
    <t xml:space="preserve">Cost of the initiative</t>
  </si>
  <si>
    <t xml:space="preserve">Return on cost, gross</t>
  </si>
  <si>
    <t xml:space="preserve">against 14.3x for the two lines the book counts (11.7x on the whole 830,000, which includes this line)</t>
  </si>
  <si>
    <t xml:space="preserve">But how much of it belongs to the ESG function?</t>
  </si>
  <si>
    <t xml:space="preserve">The commercial diligence would have priced customer-concentration risk whether or not an ESG function existed. Claiming the gross figure is precisely the double-count that gets an ESG manager's numbers discounted entirely. So here it is at three attribution levels.</t>
  </si>
  <si>
    <t xml:space="preserve">Attribution</t>
  </si>
  <si>
    <t xml:space="preserve">Protected value</t>
  </si>
  <si>
    <t xml:space="preserve">Against the creation case</t>
  </si>
  <si>
    <t xml:space="preserve">Which wins</t>
  </si>
  <si>
    <t xml:space="preserve">At the assumptions on sheet 1</t>
  </si>
  <si>
    <t xml:space="preserve">Share lost x attribution at which defence overtakes creation</t>
  </si>
  <si>
    <t xml:space="preserve">below this product, creation wins</t>
  </si>
  <si>
    <t xml:space="preserve">So the honest statement is narrower than the temptation. Per euro spent this is by a wide margin the best line in the book's own example. In absolute terms it overtakes the creation case only when the share lost times the attribution passes 0.70 (row 24): total loss at 71 per cent attribution, or full attribution at a 71 per cent loss. Neither is defensible on its own. What is defensible is this: an item worth between three and seven million was left out of a total of nine point seven, and left out silently.</t>
  </si>
  <si>
    <t xml:space="preserve">Which is the practical point for the reader. When the case is made at the investment committee, the defensive line is the one that gets dropped, because its benefit lands at exit and the exit chapter has no arithmetic. It is also the cheapest thing in the programme.</t>
  </si>
  <si>
    <t xml:space="preserve">The number nobody in the book justifies</t>
  </si>
  <si>
    <t xml:space="preserve">The case buys at eight times and sells at eight and a half, and never says why.</t>
  </si>
  <si>
    <t xml:space="preserve">The step</t>
  </si>
  <si>
    <t xml:space="preserve">asserted, not argued</t>
  </si>
  <si>
    <t xml:space="preserve">WHAT THE STEP IS WORTH</t>
  </si>
  <si>
    <t xml:space="preserve">of enterprise value</t>
  </si>
  <si>
    <t xml:space="preserve">The whole value-creation programme</t>
  </si>
  <si>
    <t xml:space="preserve">The step, as a multiple of the programme</t>
  </si>
  <si>
    <t xml:space="preserve">Read the other way round</t>
  </si>
  <si>
    <t xml:space="preserve">The programme, expressed in turns of multiple</t>
  </si>
  <si>
    <t xml:space="preserve">Four hundred and eighty-five thousandths of a turn. If the exit multiple lands half a turn below the assumption — an ordinary outcome, decided by the credit market and the auction and not by anyone inside the company — the entire contribution of the ESG programme is cancelled.</t>
  </si>
  <si>
    <t xml:space="preserve">That is not an argument against doing the work. It is an argument for how to talk about it. A function that promises enterprise value is promising something it does not control. A function that promises EBITDA, and separately shows what a half-turn of multiple would do to the same number, is telling the truth and will be believed the second time.</t>
  </si>
  <si>
    <t xml:space="preserve">"Eighteen months is enough time…"</t>
  </si>
  <si>
    <t xml:space="preserve">Chapter 14 names five processes in one sentence and gives them one deadline. Two of them have very different clocks. All durations here are illustrative.</t>
  </si>
  <si>
    <t xml:space="preserve">Management system certification</t>
  </si>
  <si>
    <t xml:space="preserve">Low (weeks)</t>
  </si>
  <si>
    <t xml:space="preserve">High (weeks)</t>
  </si>
  <si>
    <t xml:space="preserve">Gap analysis</t>
  </si>
  <si>
    <t xml:space="preserve">System build and documentation</t>
  </si>
  <si>
    <t xml:space="preserve">Operating records before audit</t>
  </si>
  <si>
    <t xml:space="preserve">Stage 1 to Stage 2 gap</t>
  </si>
  <si>
    <t xml:space="preserve">Certificate issue</t>
  </si>
  <si>
    <t xml:space="preserve">TOTAL</t>
  </si>
  <si>
    <t xml:space="preserve">in months</t>
  </si>
  <si>
    <t xml:space="preserve">Contaminated land, to a closure statement</t>
  </si>
  <si>
    <t xml:space="preserve">Phase I desk study</t>
  </si>
  <si>
    <t xml:space="preserve">Phase II intrusive investigation and laboratory</t>
  </si>
  <si>
    <t xml:space="preserve">Regulator agreement on the remediation target</t>
  </si>
  <si>
    <t xml:space="preserve">not on your clock</t>
  </si>
  <si>
    <t xml:space="preserve">Remediation works</t>
  </si>
  <si>
    <t xml:space="preserve">Validation monitoring, four quarterly rounds</t>
  </si>
  <si>
    <t xml:space="preserve">this is the one that decides it</t>
  </si>
  <si>
    <t xml:space="preserve">The chapter's rule, in months</t>
  </si>
  <si>
    <t xml:space="preserve">Generous for the certification by</t>
  </si>
  <si>
    <t xml:space="preserve">months, against the slow case</t>
  </si>
  <si>
    <t xml:space="preserve">SHORT for the contamination by</t>
  </si>
  <si>
    <t xml:space="preserve">months, fast case and slow case</t>
  </si>
  <si>
    <t xml:space="preserve">Eighteen months is comfortable for the certification and short for the contamination — and the contamination is the item the sentence lists FIRST. The four quarters of validation monitoring are the reason: they cannot be compressed, they cannot start until the works finish, and no regulator issues a closure statement without them.</t>
  </si>
  <si>
    <t xml:space="preserve">So the rule is not an interval. It is: find the longest validation clock on your list and start from there. On a site with groundwater that is two to three years, which means the decision to prepare for exit is taken in year two of the hold, not in year four.</t>
  </si>
  <si>
    <t xml:space="preserve">Every figure in Appendix G, recomputed here</t>
  </si>
  <si>
    <t xml:space="preserve">Two of these check the file against the BOOK rather than against the appendix. If they fail, nothing else here should be believed.</t>
  </si>
  <si>
    <t xml:space="preserve">Figure</t>
  </si>
  <si>
    <t xml:space="preserve">Appendix G</t>
  </si>
  <si>
    <t xml:space="preserve">This file</t>
  </si>
  <si>
    <t xml:space="preserve">Status</t>
  </si>
  <si>
    <t xml:space="preserve">Note</t>
  </si>
  <si>
    <t xml:space="preserve">Combined EBITDA effect</t>
  </si>
  <si>
    <t xml:space="preserve">tol 0.002</t>
  </si>
  <si>
    <t xml:space="preserve">Enterprise value contributed</t>
  </si>
  <si>
    <t xml:space="preserve">tol 0.02</t>
  </si>
  <si>
    <t xml:space="preserve">tol 0.05</t>
  </si>
  <si>
    <t xml:space="preserve">Equity at entry</t>
  </si>
  <si>
    <t xml:space="preserve">tol 0.1</t>
  </si>
  <si>
    <t xml:space="preserve">Equity at exit, with the programme</t>
  </si>
  <si>
    <t xml:space="preserve">Equity at exit, without it</t>
  </si>
  <si>
    <t xml:space="preserve">Difference in equity</t>
  </si>
  <si>
    <t xml:space="preserve">Multiple on invested capital, with</t>
  </si>
  <si>
    <t xml:space="preserve">tol 0.003</t>
  </si>
  <si>
    <t xml:space="preserve">Multiple on invested capital, without</t>
  </si>
  <si>
    <t xml:space="preserve">Internal rate of return, with</t>
  </si>
  <si>
    <t xml:space="preserve">tol 0.001</t>
  </si>
  <si>
    <t xml:space="preserve">Internal rate of return, without</t>
  </si>
  <si>
    <t xml:space="preserve">Return on cost, measured in equity</t>
  </si>
  <si>
    <t xml:space="preserve">EBITDA carried by the revenue at risk</t>
  </si>
  <si>
    <t xml:space="preserve">tol 0.005</t>
  </si>
  <si>
    <t xml:space="preserve">Enterprise value protected, gross</t>
  </si>
  <si>
    <t xml:space="preserve">Return on the 150,000, gross</t>
  </si>
  <si>
    <t xml:space="preserve">tol 0.2</t>
  </si>
  <si>
    <t xml:space="preserve">Protected value at 50 per cent attribution</t>
  </si>
  <si>
    <t xml:space="preserve">What the half-turn is worth</t>
  </si>
  <si>
    <t xml:space="preserve">The half-turn, as a multiple of the programme</t>
  </si>
  <si>
    <t xml:space="preserve">The programme, in turns of multiple</t>
  </si>
  <si>
    <t xml:space="preserve">Certification, slow case, months</t>
  </si>
  <si>
    <t xml:space="preserve">Contamination to closure, fast case, months</t>
  </si>
  <si>
    <t xml:space="preserve">Contamination to closure, slow case, months</t>
  </si>
  <si>
    <t xml:space="preserve">Ties to the book: 0.340 + 0.800, which it calls "roughly 1.1"</t>
  </si>
  <si>
    <t xml:space="preserve">Ties to the book: 11 of revenue at a 14/95 margin</t>
  </si>
  <si>
    <t xml:space="preserve">The half-turn is worth MORE than the whole programme</t>
  </si>
  <si>
    <t xml:space="preserve">must be 1 — the book does not say so</t>
  </si>
  <si>
    <t xml:space="preserve">Defence does NOT beat creation at the stated assumptions</t>
  </si>
  <si>
    <t xml:space="preserve">must be 1 — guards against over-claiming</t>
  </si>
  <si>
    <t xml:space="preserve">Share lost x attribution at which defence overtakes</t>
  </si>
  <si>
    <t xml:space="preserve">Checks passing</t>
  </si>
</sst>
</file>

<file path=xl/styles.xml><?xml version="1.0" encoding="utf-8"?>
<styleSheet xmlns="http://schemas.openxmlformats.org/spreadsheetml/2006/main">
  <numFmts count="14">
    <numFmt numFmtId="164" formatCode="General"/>
    <numFmt numFmtId="165" formatCode="#,##0.0"/>
    <numFmt numFmtId="166" formatCode="0.00\x"/>
    <numFmt numFmtId="167" formatCode="#,##0.00"/>
    <numFmt numFmtId="168" formatCode="0.0"/>
    <numFmt numFmtId="169" formatCode="0.0%"/>
    <numFmt numFmtId="170" formatCode="\+0.00;\-0.00"/>
    <numFmt numFmtId="171" formatCode="\+0.000\x;\-0.000\x"/>
    <numFmt numFmtId="172" formatCode="\+0.0%;\-0.0%"/>
    <numFmt numFmtId="173" formatCode="0.000"/>
    <numFmt numFmtId="174" formatCode="0.000\x"/>
    <numFmt numFmtId="175" formatCode="0"/>
    <numFmt numFmtId="176" formatCode="0.00%"/>
    <numFmt numFmtId="177" formatCode="0.00"/>
  </numFmts>
  <fonts count="14">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0"/>
      <color rgb="FFFFFFFF"/>
      <name val="Cambria"/>
      <family val="0"/>
      <charset val="1"/>
    </font>
    <font>
      <b val="true"/>
      <sz val="11"/>
      <color rgb="FF1B4E8C"/>
      <name val="Cambria"/>
      <family val="0"/>
      <charset val="1"/>
    </font>
    <font>
      <sz val="11"/>
      <color rgb="FF1F2733"/>
      <name val="Cambria"/>
      <family val="0"/>
      <charset val="1"/>
    </font>
    <font>
      <b val="true"/>
      <sz val="10.5"/>
      <color rgb="FF1F2733"/>
      <name val="Cambria"/>
      <family val="0"/>
      <charset val="1"/>
    </font>
    <font>
      <b val="true"/>
      <sz val="11"/>
      <color rgb="FF1F2733"/>
      <name val="Cambria"/>
      <family val="0"/>
      <charset val="1"/>
    </font>
  </fonts>
  <fills count="6">
    <fill>
      <patternFill patternType="none"/>
    </fill>
    <fill>
      <patternFill patternType="gray125"/>
    </fill>
    <fill>
      <patternFill patternType="solid">
        <fgColor rgb="FF1F2733"/>
        <bgColor rgb="FF333300"/>
      </patternFill>
    </fill>
    <fill>
      <patternFill patternType="solid">
        <fgColor rgb="FFFDF3DC"/>
        <bgColor rgb="FFFBF0E4"/>
      </patternFill>
    </fill>
    <fill>
      <patternFill patternType="solid">
        <fgColor rgb="FFF1F3F5"/>
        <bgColor rgb="FFFBF0E4"/>
      </patternFill>
    </fill>
    <fill>
      <patternFill patternType="solid">
        <fgColor rgb="FFFBF0E4"/>
        <bgColor rgb="FFFDF3DC"/>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7" fontId="11"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7" fontId="13" fillId="4" borderId="1" xfId="0" applyFont="true" applyBorder="true" applyAlignment="false" applyProtection="false">
      <alignment horizontal="general" vertical="bottom"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7" fontId="13" fillId="5" borderId="1" xfId="0" applyFont="true" applyBorder="true" applyAlignment="false" applyProtection="false">
      <alignment horizontal="general" vertical="bottom" textRotation="0" wrapText="fals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5" fontId="13" fillId="5" borderId="1" xfId="0" applyFont="true" applyBorder="true" applyAlignment="false" applyProtection="false">
      <alignment horizontal="general" vertical="bottom" textRotation="0" wrapText="false" indent="0" shrinkToFit="false"/>
      <protection locked="true" hidden="false"/>
    </xf>
    <xf numFmtId="165" fontId="13" fillId="4" borderId="1" xfId="0" applyFont="true" applyBorder="true" applyAlignment="false" applyProtection="false">
      <alignment horizontal="general" vertical="bottom" textRotation="0" wrapText="false" indent="0" shrinkToFit="false"/>
      <protection locked="true" hidden="false"/>
    </xf>
    <xf numFmtId="170" fontId="13" fillId="5" borderId="1" xfId="0" applyFont="true" applyBorder="true" applyAlignment="false" applyProtection="false">
      <alignment horizontal="general" vertical="bottom" textRotation="0" wrapText="false" indent="0" shrinkToFit="false"/>
      <protection locked="true" hidden="false"/>
    </xf>
    <xf numFmtId="166" fontId="13" fillId="5" borderId="1" xfId="0" applyFont="true" applyBorder="true" applyAlignment="false" applyProtection="false">
      <alignment horizontal="general" vertical="bottom" textRotation="0" wrapText="false" indent="0" shrinkToFit="false"/>
      <protection locked="true" hidden="false"/>
    </xf>
    <xf numFmtId="171" fontId="13" fillId="5" borderId="1" xfId="0" applyFont="true" applyBorder="true" applyAlignment="false" applyProtection="false">
      <alignment horizontal="general" vertical="bottom" textRotation="0" wrapText="false" indent="0" shrinkToFit="false"/>
      <protection locked="true" hidden="false"/>
    </xf>
    <xf numFmtId="169" fontId="13" fillId="5" borderId="1" xfId="0" applyFont="true" applyBorder="true" applyAlignment="false" applyProtection="false">
      <alignment horizontal="general" vertical="bottom" textRotation="0" wrapText="false" indent="0" shrinkToFit="false"/>
      <protection locked="true" hidden="false"/>
    </xf>
    <xf numFmtId="172" fontId="13" fillId="5" borderId="1" xfId="0" applyFont="true" applyBorder="true" applyAlignment="false" applyProtection="false">
      <alignment horizontal="general" vertical="bottom" textRotation="0" wrapText="false" indent="0" shrinkToFit="false"/>
      <protection locked="true" hidden="false"/>
    </xf>
    <xf numFmtId="169" fontId="11" fillId="4" borderId="1" xfId="0" applyFont="true" applyBorder="true" applyAlignment="false" applyProtection="false">
      <alignment horizontal="general" vertical="bottom" textRotation="0" wrapText="false" indent="0" shrinkToFit="false"/>
      <protection locked="true" hidden="false"/>
    </xf>
    <xf numFmtId="173" fontId="13" fillId="5" borderId="1" xfId="0" applyFont="true" applyBorder="true" applyAlignment="false" applyProtection="false">
      <alignment horizontal="general" vertical="bottom" textRotation="0" wrapText="false" indent="0" shrinkToFit="false"/>
      <protection locked="true" hidden="false"/>
    </xf>
    <xf numFmtId="166" fontId="13" fillId="4" borderId="1" xfId="0" applyFont="true" applyBorder="true" applyAlignment="false" applyProtection="false">
      <alignment horizontal="general" vertical="bottom" textRotation="0" wrapText="false" indent="0" shrinkToFit="false"/>
      <protection locked="true" hidden="false"/>
    </xf>
    <xf numFmtId="174" fontId="13" fillId="5" borderId="1" xfId="0" applyFont="true" applyBorder="true" applyAlignment="false" applyProtection="false">
      <alignment horizontal="general" vertical="bottom" textRotation="0" wrapText="false" indent="0" shrinkToFit="false"/>
      <protection locked="true" hidden="false"/>
    </xf>
    <xf numFmtId="175" fontId="10" fillId="3" borderId="1" xfId="0" applyFont="true" applyBorder="true" applyAlignment="false" applyProtection="false">
      <alignment horizontal="general" vertical="bottom" textRotation="0" wrapText="false" indent="0" shrinkToFit="false"/>
      <protection locked="true" hidden="false"/>
    </xf>
    <xf numFmtId="175" fontId="13" fillId="4" borderId="1" xfId="0" applyFont="true" applyBorder="true" applyAlignment="false" applyProtection="false">
      <alignment horizontal="general" vertical="bottom" textRotation="0" wrapText="false" indent="0" shrinkToFit="false"/>
      <protection locked="true" hidden="false"/>
    </xf>
    <xf numFmtId="168" fontId="13" fillId="5" borderId="1" xfId="0" applyFont="true" applyBorder="true" applyAlignment="false" applyProtection="false">
      <alignment horizontal="general" vertical="bottom" textRotation="0" wrapText="false" indent="0" shrinkToFit="false"/>
      <protection locked="true" hidden="false"/>
    </xf>
    <xf numFmtId="168" fontId="13" fillId="4"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76" fontId="11" fillId="4" borderId="1" xfId="0" applyFont="true" applyBorder="true" applyAlignment="false" applyProtection="false">
      <alignment horizontal="general" vertical="bottom" textRotation="0" wrapText="false" indent="0" shrinkToFit="false"/>
      <protection locked="true" hidden="false"/>
    </xf>
    <xf numFmtId="174" fontId="11" fillId="4" borderId="1" xfId="0" applyFont="true" applyBorder="true" applyAlignment="false" applyProtection="false">
      <alignment horizontal="general" vertical="bottom" textRotation="0" wrapText="false" indent="0" shrinkToFit="false"/>
      <protection locked="true" hidden="false"/>
    </xf>
    <xf numFmtId="168" fontId="11" fillId="4" borderId="1" xfId="0" applyFont="true" applyBorder="true" applyAlignment="false" applyProtection="false">
      <alignment horizontal="general" vertical="bottom" textRotation="0" wrapText="false" indent="0" shrinkToFit="false"/>
      <protection locked="true" hidden="false"/>
    </xf>
    <xf numFmtId="175" fontId="11" fillId="4" borderId="1" xfId="0" applyFont="true" applyBorder="true" applyAlignment="false" applyProtection="false">
      <alignment horizontal="general" vertical="bottom" textRotation="0" wrapText="false" indent="0" shrinkToFit="false"/>
      <protection locked="true" hidden="false"/>
    </xf>
    <xf numFmtId="177" fontId="11" fillId="4" borderId="1" xfId="0" applyFont="true" applyBorder="true" applyAlignment="false" applyProtection="false">
      <alignment horizontal="general" vertical="bottom" textRotation="0" wrapText="false" indent="0" shrinkToFit="false"/>
      <protection locked="true" hidden="false"/>
    </xf>
    <xf numFmtId="173" fontId="11" fillId="4"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CCFFCC"/>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75" hidden="false" customHeight="true" outlineLevel="0" collapsed="false">
      <c r="A4" s="3" t="s">
        <v>2</v>
      </c>
    </row>
    <row r="6" customFormat="false" ht="105" hidden="false" customHeight="true" outlineLevel="0" collapsed="false">
      <c r="A6" s="3" t="s">
        <v>3</v>
      </c>
    </row>
    <row r="8" customFormat="false" ht="15" hidden="false" customHeight="false" outlineLevel="0" collapsed="false">
      <c r="A8" s="4" t="s">
        <v>4</v>
      </c>
    </row>
    <row r="9" customFormat="false" ht="60" hidden="false" customHeight="true" outlineLevel="0" collapsed="false">
      <c r="A9" s="3" t="s">
        <v>5</v>
      </c>
    </row>
    <row r="10" customFormat="false" ht="60" hidden="false" customHeight="true" outlineLevel="0" collapsed="false">
      <c r="A10" s="3" t="s">
        <v>6</v>
      </c>
    </row>
    <row r="11" customFormat="false" ht="105" hidden="false" customHeight="true" outlineLevel="0" collapsed="false">
      <c r="A11" s="3" t="s">
        <v>7</v>
      </c>
    </row>
    <row r="12" customFormat="false" ht="90" hidden="false" customHeight="true" outlineLevel="0" collapsed="false">
      <c r="A12" s="3" t="s">
        <v>8</v>
      </c>
    </row>
    <row r="14" customFormat="false" ht="15" hidden="false" customHeight="false" outlineLevel="0" collapsed="false">
      <c r="A14" s="4" t="s">
        <v>9</v>
      </c>
    </row>
    <row r="15" customFormat="false" ht="135" hidden="false" customHeight="true" outlineLevel="0" collapsed="false">
      <c r="A15" s="3" t="s">
        <v>10</v>
      </c>
    </row>
    <row r="17" customFormat="false" ht="15" hidden="false" customHeight="false" outlineLevel="0" collapsed="false">
      <c r="A17" s="4" t="s">
        <v>11</v>
      </c>
    </row>
    <row r="18" customFormat="false" ht="15" hidden="false" customHeight="true" outlineLevel="0" collapsed="false">
      <c r="A18" s="3" t="s">
        <v>12</v>
      </c>
    </row>
    <row r="19" customFormat="false" ht="15" hidden="false" customHeight="true" outlineLevel="0" collapsed="false">
      <c r="A19" s="3" t="s">
        <v>13</v>
      </c>
    </row>
    <row r="20" customFormat="false" ht="15" hidden="false" customHeight="true" outlineLevel="0" collapsed="false">
      <c r="A20" s="3" t="s">
        <v>14</v>
      </c>
    </row>
    <row r="21" customFormat="false" ht="15" hidden="false" customHeight="true" outlineLevel="0" collapsed="false">
      <c r="A21" s="3" t="s">
        <v>15</v>
      </c>
    </row>
    <row r="22" customFormat="false" ht="15" hidden="false" customHeight="true" outlineLevel="0" collapsed="false">
      <c r="A22" s="3" t="s">
        <v>16</v>
      </c>
    </row>
    <row r="23" customFormat="false" ht="15" hidden="false" customHeight="true" outlineLevel="0" collapsed="false">
      <c r="A23" s="3" t="s">
        <v>17</v>
      </c>
    </row>
    <row r="24" customFormat="false" ht="15" hidden="false" customHeight="true" outlineLevel="0" collapsed="false">
      <c r="A24" s="3" t="s">
        <v>18</v>
      </c>
    </row>
    <row r="26" customFormat="false" ht="15" hidden="false" customHeight="false" outlineLevel="0" collapsed="false">
      <c r="A26" s="4" t="s">
        <v>19</v>
      </c>
    </row>
    <row r="27" customFormat="false" ht="15" hidden="false" customHeight="true" outlineLevel="0" collapsed="false">
      <c r="A27" s="3" t="s">
        <v>20</v>
      </c>
    </row>
    <row r="28" customFormat="false" ht="60" hidden="false" customHeight="true" outlineLevel="0" collapsed="false">
      <c r="A28" s="3" t="s">
        <v>21</v>
      </c>
    </row>
    <row r="30" customFormat="false" ht="49.25" hidden="false" customHeight="false" outlineLevel="0" collapsed="false">
      <c r="A30" s="3"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3" min="2" style="0" width="15"/>
    <col collapsed="false" customWidth="true" hidden="false" outlineLevel="0" max="4" min="4" style="0" width="52"/>
  </cols>
  <sheetData>
    <row r="1" customFormat="false" ht="17.35" hidden="false" customHeight="false" outlineLevel="0" collapsed="false">
      <c r="A1" s="5" t="s">
        <v>23</v>
      </c>
    </row>
    <row r="2" customFormat="false" ht="15" hidden="false" customHeight="false" outlineLevel="0" collapsed="false">
      <c r="A2" s="2" t="s">
        <v>24</v>
      </c>
    </row>
    <row r="4" customFormat="false" ht="30" hidden="false" customHeight="true" outlineLevel="0" collapsed="false">
      <c r="A4" s="6"/>
      <c r="B4" s="6" t="s">
        <v>25</v>
      </c>
      <c r="C4" s="6"/>
      <c r="D4" s="6" t="s">
        <v>26</v>
      </c>
    </row>
    <row r="5" customFormat="false" ht="15" hidden="false" customHeight="false" outlineLevel="0" collapsed="false">
      <c r="A5" s="7" t="s">
        <v>27</v>
      </c>
      <c r="B5" s="8" t="n">
        <v>95</v>
      </c>
      <c r="D5" s="9" t="s">
        <v>28</v>
      </c>
    </row>
    <row r="6" customFormat="false" ht="15" hidden="false" customHeight="false" outlineLevel="0" collapsed="false">
      <c r="A6" s="7" t="s">
        <v>29</v>
      </c>
      <c r="B6" s="8" t="n">
        <v>14</v>
      </c>
      <c r="D6" s="9" t="s">
        <v>30</v>
      </c>
    </row>
    <row r="7" customFormat="false" ht="15" hidden="false" customHeight="false" outlineLevel="0" collapsed="false">
      <c r="A7" s="7" t="s">
        <v>31</v>
      </c>
      <c r="B7" s="10" t="n">
        <v>8</v>
      </c>
      <c r="D7" s="9" t="s">
        <v>30</v>
      </c>
    </row>
    <row r="8" customFormat="false" ht="15" hidden="false" customHeight="false" outlineLevel="0" collapsed="false">
      <c r="A8" s="7" t="s">
        <v>32</v>
      </c>
      <c r="B8" s="10" t="n">
        <v>8.5</v>
      </c>
      <c r="D8" s="9" t="s">
        <v>30</v>
      </c>
    </row>
    <row r="9" customFormat="false" ht="15" hidden="false" customHeight="false" outlineLevel="0" collapsed="false">
      <c r="A9" s="7" t="s">
        <v>33</v>
      </c>
      <c r="B9" s="11" t="n">
        <v>0.34</v>
      </c>
      <c r="D9" s="9" t="s">
        <v>34</v>
      </c>
    </row>
    <row r="10" customFormat="false" ht="15" hidden="false" customHeight="false" outlineLevel="0" collapsed="false">
      <c r="A10" s="7" t="s">
        <v>35</v>
      </c>
      <c r="B10" s="11" t="n">
        <v>0.8</v>
      </c>
      <c r="D10" s="9" t="s">
        <v>34</v>
      </c>
    </row>
    <row r="11" customFormat="false" ht="15" hidden="false" customHeight="false" outlineLevel="0" collapsed="false">
      <c r="A11" s="7" t="s">
        <v>36</v>
      </c>
      <c r="B11" s="11" t="n">
        <v>0.83</v>
      </c>
      <c r="D11" s="9" t="s">
        <v>30</v>
      </c>
    </row>
    <row r="12" customFormat="false" ht="15" hidden="false" customHeight="false" outlineLevel="0" collapsed="false">
      <c r="A12" s="7" t="s">
        <v>37</v>
      </c>
      <c r="B12" s="11" t="n">
        <v>0.15</v>
      </c>
      <c r="D12" s="9" t="s">
        <v>38</v>
      </c>
    </row>
    <row r="13" customFormat="false" ht="15" hidden="false" customHeight="false" outlineLevel="0" collapsed="false">
      <c r="A13" s="7" t="s">
        <v>39</v>
      </c>
      <c r="B13" s="8" t="n">
        <v>11</v>
      </c>
      <c r="D13" s="9" t="s">
        <v>40</v>
      </c>
    </row>
    <row r="14" customFormat="false" ht="15" hidden="false" customHeight="false" outlineLevel="0" collapsed="false">
      <c r="A14" s="7" t="s">
        <v>41</v>
      </c>
      <c r="B14" s="12" t="n">
        <v>4</v>
      </c>
      <c r="D14" s="9" t="s">
        <v>42</v>
      </c>
    </row>
    <row r="15" customFormat="false" ht="15" hidden="false" customHeight="false" outlineLevel="0" collapsed="false">
      <c r="A15" s="7" t="s">
        <v>43</v>
      </c>
      <c r="B15" s="13" t="n">
        <v>0.31</v>
      </c>
      <c r="D15" s="9" t="s">
        <v>44</v>
      </c>
    </row>
    <row r="17" customFormat="false" ht="15" hidden="false" customHeight="false" outlineLevel="0" collapsed="false">
      <c r="A17" s="7" t="s">
        <v>45</v>
      </c>
      <c r="B17" s="10" t="n">
        <v>4</v>
      </c>
      <c r="D17" s="9" t="s">
        <v>46</v>
      </c>
    </row>
    <row r="18" customFormat="false" ht="15" hidden="false" customHeight="false" outlineLevel="0" collapsed="false">
      <c r="A18" s="7" t="s">
        <v>47</v>
      </c>
      <c r="B18" s="8" t="n">
        <v>20</v>
      </c>
      <c r="D18" s="9" t="s">
        <v>48</v>
      </c>
    </row>
    <row r="19" customFormat="false" ht="15" hidden="false" customHeight="false" outlineLevel="0" collapsed="false">
      <c r="A19" s="7" t="s">
        <v>49</v>
      </c>
      <c r="B19" s="8" t="n">
        <v>45</v>
      </c>
      <c r="D19" s="9" t="s">
        <v>50</v>
      </c>
    </row>
    <row r="20" customFormat="false" ht="15" hidden="false" customHeight="false" outlineLevel="0" collapsed="false">
      <c r="A20" s="7" t="s">
        <v>51</v>
      </c>
      <c r="B20" s="13" t="n">
        <v>0.5</v>
      </c>
      <c r="D20" s="9" t="s">
        <v>52</v>
      </c>
    </row>
    <row r="21" customFormat="false" ht="15" hidden="false" customHeight="false" outlineLevel="0" collapsed="false">
      <c r="A21" s="7" t="s">
        <v>53</v>
      </c>
      <c r="B21" s="13" t="n">
        <v>0.5</v>
      </c>
      <c r="D21" s="9" t="s">
        <v>54</v>
      </c>
    </row>
    <row r="23" customFormat="false" ht="36" hidden="false" customHeight="true" outlineLevel="0" collapsed="false">
      <c r="A23" s="14" t="s">
        <v>55</v>
      </c>
      <c r="B23" s="14"/>
      <c r="C23" s="14"/>
      <c r="D23" s="14"/>
    </row>
  </sheetData>
  <mergeCells count="1">
    <mergeCell ref="A23:D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4" min="4" style="0" width="48"/>
  </cols>
  <sheetData>
    <row r="1" customFormat="false" ht="17.35" hidden="false" customHeight="false" outlineLevel="0" collapsed="false">
      <c r="A1" s="5" t="s">
        <v>56</v>
      </c>
    </row>
    <row r="2" customFormat="false" ht="15" hidden="false" customHeight="false" outlineLevel="0" collapsed="false">
      <c r="A2" s="2" t="s">
        <v>57</v>
      </c>
    </row>
    <row r="4" customFormat="false" ht="30" hidden="false" customHeight="true" outlineLevel="0" collapsed="false">
      <c r="A4" s="6"/>
      <c r="B4" s="6" t="s">
        <v>25</v>
      </c>
      <c r="C4" s="6"/>
      <c r="D4" s="6" t="s">
        <v>58</v>
      </c>
    </row>
    <row r="5" customFormat="false" ht="15" hidden="false" customHeight="false" outlineLevel="0" collapsed="false">
      <c r="A5" s="7" t="s">
        <v>59</v>
      </c>
      <c r="B5" s="15" t="n">
        <f aca="false">'1. The Inputs'!B9</f>
        <v>0.34</v>
      </c>
      <c r="D5" s="9"/>
    </row>
    <row r="6" customFormat="false" ht="15" hidden="false" customHeight="false" outlineLevel="0" collapsed="false">
      <c r="A6" s="7" t="s">
        <v>60</v>
      </c>
      <c r="B6" s="15" t="n">
        <f aca="false">'1. The Inputs'!B10</f>
        <v>0.8</v>
      </c>
      <c r="D6" s="9"/>
    </row>
    <row r="7" customFormat="false" ht="15" hidden="false" customHeight="false" outlineLevel="0" collapsed="false">
      <c r="A7" s="16" t="s">
        <v>61</v>
      </c>
      <c r="B7" s="17" t="n">
        <f aca="false">B5+B6</f>
        <v>1.14</v>
      </c>
      <c r="D7" s="9" t="s">
        <v>62</v>
      </c>
    </row>
    <row r="8" customFormat="false" ht="15" hidden="false" customHeight="false" outlineLevel="0" collapsed="false">
      <c r="A8" s="7" t="s">
        <v>32</v>
      </c>
      <c r="B8" s="18" t="n">
        <f aca="false">'1. The Inputs'!B8</f>
        <v>8.5</v>
      </c>
      <c r="D8" s="9"/>
    </row>
    <row r="9" customFormat="false" ht="15" hidden="false" customHeight="false" outlineLevel="0" collapsed="false">
      <c r="A9" s="16" t="s">
        <v>63</v>
      </c>
      <c r="B9" s="19" t="n">
        <f aca="false">IFERROR(B7*B8,"")</f>
        <v>9.69</v>
      </c>
      <c r="D9" s="9" t="s">
        <v>64</v>
      </c>
    </row>
    <row r="10" customFormat="false" ht="15" hidden="false" customHeight="false" outlineLevel="0" collapsed="false">
      <c r="A10" s="7" t="s">
        <v>65</v>
      </c>
      <c r="B10" s="15" t="n">
        <f aca="false">'1. The Inputs'!B11</f>
        <v>0.83</v>
      </c>
      <c r="D10" s="9"/>
    </row>
    <row r="11" customFormat="false" ht="15" hidden="false" customHeight="false" outlineLevel="0" collapsed="false">
      <c r="A11" s="7" t="s">
        <v>66</v>
      </c>
      <c r="B11" s="18" t="n">
        <f aca="false">IFERROR(B9/B10,"")</f>
        <v>11.6746987951807</v>
      </c>
      <c r="D11" s="9"/>
    </row>
    <row r="12" customFormat="false" ht="15" hidden="false" customHeight="false" outlineLevel="0" collapsed="false">
      <c r="A12" s="7" t="s">
        <v>67</v>
      </c>
      <c r="B12" s="18" t="n">
        <f aca="false">IFERROR(B9/(B10-'1. The Inputs'!B12),"")</f>
        <v>14.25</v>
      </c>
      <c r="D12" s="9" t="s">
        <v>68</v>
      </c>
    </row>
    <row r="13" customFormat="false" ht="39.75" hidden="false" customHeight="true" outlineLevel="0" collapsed="false">
      <c r="A13" s="14" t="s">
        <v>69</v>
      </c>
      <c r="B13" s="14"/>
      <c r="C13" s="14"/>
      <c r="D13" s="14"/>
    </row>
  </sheetData>
  <mergeCells count="1">
    <mergeCell ref="A13:D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5" t="s">
        <v>70</v>
      </c>
    </row>
    <row r="2" customFormat="false" ht="15" hidden="false" customHeight="false" outlineLevel="0" collapsed="false">
      <c r="A2" s="2" t="s">
        <v>71</v>
      </c>
    </row>
    <row r="4" customFormat="false" ht="30" hidden="false" customHeight="true" outlineLevel="0" collapsed="false">
      <c r="A4" s="6"/>
      <c r="B4" s="6" t="s">
        <v>25</v>
      </c>
      <c r="C4" s="6"/>
      <c r="D4" s="6"/>
      <c r="E4" s="6"/>
    </row>
    <row r="5" customFormat="false" ht="15" hidden="false" customHeight="false" outlineLevel="0" collapsed="false">
      <c r="A5" s="7" t="s">
        <v>72</v>
      </c>
      <c r="B5" s="20" t="n">
        <f aca="false">IFERROR('1. The Inputs'!B6*'1. The Inputs'!B7,"")</f>
        <v>112</v>
      </c>
    </row>
    <row r="6" customFormat="false" ht="15" hidden="false" customHeight="false" outlineLevel="0" collapsed="false">
      <c r="A6" s="7" t="s">
        <v>73</v>
      </c>
      <c r="B6" s="20" t="n">
        <f aca="false">IFERROR('1. The Inputs'!B6*'1. The Inputs'!B17,"")</f>
        <v>56</v>
      </c>
    </row>
    <row r="7" customFormat="false" ht="15" hidden="false" customHeight="false" outlineLevel="0" collapsed="false">
      <c r="A7" s="16" t="s">
        <v>74</v>
      </c>
      <c r="B7" s="21" t="n">
        <f aca="false">B5-B6</f>
        <v>56</v>
      </c>
    </row>
    <row r="10" customFormat="false" ht="30" hidden="false" customHeight="true" outlineLevel="0" collapsed="false">
      <c r="A10" s="6" t="s">
        <v>75</v>
      </c>
      <c r="B10" s="6" t="s">
        <v>76</v>
      </c>
      <c r="C10" s="6" t="s">
        <v>77</v>
      </c>
      <c r="D10" s="6" t="s">
        <v>78</v>
      </c>
      <c r="E10" s="6"/>
    </row>
    <row r="11" customFormat="false" ht="15" hidden="false" customHeight="false" outlineLevel="0" collapsed="false">
      <c r="A11" s="7" t="s">
        <v>79</v>
      </c>
      <c r="B11" s="20" t="n">
        <f aca="false">'1. The Inputs'!B18</f>
        <v>20</v>
      </c>
      <c r="C11" s="20" t="n">
        <f aca="false">IFERROR(B11-'2. Chapter 10, Restated'!B7,"")</f>
        <v>18.86</v>
      </c>
    </row>
    <row r="12" customFormat="false" ht="15" hidden="false" customHeight="false" outlineLevel="0" collapsed="false">
      <c r="A12" s="7" t="s">
        <v>80</v>
      </c>
      <c r="B12" s="20" t="n">
        <f aca="false">IFERROR(B11*'1. The Inputs'!B8,"")</f>
        <v>170</v>
      </c>
      <c r="C12" s="20" t="n">
        <f aca="false">IFERROR(C11*'1. The Inputs'!B8,"")</f>
        <v>160.31</v>
      </c>
    </row>
    <row r="13" customFormat="false" ht="15" hidden="false" customHeight="false" outlineLevel="0" collapsed="false">
      <c r="A13" s="7" t="s">
        <v>81</v>
      </c>
      <c r="B13" s="20" t="n">
        <f aca="false">'1. The Inputs'!B19</f>
        <v>45</v>
      </c>
      <c r="C13" s="20" t="n">
        <f aca="false">IFERROR(B13-'1. The Inputs'!B11,"")</f>
        <v>44.17</v>
      </c>
      <c r="E13" s="9" t="s">
        <v>82</v>
      </c>
    </row>
    <row r="14" customFormat="false" ht="15" hidden="false" customHeight="false" outlineLevel="0" collapsed="false">
      <c r="A14" s="16" t="s">
        <v>83</v>
      </c>
      <c r="B14" s="22" t="n">
        <f aca="false">B12-B13</f>
        <v>125</v>
      </c>
      <c r="C14" s="22" t="n">
        <f aca="false">C12-C13</f>
        <v>116.14</v>
      </c>
      <c r="D14" s="23" t="n">
        <f aca="false">B14-C14</f>
        <v>8.86</v>
      </c>
    </row>
    <row r="15" customFormat="false" ht="15" hidden="false" customHeight="false" outlineLevel="0" collapsed="false">
      <c r="A15" s="16" t="s">
        <v>84</v>
      </c>
      <c r="B15" s="24" t="n">
        <f aca="false">IFERROR(B14/$B$7,"")</f>
        <v>2.23214285714286</v>
      </c>
      <c r="C15" s="24" t="n">
        <f aca="false">IFERROR(C14/$B$7,"")</f>
        <v>2.07392857142857</v>
      </c>
      <c r="D15" s="25" t="n">
        <f aca="false">B15-C15</f>
        <v>0.158214285714286</v>
      </c>
    </row>
    <row r="16" customFormat="false" ht="15" hidden="false" customHeight="false" outlineLevel="0" collapsed="false">
      <c r="A16" s="16" t="s">
        <v>85</v>
      </c>
      <c r="B16" s="26" t="n">
        <f aca="false">IFERROR(B15^(1/'1. The Inputs'!B14)-1,"")</f>
        <v>0.222307556087253</v>
      </c>
      <c r="C16" s="26" t="n">
        <f aca="false">IFERROR(C15^(1/'1. The Inputs'!B14)-1,"")</f>
        <v>0.200047533551289</v>
      </c>
      <c r="D16" s="27" t="n">
        <f aca="false">B16-C16</f>
        <v>0.0222600225359637</v>
      </c>
    </row>
    <row r="18" customFormat="false" ht="15" hidden="false" customHeight="false" outlineLevel="0" collapsed="false">
      <c r="A18" s="16" t="s">
        <v>86</v>
      </c>
      <c r="B18" s="24" t="n">
        <f aca="false">IFERROR(D14/'1. The Inputs'!B11,"")</f>
        <v>10.6746987951807</v>
      </c>
    </row>
    <row r="20" customFormat="false" ht="43.5" hidden="false" customHeight="true" outlineLevel="0" collapsed="false">
      <c r="A20" s="14" t="s">
        <v>87</v>
      </c>
      <c r="B20" s="14"/>
      <c r="C20" s="14"/>
      <c r="D20" s="14"/>
      <c r="E20" s="14"/>
    </row>
    <row r="22" customFormat="false" ht="31.5" hidden="false" customHeight="true" outlineLevel="0" collapsed="false">
      <c r="A22" s="14" t="s">
        <v>88</v>
      </c>
      <c r="B22" s="14"/>
      <c r="C22" s="14"/>
      <c r="D22" s="14"/>
      <c r="E22" s="14"/>
    </row>
  </sheetData>
  <mergeCells count="2">
    <mergeCell ref="A20:E20"/>
    <mergeCell ref="A22:E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5" t="s">
        <v>89</v>
      </c>
    </row>
    <row r="2" customFormat="false" ht="15" hidden="false" customHeight="false" outlineLevel="0" collapsed="false">
      <c r="A2" s="2" t="s">
        <v>90</v>
      </c>
    </row>
    <row r="4" customFormat="false" ht="30" hidden="false" customHeight="true" outlineLevel="0" collapsed="false">
      <c r="A4" s="6"/>
      <c r="B4" s="6" t="s">
        <v>25</v>
      </c>
      <c r="C4" s="6"/>
      <c r="D4" s="6" t="s">
        <v>58</v>
      </c>
    </row>
    <row r="5" customFormat="false" ht="15" hidden="false" customHeight="false" outlineLevel="0" collapsed="false">
      <c r="A5" s="7" t="s">
        <v>91</v>
      </c>
      <c r="B5" s="28" t="n">
        <f aca="false">IFERROR('1. The Inputs'!B6/'1. The Inputs'!B5,"")</f>
        <v>0.147368421052632</v>
      </c>
      <c r="D5" s="9" t="s">
        <v>92</v>
      </c>
    </row>
    <row r="6" customFormat="false" ht="15" hidden="false" customHeight="false" outlineLevel="0" collapsed="false">
      <c r="A6" s="7" t="s">
        <v>93</v>
      </c>
      <c r="B6" s="20" t="n">
        <f aca="false">'1. The Inputs'!B13</f>
        <v>11</v>
      </c>
      <c r="D6" s="9" t="s">
        <v>94</v>
      </c>
    </row>
    <row r="7" customFormat="false" ht="15" hidden="false" customHeight="false" outlineLevel="0" collapsed="false">
      <c r="A7" s="7" t="s">
        <v>95</v>
      </c>
      <c r="B7" s="15" t="n">
        <f aca="false">IFERROR(B5*B6,"")</f>
        <v>1.62105263157895</v>
      </c>
      <c r="D7" s="9"/>
    </row>
    <row r="8" customFormat="false" ht="15" hidden="false" customHeight="false" outlineLevel="0" collapsed="false">
      <c r="A8" s="7" t="s">
        <v>96</v>
      </c>
      <c r="B8" s="28" t="n">
        <f aca="false">'1. The Inputs'!B20</f>
        <v>0.5</v>
      </c>
      <c r="D8" s="9" t="s">
        <v>97</v>
      </c>
    </row>
    <row r="9" customFormat="false" ht="15" hidden="false" customHeight="false" outlineLevel="0" collapsed="false">
      <c r="A9" s="7" t="s">
        <v>98</v>
      </c>
      <c r="B9" s="15" t="n">
        <f aca="false">IFERROR(B7*B8,"")</f>
        <v>0.810526315789474</v>
      </c>
      <c r="D9" s="9"/>
    </row>
    <row r="10" customFormat="false" ht="15" hidden="false" customHeight="false" outlineLevel="0" collapsed="false">
      <c r="A10" s="7" t="s">
        <v>32</v>
      </c>
      <c r="B10" s="18" t="n">
        <f aca="false">'1. The Inputs'!B8</f>
        <v>8.5</v>
      </c>
      <c r="D10" s="9"/>
    </row>
    <row r="11" customFormat="false" ht="15" hidden="false" customHeight="false" outlineLevel="0" collapsed="false">
      <c r="A11" s="16" t="s">
        <v>99</v>
      </c>
      <c r="B11" s="21" t="n">
        <f aca="false">IFERROR(B9*B10,"")</f>
        <v>6.88947368421053</v>
      </c>
      <c r="D11" s="9"/>
    </row>
    <row r="12" customFormat="false" ht="15" hidden="false" customHeight="false" outlineLevel="0" collapsed="false">
      <c r="A12" s="7" t="s">
        <v>100</v>
      </c>
      <c r="B12" s="15" t="n">
        <f aca="false">'1. The Inputs'!B12</f>
        <v>0.15</v>
      </c>
      <c r="D12" s="9"/>
    </row>
    <row r="13" customFormat="false" ht="15" hidden="false" customHeight="false" outlineLevel="0" collapsed="false">
      <c r="A13" s="16" t="s">
        <v>101</v>
      </c>
      <c r="B13" s="24" t="n">
        <f aca="false">IFERROR(B11/B12,"")</f>
        <v>45.9298245614035</v>
      </c>
      <c r="D13" s="9" t="s">
        <v>102</v>
      </c>
    </row>
    <row r="15" customFormat="false" ht="15" hidden="false" customHeight="false" outlineLevel="0" collapsed="false">
      <c r="A15" s="4" t="s">
        <v>103</v>
      </c>
    </row>
    <row r="16" customFormat="false" ht="36" hidden="false" customHeight="true" outlineLevel="0" collapsed="false">
      <c r="A16" s="14" t="s">
        <v>104</v>
      </c>
      <c r="B16" s="14"/>
      <c r="C16" s="14"/>
      <c r="D16" s="14"/>
      <c r="E16" s="14"/>
    </row>
    <row r="18" customFormat="false" ht="30" hidden="false" customHeight="true" outlineLevel="0" collapsed="false">
      <c r="A18" s="6" t="s">
        <v>105</v>
      </c>
      <c r="B18" s="6" t="s">
        <v>106</v>
      </c>
      <c r="C18" s="6" t="s">
        <v>107</v>
      </c>
      <c r="D18" s="6" t="s">
        <v>108</v>
      </c>
      <c r="E18" s="6"/>
    </row>
    <row r="19" customFormat="false" ht="15" hidden="false" customHeight="false" outlineLevel="0" collapsed="false">
      <c r="A19" s="13" t="n">
        <v>0</v>
      </c>
      <c r="B19" s="20" t="n">
        <f aca="false">IFERROR($B$11*A19,"")</f>
        <v>0</v>
      </c>
      <c r="C19" s="20" t="n">
        <f aca="false">'2. Chapter 10, Restated'!B9</f>
        <v>9.69</v>
      </c>
      <c r="D19" s="9" t="str">
        <f aca="false">IF(ISERROR(B19),"",IF(B19&gt;C19,"defence","creation"))</f>
        <v>creation</v>
      </c>
    </row>
    <row r="20" customFormat="false" ht="15" hidden="false" customHeight="false" outlineLevel="0" collapsed="false">
      <c r="A20" s="13" t="n">
        <v>0.5</v>
      </c>
      <c r="B20" s="20" t="n">
        <f aca="false">IFERROR($B$11*A20,"")</f>
        <v>3.44473684210526</v>
      </c>
      <c r="C20" s="20" t="n">
        <f aca="false">'2. Chapter 10, Restated'!B9</f>
        <v>9.69</v>
      </c>
      <c r="D20" s="9" t="str">
        <f aca="false">IF(ISERROR(B20),"",IF(B20&gt;C20,"defence","creation"))</f>
        <v>creation</v>
      </c>
    </row>
    <row r="21" customFormat="false" ht="15" hidden="false" customHeight="false" outlineLevel="0" collapsed="false">
      <c r="A21" s="13" t="n">
        <v>1</v>
      </c>
      <c r="B21" s="20" t="n">
        <f aca="false">IFERROR($B$11*A21,"")</f>
        <v>6.88947368421053</v>
      </c>
      <c r="C21" s="20" t="n">
        <f aca="false">'2. Chapter 10, Restated'!B9</f>
        <v>9.69</v>
      </c>
      <c r="D21" s="9" t="str">
        <f aca="false">IF(ISERROR(B21),"",IF(B21&gt;C21,"defence","creation"))</f>
        <v>creation</v>
      </c>
    </row>
    <row r="23" customFormat="false" ht="15" hidden="false" customHeight="false" outlineLevel="0" collapsed="false">
      <c r="A23" s="16" t="s">
        <v>109</v>
      </c>
      <c r="B23" s="21" t="n">
        <f aca="false">IFERROR($B$11*'1. The Inputs'!B21,"")</f>
        <v>3.44473684210526</v>
      </c>
      <c r="D23" s="9" t="str">
        <f aca="false">IF(ISERROR(B23),"",IF(B23&gt;C19,"defence wins","creation still wins"))</f>
        <v>creation still wins</v>
      </c>
    </row>
    <row r="24" customFormat="false" ht="15" hidden="false" customHeight="false" outlineLevel="0" collapsed="false">
      <c r="A24" s="16" t="s">
        <v>110</v>
      </c>
      <c r="B24" s="29" t="n">
        <f aca="false">IFERROR(C19/(B7*B10),"")</f>
        <v>0.703246753246753</v>
      </c>
      <c r="D24" s="9" t="s">
        <v>111</v>
      </c>
    </row>
    <row r="25" customFormat="false" ht="48" hidden="false" customHeight="true" outlineLevel="0" collapsed="false">
      <c r="A25" s="14" t="s">
        <v>112</v>
      </c>
      <c r="B25" s="14"/>
      <c r="C25" s="14"/>
      <c r="D25" s="14"/>
      <c r="E25" s="14"/>
    </row>
    <row r="27" customFormat="false" ht="36" hidden="false" customHeight="true" outlineLevel="0" collapsed="false">
      <c r="A27" s="14" t="s">
        <v>113</v>
      </c>
      <c r="B27" s="14"/>
      <c r="C27" s="14"/>
      <c r="D27" s="14"/>
      <c r="E27" s="14"/>
    </row>
  </sheetData>
  <mergeCells count="3">
    <mergeCell ref="A16:E16"/>
    <mergeCell ref="A25:E25"/>
    <mergeCell ref="A27:E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6"/>
    <col collapsed="false" customWidth="true" hidden="false" outlineLevel="0" max="4" min="4" style="0" width="48"/>
  </cols>
  <sheetData>
    <row r="1" customFormat="false" ht="17.35" hidden="false" customHeight="false" outlineLevel="0" collapsed="false">
      <c r="A1" s="5" t="s">
        <v>114</v>
      </c>
    </row>
    <row r="2" customFormat="false" ht="15" hidden="false" customHeight="false" outlineLevel="0" collapsed="false">
      <c r="A2" s="2" t="s">
        <v>115</v>
      </c>
    </row>
    <row r="4" customFormat="false" ht="30" hidden="false" customHeight="true" outlineLevel="0" collapsed="false">
      <c r="A4" s="6"/>
      <c r="B4" s="6" t="s">
        <v>25</v>
      </c>
      <c r="C4" s="6"/>
      <c r="D4" s="6" t="s">
        <v>58</v>
      </c>
    </row>
    <row r="5" customFormat="false" ht="15" hidden="false" customHeight="false" outlineLevel="0" collapsed="false">
      <c r="A5" s="7" t="s">
        <v>31</v>
      </c>
      <c r="B5" s="18" t="n">
        <f aca="false">'1. The Inputs'!B7</f>
        <v>8</v>
      </c>
      <c r="D5" s="9"/>
    </row>
    <row r="6" customFormat="false" ht="15" hidden="false" customHeight="false" outlineLevel="0" collapsed="false">
      <c r="A6" s="7" t="s">
        <v>32</v>
      </c>
      <c r="B6" s="18" t="n">
        <f aca="false">'1. The Inputs'!B8</f>
        <v>8.5</v>
      </c>
      <c r="D6" s="9"/>
    </row>
    <row r="7" customFormat="false" ht="15" hidden="false" customHeight="false" outlineLevel="0" collapsed="false">
      <c r="A7" s="16" t="s">
        <v>116</v>
      </c>
      <c r="B7" s="30" t="n">
        <f aca="false">B6-B5</f>
        <v>0.5</v>
      </c>
      <c r="D7" s="9" t="s">
        <v>117</v>
      </c>
    </row>
    <row r="8" customFormat="false" ht="15" hidden="false" customHeight="false" outlineLevel="0" collapsed="false">
      <c r="A8" s="7" t="s">
        <v>47</v>
      </c>
      <c r="B8" s="20" t="n">
        <f aca="false">'1. The Inputs'!B18</f>
        <v>20</v>
      </c>
      <c r="D8" s="9"/>
    </row>
    <row r="9" customFormat="false" ht="15" hidden="false" customHeight="false" outlineLevel="0" collapsed="false">
      <c r="A9" s="16" t="s">
        <v>118</v>
      </c>
      <c r="B9" s="21" t="n">
        <f aca="false">IFERROR(B7*B8,"")</f>
        <v>10</v>
      </c>
      <c r="D9" s="9" t="s">
        <v>119</v>
      </c>
    </row>
    <row r="10" customFormat="false" ht="15" hidden="false" customHeight="false" outlineLevel="0" collapsed="false">
      <c r="A10" s="7" t="s">
        <v>120</v>
      </c>
      <c r="B10" s="20" t="n">
        <f aca="false">'2. Chapter 10, Restated'!B9</f>
        <v>9.69</v>
      </c>
      <c r="D10" s="9"/>
    </row>
    <row r="11" customFormat="false" ht="15" hidden="false" customHeight="false" outlineLevel="0" collapsed="false">
      <c r="A11" s="7" t="s">
        <v>121</v>
      </c>
      <c r="B11" s="18" t="n">
        <f aca="false">IFERROR(B9/B10,"")</f>
        <v>1.03199174406605</v>
      </c>
      <c r="D11" s="9"/>
    </row>
    <row r="14" customFormat="false" ht="15" hidden="false" customHeight="false" outlineLevel="0" collapsed="false">
      <c r="A14" s="4" t="s">
        <v>122</v>
      </c>
    </row>
    <row r="15" customFormat="false" ht="15" hidden="false" customHeight="false" outlineLevel="0" collapsed="false">
      <c r="A15" s="16" t="s">
        <v>123</v>
      </c>
      <c r="B15" s="31" t="n">
        <f aca="false">IFERROR('2. Chapter 10, Restated'!B9/'1. The Inputs'!B18,"")</f>
        <v>0.4845</v>
      </c>
    </row>
    <row r="16" customFormat="false" ht="39.75" hidden="false" customHeight="true" outlineLevel="0" collapsed="false">
      <c r="A16" s="14" t="s">
        <v>124</v>
      </c>
      <c r="B16" s="14"/>
      <c r="C16" s="14"/>
      <c r="D16" s="14"/>
    </row>
    <row r="18" customFormat="false" ht="39.75" hidden="false" customHeight="true" outlineLevel="0" collapsed="false">
      <c r="A18" s="14" t="s">
        <v>125</v>
      </c>
      <c r="B18" s="14"/>
      <c r="C18" s="14"/>
      <c r="D18" s="14"/>
    </row>
  </sheetData>
  <mergeCells count="2">
    <mergeCell ref="A16:D16"/>
    <mergeCell ref="A18:D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4" min="2" style="0" width="14"/>
    <col collapsed="false" customWidth="true" hidden="false" outlineLevel="0" max="5" min="5" style="0" width="46"/>
  </cols>
  <sheetData>
    <row r="1" customFormat="false" ht="17.35" hidden="false" customHeight="false" outlineLevel="0" collapsed="false">
      <c r="A1" s="5" t="s">
        <v>126</v>
      </c>
    </row>
    <row r="2" customFormat="false" ht="15" hidden="false" customHeight="false" outlineLevel="0" collapsed="false">
      <c r="A2" s="2" t="s">
        <v>127</v>
      </c>
    </row>
    <row r="5" customFormat="false" ht="30" hidden="false" customHeight="true" outlineLevel="0" collapsed="false">
      <c r="A5" s="6" t="s">
        <v>128</v>
      </c>
      <c r="B5" s="6" t="s">
        <v>129</v>
      </c>
      <c r="C5" s="6" t="s">
        <v>130</v>
      </c>
      <c r="D5" s="6"/>
      <c r="E5" s="6"/>
    </row>
    <row r="6" customFormat="false" ht="15" hidden="false" customHeight="false" outlineLevel="0" collapsed="false">
      <c r="A6" s="7" t="s">
        <v>131</v>
      </c>
      <c r="B6" s="32" t="n">
        <v>4</v>
      </c>
      <c r="C6" s="32" t="n">
        <v>6</v>
      </c>
    </row>
    <row r="7" customFormat="false" ht="15" hidden="false" customHeight="false" outlineLevel="0" collapsed="false">
      <c r="A7" s="7" t="s">
        <v>132</v>
      </c>
      <c r="B7" s="32" t="n">
        <v>12</v>
      </c>
      <c r="C7" s="32" t="n">
        <v>16</v>
      </c>
    </row>
    <row r="8" customFormat="false" ht="15" hidden="false" customHeight="false" outlineLevel="0" collapsed="false">
      <c r="A8" s="7" t="s">
        <v>133</v>
      </c>
      <c r="B8" s="32" t="n">
        <v>13</v>
      </c>
      <c r="C8" s="32" t="n">
        <v>13</v>
      </c>
    </row>
    <row r="9" customFormat="false" ht="15" hidden="false" customHeight="false" outlineLevel="0" collapsed="false">
      <c r="A9" s="7" t="s">
        <v>134</v>
      </c>
      <c r="B9" s="32" t="n">
        <v>4</v>
      </c>
      <c r="C9" s="32" t="n">
        <v>8</v>
      </c>
    </row>
    <row r="10" customFormat="false" ht="15" hidden="false" customHeight="false" outlineLevel="0" collapsed="false">
      <c r="A10" s="7" t="s">
        <v>135</v>
      </c>
      <c r="B10" s="32" t="n">
        <v>3</v>
      </c>
      <c r="C10" s="32" t="n">
        <v>4</v>
      </c>
    </row>
    <row r="11" customFormat="false" ht="15" hidden="false" customHeight="false" outlineLevel="0" collapsed="false">
      <c r="A11" s="16" t="s">
        <v>136</v>
      </c>
      <c r="B11" s="33" t="n">
        <f aca="false">SUM(B6:B10)</f>
        <v>36</v>
      </c>
      <c r="C11" s="33" t="n">
        <f aca="false">SUM(C6:C10)</f>
        <v>47</v>
      </c>
    </row>
    <row r="12" customFormat="false" ht="15" hidden="false" customHeight="false" outlineLevel="0" collapsed="false">
      <c r="A12" s="16" t="s">
        <v>137</v>
      </c>
      <c r="B12" s="34" t="n">
        <f aca="false">B11/4.33</f>
        <v>8.31408775981524</v>
      </c>
      <c r="C12" s="34" t="n">
        <f aca="false">C11/4.33</f>
        <v>10.8545034642032</v>
      </c>
    </row>
    <row r="15" customFormat="false" ht="30" hidden="false" customHeight="true" outlineLevel="0" collapsed="false">
      <c r="A15" s="6" t="s">
        <v>138</v>
      </c>
      <c r="B15" s="6" t="s">
        <v>129</v>
      </c>
      <c r="C15" s="6" t="s">
        <v>130</v>
      </c>
      <c r="D15" s="6"/>
      <c r="E15" s="6"/>
    </row>
    <row r="16" customFormat="false" ht="15" hidden="false" customHeight="false" outlineLevel="0" collapsed="false">
      <c r="A16" s="7" t="s">
        <v>139</v>
      </c>
      <c r="B16" s="32" t="n">
        <v>4</v>
      </c>
      <c r="C16" s="32" t="n">
        <v>4</v>
      </c>
    </row>
    <row r="17" customFormat="false" ht="15" hidden="false" customHeight="false" outlineLevel="0" collapsed="false">
      <c r="A17" s="7" t="s">
        <v>140</v>
      </c>
      <c r="B17" s="32" t="n">
        <v>8</v>
      </c>
      <c r="C17" s="32" t="n">
        <v>12</v>
      </c>
    </row>
    <row r="18" customFormat="false" ht="15" hidden="false" customHeight="false" outlineLevel="0" collapsed="false">
      <c r="A18" s="7" t="s">
        <v>141</v>
      </c>
      <c r="B18" s="32" t="n">
        <v>8</v>
      </c>
      <c r="C18" s="32" t="n">
        <v>20</v>
      </c>
      <c r="E18" s="9" t="s">
        <v>142</v>
      </c>
    </row>
    <row r="19" customFormat="false" ht="15" hidden="false" customHeight="false" outlineLevel="0" collapsed="false">
      <c r="A19" s="7" t="s">
        <v>143</v>
      </c>
      <c r="B19" s="32" t="n">
        <v>12</v>
      </c>
      <c r="C19" s="32" t="n">
        <v>52</v>
      </c>
    </row>
    <row r="20" customFormat="false" ht="15" hidden="false" customHeight="false" outlineLevel="0" collapsed="false">
      <c r="A20" s="7" t="s">
        <v>144</v>
      </c>
      <c r="B20" s="32" t="n">
        <v>52</v>
      </c>
      <c r="C20" s="32" t="n">
        <v>52</v>
      </c>
      <c r="E20" s="9" t="s">
        <v>145</v>
      </c>
    </row>
    <row r="21" customFormat="false" ht="15" hidden="false" customHeight="false" outlineLevel="0" collapsed="false">
      <c r="A21" s="16" t="s">
        <v>136</v>
      </c>
      <c r="B21" s="33" t="n">
        <f aca="false">SUM(B16:B20)</f>
        <v>84</v>
      </c>
      <c r="C21" s="33" t="n">
        <f aca="false">SUM(C16:C20)</f>
        <v>140</v>
      </c>
    </row>
    <row r="22" customFormat="false" ht="15" hidden="false" customHeight="false" outlineLevel="0" collapsed="false">
      <c r="A22" s="16" t="s">
        <v>137</v>
      </c>
      <c r="B22" s="34" t="n">
        <f aca="false">B21/4.33</f>
        <v>19.3995381062356</v>
      </c>
      <c r="C22" s="34" t="n">
        <f aca="false">C21/4.33</f>
        <v>32.3325635103926</v>
      </c>
    </row>
    <row r="24" customFormat="false" ht="15" hidden="false" customHeight="false" outlineLevel="0" collapsed="false">
      <c r="A24" s="16" t="s">
        <v>146</v>
      </c>
      <c r="B24" s="32" t="n">
        <v>18</v>
      </c>
    </row>
    <row r="25" customFormat="false" ht="15" hidden="false" customHeight="false" outlineLevel="0" collapsed="false">
      <c r="A25" s="16" t="s">
        <v>147</v>
      </c>
      <c r="B25" s="35" t="n">
        <f aca="false">B24-C12</f>
        <v>7.14549653579677</v>
      </c>
      <c r="E25" s="9" t="s">
        <v>148</v>
      </c>
    </row>
    <row r="26" customFormat="false" ht="15" hidden="false" customHeight="false" outlineLevel="0" collapsed="false">
      <c r="A26" s="16" t="s">
        <v>149</v>
      </c>
      <c r="B26" s="34" t="n">
        <f aca="false">B22-B24</f>
        <v>1.39953810623556</v>
      </c>
      <c r="C26" s="34" t="n">
        <f aca="false">C22-B24</f>
        <v>14.3325635103926</v>
      </c>
      <c r="E26" s="9" t="s">
        <v>150</v>
      </c>
    </row>
    <row r="28" customFormat="false" ht="43.5" hidden="false" customHeight="true" outlineLevel="0" collapsed="false">
      <c r="A28" s="14" t="s">
        <v>151</v>
      </c>
      <c r="B28" s="14"/>
      <c r="C28" s="14"/>
      <c r="D28" s="14"/>
      <c r="E28" s="14"/>
    </row>
    <row r="30" customFormat="false" ht="36" hidden="false" customHeight="true" outlineLevel="0" collapsed="false">
      <c r="A30" s="14" t="s">
        <v>152</v>
      </c>
      <c r="B30" s="14"/>
      <c r="C30" s="14"/>
      <c r="D30" s="14"/>
      <c r="E30" s="14"/>
    </row>
  </sheetData>
  <mergeCells count="2">
    <mergeCell ref="A28:E28"/>
    <mergeCell ref="A30:E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5"/>
    <col collapsed="false" customWidth="true" hidden="false" outlineLevel="0" max="5" min="4" style="0" width="18"/>
  </cols>
  <sheetData>
    <row r="1" customFormat="false" ht="17.35" hidden="false" customHeight="false" outlineLevel="0" collapsed="false">
      <c r="A1" s="5" t="s">
        <v>153</v>
      </c>
    </row>
    <row r="2" customFormat="false" ht="15" hidden="false" customHeight="false" outlineLevel="0" collapsed="false">
      <c r="A2" s="2" t="s">
        <v>154</v>
      </c>
    </row>
    <row r="4" customFormat="false" ht="30" hidden="false" customHeight="true" outlineLevel="0" collapsed="false">
      <c r="A4" s="6" t="s">
        <v>155</v>
      </c>
      <c r="B4" s="6" t="s">
        <v>156</v>
      </c>
      <c r="C4" s="6" t="s">
        <v>157</v>
      </c>
      <c r="D4" s="6" t="s">
        <v>158</v>
      </c>
      <c r="E4" s="6" t="s">
        <v>159</v>
      </c>
    </row>
    <row r="5" customFormat="false" ht="15" hidden="false" customHeight="false" outlineLevel="0" collapsed="false">
      <c r="A5" s="7" t="s">
        <v>160</v>
      </c>
      <c r="B5" s="15" t="n">
        <v>1.14</v>
      </c>
      <c r="C5" s="15" t="n">
        <f aca="false">'2. Chapter 10, Restated'!B7</f>
        <v>1.14</v>
      </c>
      <c r="D5" s="36" t="str">
        <f aca="false">IF(ISERROR(C5),"CHECK",IF(ABS(C5-B5)&lt;=0.002,"OK","CHECK"))</f>
        <v>OK</v>
      </c>
      <c r="E5" s="9" t="s">
        <v>161</v>
      </c>
    </row>
    <row r="6" customFormat="false" ht="15" hidden="false" customHeight="false" outlineLevel="0" collapsed="false">
      <c r="A6" s="7" t="s">
        <v>162</v>
      </c>
      <c r="B6" s="20" t="n">
        <v>9.69</v>
      </c>
      <c r="C6" s="20" t="n">
        <f aca="false">'2. Chapter 10, Restated'!B9</f>
        <v>9.69</v>
      </c>
      <c r="D6" s="36" t="str">
        <f aca="false">IF(ISERROR(C6),"CHECK",IF(ABS(C6-B6)&lt;=0.02,"OK","CHECK"))</f>
        <v>OK</v>
      </c>
      <c r="E6" s="9" t="s">
        <v>163</v>
      </c>
    </row>
    <row r="7" customFormat="false" ht="15" hidden="false" customHeight="false" outlineLevel="0" collapsed="false">
      <c r="A7" s="7" t="s">
        <v>66</v>
      </c>
      <c r="B7" s="18" t="n">
        <v>11.67</v>
      </c>
      <c r="C7" s="18" t="n">
        <f aca="false">'2. Chapter 10, Restated'!B11</f>
        <v>11.6746987951807</v>
      </c>
      <c r="D7" s="36" t="str">
        <f aca="false">IF(ISERROR(C7),"CHECK",IF(ABS(C7-B7)&lt;=0.05,"OK","CHECK"))</f>
        <v>OK</v>
      </c>
      <c r="E7" s="9" t="s">
        <v>164</v>
      </c>
    </row>
    <row r="8" customFormat="false" ht="15" hidden="false" customHeight="false" outlineLevel="0" collapsed="false">
      <c r="A8" s="7" t="s">
        <v>165</v>
      </c>
      <c r="B8" s="20" t="n">
        <v>56</v>
      </c>
      <c r="C8" s="20" t="n">
        <f aca="false">'3. Through to Equity'!B7</f>
        <v>56</v>
      </c>
      <c r="D8" s="36" t="str">
        <f aca="false">IF(ISERROR(C8),"CHECK",IF(ABS(C8-B8)&lt;=0.1,"OK","CHECK"))</f>
        <v>OK</v>
      </c>
      <c r="E8" s="9" t="s">
        <v>166</v>
      </c>
    </row>
    <row r="9" customFormat="false" ht="15" hidden="false" customHeight="false" outlineLevel="0" collapsed="false">
      <c r="A9" s="7" t="s">
        <v>167</v>
      </c>
      <c r="B9" s="20" t="n">
        <v>125</v>
      </c>
      <c r="C9" s="20" t="n">
        <f aca="false">'3. Through to Equity'!B14</f>
        <v>125</v>
      </c>
      <c r="D9" s="36" t="str">
        <f aca="false">IF(ISERROR(C9),"CHECK",IF(ABS(C9-B9)&lt;=0.1,"OK","CHECK"))</f>
        <v>OK</v>
      </c>
      <c r="E9" s="9" t="s">
        <v>166</v>
      </c>
    </row>
    <row r="10" customFormat="false" ht="15" hidden="false" customHeight="false" outlineLevel="0" collapsed="false">
      <c r="A10" s="7" t="s">
        <v>168</v>
      </c>
      <c r="B10" s="20" t="n">
        <v>116.14</v>
      </c>
      <c r="C10" s="20" t="n">
        <f aca="false">'3. Through to Equity'!C14</f>
        <v>116.14</v>
      </c>
      <c r="D10" s="36" t="str">
        <f aca="false">IF(ISERROR(C10),"CHECK",IF(ABS(C10-B10)&lt;=0.1,"OK","CHECK"))</f>
        <v>OK</v>
      </c>
      <c r="E10" s="9" t="s">
        <v>166</v>
      </c>
    </row>
    <row r="11" customFormat="false" ht="15" hidden="false" customHeight="false" outlineLevel="0" collapsed="false">
      <c r="A11" s="7" t="s">
        <v>169</v>
      </c>
      <c r="B11" s="15" t="n">
        <v>8.86</v>
      </c>
      <c r="C11" s="15" t="n">
        <f aca="false">'3. Through to Equity'!D14</f>
        <v>8.86</v>
      </c>
      <c r="D11" s="36" t="str">
        <f aca="false">IF(ISERROR(C11),"CHECK",IF(ABS(C11-B11)&lt;=0.02,"OK","CHECK"))</f>
        <v>OK</v>
      </c>
      <c r="E11" s="9" t="s">
        <v>163</v>
      </c>
    </row>
    <row r="12" customFormat="false" ht="15" hidden="false" customHeight="false" outlineLevel="0" collapsed="false">
      <c r="A12" s="7" t="s">
        <v>170</v>
      </c>
      <c r="B12" s="18" t="n">
        <v>2.232</v>
      </c>
      <c r="C12" s="18" t="n">
        <f aca="false">'3. Through to Equity'!B15</f>
        <v>2.23214285714286</v>
      </c>
      <c r="D12" s="36" t="str">
        <f aca="false">IF(ISERROR(C12),"CHECK",IF(ABS(C12-B12)&lt;=0.003,"OK","CHECK"))</f>
        <v>OK</v>
      </c>
      <c r="E12" s="9" t="s">
        <v>171</v>
      </c>
    </row>
    <row r="13" customFormat="false" ht="15" hidden="false" customHeight="false" outlineLevel="0" collapsed="false">
      <c r="A13" s="7" t="s">
        <v>172</v>
      </c>
      <c r="B13" s="18" t="n">
        <v>2.074</v>
      </c>
      <c r="C13" s="18" t="n">
        <f aca="false">'3. Through to Equity'!C15</f>
        <v>2.07392857142857</v>
      </c>
      <c r="D13" s="36" t="str">
        <f aca="false">IF(ISERROR(C13),"CHECK",IF(ABS(C13-B13)&lt;=0.003,"OK","CHECK"))</f>
        <v>OK</v>
      </c>
      <c r="E13" s="9" t="s">
        <v>171</v>
      </c>
    </row>
    <row r="14" customFormat="false" ht="15" hidden="false" customHeight="false" outlineLevel="0" collapsed="false">
      <c r="A14" s="7" t="s">
        <v>173</v>
      </c>
      <c r="B14" s="37" t="n">
        <v>0.2224</v>
      </c>
      <c r="C14" s="37" t="n">
        <f aca="false">'3. Through to Equity'!B16</f>
        <v>0.222307556087253</v>
      </c>
      <c r="D14" s="36" t="str">
        <f aca="false">IF(ISERROR(C14),"CHECK",IF(ABS(C14-B14)&lt;=0.001,"OK","CHECK"))</f>
        <v>OK</v>
      </c>
      <c r="E14" s="9" t="s">
        <v>174</v>
      </c>
    </row>
    <row r="15" customFormat="false" ht="15" hidden="false" customHeight="false" outlineLevel="0" collapsed="false">
      <c r="A15" s="7" t="s">
        <v>175</v>
      </c>
      <c r="B15" s="37" t="n">
        <v>0.2001</v>
      </c>
      <c r="C15" s="37" t="n">
        <f aca="false">'3. Through to Equity'!C16</f>
        <v>0.200047533551289</v>
      </c>
      <c r="D15" s="36" t="str">
        <f aca="false">IF(ISERROR(C15),"CHECK",IF(ABS(C15-B15)&lt;=0.001,"OK","CHECK"))</f>
        <v>OK</v>
      </c>
      <c r="E15" s="9" t="s">
        <v>174</v>
      </c>
    </row>
    <row r="16" customFormat="false" ht="15" hidden="false" customHeight="false" outlineLevel="0" collapsed="false">
      <c r="A16" s="7" t="s">
        <v>176</v>
      </c>
      <c r="B16" s="18" t="n">
        <v>10.68</v>
      </c>
      <c r="C16" s="18" t="n">
        <f aca="false">'3. Through to Equity'!B18</f>
        <v>10.6746987951807</v>
      </c>
      <c r="D16" s="36" t="str">
        <f aca="false">IF(ISERROR(C16),"CHECK",IF(ABS(C16-B16)&lt;=0.05,"OK","CHECK"))</f>
        <v>OK</v>
      </c>
      <c r="E16" s="9" t="s">
        <v>164</v>
      </c>
    </row>
    <row r="17" customFormat="false" ht="15" hidden="false" customHeight="false" outlineLevel="0" collapsed="false">
      <c r="A17" s="7" t="s">
        <v>91</v>
      </c>
      <c r="B17" s="37" t="n">
        <v>0.1474</v>
      </c>
      <c r="C17" s="37" t="n">
        <f aca="false">'4. The Line That Was Dropped'!B5</f>
        <v>0.147368421052632</v>
      </c>
      <c r="D17" s="36" t="str">
        <f aca="false">IF(ISERROR(C17),"CHECK",IF(ABS(C17-B17)&lt;=0.001,"OK","CHECK"))</f>
        <v>OK</v>
      </c>
      <c r="E17" s="9" t="s">
        <v>174</v>
      </c>
    </row>
    <row r="18" customFormat="false" ht="15" hidden="false" customHeight="false" outlineLevel="0" collapsed="false">
      <c r="A18" s="7" t="s">
        <v>177</v>
      </c>
      <c r="B18" s="15" t="n">
        <v>1.621</v>
      </c>
      <c r="C18" s="15" t="n">
        <f aca="false">'4. The Line That Was Dropped'!B7</f>
        <v>1.62105263157895</v>
      </c>
      <c r="D18" s="36" t="str">
        <f aca="false">IF(ISERROR(C18),"CHECK",IF(ABS(C18-B18)&lt;=0.005,"OK","CHECK"))</f>
        <v>OK</v>
      </c>
      <c r="E18" s="9" t="s">
        <v>178</v>
      </c>
    </row>
    <row r="19" customFormat="false" ht="15" hidden="false" customHeight="false" outlineLevel="0" collapsed="false">
      <c r="A19" s="7" t="s">
        <v>179</v>
      </c>
      <c r="B19" s="20" t="n">
        <v>6.89</v>
      </c>
      <c r="C19" s="20" t="n">
        <f aca="false">'4. The Line That Was Dropped'!B11</f>
        <v>6.88947368421053</v>
      </c>
      <c r="D19" s="36" t="str">
        <f aca="false">IF(ISERROR(C19),"CHECK",IF(ABS(C19-B19)&lt;=0.02,"OK","CHECK"))</f>
        <v>OK</v>
      </c>
      <c r="E19" s="9" t="s">
        <v>163</v>
      </c>
    </row>
    <row r="20" customFormat="false" ht="15" hidden="false" customHeight="false" outlineLevel="0" collapsed="false">
      <c r="A20" s="7" t="s">
        <v>180</v>
      </c>
      <c r="B20" s="18" t="n">
        <v>45.9</v>
      </c>
      <c r="C20" s="18" t="n">
        <f aca="false">'4. The Line That Was Dropped'!B13</f>
        <v>45.9298245614035</v>
      </c>
      <c r="D20" s="36" t="str">
        <f aca="false">IF(ISERROR(C20),"CHECK",IF(ABS(C20-B20)&lt;=0.2,"OK","CHECK"))</f>
        <v>OK</v>
      </c>
      <c r="E20" s="9" t="s">
        <v>181</v>
      </c>
    </row>
    <row r="21" customFormat="false" ht="15" hidden="false" customHeight="false" outlineLevel="0" collapsed="false">
      <c r="A21" s="7" t="s">
        <v>182</v>
      </c>
      <c r="B21" s="20" t="n">
        <v>3.44</v>
      </c>
      <c r="C21" s="20" t="n">
        <f aca="false">'4. The Line That Was Dropped'!B23</f>
        <v>3.44473684210526</v>
      </c>
      <c r="D21" s="36" t="str">
        <f aca="false">IF(ISERROR(C21),"CHECK",IF(ABS(C21-B21)&lt;=0.02,"OK","CHECK"))</f>
        <v>OK</v>
      </c>
      <c r="E21" s="9" t="s">
        <v>163</v>
      </c>
    </row>
    <row r="22" customFormat="false" ht="15" hidden="false" customHeight="false" outlineLevel="0" collapsed="false">
      <c r="A22" s="7" t="s">
        <v>183</v>
      </c>
      <c r="B22" s="20" t="n">
        <v>10</v>
      </c>
      <c r="C22" s="20" t="n">
        <f aca="false">'5. The Half-Turn'!B9</f>
        <v>10</v>
      </c>
      <c r="D22" s="36" t="str">
        <f aca="false">IF(ISERROR(C22),"CHECK",IF(ABS(C22-B22)&lt;=0.05,"OK","CHECK"))</f>
        <v>OK</v>
      </c>
      <c r="E22" s="9" t="s">
        <v>164</v>
      </c>
    </row>
    <row r="23" customFormat="false" ht="15" hidden="false" customHeight="false" outlineLevel="0" collapsed="false">
      <c r="A23" s="7" t="s">
        <v>184</v>
      </c>
      <c r="B23" s="18" t="n">
        <v>1.032</v>
      </c>
      <c r="C23" s="18" t="n">
        <f aca="false">'5. The Half-Turn'!B11</f>
        <v>1.03199174406605</v>
      </c>
      <c r="D23" s="36" t="str">
        <f aca="false">IF(ISERROR(C23),"CHECK",IF(ABS(C23-B23)&lt;=0.005,"OK","CHECK"))</f>
        <v>OK</v>
      </c>
      <c r="E23" s="9" t="s">
        <v>178</v>
      </c>
    </row>
    <row r="24" customFormat="false" ht="15" hidden="false" customHeight="false" outlineLevel="0" collapsed="false">
      <c r="A24" s="7" t="s">
        <v>185</v>
      </c>
      <c r="B24" s="38" t="n">
        <v>0.485</v>
      </c>
      <c r="C24" s="38" t="n">
        <f aca="false">'5. The Half-Turn'!B15</f>
        <v>0.4845</v>
      </c>
      <c r="D24" s="36" t="str">
        <f aca="false">IF(ISERROR(C24),"CHECK",IF(ABS(C24-B24)&lt;=0.002,"OK","CHECK"))</f>
        <v>OK</v>
      </c>
      <c r="E24" s="9" t="s">
        <v>161</v>
      </c>
    </row>
    <row r="25" customFormat="false" ht="15" hidden="false" customHeight="false" outlineLevel="0" collapsed="false">
      <c r="A25" s="7" t="s">
        <v>186</v>
      </c>
      <c r="B25" s="39" t="n">
        <v>10.85</v>
      </c>
      <c r="C25" s="39" t="n">
        <f aca="false">'6. The Two Clocks'!C12</f>
        <v>10.8545034642032</v>
      </c>
      <c r="D25" s="36" t="str">
        <f aca="false">IF(ISERROR(C25),"CHECK",IF(ABS(C25-B25)&lt;=0.2,"OK","CHECK"))</f>
        <v>OK</v>
      </c>
      <c r="E25" s="9" t="s">
        <v>181</v>
      </c>
    </row>
    <row r="26" customFormat="false" ht="15" hidden="false" customHeight="false" outlineLevel="0" collapsed="false">
      <c r="A26" s="7" t="s">
        <v>187</v>
      </c>
      <c r="B26" s="39" t="n">
        <v>19.4</v>
      </c>
      <c r="C26" s="39" t="n">
        <f aca="false">'6. The Two Clocks'!B22</f>
        <v>19.3995381062356</v>
      </c>
      <c r="D26" s="36" t="str">
        <f aca="false">IF(ISERROR(C26),"CHECK",IF(ABS(C26-B26)&lt;=0.2,"OK","CHECK"))</f>
        <v>OK</v>
      </c>
      <c r="E26" s="9" t="s">
        <v>181</v>
      </c>
    </row>
    <row r="27" customFormat="false" ht="15" hidden="false" customHeight="false" outlineLevel="0" collapsed="false">
      <c r="A27" s="7" t="s">
        <v>188</v>
      </c>
      <c r="B27" s="39" t="n">
        <v>32.3</v>
      </c>
      <c r="C27" s="39" t="n">
        <f aca="false">'6. The Two Clocks'!C22</f>
        <v>32.3325635103926</v>
      </c>
      <c r="D27" s="36" t="str">
        <f aca="false">IF(ISERROR(C27),"CHECK",IF(ABS(C27-B27)&lt;=0.2,"OK","CHECK"))</f>
        <v>OK</v>
      </c>
      <c r="E27" s="9" t="s">
        <v>181</v>
      </c>
    </row>
    <row r="28" customFormat="false" ht="15" hidden="false" customHeight="false" outlineLevel="0" collapsed="false">
      <c r="A28" s="16" t="s">
        <v>189</v>
      </c>
      <c r="B28" s="15" t="n">
        <v>1.14</v>
      </c>
      <c r="C28" s="15" t="n">
        <f aca="false">IFERROR('1. The Inputs'!B9+'1. The Inputs'!B10,"")</f>
        <v>1.14</v>
      </c>
      <c r="D28" s="36" t="str">
        <f aca="false">IF(ISERROR(C28),"CHECK",IF(ABS(C28-B28)&lt;0.002,"OK","CHECK"))</f>
        <v>OK</v>
      </c>
      <c r="E28" s="9" t="s">
        <v>30</v>
      </c>
    </row>
    <row r="29" customFormat="false" ht="15" hidden="false" customHeight="false" outlineLevel="0" collapsed="false">
      <c r="A29" s="16" t="s">
        <v>190</v>
      </c>
      <c r="B29" s="15" t="n">
        <v>1.621</v>
      </c>
      <c r="C29" s="15" t="n">
        <f aca="false">IFERROR('1. The Inputs'!B13*'1. The Inputs'!B6/'1. The Inputs'!B5,"")</f>
        <v>1.62105263157895</v>
      </c>
      <c r="D29" s="36" t="str">
        <f aca="false">IF(ISERROR(C29),"CHECK",IF(ABS(C29-B29)&lt;0.005,"OK","CHECK"))</f>
        <v>OK</v>
      </c>
      <c r="E29" s="9" t="s">
        <v>30</v>
      </c>
    </row>
    <row r="30" customFormat="false" ht="15" hidden="false" customHeight="false" outlineLevel="0" collapsed="false">
      <c r="A30" s="16" t="s">
        <v>191</v>
      </c>
      <c r="C30" s="40" t="n">
        <f aca="false">IFERROR(IF('5. The Half-Turn'!B9&gt;'2. Chapter 10, Restated'!B9,1,0),"")</f>
        <v>1</v>
      </c>
      <c r="D30" s="36" t="str">
        <f aca="false">IF(ISERROR(C30),"CHECK",IF(C30=1,"OK","CHECK"))</f>
        <v>OK</v>
      </c>
      <c r="E30" s="9" t="s">
        <v>192</v>
      </c>
    </row>
    <row r="31" customFormat="false" ht="15" hidden="false" customHeight="false" outlineLevel="0" collapsed="false">
      <c r="A31" s="16" t="s">
        <v>193</v>
      </c>
      <c r="C31" s="40" t="n">
        <f aca="false">IFERROR(IF('4. The Line That Was Dropped'!B23&lt;'2. Chapter 10, Restated'!B9,1,0),"")</f>
        <v>1</v>
      </c>
      <c r="D31" s="36" t="str">
        <f aca="false">IF(ISERROR(C31),"CHECK",IF(C31=1,"OK","CHECK"))</f>
        <v>OK</v>
      </c>
      <c r="E31" s="9" t="s">
        <v>194</v>
      </c>
    </row>
    <row r="32" customFormat="false" ht="15" hidden="false" customHeight="false" outlineLevel="0" collapsed="false">
      <c r="A32" s="7" t="s">
        <v>67</v>
      </c>
      <c r="B32" s="41" t="n">
        <v>14.25</v>
      </c>
      <c r="C32" s="41" t="n">
        <f aca="false">'2. Chapter 10, Restated'!B12</f>
        <v>14.25</v>
      </c>
      <c r="D32" s="36" t="str">
        <f aca="false">IF(ISERROR(C32),"CHECK",IF(ABS(C32-B32)&lt;=0.05,"OK","CHECK"))</f>
        <v>OK</v>
      </c>
      <c r="E32" s="9" t="s">
        <v>164</v>
      </c>
    </row>
    <row r="33" customFormat="false" ht="15" hidden="false" customHeight="false" outlineLevel="0" collapsed="false">
      <c r="A33" s="7" t="s">
        <v>195</v>
      </c>
      <c r="B33" s="42" t="n">
        <v>0.703</v>
      </c>
      <c r="C33" s="42" t="n">
        <f aca="false">'4. The Line That Was Dropped'!B24</f>
        <v>0.703246753246753</v>
      </c>
      <c r="D33" s="36" t="str">
        <f aca="false">IF(ISERROR(C33),"CHECK",IF(ABS(C33-B33)&lt;=0.001,"OK","CHECK"))</f>
        <v>OK</v>
      </c>
      <c r="E33" s="9" t="s">
        <v>174</v>
      </c>
    </row>
    <row r="35" customFormat="false" ht="15" hidden="false" customHeight="false" outlineLevel="0" collapsed="false">
      <c r="A35" s="16" t="s">
        <v>196</v>
      </c>
      <c r="B35" s="33" t="n">
        <f aca="false">COUNTA(D5:D33)</f>
        <v>29</v>
      </c>
      <c r="C35" s="33" t="n">
        <f aca="false">COUNTIF(D5:D33,"OK")</f>
        <v>29</v>
      </c>
      <c r="D35" s="43" t="str">
        <f aca="false">IF(C35=B35,"ALL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2026-08-22T11:15:33Z</dcterms:created>
  <dc:creator>openpyxl</dc:creator>
  <dc:description/>
  <dc:language>en-US</dc:language>
  <cp:lastModifiedBy/>
  <dcterms:modified xsi:type="dcterms:W3CDTF">2026-09-23T20:17:09Z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