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The build-up" sheetId="2" state="visible" r:id="rId4"/>
    <sheet name="Readiness 2030" sheetId="3" state="visible" r:id="rId5"/>
    <sheet name="The Roadmap targets" sheetId="4" state="visible" r:id="rId6"/>
    <sheet name="The four instruments" sheetId="5" state="visible" r:id="rId7"/>
    <sheet name="Leverage" sheetId="6" state="visible" r:id="rId8"/>
    <sheet name="Check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<sst xmlns="http://schemas.openxmlformats.org/spreadsheetml/2006/main" count="422" uniqueCount="363">
  <si>
    <t xml:space="preserve">The Money and the Instruments</t>
  </si>
  <si>
    <t xml:space="preserve">Companion workbook 1 — Breaking Into European Defence Procurement, Julian R. Sterling</t>
  </si>
  <si>
    <t xml:space="preserve">Chapter 1 opens with a warning about figures, and it is the right warning: numbers in this field go stale, and a book that quotes them is a snapshot. This workbook is the answer to that problem. Every figure the first two chapters print sits in a blue cell with its date and its source beside it, and every relationship between them is a formula. When the European Defence Agency publishes next year's data, you replace six numbers and the whole picture recalculates.
Five sheets.
The build-up — Chapter 1's aggregates, with the ratios the chapter states and the ones it implies. Expenditure, investment, equipment procurement, research and technology, and the industrial mirror: turnover, jobs and exports. The sheet computes the implied GDP, the prior-year values behind every growth rate, and the gap between each benchmark and the actual.
Readiness 2030 — the €800 billion arithmetic, taken apart. €650 billion of national headroom plus €150 billion of SAFE loans, and the escape clause that produces the first number. The sheet works out what average annual deviation the €650 billion actually assumes, which is not the 1.5% cap and is worth knowing.
The Roadmap targets — every quantified target with its date, and what each one converts into. Chapter 1's advice is to read policy documents as hiring forecasts; this sheet is that reading, with the months remaining computed from a date you set.
The four instruments — EDF, EDIRPA and ASAP, EDIP and SAFE side by side: budget, type, period, who it pays, and the rule that follows you. Plus the leverage each one achieved, which is the number that explains why the small instruments matter more than their size suggests.
Checks — every figure the book prints that this workbook recomputes, with the printed value beside the computed one. Two of them do not reconcile, and the sheet says so rather than quietly adjusting.
Blue is an input, black and green are formulas, yellow marks the assumptions that move everything.</t>
  </si>
  <si>
    <t xml:space="preserve">Revised 24 September 2026. The checks sheet now closes on one line, ALL OK, across 36 lines. The 2026 EDF line reproduces the two components the chapter prints (EUR 675 m and EUR 332 m); the EUR 63 m by which they fall short of the stated EUR 1.07 bn is a line of its own, shown and not adjusted. The EDIP work programme formulas are black, as formulas are everywhere else, and the reskilling target no longer shows a meaningless "gap" against the whole workforce.</t>
  </si>
  <si>
    <t xml:space="preserve">Chapter 1 — where the money came from</t>
  </si>
  <si>
    <t xml:space="preserve">Very few industrial markets of that size move that fast in peacetime.</t>
  </si>
  <si>
    <t xml:space="preserve">EU-27 defence expenditure</t>
  </si>
  <si>
    <t xml:space="preserve">Why every figure here is blue</t>
  </si>
  <si>
    <t xml:space="preserve">2024</t>
  </si>
  <si>
    <t xml:space="preserve">2025 projection</t>
  </si>
  <si>
    <t xml:space="preserve">Change</t>
  </si>
  <si>
    <t xml:space="preserve">Growth</t>
  </si>
  <si>
    <t xml:space="preserve">The introduction contains a warning about figures, and this sheet is built around it. Defence budget data is published annually, revised, and superseded. A number that is correct on the day a book is compiled will be wrong within eighteen months, and quoting it confidently after that is worse than not quoting it at all.
So every figure the chapter prints is an input, dated and replaceable, and every relationship between them is a formula. When the European Defence Agency publishes the next set, change six cells.
Two consistency checks are worth running on any such dataset, and both are on this sheet.
The first is the implied GDP. Expenditure of EUR 343 billion at 1.9% of GDP implies a GDP of about EUR 18.05 trillion; the 2025 projection of EUR 381 billion at 2.1% implies EUR 18.14 trillion. Half a per cent apart, which is what you would expect from four figures each rounded to two or three significant digits. If the two had disagreed by ten per cent, one of the four would have been wrong.
The second is the prior-year value behind every growth rate. Equipment procurement of EUR 88 billion, up 39 per cent, means it was about EUR 63 billion the year before — an increase of EUR 25 billion in twelve months. That increase is the number that describes the hiring emergency, and the book states the percentage rather than the money.
The industrial figures deserve the same treatment. An 8.6 per cent rise in headcount on 633,000 jobs is about 50,000 people added in one year, in a sector where a meaningful proportion of roles require clearance, specialised training or both. Set against that, the Roadmap's 200,000 reskilling target is roughly four years of hiring at the 2024 rate, or about a third of the entire current workforce. Neither of those framings appears in the book, and both make the target easier to judge.
The last block is the Common Mistake from the chapter, reduced to two numbers and a ratio. Practitioners quote investment, not expenditure, because investment is the money that reaches industry — and on this data it is under a third of the total.</t>
  </si>
  <si>
    <t xml:space="preserve">Total expenditure (EUR bn)</t>
  </si>
  <si>
    <t xml:space="preserve">As a share of GDP</t>
  </si>
  <si>
    <t xml:space="preserve">Investment (EUR bn)</t>
  </si>
  <si>
    <t xml:space="preserve">Equipment procurement (EUR bn)</t>
  </si>
  <si>
    <t xml:space="preserve">Defence research and technology (EUR bn)</t>
  </si>
  <si>
    <t xml:space="preserve">Implied GDP, 2024 (EUR bn)</t>
  </si>
  <si>
    <t xml:space="preserve">Implied GDP, 2025 (EUR bn)</t>
  </si>
  <si>
    <t xml:space="preserve">Do the two GDP figures agree?</t>
  </si>
  <si>
    <t xml:space="preserve">Investment as a share of expenditure, 2024</t>
  </si>
  <si>
    <t xml:space="preserve">Investment as a share of expenditure, 2025</t>
  </si>
  <si>
    <t xml:space="preserve">Equipment procurement as a share of investment</t>
  </si>
  <si>
    <t xml:space="preserve">Research and technology as a share of expenditure</t>
  </si>
  <si>
    <t xml:space="preserve">Equipment procurement growth</t>
  </si>
  <si>
    <t xml:space="preserve">Growth in 2024</t>
  </si>
  <si>
    <t xml:space="preserve">Equipment procurement in 2023 that implies (EUR bn)</t>
  </si>
  <si>
    <t xml:space="preserve">Increase in one year (EUR bn)</t>
  </si>
  <si>
    <t xml:space="preserve">The two benchmarks that are not met</t>
  </si>
  <si>
    <t xml:space="preserve">Benchmark</t>
  </si>
  <si>
    <t xml:space="preserve">Target</t>
  </si>
  <si>
    <t xml:space="preserve">Actual</t>
  </si>
  <si>
    <t xml:space="preserve">Gap</t>
  </si>
  <si>
    <t xml:space="preserve">In money (EUR bn)</t>
  </si>
  <si>
    <t xml:space="preserve">Collaborative share of equipment procurement</t>
  </si>
  <si>
    <t xml:space="preserve">never met</t>
  </si>
  <si>
    <t xml:space="preserve">Member States reporting collaborative data</t>
  </si>
  <si>
    <t xml:space="preserve">Out of</t>
  </si>
  <si>
    <t xml:space="preserve">Share that reported</t>
  </si>
  <si>
    <t xml:space="preserve">Research and technology needed to reach the 2% benchmark (EUR bn)</t>
  </si>
  <si>
    <t xml:space="preserve">That is a multiple of today's spend of</t>
  </si>
  <si>
    <t xml:space="preserve">The industrial mirror</t>
  </si>
  <si>
    <t xml:space="preserve">2023 implied</t>
  </si>
  <si>
    <t xml:space="preserve">Increase</t>
  </si>
  <si>
    <t xml:space="preserve">Defence turnover (EUR bn)</t>
  </si>
  <si>
    <t xml:space="preserve">Direct jobs</t>
  </si>
  <si>
    <t xml:space="preserve">Exports (EUR bn)</t>
  </si>
  <si>
    <t xml:space="preserve">Turnover per direct job (EUR)</t>
  </si>
  <si>
    <t xml:space="preserve">Exports as a share of turnover</t>
  </si>
  <si>
    <t xml:space="preserve">Jobs added in one year</t>
  </si>
  <si>
    <t xml:space="preserve">Reskilling target set by the Roadmap</t>
  </si>
  <si>
    <t xml:space="preserve">As a share of the current workforce</t>
  </si>
  <si>
    <t xml:space="preserve">Years of hiring at the 2024 rate that the target represents</t>
  </si>
  <si>
    <t xml:space="preserve">The distinction Chapter 1 says marks you out</t>
  </si>
  <si>
    <t xml:space="preserve">Investment — the money that reaches industry (EUR bn)</t>
  </si>
  <si>
    <t xml:space="preserve">Ratio</t>
  </si>
  <si>
    <t xml:space="preserve">Quoting the first in an interview marks you as</t>
  </si>
  <si>
    <t xml:space="preserve">a newcomer</t>
  </si>
  <si>
    <t xml:space="preserve">The arithmetic of Readiness 2030</t>
  </si>
  <si>
    <t xml:space="preserve">Europe could mobilise something on the order of EUR 800 billion without inventing a federal defence budget.</t>
  </si>
  <si>
    <t xml:space="preserve">The two components</t>
  </si>
  <si>
    <t xml:space="preserve">Where the EUR 650 billion comes from, and what it assumes</t>
  </si>
  <si>
    <t xml:space="preserve">Headline mobilisation (EUR bn)</t>
  </si>
  <si>
    <t xml:space="preserve">The White Paper's proposition is that Europe can mobilise around EUR 800 billion without a federal defence budget, and the arithmetic has two components: up to EUR 650 billion of national headroom created by the escape clause, and EUR 150 billion of SAFE loans. The two add to the headline exactly, which is the first thing to check on any figure of this kind.
The escape clause is the mechanism behind the larger number, and it is worth understanding precisely because the EUR 650 billion is not what the clause permits — it is an estimate of what Member States will use.
The cap is 1.5% of GDP per year for four years. On an EU-27 GDP of roughly EUR 18 trillion that is about EUR 271 billion a year, or EUR 1.08 trillion over the period. The White Paper's EUR 650 billion is therefore around sixty per cent of the theoretical maximum, implying an average deviation of about 0.9% of GDP rather than 1.5%.
That is not a criticism of the figure. It is a realistic assumption about partial take-up — eighteen of twenty-seven Member States have activated the clause, and none of them is obliged to use the full allowance. But it is worth knowing that the EUR 650 billion already discounts the headline permission by forty per cent, because a reader who assumes the opposite will over-forecast the pipeline.
The second block is the one Chapter 1 asks you to hold onto, and it is the most commercially useful sentence in the chapter. The escape clause does not create European money and does not centralise procurement. It gives national treasuries fiscal permission to spend, which means the resulting contracts are national contracts, awarded by national agencies under national rules. The largest single tranche of the build-up is being spent by the same ministries that were already spending, only more of it and faster.
For anyone reasoning about where the jobs are, that is decisive. The European instruments matter enormously for direction, standard-setting and consortium formation, and they are not where most of the euros are.
The nine priority areas at the bottom have a column for your own interest because Chapter 1 recommends them as a guide to a technical niche or a target employer — a more reliable one, it says, than any recruitment marketing.</t>
  </si>
  <si>
    <t xml:space="preserve">National, through the escape clause (EUR bn)</t>
  </si>
  <si>
    <t xml:space="preserve">SAFE loans (EUR bn)</t>
  </si>
  <si>
    <t xml:space="preserve">The two components add to (EUR bn)</t>
  </si>
  <si>
    <t xml:space="preserve">Against the headline</t>
  </si>
  <si>
    <t xml:space="preserve">National share of the total</t>
  </si>
  <si>
    <t xml:space="preserve">European share of the total</t>
  </si>
  <si>
    <t xml:space="preserve">The escape clause, precisely</t>
  </si>
  <si>
    <t xml:space="preserve">Legal basis</t>
  </si>
  <si>
    <t xml:space="preserve">Article 26, preventive arm of the Stability and Growth Pact</t>
  </si>
  <si>
    <t xml:space="preserve">First year</t>
  </si>
  <si>
    <t xml:space="preserve">Last year</t>
  </si>
  <si>
    <t xml:space="preserve">Deviation cap, per year, as a share of GDP</t>
  </si>
  <si>
    <t xml:space="preserve">Member States that have activated it</t>
  </si>
  <si>
    <t xml:space="preserve">Member States in total</t>
  </si>
  <si>
    <t xml:space="preserve">Years the clause runs</t>
  </si>
  <si>
    <t xml:space="preserve">Share of Member States that activated it</t>
  </si>
  <si>
    <t xml:space="preserve">EU-27 GDP (EUR bn)</t>
  </si>
  <si>
    <t xml:space="preserve">Theoretical headroom at the full cap, per year (EUR bn)</t>
  </si>
  <si>
    <t xml:space="preserve">Theoretical headroom over the four years (EUR bn)</t>
  </si>
  <si>
    <t xml:space="preserve">The White Paper's national figure (EUR bn)</t>
  </si>
  <si>
    <t xml:space="preserve">As a share of the theoretical headroom</t>
  </si>
  <si>
    <t xml:space="preserve">Average annual deviation the EUR 650 bn assumes (EUR bn)</t>
  </si>
  <si>
    <t xml:space="preserve">That, as a share of GDP</t>
  </si>
  <si>
    <t xml:space="preserve">Against the 1.5% cap</t>
  </si>
  <si>
    <t xml:space="preserve">What the clause does not do</t>
  </si>
  <si>
    <t xml:space="preserve">Create European money</t>
  </si>
  <si>
    <t xml:space="preserve">no</t>
  </si>
  <si>
    <t xml:space="preserve">Centralise procurement</t>
  </si>
  <si>
    <t xml:space="preserve">Who awards the resulting contracts</t>
  </si>
  <si>
    <t xml:space="preserve">national agencies, under national rules</t>
  </si>
  <si>
    <t xml:space="preserve">The nine capability priority areas</t>
  </si>
  <si>
    <t xml:space="preserve">Your interest?</t>
  </si>
  <si>
    <t xml:space="preserve">1. Air and missile defence</t>
  </si>
  <si>
    <t xml:space="preserve">2. Strategic enablers</t>
  </si>
  <si>
    <t xml:space="preserve">3. Military mobility</t>
  </si>
  <si>
    <t xml:space="preserve">4. Artillery</t>
  </si>
  <si>
    <t xml:space="preserve">5. Cyber, artificial intelligence and electronic warfare</t>
  </si>
  <si>
    <t xml:space="preserve">6. Missiles and ammunition stockpiles</t>
  </si>
  <si>
    <t xml:space="preserve">7. Drones and counter-drone</t>
  </si>
  <si>
    <t xml:space="preserve">8. Ground combat</t>
  </si>
  <si>
    <t xml:space="preserve">9. Maritime</t>
  </si>
  <si>
    <t xml:space="preserve">Areas listed</t>
  </si>
  <si>
    <t xml:space="preserve">Read policy documents as hiring forecasts</t>
  </si>
  <si>
    <t xml:space="preserve">Every quantified target in the Readiness Roadmap converts into a job somewhere.</t>
  </si>
  <si>
    <t xml:space="preserve">Today's date, for the countdown</t>
  </si>
  <si>
    <t xml:space="preserve">2026-08-20</t>
  </si>
  <si>
    <t xml:space="preserve">Targets with dates are the most useful documents in the sector</t>
  </si>
  <si>
    <t xml:space="preserve">Set B4 to a date in ISO form and every deadline below recalculates.</t>
  </si>
  <si>
    <t xml:space="preserve">Ambition without dates is rhetoric. The Defence Readiness Roadmap 2030 supplied the dates, and the dates are what make it commercially readable.
Chapter 1's instruction is to treat each quantified target as a hiring forecast rather than a promise, and the conversion is in the last column. A joint-procurement objective means multinational programme structures, shared specifications and consortium agreements — programme-office roles that did not exist five years ago. A European-content objective means content-origin analysis becomes a routine part of bidding rather than a specialist afterthought. A disbursement deadline means national agencies are under pressure to place contracts quickly, which is the single most favourable condition a new supplier can hope for.
The countdown block is the reason to keep this sheet rather than read the list once. Set the date in B4 and every deadline recalculates, so the question stops being what the Roadmap says and becomes how long is left. A target eighteen months out is a hiring plan being written now. A target that has passed is a conversation about why it was missed, which is its own kind of opportunity.
Two of the targets deserve their money translated, and the block at the bottom does it.
The joint-procurement move from the 35 per cent benchmark to the 40 per cent Roadmap target is five percentage points on equipment procurement of about EUR 88 billion — roughly EUR 4.4 billion a year of buying that has to be organised multinationally rather than nationally. Every euro of that requires a programme structure, a shared specification and a contracting route that somebody has to build.
The SAFE disbursement target is half of EUR 150 billion by the third quarter of 2028: EUR 75 billion of national contracts that have to be placed against a clock. Chapter 1's fifth effect — that buyers become more willing to look at suppliers they have not used before when capacity constrains them — is a direct consequence of that clock, and it closes as soon as the incumbent supply base has expanded enough to absorb the volume.
That is the sentence to keep. A firm or an individual trying to enter this sector is working against a clock that is not set by their own readiness but by the market's.</t>
  </si>
  <si>
    <t xml:space="preserve">Deadline</t>
  </si>
  <si>
    <t xml:space="preserve">Value</t>
  </si>
  <si>
    <t xml:space="preserve">Baseline</t>
  </si>
  <si>
    <t xml:space="preserve">What it converts into</t>
  </si>
  <si>
    <t xml:space="preserve">Joint procurement organised jointly</t>
  </si>
  <si>
    <t xml:space="preserve">2027-12-31</t>
  </si>
  <si>
    <t xml:space="preserve">Programme and contracting roles; consortium agreements</t>
  </si>
  <si>
    <t xml:space="preserve">Procurement from the European industrial base</t>
  </si>
  <si>
    <t xml:space="preserve">2030-12-31</t>
  </si>
  <si>
    <t xml:space="preserve">Supply-chain and content-origin roles</t>
  </si>
  <si>
    <t xml:space="preserve">SAFE disbursed</t>
  </si>
  <si>
    <t xml:space="preserve">2028-09-30</t>
  </si>
  <si>
    <t xml:space="preserve">Bid and capture roles; agencies under pressure to place contracts</t>
  </si>
  <si>
    <t xml:space="preserve">Defence industry employees reskilled</t>
  </si>
  <si>
    <t xml:space="preserve">The reason this book exists</t>
  </si>
  <si>
    <t xml:space="preserve">Capability coalitions in all priority areas</t>
  </si>
  <si>
    <t xml:space="preserve">2026-03-31</t>
  </si>
  <si>
    <t xml:space="preserve">Multinational programme offices</t>
  </si>
  <si>
    <t xml:space="preserve">Critical capability shortfalls closed</t>
  </si>
  <si>
    <t xml:space="preserve">Sustained demand across all nine areas</t>
  </si>
  <si>
    <t xml:space="preserve">European Drone Defence Initiative functional</t>
  </si>
  <si>
    <t xml:space="preserve">Counter-drone: the largest EDIP production window</t>
  </si>
  <si>
    <t xml:space="preserve">Eastern Flank Watch</t>
  </si>
  <si>
    <t xml:space="preserve">2028-12-31</t>
  </si>
  <si>
    <t xml:space="preserve">Sensors, surveillance, mobility</t>
  </si>
  <si>
    <t xml:space="preserve">European Air Shield launch</t>
  </si>
  <si>
    <t xml:space="preserve">2026-06-30</t>
  </si>
  <si>
    <t xml:space="preserve">Air and missile defence</t>
  </si>
  <si>
    <t xml:space="preserve">European Space Shield launch</t>
  </si>
  <si>
    <t xml:space="preserve">Strategic enablers, space</t>
  </si>
  <si>
    <t xml:space="preserve">Months remaining</t>
  </si>
  <si>
    <t xml:space="preserve">Quarters remaining</t>
  </si>
  <si>
    <t xml:space="preserve">Already passed?</t>
  </si>
  <si>
    <t xml:space="preserve">Targets already past their date</t>
  </si>
  <si>
    <t xml:space="preserve">Targets still open</t>
  </si>
  <si>
    <t xml:space="preserve">Nearest deadline still open (months)</t>
  </si>
  <si>
    <t xml:space="preserve">The joint procurement gap in money</t>
  </si>
  <si>
    <t xml:space="preserve">Equipment procurement, 2024 (EUR bn)</t>
  </si>
  <si>
    <t xml:space="preserve">At the 35% benchmark (EUR bn)</t>
  </si>
  <si>
    <t xml:space="preserve">At the 40% Roadmap target (EUR bn)</t>
  </si>
  <si>
    <t xml:space="preserve">The five points, in money (EUR bn)</t>
  </si>
  <si>
    <t xml:space="preserve">SAFE to be disbursed by the deadline (EUR bn)</t>
  </si>
  <si>
    <t xml:space="preserve">Chapter 2 — three kinds of money</t>
  </si>
  <si>
    <t xml:space="preserve">Which instrument is behind this? Is it a grant, a loan-financed national purchase, or a procurement contract?</t>
  </si>
  <si>
    <t xml:space="preserve">Instrument</t>
  </si>
  <si>
    <t xml:space="preserve">What it is</t>
  </si>
  <si>
    <t xml:space="preserve">Who it pays</t>
  </si>
  <si>
    <t xml:space="preserve">Budget (EUR bn)</t>
  </si>
  <si>
    <t xml:space="preserve">Period</t>
  </si>
  <si>
    <t xml:space="preserve">The rule that follows you</t>
  </si>
  <si>
    <t xml:space="preserve">One reconciliation that does not close</t>
  </si>
  <si>
    <t xml:space="preserve">EDF</t>
  </si>
  <si>
    <t xml:space="preserve">Grant for collaborative research and development</t>
  </si>
  <si>
    <t xml:space="preserve">Consortium members</t>
  </si>
  <si>
    <t xml:space="preserve">2021–2027</t>
  </si>
  <si>
    <t xml:space="preserve">At least three entities from three countries; ownership and control declaration</t>
  </si>
  <si>
    <t xml:space="preserve">The European Defence Fund's own budget splits exactly: EUR 2.651 billion for research and EUR 5.302 billion for development add to EUR 7.953 billion, and the development half is precisely twice the research half. Numbers that clean are usually a regulation rather than an estimate, and here they are.
The 2026 results do not close the same way, and the sheet says so. The chapter reports EUR 1.07 billion allocated to 57 projects, of which EUR 675 million to 32 development actions and EUR 332 million to 25 research actions. The project counts add correctly. The money does not: EUR 675 million plus EUR 332 million is EUR 1.007 billion, about EUR 63 million short of the stated total.
This workbook does not guess which figure is right. It shows the gap, leaves both numbers blue, and lets a reader who has the source correct whichever one is wrong. Reproducing a book's arithmetic means reporting the places where it does not reproduce.
It is worth saying that the gap does not change any conclusion in the chapter. Whether the round allocated EUR 1.007 billion or EUR 1.07 billion, the picture is the same: a heavily oversubscribed instrument allocating about a billion euros a year across roughly sixty projects, with an average development grant of about EUR 21 million and an average research grant of about EUR 13 million. Those two averages are the useful numbers for anyone sizing a proposal, and neither appears in the book.
The SME lines at the bottom repay a moment. More than 38 per cent of participants were small and medium-sized enterprises, and they received more than 21 per cent of the funding. That is not a complaint — it is arithmetic about where the work sits. An SME participant receives on average a little over half what a participant receives overall, which is what you would expect when primes carry the system integration and SMEs carry components and specialist work packages. Knowing the ratio is useful when negotiating a work-package budget inside a consortium.
The instrument table at the top is Chapter 2's central point compressed. Grants, state loans and procurement contracts require different documents, different skills and different people. Firms serious about European defence maintain a grants team and a bids and contracts team, and the two rarely swap.</t>
  </si>
  <si>
    <t xml:space="preserve">EDIRPA (closed)</t>
  </si>
  <si>
    <t xml:space="preserve">Subsidy for common procurement</t>
  </si>
  <si>
    <t xml:space="preserve">Member States buying together</t>
  </si>
  <si>
    <t xml:space="preserve">2023–2025</t>
  </si>
  <si>
    <t xml:space="preserve">At least three Member States</t>
  </si>
  <si>
    <t xml:space="preserve">ASAP (closed)</t>
  </si>
  <si>
    <t xml:space="preserve">Grant for ammunition production capacity</t>
  </si>
  <si>
    <t xml:space="preserve">Industry</t>
  </si>
  <si>
    <t xml:space="preserve">Capacity expansion, not development</t>
  </si>
  <si>
    <t xml:space="preserve">EDIP</t>
  </si>
  <si>
    <t xml:space="preserve">Grant, procurement support and equity</t>
  </si>
  <si>
    <t xml:space="preserve">Industry and Member States</t>
  </si>
  <si>
    <t xml:space="preserve">2025–2027</t>
  </si>
  <si>
    <t xml:space="preserve">35% cap on non-EU component cost; design authority in the EU</t>
  </si>
  <si>
    <t xml:space="preserve">SAFE</t>
  </si>
  <si>
    <t xml:space="preserve">Loan to Member States</t>
  </si>
  <si>
    <t xml:space="preserve">Nobody directly; national buyers spend</t>
  </si>
  <si>
    <t xml:space="preserve">2025–</t>
  </si>
  <si>
    <t xml:space="preserve">35% content cap; Category 2 design-authority test</t>
  </si>
  <si>
    <t xml:space="preserve">NATO agencies</t>
  </si>
  <si>
    <t xml:space="preserve">Procurement contract</t>
  </si>
  <si>
    <t xml:space="preserve">Suppliers, directly</t>
  </si>
  <si>
    <t xml:space="preserve">continuous</t>
  </si>
  <si>
    <t xml:space="preserve">NCAGE code and a Declaration of Eligibility from your government</t>
  </si>
  <si>
    <t xml:space="preserve">Total of the European instruments (EUR bn)</t>
  </si>
  <si>
    <t xml:space="preserve">SAFE as a share of that</t>
  </si>
  <si>
    <t xml:space="preserve">Grants as a share of that</t>
  </si>
  <si>
    <t xml:space="preserve">The European Defence Fund, in detail</t>
  </si>
  <si>
    <t xml:space="preserve">Total budget, current prices (EUR bn)</t>
  </si>
  <si>
    <t xml:space="preserve">Research actions (EUR bn)</t>
  </si>
  <si>
    <t xml:space="preserve">Development actions (EUR bn)</t>
  </si>
  <si>
    <t xml:space="preserve">The two add to (EUR bn)</t>
  </si>
  <si>
    <t xml:space="preserve">Against the stated total</t>
  </si>
  <si>
    <t xml:space="preserve">Research share</t>
  </si>
  <si>
    <t xml:space="preserve">Development share</t>
  </si>
  <si>
    <t xml:space="preserve">The figure Commission communications quote (EUR bn)</t>
  </si>
  <si>
    <t xml:space="preserve">Implied price deflator</t>
  </si>
  <si>
    <t xml:space="preserve">The 2025 call, and the 2026 results</t>
  </si>
  <si>
    <t xml:space="preserve">Proposals received</t>
  </si>
  <si>
    <t xml:space="preserve">Growth in submissions</t>
  </si>
  <si>
    <t xml:space="preserve">Proposals in the prior round that implies</t>
  </si>
  <si>
    <t xml:space="preserve">Envelope (EUR m)</t>
  </si>
  <si>
    <t xml:space="preserve">Allocated, as printed (EUR m)</t>
  </si>
  <si>
    <t xml:space="preserve">To development actions (EUR m)</t>
  </si>
  <si>
    <t xml:space="preserve">To research actions (EUR m)</t>
  </si>
  <si>
    <t xml:space="preserve">The two components add to (EUR m)</t>
  </si>
  <si>
    <t xml:space="preserve">Against the printed total (EUR m)</t>
  </si>
  <si>
    <t xml:space="preserve">Do they reconcile?</t>
  </si>
  <si>
    <t xml:space="preserve">Projects funded</t>
  </si>
  <si>
    <t xml:space="preserve">Development projects</t>
  </si>
  <si>
    <t xml:space="preserve">Research projects</t>
  </si>
  <si>
    <t xml:space="preserve">Projects add to</t>
  </si>
  <si>
    <t xml:space="preserve">Average development grant (EUR m)</t>
  </si>
  <si>
    <t xml:space="preserve">Average research grant (EUR m)</t>
  </si>
  <si>
    <t xml:space="preserve">Entities involved</t>
  </si>
  <si>
    <t xml:space="preserve">Average entities per project</t>
  </si>
  <si>
    <t xml:space="preserve">SME share of participants, at least</t>
  </si>
  <si>
    <t xml:space="preserve">SME share of funding, at least</t>
  </si>
  <si>
    <t xml:space="preserve">SME participants that implies, at least</t>
  </si>
  <si>
    <t xml:space="preserve">SME funding that implies, at least (EUR m)</t>
  </si>
  <si>
    <t xml:space="preserve">Average funding per SME participant (EUR m)</t>
  </si>
  <si>
    <t xml:space="preserve">Average funding per participant overall (EUR m)</t>
  </si>
  <si>
    <t xml:space="preserve">SMEs receive this much per head against the average</t>
  </si>
  <si>
    <t xml:space="preserve">The EDIP 2026–2027 work programme, with the published lines UN-NESTED</t>
  </si>
  <si>
    <t xml:space="preserve">The programme part (EUR m)</t>
  </si>
  <si>
    <t xml:space="preserve">The Ukraine Support Instrument (EUR m)</t>
  </si>
  <si>
    <t xml:space="preserve">Projects of common interest (EUR m)</t>
  </si>
  <si>
    <t xml:space="preserve">Joint procurement (EUR m)</t>
  </si>
  <si>
    <t xml:space="preserve">FAST equity (EUR m)</t>
  </si>
  <si>
    <t xml:space="preserve">Production increases, programme part (EUR m)</t>
  </si>
  <si>
    <t xml:space="preserve">Production increases, Ukraine Support Instrument part (EUR m)</t>
  </si>
  <si>
    <t xml:space="preserve">PRODUCTION INCREASES IN TOTAL (EUR m)</t>
  </si>
  <si>
    <t xml:space="preserve">The source says 'more than EUR 700 m'. Does that hold?</t>
  </si>
  <si>
    <t xml:space="preserve">  of which BraveTech EU, drawn from the USI (EUR m)</t>
  </si>
  <si>
    <t xml:space="preserve">Committed by the work programme (EUR m)</t>
  </si>
  <si>
    <t xml:space="preserve">The programme (EUR m)</t>
  </si>
  <si>
    <t xml:space="preserve">Of the USI, not yet committed (EUR m)</t>
  </si>
  <si>
    <t xml:space="preserve">Naive sum of the six published figures (EUR m)</t>
  </si>
  <si>
    <t xml:space="preserve">DOUBLE COUNT in that naive sum (EUR m)</t>
  </si>
  <si>
    <t xml:space="preserve">The six figures published for the work programme are NESTED, not disjoint, and adding them is the trap this block exists to remove. The EUR 260 million Ukraine Support Instrument line sits INSIDE the 'more than EUR 700 million' for production increases; the EUR 35.3 million for BraveTech EU is drawn from that same EUR 260 million. Add all six and you count EUR 200.3 million twice.
Un-nested against the programme's own EUR 1.2 bn plus EUR 0.3 bn split — which the book prints and the checks sheet verifies — production increases resolve to EUR 795 million, which is what 'more than EUR 700 million' means, and the work programme commits EUR 1,460 million of the EUR 1,500 million, leaving EUR 40 million of the Ukraine instrument not yet allocated.
So the chapter's EUR 1.5 billion is right and the six lines are right. What is wrong is adding them.</t>
  </si>
  <si>
    <t xml:space="preserve">What a small instrument moves</t>
  </si>
  <si>
    <t xml:space="preserve">A modest European subsidy used to persuade states to buy together.</t>
  </si>
  <si>
    <t xml:space="preserve">EDIRPA — the common procurement subsidy</t>
  </si>
  <si>
    <t xml:space="preserve">Leverage is why the small instruments matter</t>
  </si>
  <si>
    <t xml:space="preserve">Budget (EUR m)</t>
  </si>
  <si>
    <t xml:space="preserve">EDIRPA had EUR 300 million and stood behind more than EUR 11 billion of procurement. That is roughly thirty-seven times its own value, and the book's phrase — nearly forty times — is fair. Five projects of EUR 60 million each allocated the budget exactly, which is the first check on any such claim.
ASAP is the other model and the ratio is quite different: EUR 500 million of grants mobilising around EUR 1.4 billion, so under three times. The lesson the book draws is right — European money could be used to expand physical production capacity, not merely to fund development — but the leverage is a third of EDIRPA's, because subsidising a factory is not the same as persuading twenty states to buy together.
The ASAP breakdown adds to about EUR 514 million against a stated EUR 500 million, which is inside the rounding the book signals with approximately. The sheet checks it anyway, because a breakdown that overshoots its own total by three per cent is worth noticing before you quote a line from it.
The EDIP first call is the most useful of the three, because it contains a calculation the book performs without showing. The call had more than EUR 165 million available, described as roughly EUR 470 million once industry co-financing is counted. Divide 165 by 470 and you get 35.1 per cent — which is exactly the EDIP industrial reinforcement co-financing ceiling. The EUR 470 million is not an estimate of what industry will contribute; it is the arithmetic consequence of the ceiling.
That matters for anyone reading a call. When an EDIP notice quotes a total project value alongside the European envelope, the ratio tells you which window and which ceiling you are in — fifteen or twenty-five per cent for common procurement, thirty-five or fifty for industrial reinforcement, up to a hundred for projects of common interest. The ratio is a fingerprint.
The last block handles the framework proposal with the care the book asks for, and it produces a caution worth carrying. EUR 131 billion for defence and space, described as a fivefold increase, implies a current envelope of about EUR 26 billion. EDF plus EDIP together are under EUR 10 billion. The remaining sixteen or so is space — the EU Space Programme is the larger part of the current heading, and the fivefold is measured across both.
So a reader who takes the fivefold as a statement about defence funding alone will overstate it substantially. The defence share of the new EUR 131 billion is not published in the proposal, and until it is, the honest reading is that the combined heading grows fivefold and the split within it is undecided. And the proposal has not been adopted at all. Treat it as a statement of direction rather than as a budget, which is a reasonable basis for a career decision even if the final figure is different.
One coincidence worth not over-reading: ASAP's European share of total investment works out at almost exactly 35 per cent, the same figure as the EDIP industrial reinforcement ceiling and the content cap. The three have nothing to do with each other. Thirty-five per cent recurs in this field often enough to catch people out.</t>
  </si>
  <si>
    <t xml:space="preserve">Projects supported</t>
  </si>
  <si>
    <t xml:space="preserve">Grant per project (EUR m)</t>
  </si>
  <si>
    <t xml:space="preserve">Projects times grant (EUR m)</t>
  </si>
  <si>
    <t xml:space="preserve">Against the budget</t>
  </si>
  <si>
    <t xml:space="preserve">Member States involved</t>
  </si>
  <si>
    <t xml:space="preserve">Average Member States per project</t>
  </si>
  <si>
    <t xml:space="preserve">Participations that implies</t>
  </si>
  <si>
    <t xml:space="preserve">Average participations per Member State</t>
  </si>
  <si>
    <t xml:space="preserve">Procurement underpinned (EUR bn)</t>
  </si>
  <si>
    <t xml:space="preserve">Leverage</t>
  </si>
  <si>
    <t xml:space="preserve">The book's description</t>
  </si>
  <si>
    <t xml:space="preserve">nearly forty times its own value</t>
  </si>
  <si>
    <t xml:space="preserve">Does the arithmetic support it?</t>
  </si>
  <si>
    <t xml:space="preserve">ASAP — the ammunition production act</t>
  </si>
  <si>
    <t xml:space="preserve">European grants (EUR m)</t>
  </si>
  <si>
    <t xml:space="preserve">Total investment mobilised (EUR bn)</t>
  </si>
  <si>
    <t xml:space="preserve">Projects</t>
  </si>
  <si>
    <t xml:space="preserve">Breakdown</t>
  </si>
  <si>
    <t xml:space="preserve">EUR m</t>
  </si>
  <si>
    <t xml:space="preserve">Share of grants</t>
  </si>
  <si>
    <t xml:space="preserve">Powder</t>
  </si>
  <si>
    <t xml:space="preserve">Explosives</t>
  </si>
  <si>
    <t xml:space="preserve">Shells</t>
  </si>
  <si>
    <t xml:space="preserve">Missiles</t>
  </si>
  <si>
    <t xml:space="preserve">Testing and reconditioning</t>
  </si>
  <si>
    <t xml:space="preserve">Breakdown total (EUR m)</t>
  </si>
  <si>
    <t xml:space="preserve">Against the stated grant envelope (EUR m)</t>
  </si>
  <si>
    <t xml:space="preserve">Average project size (EUR m)</t>
  </si>
  <si>
    <t xml:space="preserve">Industry co-financing implied (EUR m)</t>
  </si>
  <si>
    <t xml:space="preserve">European share of total investment</t>
  </si>
  <si>
    <t xml:space="preserve">EDIP — the first call, and where the co-financing rate shows up</t>
  </si>
  <si>
    <t xml:space="preserve">European money available (EUR m)</t>
  </si>
  <si>
    <t xml:space="preserve">Total once industry co-financing is counted (EUR m)</t>
  </si>
  <si>
    <t xml:space="preserve">European share that implies</t>
  </si>
  <si>
    <t xml:space="preserve">EDIP industrial reinforcement co-financing ceiling</t>
  </si>
  <si>
    <t xml:space="preserve">Total the ceiling implies from EUR 165 m (EUR m)</t>
  </si>
  <si>
    <t xml:space="preserve">Against the figure the book prints</t>
  </si>
  <si>
    <t xml:space="preserve">Does the co-financing rate explain the number?</t>
  </si>
  <si>
    <t xml:space="preserve">Member States plus Norway</t>
  </si>
  <si>
    <t xml:space="preserve">Average European money per proposal if all were funded (EUR m)</t>
  </si>
  <si>
    <t xml:space="preserve">The multiannual financial framework proposal</t>
  </si>
  <si>
    <t xml:space="preserve">Proposed total, 2028 to 2034 (EUR bn)</t>
  </si>
  <si>
    <t xml:space="preserve">Defence and space (EUR bn)</t>
  </si>
  <si>
    <t xml:space="preserve">As a share of the framework</t>
  </si>
  <si>
    <t xml:space="preserve">Described as an increase of</t>
  </si>
  <si>
    <t xml:space="preserve">Current envelope that implies (EUR bn)</t>
  </si>
  <si>
    <t xml:space="preserve">EDF plus EDIP, the defence lines alone (EUR bn)</t>
  </si>
  <si>
    <t xml:space="preserve">The rest of the implied baseline (EUR bn)</t>
  </si>
  <si>
    <t xml:space="preserve">Is the defence line alone the baseline?</t>
  </si>
  <si>
    <t xml:space="preserve">Status</t>
  </si>
  <si>
    <t xml:space="preserve">proposed, not adopted — a direction, not a budget</t>
  </si>
  <si>
    <t xml:space="preserve">Checks — every figure this workbook recomputes against the book</t>
  </si>
  <si>
    <t xml:space="preserve">Breaking Into European Defence Procurement — companion workbook 1</t>
  </si>
  <si>
    <t xml:space="preserve">Source</t>
  </si>
  <si>
    <t xml:space="preserve">Figure as the book prints it</t>
  </si>
  <si>
    <t xml:space="preserve">Printed</t>
  </si>
  <si>
    <t xml:space="preserve">Computed</t>
  </si>
  <si>
    <t xml:space="preserve">Variance</t>
  </si>
  <si>
    <t xml:space="preserve">How the tolerances are set</t>
  </si>
  <si>
    <t xml:space="preserve">Ch. 1</t>
  </si>
  <si>
    <t xml:space="preserve">Investment as a share of expenditure: EUR 106 bn of EUR 343 bn</t>
  </si>
  <si>
    <t xml:space="preserve">Tolerance is set line by line to the precision the book prints.
A percentage printed whole is checked to 0.005; to one decimal, to 0.0005. Money printed to the nearest billion is checked to 0.5; to the nearest million, to 0.5 million. A multiple printed loosely — nearly forty times — is checked against a band rather than a point.
Two figures were once marked CHECK. One is resolved; the other is a gap in the source, now shown on a line of its own (line 40) so that every line of the sheet can be reproduced and the gap still cannot be missed.
The 2026 European Defence Fund results: the chapter reports EUR 1.07 billion allocated, of which EUR 675 million to development actions and EUR 332 million to research actions. Those two add to EUR 1.007 billion, sixty-three million short. The project counts add correctly. The inconsistency is in the SOURCE, not in the chapter: the Commission's press release of 15 April 2026 carries the EUR 1.07 billion headline and the two components that add to EUR 1.007 billion, side by side. The book quotes it faithfully. The gap is unresolved at the source, not an error in the book: line 26 reproduces the two components as printed, and line 40 carries the EUR 63 million they fall short by.
The EDIP 2026–2027 work programme: the six allocations the chapter lists are NESTED, not disjoint. The EUR 260 million Ukraine Support Instrument sits inside the 'more than EUR 700 million' for production increases, and the EUR 35.3 million for BraveTech EU is drawn from that same EUR 260 million. Adding all six counts EUR 200.3 million twice. Un-nested against the programme's own EUR 1.2 bn plus EUR 0.3 bn split, production increases resolve to EUR 795 million and the work programme commits EUR 1,460 million of EUR 1,500 million. The chapter's EUR 1.5 billion is right; the six lines are right; adding them is what is wrong. This line was a CHECK and is now resolved.</t>
  </si>
  <si>
    <t xml:space="preserve">Implied GDP from the 2024 and 2025 figures agrees</t>
  </si>
  <si>
    <t xml:space="preserve">Equipment procurement in 2023 implied by EUR 88 bn at plus 39%</t>
  </si>
  <si>
    <t xml:space="preserve">Member States reporting collaborative data: 12 of 27</t>
  </si>
  <si>
    <t xml:space="preserve">Direct jobs added in 2024: 633,000 at plus 8.6%</t>
  </si>
  <si>
    <t xml:space="preserve">Reskilling target as a share of the current workforce</t>
  </si>
  <si>
    <t xml:space="preserve">EDF created in 2021; five years to the present</t>
  </si>
  <si>
    <t xml:space="preserve">W. Paper</t>
  </si>
  <si>
    <t xml:space="preserve">EUR 650 bn national plus EUR 150 bn SAFE</t>
  </si>
  <si>
    <t xml:space="preserve">SAFE as a share of the EUR 800 bn</t>
  </si>
  <si>
    <t xml:space="preserve">Escape clause runs four years, 2025 to 2028</t>
  </si>
  <si>
    <t xml:space="preserve">solved</t>
  </si>
  <si>
    <t xml:space="preserve">Theoretical headroom at the 1.5% cap over four years (EUR bn)</t>
  </si>
  <si>
    <t xml:space="preserve">The EUR 650 bn as a share of that headroom</t>
  </si>
  <si>
    <t xml:space="preserve">Average annual deviation the EUR 650 bn assumes, as a share of GDP</t>
  </si>
  <si>
    <t xml:space="preserve">Roadmap</t>
  </si>
  <si>
    <t xml:space="preserve">SAFE to be disbursed by Q3 2028: half of EUR 150 bn</t>
  </si>
  <si>
    <t xml:space="preserve">The 35% benchmark to the 40% target, on EUR 88 bn (EUR bn)</t>
  </si>
  <si>
    <t xml:space="preserve">Ch. 2</t>
  </si>
  <si>
    <t xml:space="preserve">EDF budget: EUR 2.651 bn research plus EUR 5.302 bn development</t>
  </si>
  <si>
    <t xml:space="preserve">Research share of the EDF budget</t>
  </si>
  <si>
    <t xml:space="preserve">The EUR 7.3 bn Commission figure implies a deflator of</t>
  </si>
  <si>
    <t xml:space="preserve">2026 results: 32 development plus 25 research projects</t>
  </si>
  <si>
    <t xml:space="preserve">2026 EDF results: EUR 675 m to development plus EUR 332 m to research, as printed (EUR m)</t>
  </si>
  <si>
    <t xml:space="preserve">The book quotes the release verbatim. The components reproduce; the headline of EUR 1.07 bn does not follow from them, and line 40 shows the gap rather than adjusting it.</t>
  </si>
  <si>
    <t xml:space="preserve">Average development grant in the 2026 round (EUR m)</t>
  </si>
  <si>
    <t xml:space="preserve">Average research grant in the 2026 round (EUR m)</t>
  </si>
  <si>
    <t xml:space="preserve">EDIP budget: EUR 1.2 bn programme plus EUR 0.3 bn Ukraine</t>
  </si>
  <si>
    <t xml:space="preserve">EDIRPA: five projects of EUR 60 m allocated the EUR 300 m exactly</t>
  </si>
  <si>
    <t xml:space="preserve">EDIRPA leverage: EUR 11 bn on EUR 300 m</t>
  </si>
  <si>
    <t xml:space="preserve">ASAP leverage: EUR 1.4 bn on EUR 500 m</t>
  </si>
  <si>
    <t xml:space="preserve">ASAP breakdown adds to (EUR m), against a stated EUR 500 m</t>
  </si>
  <si>
    <t xml:space="preserve">EDIP first call: EUR 165 m at the 35% ceiling gives (EUR m)</t>
  </si>
  <si>
    <t xml:space="preserve">MFF proposal: EUR 131 bn as a share of EUR 1.98 trn</t>
  </si>
  <si>
    <t xml:space="preserve">A fivefold increase implies a current envelope of (EUR bn)</t>
  </si>
  <si>
    <t xml:space="preserve">EDIP work programme: un-nested, the lines commit (EUR m) of a EUR 1.5 bn programme</t>
  </si>
  <si>
    <t xml:space="preserve">Was CHECK. The six published figures are nested — the USI sits inside the production line and BraveTech inside the USI — so the old naive sum double-counted EUR 200.3 m.</t>
  </si>
  <si>
    <t xml:space="preserve">EDIP: production increases implied, against the source's 'more than EUR 700 m' (EUR m)</t>
  </si>
  <si>
    <t xml:space="preserve">EDIP: what the naive sum of the six published figures double-counts (EUR m)</t>
  </si>
  <si>
    <t xml:space="preserve">2026 EDF results: the stated EUR 1.07 bn less its two printed components (EUR m)</t>
  </si>
  <si>
    <t xml:space="preserve">Shown, not adjusted: the source carries both figures side by side. Quote the components, or say which figure you are quoting.</t>
  </si>
  <si>
    <t xml:space="preserve">Lines reproduced within the book's own printed precision</t>
  </si>
  <si>
    <t xml:space="preserve">Lines differing only by the book's rounding of an intermediate</t>
  </si>
  <si>
    <t xml:space="preserve">Lines to check</t>
  </si>
  <si>
    <t xml:space="preserve">All checks</t>
  </si>
</sst>
</file>

<file path=xl/styles.xml><?xml version="1.0" encoding="utf-8"?>
<styleSheet xmlns="http://schemas.openxmlformats.org/spreadsheetml/2006/main">
  <numFmts count="8">
    <numFmt numFmtId="164" formatCode="General"/>
    <numFmt numFmtId="165" formatCode="#,##0;\(#,##0\);\-"/>
    <numFmt numFmtId="166" formatCode="0.0%"/>
    <numFmt numFmtId="167" formatCode="#,##0.00;\(#,##0.00\);\-"/>
    <numFmt numFmtId="168" formatCode="0.00%"/>
    <numFmt numFmtId="169" formatCode="0"/>
    <numFmt numFmtId="170" formatCode="0.00\x"/>
    <numFmt numFmtId="171" formatCode="#,##0"/>
  </numFmts>
  <fonts count="19">
    <font>
      <sz val="11"/>
      <color theme="1"/>
      <name val="Calibri"/>
      <family val="2"/>
      <charset val="1"/>
    </font>
    <font>
      <sz val="10"/>
      <name val="Arial"/>
      <family val="0"/>
    </font>
    <font>
      <sz val="10"/>
      <name val="Arial"/>
      <family val="0"/>
    </font>
    <font>
      <sz val="10"/>
      <name val="Arial"/>
      <family val="0"/>
    </font>
    <font>
      <b val="true"/>
      <sz val="14"/>
      <color rgb="FF14171D"/>
      <name val="Arial"/>
      <family val="0"/>
      <charset val="1"/>
    </font>
    <font>
      <i val="true"/>
      <sz val="10"/>
      <color rgb="FF595959"/>
      <name val="Arial"/>
      <family val="0"/>
      <charset val="1"/>
    </font>
    <font>
      <sz val="10"/>
      <name val="Arial"/>
      <family val="0"/>
      <charset val="1"/>
    </font>
    <font>
      <b val="true"/>
      <sz val="11"/>
      <color rgb="FF8C5A00"/>
      <name val="Arial"/>
      <family val="0"/>
      <charset val="1"/>
    </font>
    <font>
      <b val="true"/>
      <sz val="10"/>
      <color rgb="FFFFFFFF"/>
      <name val="Arial"/>
      <family val="0"/>
      <charset val="1"/>
    </font>
    <font>
      <sz val="10"/>
      <color rgb="FF0000FF"/>
      <name val="Arial"/>
      <family val="0"/>
      <charset val="1"/>
    </font>
    <font>
      <b val="true"/>
      <sz val="10"/>
      <name val="Arial"/>
      <family val="0"/>
      <charset val="1"/>
    </font>
    <font>
      <i val="true"/>
      <sz val="9"/>
      <name val="Arial"/>
      <family val="0"/>
      <charset val="1"/>
    </font>
    <font>
      <sz val="10"/>
      <color rgb="FF008000"/>
      <name val="Arial"/>
      <family val="0"/>
      <charset val="1"/>
    </font>
    <font>
      <sz val="9"/>
      <name val="Arial"/>
      <family val="0"/>
      <charset val="1"/>
    </font>
    <font>
      <sz val="10"/>
      <color rgb="FF000000"/>
      <name val="Arial"/>
      <family val="0"/>
      <charset val="1"/>
    </font>
    <font>
      <sz val="9"/>
      <color rgb="FF8C5A00"/>
      <name val="Arial"/>
      <family val="0"/>
      <charset val="1"/>
    </font>
    <font>
      <sz val="9"/>
      <color rgb="FF0000FF"/>
      <name val="Arial"/>
      <family val="0"/>
      <charset val="1"/>
    </font>
    <font>
      <sz val="9"/>
      <color rgb="FF008000"/>
      <name val="Arial"/>
      <family val="0"/>
      <charset val="1"/>
    </font>
    <font>
      <b val="true"/>
      <sz val="9"/>
      <name val="Arial"/>
      <family val="0"/>
      <charset val="1"/>
    </font>
  </fonts>
  <fills count="5">
    <fill>
      <patternFill patternType="none"/>
    </fill>
    <fill>
      <patternFill patternType="gray125"/>
    </fill>
    <fill>
      <patternFill patternType="solid">
        <fgColor rgb="FF14171D"/>
        <bgColor rgb="FF000000"/>
      </patternFill>
    </fill>
    <fill>
      <patternFill patternType="solid">
        <fgColor rgb="FFF2F2F2"/>
        <bgColor rgb="FFFFFFFF"/>
      </patternFill>
    </fill>
    <fill>
      <patternFill patternType="solid">
        <fgColor rgb="FFFFFF00"/>
        <bgColor rgb="FFFFFF00"/>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0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left" vertical="center" textRotation="0" wrapText="true" indent="0" shrinkToFit="false"/>
      <protection locked="true" hidden="false"/>
    </xf>
    <xf numFmtId="164" fontId="8" fillId="2" borderId="0" xfId="0" applyFont="true" applyBorder="false" applyAlignment="true" applyProtection="false">
      <alignment horizontal="center" vertical="center" textRotation="0" wrapText="true" indent="0" shrinkToFit="false"/>
      <protection locked="true" hidden="false"/>
    </xf>
    <xf numFmtId="164" fontId="6" fillId="3" borderId="0" xfId="0" applyFont="true" applyBorder="false" applyAlignment="true" applyProtection="false">
      <alignment horizontal="general" vertical="bottom" textRotation="0" wrapText="false" indent="1"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5" fontId="9" fillId="3" borderId="0" xfId="0" applyFont="true" applyBorder="false" applyAlignment="false" applyProtection="false">
      <alignment horizontal="general" vertical="bottom" textRotation="0" wrapText="false" indent="0" shrinkToFit="false"/>
      <protection locked="true" hidden="false"/>
    </xf>
    <xf numFmtId="165" fontId="6" fillId="3" borderId="0" xfId="0" applyFont="true" applyBorder="false" applyAlignment="false" applyProtection="false">
      <alignment horizontal="general" vertical="bottom" textRotation="0" wrapText="false" indent="0" shrinkToFit="false"/>
      <protection locked="true" hidden="false"/>
    </xf>
    <xf numFmtId="166" fontId="6" fillId="3"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1"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67" fontId="9" fillId="3"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1"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8" fontId="10" fillId="0" borderId="0" xfId="0" applyFont="true" applyBorder="false" applyAlignment="false" applyProtection="false">
      <alignment horizontal="general" vertical="bottom" textRotation="0" wrapText="false" indent="0" shrinkToFit="false"/>
      <protection locked="true" hidden="false"/>
    </xf>
    <xf numFmtId="166" fontId="9" fillId="4" borderId="0" xfId="0" applyFont="true" applyBorder="false" applyAlignment="false" applyProtection="false">
      <alignment horizontal="general" vertical="bottom" textRotation="0" wrapText="false" indent="0"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xf numFmtId="168" fontId="6" fillId="0" borderId="0" xfId="0" applyFont="true" applyBorder="false" applyAlignment="false" applyProtection="false">
      <alignment horizontal="general" vertical="bottom" textRotation="0" wrapText="false" indent="0" shrinkToFit="false"/>
      <protection locked="true" hidden="false"/>
    </xf>
    <xf numFmtId="167" fontId="6" fillId="0" borderId="0" xfId="0" applyFont="true" applyBorder="false" applyAlignment="false" applyProtection="false">
      <alignment horizontal="general" vertical="bottom" textRotation="0" wrapText="false" indent="0" shrinkToFit="false"/>
      <protection locked="true" hidden="false"/>
    </xf>
    <xf numFmtId="169" fontId="9" fillId="0" borderId="0" xfId="0" applyFont="true" applyBorder="false" applyAlignment="false" applyProtection="false">
      <alignment horizontal="general" vertical="bottom" textRotation="0" wrapText="false" indent="0" shrinkToFit="false"/>
      <protection locked="true" hidden="false"/>
    </xf>
    <xf numFmtId="170" fontId="6" fillId="0" borderId="0" xfId="0" applyFont="true" applyBorder="false" applyAlignment="false" applyProtection="false">
      <alignment horizontal="general" vertical="bottom" textRotation="0" wrapText="false" indent="0" shrinkToFit="false"/>
      <protection locked="true" hidden="false"/>
    </xf>
    <xf numFmtId="167" fontId="9" fillId="4" borderId="0" xfId="0" applyFont="true" applyBorder="false" applyAlignment="false" applyProtection="false">
      <alignment horizontal="general" vertical="bottom" textRotation="0" wrapText="false" indent="0" shrinkToFit="false"/>
      <protection locked="true" hidden="false"/>
    </xf>
    <xf numFmtId="166" fontId="9" fillId="3" borderId="0" xfId="0" applyFont="true" applyBorder="false" applyAlignment="false" applyProtection="false">
      <alignment horizontal="general" vertical="bottom" textRotation="0" wrapText="false" indent="0" shrinkToFit="false"/>
      <protection locked="true" hidden="false"/>
    </xf>
    <xf numFmtId="165" fontId="9" fillId="4"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9" fontId="9" fillId="4" borderId="0" xfId="0" applyFont="true" applyBorder="false" applyAlignment="false" applyProtection="false">
      <alignment horizontal="general" vertical="bottom" textRotation="0" wrapText="false" indent="0" shrinkToFit="false"/>
      <protection locked="true" hidden="false"/>
    </xf>
    <xf numFmtId="169" fontId="10" fillId="0" borderId="0" xfId="0" applyFont="true" applyBorder="false" applyAlignment="false" applyProtection="false">
      <alignment horizontal="general" vertical="bottom" textRotation="0" wrapText="false" indent="0" shrinkToFit="false"/>
      <protection locked="true" hidden="false"/>
    </xf>
    <xf numFmtId="165" fontId="12"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4" fontId="9" fillId="4" borderId="0" xfId="0" applyFont="true" applyBorder="false" applyAlignment="false" applyProtection="false">
      <alignment horizontal="general" vertical="bottom" textRotation="0" wrapText="false" indent="0" shrinkToFit="false"/>
      <protection locked="true" hidden="false"/>
    </xf>
    <xf numFmtId="164" fontId="13" fillId="3" borderId="0" xfId="0" applyFont="true" applyBorder="false" applyAlignment="true" applyProtection="false">
      <alignment horizontal="general" vertical="bottom" textRotation="0" wrapText="false" indent="1"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4" fontId="11" fillId="3" borderId="0" xfId="0" applyFont="true" applyBorder="fals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general" vertical="bottom" textRotation="0" wrapText="false" indent="1"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9" fontId="6" fillId="3" borderId="0" xfId="0" applyFont="true" applyBorder="false" applyAlignment="false" applyProtection="false">
      <alignment horizontal="general" vertical="bottom" textRotation="0" wrapText="false" indent="0" shrinkToFit="false"/>
      <protection locked="true" hidden="false"/>
    </xf>
    <xf numFmtId="167" fontId="6" fillId="3" borderId="0" xfId="0" applyFont="true" applyBorder="false" applyAlignment="false" applyProtection="false">
      <alignment horizontal="general" vertical="bottom" textRotation="0" wrapText="false" indent="0" shrinkToFit="false"/>
      <protection locked="true" hidden="false"/>
    </xf>
    <xf numFmtId="164" fontId="6" fillId="3" borderId="0" xfId="0" applyFont="true" applyBorder="false" applyAlignment="false" applyProtection="false">
      <alignment horizontal="general" vertical="bottom" textRotation="0" wrapText="false" indent="0" shrinkToFit="false"/>
      <protection locked="true" hidden="false"/>
    </xf>
    <xf numFmtId="169" fontId="6"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top" textRotation="0" wrapText="true" indent="0" shrinkToFit="false"/>
      <protection locked="true" hidden="false"/>
    </xf>
    <xf numFmtId="167" fontId="9"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false" applyProtection="false">
      <alignment horizontal="general" vertical="bottom" textRotation="0" wrapText="false" indent="0" shrinkToFit="false"/>
      <protection locked="true" hidden="false"/>
    </xf>
    <xf numFmtId="164" fontId="13" fillId="3" borderId="0" xfId="0" applyFont="true" applyBorder="false" applyAlignment="true" applyProtection="false">
      <alignment horizontal="general" vertical="top" textRotation="0" wrapText="true" indent="0" shrinkToFit="false"/>
      <protection locked="true" hidden="false"/>
    </xf>
    <xf numFmtId="164" fontId="13" fillId="3" borderId="0" xfId="0" applyFont="true" applyBorder="false" applyAlignment="false" applyProtection="false">
      <alignment horizontal="general" vertical="bottom" textRotation="0" wrapText="false" indent="0" shrinkToFit="false"/>
      <protection locked="true" hidden="false"/>
    </xf>
    <xf numFmtId="170" fontId="10" fillId="0" borderId="0" xfId="0" applyFont="true" applyBorder="false" applyAlignment="false" applyProtection="false">
      <alignment horizontal="general" vertical="bottom" textRotation="0" wrapText="false" indent="0" shrinkToFit="false"/>
      <protection locked="true" hidden="false"/>
    </xf>
    <xf numFmtId="165" fontId="14" fillId="4"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1" shrinkToFit="false"/>
      <protection locked="true" hidden="false"/>
    </xf>
    <xf numFmtId="170" fontId="9"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6" fontId="16" fillId="0" borderId="0" xfId="0" applyFont="true" applyBorder="false" applyAlignment="false" applyProtection="false">
      <alignment horizontal="general" vertical="bottom" textRotation="0" wrapText="false" indent="0" shrinkToFit="false"/>
      <protection locked="true" hidden="false"/>
    </xf>
    <xf numFmtId="166" fontId="17" fillId="0" borderId="0" xfId="0" applyFont="true" applyBorder="false" applyAlignment="false" applyProtection="false">
      <alignment horizontal="general" vertical="bottom" textRotation="0" wrapText="false" indent="0" shrinkToFit="false"/>
      <protection locked="true" hidden="false"/>
    </xf>
    <xf numFmtId="166" fontId="13"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5" fillId="3" borderId="0" xfId="0" applyFont="true" applyBorder="false" applyAlignment="false" applyProtection="false">
      <alignment horizontal="general" vertical="bottom" textRotation="0" wrapText="false" indent="0" shrinkToFit="false"/>
      <protection locked="true" hidden="false"/>
    </xf>
    <xf numFmtId="168" fontId="16" fillId="3" borderId="0" xfId="0" applyFont="true" applyBorder="false" applyAlignment="false" applyProtection="false">
      <alignment horizontal="general" vertical="bottom" textRotation="0" wrapText="false" indent="0" shrinkToFit="false"/>
      <protection locked="true" hidden="false"/>
    </xf>
    <xf numFmtId="168" fontId="17" fillId="3" borderId="0" xfId="0" applyFont="true" applyBorder="false" applyAlignment="false" applyProtection="false">
      <alignment horizontal="general" vertical="bottom" textRotation="0" wrapText="false" indent="0" shrinkToFit="false"/>
      <protection locked="true" hidden="false"/>
    </xf>
    <xf numFmtId="168" fontId="13" fillId="3" borderId="0" xfId="0" applyFont="true" applyBorder="false" applyAlignment="false" applyProtection="false">
      <alignment horizontal="general" vertical="bottom" textRotation="0" wrapText="false" indent="0" shrinkToFit="false"/>
      <protection locked="true" hidden="false"/>
    </xf>
    <xf numFmtId="164" fontId="18" fillId="3" borderId="0" xfId="0" applyFont="true" applyBorder="false" applyAlignment="false" applyProtection="false">
      <alignment horizontal="general" vertical="bottom" textRotation="0" wrapText="false" indent="0" shrinkToFit="false"/>
      <protection locked="true" hidden="false"/>
    </xf>
    <xf numFmtId="169" fontId="16" fillId="0" borderId="0" xfId="0" applyFont="true" applyBorder="false" applyAlignment="false" applyProtection="false">
      <alignment horizontal="general" vertical="bottom" textRotation="0" wrapText="false" indent="0" shrinkToFit="false"/>
      <protection locked="true" hidden="false"/>
    </xf>
    <xf numFmtId="169" fontId="17" fillId="0" borderId="0" xfId="0" applyFont="true" applyBorder="false" applyAlignment="false" applyProtection="false">
      <alignment horizontal="general" vertical="bottom" textRotation="0" wrapText="false" indent="0" shrinkToFit="false"/>
      <protection locked="true" hidden="false"/>
    </xf>
    <xf numFmtId="169" fontId="13" fillId="0" borderId="0" xfId="0" applyFont="true" applyBorder="false" applyAlignment="false" applyProtection="false">
      <alignment horizontal="general" vertical="bottom" textRotation="0" wrapText="false" indent="0" shrinkToFit="false"/>
      <protection locked="true" hidden="false"/>
    </xf>
    <xf numFmtId="167" fontId="16" fillId="3" borderId="0" xfId="0" applyFont="true" applyBorder="false" applyAlignment="false" applyProtection="false">
      <alignment horizontal="general" vertical="bottom" textRotation="0" wrapText="false" indent="0" shrinkToFit="false"/>
      <protection locked="true" hidden="false"/>
    </xf>
    <xf numFmtId="167" fontId="17" fillId="3" borderId="0" xfId="0" applyFont="true" applyBorder="false" applyAlignment="false" applyProtection="false">
      <alignment horizontal="general" vertical="bottom" textRotation="0" wrapText="false" indent="0" shrinkToFit="false"/>
      <protection locked="true" hidden="false"/>
    </xf>
    <xf numFmtId="167" fontId="13" fillId="3" borderId="0" xfId="0" applyFont="true" applyBorder="false" applyAlignment="false" applyProtection="false">
      <alignment horizontal="general" vertical="bottom" textRotation="0" wrapText="false" indent="0" shrinkToFit="false"/>
      <protection locked="true" hidden="false"/>
    </xf>
    <xf numFmtId="167" fontId="16" fillId="0" borderId="0" xfId="0" applyFont="true" applyBorder="false" applyAlignment="false" applyProtection="false">
      <alignment horizontal="general" vertical="bottom" textRotation="0" wrapText="false" indent="0" shrinkToFit="false"/>
      <protection locked="true" hidden="false"/>
    </xf>
    <xf numFmtId="167" fontId="17" fillId="0" borderId="0" xfId="0" applyFont="true" applyBorder="false" applyAlignment="false" applyProtection="false">
      <alignment horizontal="general" vertical="bottom" textRotation="0" wrapText="false" indent="0" shrinkToFit="false"/>
      <protection locked="true" hidden="false"/>
    </xf>
    <xf numFmtId="167" fontId="13" fillId="0" borderId="0" xfId="0" applyFont="true" applyBorder="false" applyAlignment="false" applyProtection="false">
      <alignment horizontal="general" vertical="bottom" textRotation="0" wrapText="false" indent="0" shrinkToFit="false"/>
      <protection locked="true" hidden="false"/>
    </xf>
    <xf numFmtId="166" fontId="16" fillId="3" borderId="0" xfId="0" applyFont="true" applyBorder="false" applyAlignment="false" applyProtection="false">
      <alignment horizontal="general" vertical="bottom" textRotation="0" wrapText="false" indent="0" shrinkToFit="false"/>
      <protection locked="true" hidden="false"/>
    </xf>
    <xf numFmtId="166" fontId="17" fillId="3" borderId="0" xfId="0" applyFont="true" applyBorder="false" applyAlignment="false" applyProtection="false">
      <alignment horizontal="general" vertical="bottom" textRotation="0" wrapText="false" indent="0" shrinkToFit="false"/>
      <protection locked="true" hidden="false"/>
    </xf>
    <xf numFmtId="166" fontId="13" fillId="3" borderId="0" xfId="0" applyFont="true" applyBorder="false" applyAlignment="false" applyProtection="false">
      <alignment horizontal="general" vertical="bottom" textRotation="0" wrapText="false" indent="0" shrinkToFit="false"/>
      <protection locked="true" hidden="false"/>
    </xf>
    <xf numFmtId="165" fontId="16" fillId="0" borderId="0" xfId="0" applyFont="true" applyBorder="false" applyAlignment="false" applyProtection="false">
      <alignment horizontal="general" vertical="bottom" textRotation="0" wrapText="false" indent="0" shrinkToFit="false"/>
      <protection locked="true" hidden="false"/>
    </xf>
    <xf numFmtId="165" fontId="17" fillId="0" borderId="0" xfId="0" applyFont="true" applyBorder="false" applyAlignment="false" applyProtection="false">
      <alignment horizontal="general" vertical="bottom" textRotation="0" wrapText="false" indent="0" shrinkToFit="false"/>
      <protection locked="true" hidden="false"/>
    </xf>
    <xf numFmtId="165" fontId="13" fillId="0" borderId="0" xfId="0" applyFont="true" applyBorder="false" applyAlignment="false" applyProtection="false">
      <alignment horizontal="general" vertical="bottom" textRotation="0" wrapText="false" indent="0" shrinkToFit="false"/>
      <protection locked="true" hidden="false"/>
    </xf>
    <xf numFmtId="165" fontId="16" fillId="3" borderId="0" xfId="0" applyFont="true" applyBorder="false" applyAlignment="false" applyProtection="false">
      <alignment horizontal="general" vertical="bottom" textRotation="0" wrapText="false" indent="0" shrinkToFit="false"/>
      <protection locked="true" hidden="false"/>
    </xf>
    <xf numFmtId="165" fontId="17" fillId="3" borderId="0" xfId="0" applyFont="true" applyBorder="false" applyAlignment="false" applyProtection="false">
      <alignment horizontal="general" vertical="bottom" textRotation="0" wrapText="false" indent="0" shrinkToFit="false"/>
      <protection locked="true" hidden="false"/>
    </xf>
    <xf numFmtId="165" fontId="13" fillId="3" borderId="0" xfId="0" applyFont="true" applyBorder="false" applyAlignment="false" applyProtection="false">
      <alignment horizontal="general" vertical="bottom" textRotation="0" wrapText="false" indent="0" shrinkToFit="false"/>
      <protection locked="true" hidden="false"/>
    </xf>
    <xf numFmtId="168" fontId="16" fillId="0" borderId="0" xfId="0" applyFont="true" applyBorder="false" applyAlignment="false" applyProtection="false">
      <alignment horizontal="general" vertical="bottom" textRotation="0" wrapText="false" indent="0" shrinkToFit="false"/>
      <protection locked="true" hidden="false"/>
    </xf>
    <xf numFmtId="168" fontId="17" fillId="0" borderId="0" xfId="0" applyFont="true" applyBorder="false" applyAlignment="false" applyProtection="false">
      <alignment horizontal="general" vertical="bottom" textRotation="0" wrapText="false" indent="0" shrinkToFit="false"/>
      <protection locked="true" hidden="false"/>
    </xf>
    <xf numFmtId="168" fontId="13" fillId="0" borderId="0" xfId="0" applyFont="true" applyBorder="false" applyAlignment="false" applyProtection="false">
      <alignment horizontal="general" vertical="bottom" textRotation="0" wrapText="false" indent="0" shrinkToFit="false"/>
      <protection locked="true" hidden="false"/>
    </xf>
    <xf numFmtId="169" fontId="16" fillId="3" borderId="0" xfId="0" applyFont="true" applyBorder="false" applyAlignment="false" applyProtection="false">
      <alignment horizontal="general" vertical="bottom" textRotation="0" wrapText="false" indent="0" shrinkToFit="false"/>
      <protection locked="true" hidden="false"/>
    </xf>
    <xf numFmtId="169" fontId="17" fillId="3" borderId="0" xfId="0" applyFont="true" applyBorder="false" applyAlignment="false" applyProtection="false">
      <alignment horizontal="general" vertical="bottom" textRotation="0" wrapText="false" indent="0" shrinkToFit="false"/>
      <protection locked="true" hidden="false"/>
    </xf>
    <xf numFmtId="169" fontId="13" fillId="3"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70" fontId="16" fillId="0" borderId="0" xfId="0" applyFont="true" applyBorder="false" applyAlignment="false" applyProtection="false">
      <alignment horizontal="general" vertical="bottom" textRotation="0" wrapText="false" indent="0" shrinkToFit="false"/>
      <protection locked="true" hidden="false"/>
    </xf>
    <xf numFmtId="170" fontId="17" fillId="0" borderId="0" xfId="0" applyFont="true" applyBorder="false" applyAlignment="false" applyProtection="false">
      <alignment horizontal="general" vertical="bottom" textRotation="0" wrapText="false" indent="0" shrinkToFit="false"/>
      <protection locked="true" hidden="false"/>
    </xf>
    <xf numFmtId="170" fontId="13" fillId="0" borderId="0" xfId="0" applyFont="true" applyBorder="false" applyAlignment="false" applyProtection="false">
      <alignment horizontal="general" vertical="bottom" textRotation="0" wrapText="false" indent="0" shrinkToFit="false"/>
      <protection locked="true" hidden="false"/>
    </xf>
    <xf numFmtId="170" fontId="16" fillId="3" borderId="0" xfId="0" applyFont="true" applyBorder="false" applyAlignment="false" applyProtection="false">
      <alignment horizontal="general" vertical="bottom" textRotation="0" wrapText="false" indent="0" shrinkToFit="false"/>
      <protection locked="true" hidden="false"/>
    </xf>
    <xf numFmtId="170" fontId="17" fillId="3" borderId="0" xfId="0" applyFont="true" applyBorder="false" applyAlignment="false" applyProtection="false">
      <alignment horizontal="general" vertical="bottom" textRotation="0" wrapText="false" indent="0" shrinkToFit="false"/>
      <protection locked="true" hidden="false"/>
    </xf>
    <xf numFmtId="170" fontId="13" fillId="3" borderId="0" xfId="0" applyFont="true" applyBorder="false" applyAlignment="false" applyProtection="false">
      <alignment horizontal="general" vertical="bottom" textRotation="0" wrapText="false" indent="0" shrinkToFit="false"/>
      <protection locked="true" hidden="false"/>
    </xf>
    <xf numFmtId="171" fontId="16" fillId="3" borderId="0" xfId="0" applyFont="true" applyBorder="false" applyAlignment="false" applyProtection="false">
      <alignment horizontal="general" vertical="bottom" textRotation="0" wrapText="false" indent="0" shrinkToFit="false"/>
      <protection locked="true" hidden="false"/>
    </xf>
    <xf numFmtId="171" fontId="17" fillId="3" borderId="0" xfId="0" applyFont="true" applyBorder="false" applyAlignment="false" applyProtection="false">
      <alignment horizontal="general" vertical="bottom" textRotation="0" wrapText="false" indent="0" shrinkToFit="false"/>
      <protection locked="true" hidden="false"/>
    </xf>
    <xf numFmtId="171" fontId="13" fillId="3"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C5A00"/>
      <rgbColor rgb="FF800080"/>
      <rgbColor rgb="FF008080"/>
      <rgbColor rgb="FFBFBFBF"/>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14171D"/>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4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2"/>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true" outlineLevel="0" collapsed="false">
      <c r="A4" s="3" t="s">
        <v>2</v>
      </c>
    </row>
    <row r="5" customFormat="false" ht="15" hidden="false" customHeight="false" outlineLevel="0" collapsed="false">
      <c r="A5" s="3"/>
    </row>
    <row r="6" customFormat="false" ht="15" hidden="false" customHeight="false" outlineLevel="0" collapsed="false">
      <c r="A6" s="3"/>
    </row>
    <row r="7" customFormat="false" ht="15" hidden="false" customHeight="false" outlineLevel="0" collapsed="false">
      <c r="A7" s="3"/>
    </row>
    <row r="8" customFormat="false" ht="15" hidden="false" customHeight="false" outlineLevel="0" collapsed="false">
      <c r="A8" s="3"/>
    </row>
    <row r="9" customFormat="false" ht="15" hidden="false" customHeight="false" outlineLevel="0" collapsed="false">
      <c r="A9" s="3"/>
    </row>
    <row r="10" customFormat="false" ht="15" hidden="false" customHeight="false" outlineLevel="0" collapsed="false">
      <c r="A10" s="3"/>
    </row>
    <row r="11" customFormat="false" ht="15" hidden="false" customHeight="false" outlineLevel="0" collapsed="false">
      <c r="A11" s="3"/>
    </row>
    <row r="12" customFormat="false" ht="15" hidden="false" customHeight="false" outlineLevel="0" collapsed="false">
      <c r="A12" s="3"/>
    </row>
    <row r="13" customFormat="false" ht="15" hidden="false" customHeight="false" outlineLevel="0" collapsed="false">
      <c r="A13" s="3"/>
    </row>
    <row r="14" customFormat="false" ht="15" hidden="false" customHeight="false" outlineLevel="0" collapsed="false">
      <c r="A14" s="3"/>
    </row>
    <row r="15" customFormat="false" ht="15" hidden="false" customHeight="false" outlineLevel="0" collapsed="false">
      <c r="A15" s="3"/>
    </row>
    <row r="16" customFormat="false" ht="15" hidden="false" customHeight="false" outlineLevel="0" collapsed="false">
      <c r="A16" s="3"/>
    </row>
    <row r="17" customFormat="false" ht="15" hidden="false" customHeight="false" outlineLevel="0" collapsed="false">
      <c r="A17" s="3"/>
    </row>
    <row r="18" customFormat="false" ht="15" hidden="false" customHeight="false" outlineLevel="0" collapsed="false">
      <c r="A18" s="3"/>
    </row>
    <row r="19" customFormat="false" ht="15" hidden="false" customHeight="false" outlineLevel="0" collapsed="false">
      <c r="A19" s="3"/>
    </row>
    <row r="20" customFormat="false" ht="15" hidden="false" customHeight="false" outlineLevel="0" collapsed="false">
      <c r="A20" s="3"/>
    </row>
    <row r="21" customFormat="false" ht="15" hidden="false" customHeight="false" outlineLevel="0" collapsed="false">
      <c r="A21" s="3"/>
    </row>
    <row r="22" customFormat="false" ht="15" hidden="false" customHeight="false" outlineLevel="0" collapsed="false">
      <c r="A22" s="3"/>
    </row>
    <row r="23" customFormat="false" ht="15" hidden="false" customHeight="false" outlineLevel="0" collapsed="false">
      <c r="A23" s="3"/>
    </row>
    <row r="24" customFormat="false" ht="15" hidden="false" customHeight="false" outlineLevel="0" collapsed="false">
      <c r="A24" s="3"/>
    </row>
    <row r="25" customFormat="false" ht="15" hidden="false" customHeight="false" outlineLevel="0" collapsed="false">
      <c r="A25" s="3"/>
    </row>
    <row r="26" customFormat="false" ht="15" hidden="false" customHeight="false" outlineLevel="0" collapsed="false">
      <c r="A26" s="3"/>
    </row>
    <row r="27" customFormat="false" ht="15" hidden="false" customHeight="false" outlineLevel="0" collapsed="false">
      <c r="A27" s="3"/>
    </row>
    <row r="28" customFormat="false" ht="15" hidden="false" customHeight="false" outlineLevel="0" collapsed="false">
      <c r="A28" s="3"/>
    </row>
    <row r="29" customFormat="false" ht="15" hidden="false" customHeight="false" outlineLevel="0" collapsed="false">
      <c r="A29" s="3"/>
    </row>
    <row r="30" customFormat="false" ht="15" hidden="false" customHeight="false" outlineLevel="0" collapsed="false">
      <c r="A30" s="3"/>
    </row>
    <row r="31" customFormat="false" ht="15" hidden="false" customHeight="false" outlineLevel="0" collapsed="false">
      <c r="A31" s="3"/>
    </row>
    <row r="32" customFormat="false" ht="15" hidden="false" customHeight="false" outlineLevel="0" collapsed="false">
      <c r="A32" s="3"/>
    </row>
    <row r="33" customFormat="false" ht="15" hidden="false" customHeight="false" outlineLevel="0" collapsed="false">
      <c r="A33" s="3"/>
    </row>
    <row r="34" customFormat="false" ht="15" hidden="false" customHeight="false" outlineLevel="0" collapsed="false">
      <c r="A34" s="3"/>
    </row>
    <row r="35" customFormat="false" ht="15" hidden="false" customHeight="false" outlineLevel="0" collapsed="false">
      <c r="A35" s="3"/>
    </row>
    <row r="36" customFormat="false" ht="15" hidden="false" customHeight="false" outlineLevel="0" collapsed="false">
      <c r="A36" s="3"/>
    </row>
    <row r="37" customFormat="false" ht="15" hidden="false" customHeight="false" outlineLevel="0" collapsed="false">
      <c r="A37" s="3"/>
    </row>
    <row r="38" customFormat="false" ht="15" hidden="false" customHeight="false" outlineLevel="0" collapsed="false">
      <c r="A38" s="3"/>
    </row>
    <row r="39" customFormat="false" ht="15" hidden="false" customHeight="false" outlineLevel="0" collapsed="false">
      <c r="A39" s="3"/>
    </row>
    <row r="40" customFormat="false" ht="15" hidden="false" customHeight="false" outlineLevel="0" collapsed="false">
      <c r="A40" s="3"/>
    </row>
    <row r="41" customFormat="false" ht="15" hidden="false" customHeight="false" outlineLevel="0" collapsed="false">
      <c r="A41" s="3"/>
    </row>
    <row r="42" customFormat="false" ht="15" hidden="false" customHeight="false" outlineLevel="0" collapsed="false">
      <c r="A42" s="3"/>
    </row>
    <row r="43" customFormat="false" ht="15" hidden="false" customHeight="false" outlineLevel="0" collapsed="false">
      <c r="A43" s="3"/>
    </row>
    <row r="44" customFormat="false" ht="15" hidden="false" customHeight="false" outlineLevel="0" collapsed="false">
      <c r="A44" s="3"/>
    </row>
    <row r="46" customFormat="false" ht="75" hidden="false" customHeight="true" outlineLevel="0" collapsed="false">
      <c r="A46" s="4" t="s">
        <v>3</v>
      </c>
    </row>
  </sheetData>
  <mergeCells count="1">
    <mergeCell ref="A4:A4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5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4"/>
    <col collapsed="false" customWidth="true" hidden="false" outlineLevel="0" max="2" min="2" style="0" width="6"/>
    <col collapsed="false" customWidth="true" hidden="false" outlineLevel="0" max="6" min="3" style="0" width="15"/>
    <col collapsed="false" customWidth="true" hidden="false" outlineLevel="0" max="7" min="7" style="0" width="3"/>
    <col collapsed="false" customWidth="true" hidden="false" outlineLevel="0" max="8" min="8" style="0" width="60"/>
  </cols>
  <sheetData>
    <row r="1" customFormat="false" ht="17.35" hidden="false" customHeight="false" outlineLevel="0" collapsed="false">
      <c r="A1" s="1" t="s">
        <v>4</v>
      </c>
    </row>
    <row r="2" customFormat="false" ht="15" hidden="false" customHeight="false" outlineLevel="0" collapsed="false">
      <c r="A2" s="2" t="s">
        <v>5</v>
      </c>
    </row>
    <row r="4" customFormat="false" ht="15" hidden="false" customHeight="false" outlineLevel="0" collapsed="false">
      <c r="A4" s="5" t="s">
        <v>6</v>
      </c>
      <c r="H4" s="5" t="s">
        <v>7</v>
      </c>
    </row>
    <row r="5" customFormat="false" ht="27.75" hidden="false" customHeight="true" outlineLevel="0" collapsed="false">
      <c r="A5" s="6"/>
      <c r="B5" s="7"/>
      <c r="C5" s="7" t="s">
        <v>8</v>
      </c>
      <c r="D5" s="7" t="s">
        <v>9</v>
      </c>
      <c r="E5" s="7" t="s">
        <v>10</v>
      </c>
      <c r="F5" s="7" t="s">
        <v>11</v>
      </c>
      <c r="H5" s="3" t="s">
        <v>12</v>
      </c>
    </row>
    <row r="6" customFormat="false" ht="15" hidden="false" customHeight="false" outlineLevel="0" collapsed="false">
      <c r="A6" s="8" t="s">
        <v>13</v>
      </c>
      <c r="B6" s="9"/>
      <c r="C6" s="10" t="n">
        <v>343</v>
      </c>
      <c r="D6" s="10" t="n">
        <v>381</v>
      </c>
      <c r="E6" s="11" t="n">
        <f aca="false">D6-C6</f>
        <v>38</v>
      </c>
      <c r="F6" s="12" t="n">
        <f aca="false">D6/C6-1</f>
        <v>0.110787172011662</v>
      </c>
      <c r="H6" s="3"/>
    </row>
    <row r="7" customFormat="false" ht="15" hidden="false" customHeight="false" outlineLevel="0" collapsed="false">
      <c r="A7" s="13" t="s">
        <v>14</v>
      </c>
      <c r="C7" s="14" t="n">
        <v>0.019</v>
      </c>
      <c r="D7" s="14" t="n">
        <v>0.021</v>
      </c>
      <c r="E7" s="15" t="n">
        <f aca="false">D7-C7</f>
        <v>0.002</v>
      </c>
      <c r="F7" s="15" t="n">
        <f aca="false">D7/C7-1</f>
        <v>0.105263157894737</v>
      </c>
      <c r="H7" s="3"/>
    </row>
    <row r="8" customFormat="false" ht="15" hidden="false" customHeight="false" outlineLevel="0" collapsed="false">
      <c r="A8" s="8" t="s">
        <v>15</v>
      </c>
      <c r="B8" s="9"/>
      <c r="C8" s="10" t="n">
        <v>106</v>
      </c>
      <c r="D8" s="10" t="n">
        <v>130</v>
      </c>
      <c r="E8" s="11" t="n">
        <f aca="false">D8-C8</f>
        <v>24</v>
      </c>
      <c r="F8" s="12" t="n">
        <f aca="false">D8/C8-1</f>
        <v>0.226415094339623</v>
      </c>
      <c r="H8" s="3"/>
    </row>
    <row r="9" customFormat="false" ht="15" hidden="false" customHeight="false" outlineLevel="0" collapsed="false">
      <c r="A9" s="13" t="s">
        <v>16</v>
      </c>
      <c r="C9" s="16" t="n">
        <v>88</v>
      </c>
      <c r="H9" s="3"/>
    </row>
    <row r="10" customFormat="false" ht="15" hidden="false" customHeight="false" outlineLevel="0" collapsed="false">
      <c r="A10" s="8" t="s">
        <v>17</v>
      </c>
      <c r="B10" s="9"/>
      <c r="C10" s="17" t="n">
        <v>5</v>
      </c>
      <c r="D10" s="9"/>
      <c r="E10" s="9"/>
      <c r="F10" s="9"/>
      <c r="H10" s="3"/>
    </row>
    <row r="11" customFormat="false" ht="15" hidden="false" customHeight="false" outlineLevel="0" collapsed="false">
      <c r="H11" s="3"/>
    </row>
    <row r="12" customFormat="false" ht="15" hidden="false" customHeight="false" outlineLevel="0" collapsed="false">
      <c r="A12" s="18" t="s">
        <v>18</v>
      </c>
      <c r="C12" s="19" t="n">
        <f aca="false">C6/C7</f>
        <v>18052.6315789474</v>
      </c>
      <c r="H12" s="3"/>
    </row>
    <row r="13" customFormat="false" ht="15" hidden="false" customHeight="false" outlineLevel="0" collapsed="false">
      <c r="A13" s="13" t="s">
        <v>19</v>
      </c>
      <c r="D13" s="20" t="n">
        <f aca="false">D6/D7</f>
        <v>18142.8571428571</v>
      </c>
      <c r="H13" s="3"/>
    </row>
    <row r="14" customFormat="false" ht="15" hidden="false" customHeight="false" outlineLevel="0" collapsed="false">
      <c r="A14" s="18" t="s">
        <v>20</v>
      </c>
      <c r="C14" s="21" t="str">
        <f aca="false">IF(ABS(D13/C12-1)&lt;0.02,"yes, within two per cent","no — one of the four inputs is rounded hard")</f>
        <v>yes, within two per cent</v>
      </c>
      <c r="H14" s="3"/>
    </row>
    <row r="15" customFormat="false" ht="15" hidden="false" customHeight="false" outlineLevel="0" collapsed="false">
      <c r="A15" s="18" t="s">
        <v>21</v>
      </c>
      <c r="C15" s="22" t="n">
        <f aca="false">C8/C6</f>
        <v>0.309037900874636</v>
      </c>
      <c r="H15" s="3"/>
    </row>
    <row r="16" customFormat="false" ht="15" hidden="false" customHeight="false" outlineLevel="0" collapsed="false">
      <c r="A16" s="13" t="s">
        <v>22</v>
      </c>
      <c r="D16" s="15" t="n">
        <f aca="false">D8/D6</f>
        <v>0.341207349081365</v>
      </c>
      <c r="H16" s="3"/>
    </row>
    <row r="17" customFormat="false" ht="15" hidden="false" customHeight="false" outlineLevel="0" collapsed="false">
      <c r="A17" s="13" t="s">
        <v>23</v>
      </c>
      <c r="C17" s="15" t="n">
        <f aca="false">C9/C8</f>
        <v>0.830188679245283</v>
      </c>
      <c r="H17" s="3"/>
    </row>
    <row r="18" customFormat="false" ht="15" hidden="false" customHeight="false" outlineLevel="0" collapsed="false">
      <c r="A18" s="18" t="s">
        <v>24</v>
      </c>
      <c r="C18" s="23" t="n">
        <f aca="false">C10/C6</f>
        <v>0.0145772594752187</v>
      </c>
      <c r="H18" s="3"/>
    </row>
    <row r="19" customFormat="false" ht="15" hidden="false" customHeight="false" outlineLevel="0" collapsed="false">
      <c r="H19" s="3"/>
    </row>
    <row r="20" customFormat="false" ht="15" hidden="false" customHeight="false" outlineLevel="0" collapsed="false">
      <c r="A20" s="5" t="s">
        <v>25</v>
      </c>
      <c r="H20" s="3"/>
    </row>
    <row r="21" customFormat="false" ht="15" hidden="false" customHeight="false" outlineLevel="0" collapsed="false">
      <c r="A21" s="13" t="s">
        <v>26</v>
      </c>
      <c r="C21" s="24" t="n">
        <v>0.39</v>
      </c>
      <c r="H21" s="3"/>
    </row>
    <row r="22" customFormat="false" ht="15" hidden="false" customHeight="false" outlineLevel="0" collapsed="false">
      <c r="A22" s="18" t="s">
        <v>27</v>
      </c>
      <c r="C22" s="25" t="n">
        <f aca="false">C9/(1+C21)</f>
        <v>63.3093525179856</v>
      </c>
      <c r="H22" s="3"/>
    </row>
    <row r="23" customFormat="false" ht="15" hidden="false" customHeight="false" outlineLevel="0" collapsed="false">
      <c r="A23" s="18" t="s">
        <v>28</v>
      </c>
      <c r="C23" s="25" t="n">
        <f aca="false">C9-C22</f>
        <v>24.6906474820144</v>
      </c>
      <c r="H23" s="3"/>
    </row>
    <row r="24" customFormat="false" ht="15" hidden="false" customHeight="false" outlineLevel="0" collapsed="false">
      <c r="H24" s="3"/>
    </row>
    <row r="25" customFormat="false" ht="15" hidden="false" customHeight="false" outlineLevel="0" collapsed="false">
      <c r="A25" s="5" t="s">
        <v>29</v>
      </c>
      <c r="H25" s="3"/>
    </row>
    <row r="26" customFormat="false" ht="27.75" hidden="false" customHeight="true" outlineLevel="0" collapsed="false">
      <c r="A26" s="6" t="s">
        <v>30</v>
      </c>
      <c r="B26" s="7"/>
      <c r="C26" s="7" t="s">
        <v>31</v>
      </c>
      <c r="D26" s="7" t="s">
        <v>32</v>
      </c>
      <c r="E26" s="7" t="s">
        <v>33</v>
      </c>
      <c r="F26" s="7" t="s">
        <v>34</v>
      </c>
      <c r="H26" s="3"/>
    </row>
    <row r="27" customFormat="false" ht="15" hidden="false" customHeight="false" outlineLevel="0" collapsed="false">
      <c r="A27" s="13" t="s">
        <v>24</v>
      </c>
      <c r="C27" s="24" t="n">
        <v>0.02</v>
      </c>
      <c r="D27" s="26" t="n">
        <f aca="false">$C$18</f>
        <v>0.0145772594752187</v>
      </c>
      <c r="E27" s="26" t="n">
        <f aca="false">D27-C27</f>
        <v>-0.00542274052478134</v>
      </c>
      <c r="F27" s="27" t="n">
        <f aca="false">E27*$C$6</f>
        <v>-1.86</v>
      </c>
      <c r="H27" s="3"/>
    </row>
    <row r="28" customFormat="false" ht="15" hidden="false" customHeight="false" outlineLevel="0" collapsed="false">
      <c r="A28" s="13" t="s">
        <v>35</v>
      </c>
      <c r="C28" s="24" t="n">
        <v>0.35</v>
      </c>
      <c r="D28" s="2" t="s">
        <v>36</v>
      </c>
      <c r="H28" s="3"/>
    </row>
    <row r="29" customFormat="false" ht="15" hidden="false" customHeight="false" outlineLevel="0" collapsed="false">
      <c r="A29" s="13" t="s">
        <v>37</v>
      </c>
      <c r="C29" s="28" t="n">
        <v>12</v>
      </c>
      <c r="H29" s="3"/>
    </row>
    <row r="30" customFormat="false" ht="15" hidden="false" customHeight="false" outlineLevel="0" collapsed="false">
      <c r="A30" s="13" t="s">
        <v>38</v>
      </c>
      <c r="C30" s="28" t="n">
        <v>27</v>
      </c>
      <c r="H30" s="3"/>
    </row>
    <row r="31" customFormat="false" ht="15" hidden="false" customHeight="false" outlineLevel="0" collapsed="false">
      <c r="A31" s="18" t="s">
        <v>39</v>
      </c>
      <c r="C31" s="22" t="n">
        <f aca="false">C29/C30</f>
        <v>0.444444444444444</v>
      </c>
      <c r="H31" s="3"/>
    </row>
    <row r="32" customFormat="false" ht="15" hidden="false" customHeight="false" outlineLevel="0" collapsed="false">
      <c r="A32" s="18" t="s">
        <v>40</v>
      </c>
      <c r="C32" s="25" t="n">
        <f aca="false">C27*C6</f>
        <v>6.86</v>
      </c>
      <c r="H32" s="3"/>
    </row>
    <row r="33" customFormat="false" ht="15" hidden="false" customHeight="false" outlineLevel="0" collapsed="false">
      <c r="A33" s="13" t="s">
        <v>41</v>
      </c>
      <c r="C33" s="29" t="n">
        <f aca="false">C32/C10</f>
        <v>1.372</v>
      </c>
      <c r="H33" s="3"/>
    </row>
    <row r="34" customFormat="false" ht="15" hidden="false" customHeight="false" outlineLevel="0" collapsed="false">
      <c r="H34" s="3"/>
    </row>
    <row r="35" customFormat="false" ht="15" hidden="false" customHeight="false" outlineLevel="0" collapsed="false">
      <c r="A35" s="5" t="s">
        <v>42</v>
      </c>
      <c r="H35" s="3"/>
    </row>
    <row r="36" customFormat="false" ht="27.75" hidden="false" customHeight="true" outlineLevel="0" collapsed="false">
      <c r="A36" s="6"/>
      <c r="B36" s="7"/>
      <c r="C36" s="7" t="s">
        <v>8</v>
      </c>
      <c r="D36" s="7" t="s">
        <v>11</v>
      </c>
      <c r="E36" s="7" t="s">
        <v>43</v>
      </c>
      <c r="F36" s="7" t="s">
        <v>44</v>
      </c>
      <c r="H36" s="3"/>
    </row>
    <row r="37" customFormat="false" ht="15" hidden="false" customHeight="false" outlineLevel="0" collapsed="false">
      <c r="A37" s="13" t="s">
        <v>45</v>
      </c>
      <c r="C37" s="30" t="n">
        <v>183.4</v>
      </c>
      <c r="D37" s="14" t="n">
        <v>0.138</v>
      </c>
      <c r="E37" s="27" t="n">
        <f aca="false">C37/(1+D37)</f>
        <v>161.15992970123</v>
      </c>
      <c r="F37" s="27" t="n">
        <f aca="false">C37-E37</f>
        <v>22.2400702987698</v>
      </c>
      <c r="H37" s="3"/>
    </row>
    <row r="38" customFormat="false" ht="15" hidden="false" customHeight="false" outlineLevel="0" collapsed="false">
      <c r="A38" s="8" t="s">
        <v>46</v>
      </c>
      <c r="B38" s="9"/>
      <c r="C38" s="10" t="n">
        <v>633000</v>
      </c>
      <c r="D38" s="31" t="n">
        <v>0.086</v>
      </c>
      <c r="E38" s="11" t="n">
        <f aca="false">C38/(1+D38)</f>
        <v>582872.928176796</v>
      </c>
      <c r="F38" s="11" t="n">
        <f aca="false">C38-E38</f>
        <v>50127.0718232045</v>
      </c>
      <c r="H38" s="3"/>
    </row>
    <row r="39" customFormat="false" ht="15" hidden="false" customHeight="false" outlineLevel="0" collapsed="false">
      <c r="A39" s="13" t="s">
        <v>47</v>
      </c>
      <c r="C39" s="32" t="n">
        <v>60</v>
      </c>
      <c r="H39" s="3"/>
    </row>
    <row r="40" customFormat="false" ht="15" hidden="false" customHeight="false" outlineLevel="0" collapsed="false">
      <c r="A40" s="18" t="s">
        <v>48</v>
      </c>
      <c r="C40" s="19" t="n">
        <f aca="false">C37*1000000000/C38</f>
        <v>289731.437598736</v>
      </c>
      <c r="H40" s="3"/>
    </row>
    <row r="41" customFormat="false" ht="15" hidden="false" customHeight="false" outlineLevel="0" collapsed="false">
      <c r="A41" s="13" t="s">
        <v>49</v>
      </c>
      <c r="C41" s="15" t="n">
        <f aca="false">C39/C37</f>
        <v>0.327153762268266</v>
      </c>
      <c r="H41" s="3"/>
    </row>
    <row r="42" customFormat="false" ht="15" hidden="false" customHeight="false" outlineLevel="0" collapsed="false">
      <c r="A42" s="18" t="s">
        <v>50</v>
      </c>
      <c r="C42" s="19" t="n">
        <f aca="false">F38</f>
        <v>50127.0718232045</v>
      </c>
      <c r="H42" s="3"/>
    </row>
    <row r="43" customFormat="false" ht="15" hidden="false" customHeight="false" outlineLevel="0" collapsed="false">
      <c r="A43" s="13" t="s">
        <v>51</v>
      </c>
      <c r="C43" s="32" t="n">
        <v>200000</v>
      </c>
      <c r="H43" s="3"/>
    </row>
    <row r="44" customFormat="false" ht="15" hidden="false" customHeight="false" outlineLevel="0" collapsed="false">
      <c r="A44" s="18" t="s">
        <v>52</v>
      </c>
      <c r="C44" s="22" t="n">
        <f aca="false">C43/C38</f>
        <v>0.315955766192733</v>
      </c>
      <c r="H44" s="3"/>
    </row>
    <row r="45" customFormat="false" ht="15" hidden="false" customHeight="false" outlineLevel="0" collapsed="false">
      <c r="A45" s="13" t="s">
        <v>53</v>
      </c>
      <c r="C45" s="27" t="n">
        <f aca="false">C43/C42</f>
        <v>3.98986002424776</v>
      </c>
      <c r="H45" s="3"/>
    </row>
    <row r="46" customFormat="false" ht="15" hidden="false" customHeight="false" outlineLevel="0" collapsed="false">
      <c r="H46" s="3"/>
    </row>
    <row r="47" customFormat="false" ht="15" hidden="false" customHeight="false" outlineLevel="0" collapsed="false">
      <c r="A47" s="5" t="s">
        <v>54</v>
      </c>
      <c r="H47" s="3"/>
    </row>
    <row r="48" customFormat="false" ht="15" hidden="false" customHeight="false" outlineLevel="0" collapsed="false">
      <c r="A48" s="13" t="s">
        <v>13</v>
      </c>
      <c r="C48" s="20" t="n">
        <f aca="false">C6</f>
        <v>343</v>
      </c>
      <c r="H48" s="3"/>
    </row>
    <row r="49" customFormat="false" ht="15" hidden="false" customHeight="false" outlineLevel="0" collapsed="false">
      <c r="A49" s="13" t="s">
        <v>55</v>
      </c>
      <c r="C49" s="20" t="n">
        <f aca="false">C8</f>
        <v>106</v>
      </c>
      <c r="H49" s="3"/>
    </row>
    <row r="50" customFormat="false" ht="15" hidden="false" customHeight="false" outlineLevel="0" collapsed="false">
      <c r="A50" s="18" t="s">
        <v>56</v>
      </c>
      <c r="C50" s="22" t="n">
        <f aca="false">C49/C48</f>
        <v>0.309037900874636</v>
      </c>
      <c r="H50" s="3"/>
    </row>
    <row r="51" customFormat="false" ht="15" hidden="false" customHeight="false" outlineLevel="0" collapsed="false">
      <c r="A51" s="13" t="s">
        <v>57</v>
      </c>
      <c r="C51" s="2" t="s">
        <v>58</v>
      </c>
    </row>
  </sheetData>
  <mergeCells count="1">
    <mergeCell ref="H5:H5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6"/>
    <col collapsed="false" customWidth="true" hidden="false" outlineLevel="0" max="2" min="2" style="0" width="6"/>
    <col collapsed="false" customWidth="true" hidden="false" outlineLevel="0" max="5" min="3" style="0" width="16"/>
    <col collapsed="false" customWidth="true" hidden="false" outlineLevel="0" max="6" min="6" style="0" width="3"/>
    <col collapsed="false" customWidth="true" hidden="false" outlineLevel="0" max="7" min="7" style="0" width="60"/>
  </cols>
  <sheetData>
    <row r="1" customFormat="false" ht="17.35" hidden="false" customHeight="false" outlineLevel="0" collapsed="false">
      <c r="A1" s="1" t="s">
        <v>59</v>
      </c>
    </row>
    <row r="2" customFormat="false" ht="15" hidden="false" customHeight="false" outlineLevel="0" collapsed="false">
      <c r="A2" s="2" t="s">
        <v>60</v>
      </c>
    </row>
    <row r="4" customFormat="false" ht="15" hidden="false" customHeight="false" outlineLevel="0" collapsed="false">
      <c r="A4" s="5" t="s">
        <v>61</v>
      </c>
      <c r="G4" s="5" t="s">
        <v>62</v>
      </c>
    </row>
    <row r="5" customFormat="false" ht="15" hidden="false" customHeight="true" outlineLevel="0" collapsed="false">
      <c r="A5" s="13" t="s">
        <v>63</v>
      </c>
      <c r="C5" s="32" t="n">
        <v>800</v>
      </c>
      <c r="G5" s="3" t="s">
        <v>64</v>
      </c>
    </row>
    <row r="6" customFormat="false" ht="15" hidden="false" customHeight="false" outlineLevel="0" collapsed="false">
      <c r="A6" s="13" t="s">
        <v>65</v>
      </c>
      <c r="C6" s="32" t="n">
        <v>650</v>
      </c>
      <c r="G6" s="3"/>
    </row>
    <row r="7" customFormat="false" ht="15" hidden="false" customHeight="false" outlineLevel="0" collapsed="false">
      <c r="A7" s="13" t="s">
        <v>66</v>
      </c>
      <c r="C7" s="32" t="n">
        <v>150</v>
      </c>
      <c r="G7" s="3"/>
    </row>
    <row r="8" customFormat="false" ht="15" hidden="false" customHeight="false" outlineLevel="0" collapsed="false">
      <c r="A8" s="18" t="s">
        <v>67</v>
      </c>
      <c r="C8" s="19" t="n">
        <f aca="false">C6+C7</f>
        <v>800</v>
      </c>
      <c r="G8" s="3"/>
    </row>
    <row r="9" customFormat="false" ht="15" hidden="false" customHeight="false" outlineLevel="0" collapsed="false">
      <c r="A9" s="18" t="s">
        <v>68</v>
      </c>
      <c r="C9" s="21" t="str">
        <f aca="false">IF(ABS(C8-C5)&lt;1,"exact","differs by "&amp;TEXT(C8-C5,"0")&amp;" bn")</f>
        <v>exact</v>
      </c>
      <c r="G9" s="3"/>
    </row>
    <row r="10" customFormat="false" ht="15" hidden="false" customHeight="false" outlineLevel="0" collapsed="false">
      <c r="A10" s="13" t="s">
        <v>69</v>
      </c>
      <c r="C10" s="15" t="n">
        <f aca="false">C6/C5</f>
        <v>0.8125</v>
      </c>
      <c r="G10" s="3"/>
    </row>
    <row r="11" customFormat="false" ht="15" hidden="false" customHeight="false" outlineLevel="0" collapsed="false">
      <c r="A11" s="18" t="s">
        <v>70</v>
      </c>
      <c r="C11" s="22" t="n">
        <f aca="false">C7/C5</f>
        <v>0.1875</v>
      </c>
      <c r="G11" s="3"/>
    </row>
    <row r="12" customFormat="false" ht="15" hidden="false" customHeight="false" outlineLevel="0" collapsed="false">
      <c r="G12" s="3"/>
    </row>
    <row r="13" customFormat="false" ht="15" hidden="false" customHeight="false" outlineLevel="0" collapsed="false">
      <c r="A13" s="5" t="s">
        <v>71</v>
      </c>
      <c r="G13" s="3"/>
    </row>
    <row r="14" customFormat="false" ht="15" hidden="false" customHeight="false" outlineLevel="0" collapsed="false">
      <c r="A14" s="13" t="s">
        <v>72</v>
      </c>
      <c r="C14" s="33" t="s">
        <v>73</v>
      </c>
      <c r="G14" s="3"/>
    </row>
    <row r="15" customFormat="false" ht="15" hidden="false" customHeight="false" outlineLevel="0" collapsed="false">
      <c r="A15" s="13" t="s">
        <v>74</v>
      </c>
      <c r="C15" s="28" t="n">
        <v>2025</v>
      </c>
      <c r="G15" s="3"/>
    </row>
    <row r="16" customFormat="false" ht="15" hidden="false" customHeight="false" outlineLevel="0" collapsed="false">
      <c r="A16" s="13" t="s">
        <v>75</v>
      </c>
      <c r="C16" s="28" t="n">
        <v>2028</v>
      </c>
      <c r="G16" s="3"/>
    </row>
    <row r="17" customFormat="false" ht="15" hidden="false" customHeight="false" outlineLevel="0" collapsed="false">
      <c r="A17" s="13" t="s">
        <v>76</v>
      </c>
      <c r="C17" s="24" t="n">
        <v>0.015</v>
      </c>
      <c r="G17" s="3"/>
    </row>
    <row r="18" customFormat="false" ht="15" hidden="false" customHeight="false" outlineLevel="0" collapsed="false">
      <c r="A18" s="13" t="s">
        <v>77</v>
      </c>
      <c r="C18" s="34" t="n">
        <v>18</v>
      </c>
      <c r="G18" s="3"/>
    </row>
    <row r="19" customFormat="false" ht="15" hidden="false" customHeight="false" outlineLevel="0" collapsed="false">
      <c r="A19" s="13" t="s">
        <v>78</v>
      </c>
      <c r="C19" s="28" t="n">
        <v>27</v>
      </c>
      <c r="G19" s="3"/>
    </row>
    <row r="20" customFormat="false" ht="15" hidden="false" customHeight="false" outlineLevel="0" collapsed="false">
      <c r="A20" s="18" t="s">
        <v>79</v>
      </c>
      <c r="C20" s="35" t="n">
        <f aca="false">C16-C15+1</f>
        <v>4</v>
      </c>
      <c r="G20" s="3"/>
    </row>
    <row r="21" customFormat="false" ht="15" hidden="false" customHeight="false" outlineLevel="0" collapsed="false">
      <c r="A21" s="13" t="s">
        <v>80</v>
      </c>
      <c r="C21" s="15" t="n">
        <f aca="false">C18/C19</f>
        <v>0.666666666666667</v>
      </c>
      <c r="G21" s="3"/>
    </row>
    <row r="22" customFormat="false" ht="15" hidden="false" customHeight="false" outlineLevel="0" collapsed="false">
      <c r="A22" s="13" t="s">
        <v>81</v>
      </c>
      <c r="C22" s="36" t="n">
        <f aca="false">'The build-up'!C12</f>
        <v>18052.6315789474</v>
      </c>
      <c r="G22" s="3"/>
    </row>
    <row r="23" customFormat="false" ht="15" hidden="false" customHeight="false" outlineLevel="0" collapsed="false">
      <c r="A23" s="18" t="s">
        <v>82</v>
      </c>
      <c r="C23" s="19" t="n">
        <f aca="false">C22*C17</f>
        <v>270.789473684211</v>
      </c>
      <c r="G23" s="3"/>
    </row>
    <row r="24" customFormat="false" ht="15" hidden="false" customHeight="false" outlineLevel="0" collapsed="false">
      <c r="A24" s="18" t="s">
        <v>83</v>
      </c>
      <c r="C24" s="19" t="n">
        <f aca="false">C23*C20</f>
        <v>1083.15789473684</v>
      </c>
      <c r="G24" s="3"/>
    </row>
    <row r="25" customFormat="false" ht="15" hidden="false" customHeight="false" outlineLevel="0" collapsed="false">
      <c r="A25" s="13" t="s">
        <v>84</v>
      </c>
      <c r="C25" s="20" t="n">
        <f aca="false">C6</f>
        <v>650</v>
      </c>
      <c r="G25" s="3"/>
    </row>
    <row r="26" customFormat="false" ht="15" hidden="false" customHeight="false" outlineLevel="0" collapsed="false">
      <c r="A26" s="18" t="s">
        <v>85</v>
      </c>
      <c r="C26" s="22" t="n">
        <f aca="false">C25/C24</f>
        <v>0.600097181729835</v>
      </c>
      <c r="G26" s="3"/>
    </row>
    <row r="27" customFormat="false" ht="15" hidden="false" customHeight="false" outlineLevel="0" collapsed="false">
      <c r="A27" s="18" t="s">
        <v>86</v>
      </c>
      <c r="C27" s="19" t="n">
        <f aca="false">C25/C20</f>
        <v>162.5</v>
      </c>
      <c r="G27" s="3"/>
    </row>
    <row r="28" customFormat="false" ht="15" hidden="false" customHeight="false" outlineLevel="0" collapsed="false">
      <c r="A28" s="18" t="s">
        <v>87</v>
      </c>
      <c r="C28" s="23" t="n">
        <f aca="false">C27/C22</f>
        <v>0.00900145772594752</v>
      </c>
      <c r="G28" s="3"/>
    </row>
    <row r="29" customFormat="false" ht="15" hidden="false" customHeight="false" outlineLevel="0" collapsed="false">
      <c r="A29" s="18" t="s">
        <v>88</v>
      </c>
      <c r="C29" s="21" t="str">
        <f aca="false">IF(C28&lt;C17,"well below the cap — the figure assumes partial take-up","at or above the cap")</f>
        <v>well below the cap — the figure assumes partial take-up</v>
      </c>
      <c r="G29" s="3"/>
    </row>
    <row r="30" customFormat="false" ht="15" hidden="false" customHeight="false" outlineLevel="0" collapsed="false">
      <c r="G30" s="3"/>
    </row>
    <row r="31" customFormat="false" ht="15" hidden="false" customHeight="false" outlineLevel="0" collapsed="false">
      <c r="A31" s="5" t="s">
        <v>89</v>
      </c>
      <c r="G31" s="3"/>
    </row>
    <row r="32" customFormat="false" ht="15" hidden="false" customHeight="false" outlineLevel="0" collapsed="false">
      <c r="A32" s="13" t="s">
        <v>90</v>
      </c>
      <c r="C32" s="37" t="s">
        <v>91</v>
      </c>
      <c r="G32" s="3"/>
    </row>
    <row r="33" customFormat="false" ht="15" hidden="false" customHeight="false" outlineLevel="0" collapsed="false">
      <c r="A33" s="13" t="s">
        <v>92</v>
      </c>
      <c r="C33" s="37" t="s">
        <v>91</v>
      </c>
      <c r="G33" s="3"/>
    </row>
    <row r="34" customFormat="false" ht="15" hidden="false" customHeight="false" outlineLevel="0" collapsed="false">
      <c r="A34" s="13" t="s">
        <v>93</v>
      </c>
      <c r="C34" s="2" t="s">
        <v>94</v>
      </c>
      <c r="G34" s="3"/>
    </row>
    <row r="35" customFormat="false" ht="15" hidden="false" customHeight="false" outlineLevel="0" collapsed="false">
      <c r="G35" s="3"/>
    </row>
    <row r="36" customFormat="false" ht="15" hidden="false" customHeight="false" outlineLevel="0" collapsed="false">
      <c r="A36" s="5" t="s">
        <v>95</v>
      </c>
      <c r="C36" s="21" t="s">
        <v>96</v>
      </c>
      <c r="G36" s="3"/>
    </row>
    <row r="37" customFormat="false" ht="15" hidden="false" customHeight="false" outlineLevel="0" collapsed="false">
      <c r="A37" s="13" t="s">
        <v>97</v>
      </c>
      <c r="C37" s="38"/>
      <c r="G37" s="3"/>
    </row>
    <row r="38" customFormat="false" ht="15" hidden="false" customHeight="false" outlineLevel="0" collapsed="false">
      <c r="A38" s="13" t="s">
        <v>98</v>
      </c>
      <c r="C38" s="38"/>
      <c r="G38" s="3"/>
    </row>
    <row r="39" customFormat="false" ht="15" hidden="false" customHeight="false" outlineLevel="0" collapsed="false">
      <c r="A39" s="13" t="s">
        <v>99</v>
      </c>
      <c r="C39" s="38"/>
      <c r="G39" s="3"/>
    </row>
    <row r="40" customFormat="false" ht="15" hidden="false" customHeight="false" outlineLevel="0" collapsed="false">
      <c r="A40" s="13" t="s">
        <v>100</v>
      </c>
      <c r="C40" s="38"/>
      <c r="G40" s="3"/>
    </row>
    <row r="41" customFormat="false" ht="15" hidden="false" customHeight="false" outlineLevel="0" collapsed="false">
      <c r="A41" s="13" t="s">
        <v>101</v>
      </c>
      <c r="C41" s="38"/>
      <c r="G41" s="3"/>
    </row>
    <row r="42" customFormat="false" ht="15" hidden="false" customHeight="false" outlineLevel="0" collapsed="false">
      <c r="A42" s="13" t="s">
        <v>102</v>
      </c>
      <c r="C42" s="38"/>
      <c r="G42" s="3"/>
    </row>
    <row r="43" customFormat="false" ht="15" hidden="false" customHeight="false" outlineLevel="0" collapsed="false">
      <c r="A43" s="13" t="s">
        <v>103</v>
      </c>
      <c r="C43" s="38"/>
      <c r="G43" s="3"/>
    </row>
    <row r="44" customFormat="false" ht="15" hidden="false" customHeight="false" outlineLevel="0" collapsed="false">
      <c r="A44" s="13" t="s">
        <v>104</v>
      </c>
      <c r="C44" s="38"/>
      <c r="G44" s="3"/>
    </row>
    <row r="45" customFormat="false" ht="15" hidden="false" customHeight="false" outlineLevel="0" collapsed="false">
      <c r="A45" s="13" t="s">
        <v>105</v>
      </c>
      <c r="C45" s="38"/>
      <c r="G45" s="3"/>
    </row>
    <row r="46" customFormat="false" ht="15" hidden="false" customHeight="false" outlineLevel="0" collapsed="false">
      <c r="A46" s="21" t="s">
        <v>106</v>
      </c>
      <c r="C46" s="35" t="n">
        <f aca="false">9</f>
        <v>9</v>
      </c>
      <c r="G46" s="3"/>
    </row>
    <row r="47" customFormat="false" ht="15" hidden="false" customHeight="false" outlineLevel="0" collapsed="false">
      <c r="G47" s="3"/>
    </row>
    <row r="48" customFormat="false" ht="15" hidden="false" customHeight="false" outlineLevel="0" collapsed="false">
      <c r="G48" s="3"/>
    </row>
  </sheetData>
  <mergeCells count="1">
    <mergeCell ref="G5:G4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2" min="2" style="0" width="16"/>
    <col collapsed="false" customWidth="true" hidden="false" outlineLevel="0" max="4" min="3" style="0" width="14"/>
    <col collapsed="false" customWidth="true" hidden="false" outlineLevel="0" max="5" min="5" style="0" width="15"/>
    <col collapsed="false" customWidth="true" hidden="false" outlineLevel="0" max="6" min="6" style="0" width="44"/>
    <col collapsed="false" customWidth="true" hidden="false" outlineLevel="0" max="7" min="7" style="0" width="3"/>
    <col collapsed="false" customWidth="true" hidden="false" outlineLevel="0" max="8" min="8" style="0" width="58"/>
  </cols>
  <sheetData>
    <row r="1" customFormat="false" ht="17.35" hidden="false" customHeight="false" outlineLevel="0" collapsed="false">
      <c r="A1" s="1" t="s">
        <v>107</v>
      </c>
    </row>
    <row r="2" customFormat="false" ht="15" hidden="false" customHeight="false" outlineLevel="0" collapsed="false">
      <c r="A2" s="2" t="s">
        <v>108</v>
      </c>
    </row>
    <row r="4" customFormat="false" ht="15" hidden="false" customHeight="false" outlineLevel="0" collapsed="false">
      <c r="A4" s="21" t="s">
        <v>109</v>
      </c>
      <c r="B4" s="39" t="s">
        <v>110</v>
      </c>
      <c r="H4" s="5" t="s">
        <v>111</v>
      </c>
    </row>
    <row r="5" customFormat="false" ht="15" hidden="false" customHeight="true" outlineLevel="0" collapsed="false">
      <c r="A5" s="2" t="s">
        <v>112</v>
      </c>
      <c r="H5" s="3" t="s">
        <v>113</v>
      </c>
    </row>
    <row r="6" customFormat="false" ht="15" hidden="false" customHeight="false" outlineLevel="0" collapsed="false">
      <c r="H6" s="3"/>
    </row>
    <row r="7" customFormat="false" ht="27.75" hidden="false" customHeight="true" outlineLevel="0" collapsed="false">
      <c r="A7" s="6" t="s">
        <v>31</v>
      </c>
      <c r="B7" s="7" t="s">
        <v>114</v>
      </c>
      <c r="C7" s="7" t="s">
        <v>115</v>
      </c>
      <c r="D7" s="7" t="s">
        <v>116</v>
      </c>
      <c r="E7" s="7" t="s">
        <v>33</v>
      </c>
      <c r="F7" s="7" t="s">
        <v>117</v>
      </c>
      <c r="H7" s="3"/>
    </row>
    <row r="8" customFormat="false" ht="15" hidden="false" customHeight="false" outlineLevel="0" collapsed="false">
      <c r="A8" s="40" t="s">
        <v>118</v>
      </c>
      <c r="B8" s="41" t="s">
        <v>119</v>
      </c>
      <c r="C8" s="31" t="n">
        <v>0.4</v>
      </c>
      <c r="D8" s="31" t="n">
        <v>0.35</v>
      </c>
      <c r="E8" s="12" t="n">
        <f aca="false">C8-D8</f>
        <v>0.05</v>
      </c>
      <c r="F8" s="42" t="s">
        <v>120</v>
      </c>
      <c r="H8" s="3"/>
    </row>
    <row r="9" customFormat="false" ht="15" hidden="false" customHeight="false" outlineLevel="0" collapsed="false">
      <c r="A9" s="43" t="s">
        <v>121</v>
      </c>
      <c r="B9" s="37" t="s">
        <v>122</v>
      </c>
      <c r="C9" s="14" t="n">
        <v>0.55</v>
      </c>
      <c r="F9" s="44" t="s">
        <v>123</v>
      </c>
      <c r="H9" s="3"/>
    </row>
    <row r="10" customFormat="false" ht="15" hidden="false" customHeight="false" outlineLevel="0" collapsed="false">
      <c r="A10" s="40" t="s">
        <v>124</v>
      </c>
      <c r="B10" s="41" t="s">
        <v>125</v>
      </c>
      <c r="C10" s="31" t="n">
        <v>0.5</v>
      </c>
      <c r="D10" s="9"/>
      <c r="E10" s="9"/>
      <c r="F10" s="42" t="s">
        <v>126</v>
      </c>
      <c r="H10" s="3"/>
    </row>
    <row r="11" customFormat="false" ht="15" hidden="false" customHeight="false" outlineLevel="0" collapsed="false">
      <c r="A11" s="43" t="s">
        <v>127</v>
      </c>
      <c r="B11" s="37" t="s">
        <v>122</v>
      </c>
      <c r="C11" s="16" t="n">
        <v>200000</v>
      </c>
      <c r="D11" s="16" t="n">
        <v>633000</v>
      </c>
      <c r="E11" s="20"/>
      <c r="F11" s="44" t="s">
        <v>128</v>
      </c>
      <c r="H11" s="3"/>
    </row>
    <row r="12" customFormat="false" ht="15" hidden="false" customHeight="false" outlineLevel="0" collapsed="false">
      <c r="A12" s="40" t="s">
        <v>129</v>
      </c>
      <c r="B12" s="41" t="s">
        <v>130</v>
      </c>
      <c r="C12" s="10" t="n">
        <v>9</v>
      </c>
      <c r="D12" s="9"/>
      <c r="E12" s="9"/>
      <c r="F12" s="42" t="s">
        <v>131</v>
      </c>
      <c r="H12" s="3"/>
    </row>
    <row r="13" customFormat="false" ht="15" hidden="false" customHeight="false" outlineLevel="0" collapsed="false">
      <c r="A13" s="43" t="s">
        <v>132</v>
      </c>
      <c r="B13" s="37" t="s">
        <v>122</v>
      </c>
      <c r="F13" s="44" t="s">
        <v>133</v>
      </c>
      <c r="H13" s="3"/>
    </row>
    <row r="14" customFormat="false" ht="15" hidden="false" customHeight="false" outlineLevel="0" collapsed="false">
      <c r="A14" s="40" t="s">
        <v>134</v>
      </c>
      <c r="B14" s="41" t="s">
        <v>119</v>
      </c>
      <c r="C14" s="9"/>
      <c r="D14" s="9"/>
      <c r="E14" s="9"/>
      <c r="F14" s="42" t="s">
        <v>135</v>
      </c>
      <c r="H14" s="3"/>
    </row>
    <row r="15" customFormat="false" ht="15" hidden="false" customHeight="false" outlineLevel="0" collapsed="false">
      <c r="A15" s="43" t="s">
        <v>136</v>
      </c>
      <c r="B15" s="37" t="s">
        <v>137</v>
      </c>
      <c r="F15" s="44" t="s">
        <v>138</v>
      </c>
      <c r="H15" s="3"/>
    </row>
    <row r="16" customFormat="false" ht="15" hidden="false" customHeight="false" outlineLevel="0" collapsed="false">
      <c r="A16" s="40" t="s">
        <v>139</v>
      </c>
      <c r="B16" s="41" t="s">
        <v>140</v>
      </c>
      <c r="C16" s="9"/>
      <c r="D16" s="9"/>
      <c r="E16" s="9"/>
      <c r="F16" s="42" t="s">
        <v>141</v>
      </c>
      <c r="H16" s="3"/>
    </row>
    <row r="17" customFormat="false" ht="15" hidden="false" customHeight="false" outlineLevel="0" collapsed="false">
      <c r="A17" s="43" t="s">
        <v>142</v>
      </c>
      <c r="B17" s="37" t="s">
        <v>140</v>
      </c>
      <c r="F17" s="44" t="s">
        <v>143</v>
      </c>
      <c r="H17" s="3"/>
    </row>
    <row r="18" customFormat="false" ht="15" hidden="false" customHeight="false" outlineLevel="0" collapsed="false">
      <c r="H18" s="3"/>
    </row>
    <row r="19" customFormat="false" ht="27.75" hidden="false" customHeight="true" outlineLevel="0" collapsed="false">
      <c r="A19" s="6"/>
      <c r="B19" s="7"/>
      <c r="C19" s="7" t="s">
        <v>144</v>
      </c>
      <c r="D19" s="7" t="s">
        <v>145</v>
      </c>
      <c r="E19" s="7" t="s">
        <v>146</v>
      </c>
      <c r="H19" s="3"/>
    </row>
    <row r="20" customFormat="false" ht="15" hidden="false" customHeight="false" outlineLevel="0" collapsed="false">
      <c r="A20" s="40" t="s">
        <v>118</v>
      </c>
      <c r="C20" s="45" t="n">
        <f aca="false">ROUND((DATEVALUE(B8)-DATEVALUE($B$4))/30.44,0)</f>
        <v>16</v>
      </c>
      <c r="D20" s="46" t="n">
        <f aca="false">ROUND(C20/3,1)</f>
        <v>5.3</v>
      </c>
      <c r="E20" s="47" t="str">
        <f aca="false">IF(C20&lt;0,"passed","open")</f>
        <v>open</v>
      </c>
      <c r="H20" s="3"/>
    </row>
    <row r="21" customFormat="false" ht="15" hidden="false" customHeight="false" outlineLevel="0" collapsed="false">
      <c r="A21" s="43" t="s">
        <v>121</v>
      </c>
      <c r="C21" s="48" t="n">
        <f aca="false">ROUND((DATEVALUE(B9)-DATEVALUE($B$4))/30.44,0)</f>
        <v>52</v>
      </c>
      <c r="D21" s="27" t="n">
        <f aca="false">ROUND(C21/3,1)</f>
        <v>17.3</v>
      </c>
      <c r="E21" s="49" t="str">
        <f aca="false">IF(C21&lt;0,"passed","open")</f>
        <v>open</v>
      </c>
      <c r="H21" s="3"/>
    </row>
    <row r="22" customFormat="false" ht="15" hidden="false" customHeight="false" outlineLevel="0" collapsed="false">
      <c r="A22" s="40" t="s">
        <v>124</v>
      </c>
      <c r="C22" s="45" t="n">
        <f aca="false">ROUND((DATEVALUE(B10)-DATEVALUE($B$4))/30.44,0)</f>
        <v>25</v>
      </c>
      <c r="D22" s="46" t="n">
        <f aca="false">ROUND(C22/3,1)</f>
        <v>8.3</v>
      </c>
      <c r="E22" s="47" t="str">
        <f aca="false">IF(C22&lt;0,"passed","open")</f>
        <v>open</v>
      </c>
      <c r="H22" s="3"/>
    </row>
    <row r="23" customFormat="false" ht="15" hidden="false" customHeight="false" outlineLevel="0" collapsed="false">
      <c r="A23" s="43" t="s">
        <v>127</v>
      </c>
      <c r="C23" s="48" t="n">
        <f aca="false">ROUND((DATEVALUE(B11)-DATEVALUE($B$4))/30.44,0)</f>
        <v>52</v>
      </c>
      <c r="D23" s="27" t="n">
        <f aca="false">ROUND(C23/3,1)</f>
        <v>17.3</v>
      </c>
      <c r="E23" s="49" t="str">
        <f aca="false">IF(C23&lt;0,"passed","open")</f>
        <v>open</v>
      </c>
      <c r="H23" s="3"/>
    </row>
    <row r="24" customFormat="false" ht="15" hidden="false" customHeight="false" outlineLevel="0" collapsed="false">
      <c r="A24" s="40" t="s">
        <v>129</v>
      </c>
      <c r="C24" s="45" t="n">
        <f aca="false">ROUND((DATEVALUE(B12)-DATEVALUE($B$4))/30.44,0)</f>
        <v>-5</v>
      </c>
      <c r="D24" s="46" t="n">
        <f aca="false">ROUND(C24/3,1)</f>
        <v>-1.7</v>
      </c>
      <c r="E24" s="47" t="str">
        <f aca="false">IF(C24&lt;0,"passed","open")</f>
        <v>passed</v>
      </c>
      <c r="H24" s="3"/>
    </row>
    <row r="25" customFormat="false" ht="15" hidden="false" customHeight="false" outlineLevel="0" collapsed="false">
      <c r="A25" s="43" t="s">
        <v>132</v>
      </c>
      <c r="C25" s="48" t="n">
        <f aca="false">ROUND((DATEVALUE(B13)-DATEVALUE($B$4))/30.44,0)</f>
        <v>52</v>
      </c>
      <c r="D25" s="27" t="n">
        <f aca="false">ROUND(C25/3,1)</f>
        <v>17.3</v>
      </c>
      <c r="E25" s="49" t="str">
        <f aca="false">IF(C25&lt;0,"passed","open")</f>
        <v>open</v>
      </c>
      <c r="H25" s="3"/>
    </row>
    <row r="26" customFormat="false" ht="15" hidden="false" customHeight="false" outlineLevel="0" collapsed="false">
      <c r="A26" s="40" t="s">
        <v>134</v>
      </c>
      <c r="C26" s="45" t="n">
        <f aca="false">ROUND((DATEVALUE(B14)-DATEVALUE($B$4))/30.44,0)</f>
        <v>16</v>
      </c>
      <c r="D26" s="46" t="n">
        <f aca="false">ROUND(C26/3,1)</f>
        <v>5.3</v>
      </c>
      <c r="E26" s="47" t="str">
        <f aca="false">IF(C26&lt;0,"passed","open")</f>
        <v>open</v>
      </c>
      <c r="H26" s="3"/>
    </row>
    <row r="27" customFormat="false" ht="15" hidden="false" customHeight="false" outlineLevel="0" collapsed="false">
      <c r="A27" s="43" t="s">
        <v>136</v>
      </c>
      <c r="C27" s="48" t="n">
        <f aca="false">ROUND((DATEVALUE(B15)-DATEVALUE($B$4))/30.44,0)</f>
        <v>28</v>
      </c>
      <c r="D27" s="27" t="n">
        <f aca="false">ROUND(C27/3,1)</f>
        <v>9.3</v>
      </c>
      <c r="E27" s="49" t="str">
        <f aca="false">IF(C27&lt;0,"passed","open")</f>
        <v>open</v>
      </c>
      <c r="H27" s="3"/>
    </row>
    <row r="28" customFormat="false" ht="15" hidden="false" customHeight="false" outlineLevel="0" collapsed="false">
      <c r="A28" s="40" t="s">
        <v>139</v>
      </c>
      <c r="C28" s="45" t="n">
        <f aca="false">ROUND((DATEVALUE(B16)-DATEVALUE($B$4))/30.44,0)</f>
        <v>-2</v>
      </c>
      <c r="D28" s="46" t="n">
        <f aca="false">ROUND(C28/3,1)</f>
        <v>-0.7</v>
      </c>
      <c r="E28" s="47" t="str">
        <f aca="false">IF(C28&lt;0,"passed","open")</f>
        <v>passed</v>
      </c>
      <c r="H28" s="3"/>
    </row>
    <row r="29" customFormat="false" ht="15" hidden="false" customHeight="false" outlineLevel="0" collapsed="false">
      <c r="A29" s="43" t="s">
        <v>142</v>
      </c>
      <c r="C29" s="48" t="n">
        <f aca="false">ROUND((DATEVALUE(B17)-DATEVALUE($B$4))/30.44,0)</f>
        <v>-2</v>
      </c>
      <c r="D29" s="27" t="n">
        <f aca="false">ROUND(C29/3,1)</f>
        <v>-0.7</v>
      </c>
      <c r="E29" s="49" t="str">
        <f aca="false">IF(C29&lt;0,"passed","open")</f>
        <v>passed</v>
      </c>
      <c r="H29" s="3"/>
    </row>
    <row r="30" customFormat="false" ht="15" hidden="false" customHeight="false" outlineLevel="0" collapsed="false">
      <c r="H30" s="3"/>
    </row>
    <row r="31" customFormat="false" ht="15" hidden="false" customHeight="false" outlineLevel="0" collapsed="false">
      <c r="A31" s="21" t="s">
        <v>147</v>
      </c>
      <c r="C31" s="35" t="n">
        <f aca="false">COUNTIF(E20:E29,"passed")</f>
        <v>3</v>
      </c>
      <c r="H31" s="3"/>
    </row>
    <row r="32" customFormat="false" ht="15" hidden="false" customHeight="false" outlineLevel="0" collapsed="false">
      <c r="A32" s="21" t="s">
        <v>148</v>
      </c>
      <c r="C32" s="35" t="n">
        <f aca="false">COUNTIF(E20:E29,"open")</f>
        <v>7</v>
      </c>
      <c r="H32" s="3"/>
    </row>
    <row r="33" customFormat="false" ht="15" hidden="false" customHeight="false" outlineLevel="0" collapsed="false">
      <c r="A33" s="21" t="s">
        <v>149</v>
      </c>
      <c r="C33" s="35" t="n">
        <f aca="false">IFERROR(SMALL(C20:C29,COUNTIF(C20:C29,"&lt;=0")+1),"none open")</f>
        <v>16</v>
      </c>
      <c r="H33" s="3"/>
    </row>
    <row r="34" customFormat="false" ht="15" hidden="false" customHeight="false" outlineLevel="0" collapsed="false">
      <c r="H34" s="3"/>
    </row>
    <row r="35" customFormat="false" ht="15" hidden="false" customHeight="false" outlineLevel="0" collapsed="false">
      <c r="A35" s="5" t="s">
        <v>150</v>
      </c>
      <c r="H35" s="3"/>
    </row>
    <row r="36" customFormat="false" ht="15" hidden="false" customHeight="false" outlineLevel="0" collapsed="false">
      <c r="A36" s="13" t="s">
        <v>151</v>
      </c>
      <c r="B36" s="36" t="n">
        <f aca="false">'The build-up'!C9</f>
        <v>88</v>
      </c>
      <c r="H36" s="3"/>
    </row>
    <row r="37" customFormat="false" ht="15" hidden="false" customHeight="false" outlineLevel="0" collapsed="false">
      <c r="A37" s="13" t="s">
        <v>152</v>
      </c>
      <c r="B37" s="27" t="n">
        <f aca="false">B36*D8</f>
        <v>30.8</v>
      </c>
      <c r="H37" s="3"/>
    </row>
    <row r="38" customFormat="false" ht="15" hidden="false" customHeight="false" outlineLevel="0" collapsed="false">
      <c r="A38" s="13" t="s">
        <v>153</v>
      </c>
      <c r="B38" s="27" t="n">
        <f aca="false">B36*C8</f>
        <v>35.2</v>
      </c>
      <c r="H38" s="3"/>
    </row>
    <row r="39" customFormat="false" ht="15" hidden="false" customHeight="false" outlineLevel="0" collapsed="false">
      <c r="A39" s="18" t="s">
        <v>154</v>
      </c>
      <c r="B39" s="25" t="n">
        <f aca="false">B38-B37</f>
        <v>4.40000000000001</v>
      </c>
      <c r="H39" s="3"/>
    </row>
    <row r="40" customFormat="false" ht="15" hidden="false" customHeight="false" outlineLevel="0" collapsed="false">
      <c r="A40" s="18" t="s">
        <v>155</v>
      </c>
      <c r="B40" s="19" t="n">
        <f aca="false">C10*'Readiness 2030'!C7</f>
        <v>75</v>
      </c>
      <c r="H40" s="3"/>
    </row>
    <row r="41" customFormat="false" ht="15" hidden="false" customHeight="false" outlineLevel="0" collapsed="false">
      <c r="H41" s="3"/>
    </row>
    <row r="42" customFormat="false" ht="15" hidden="false" customHeight="false" outlineLevel="0" collapsed="false">
      <c r="H42" s="3"/>
    </row>
    <row r="43" customFormat="false" ht="15" hidden="false" customHeight="false" outlineLevel="0" collapsed="false">
      <c r="H43" s="3"/>
    </row>
    <row r="44" customFormat="false" ht="15" hidden="false" customHeight="false" outlineLevel="0" collapsed="false">
      <c r="H44" s="3"/>
    </row>
    <row r="45" customFormat="false" ht="15" hidden="false" customHeight="false" outlineLevel="0" collapsed="false">
      <c r="H45" s="3"/>
    </row>
    <row r="46" customFormat="false" ht="15" hidden="false" customHeight="false" outlineLevel="0" collapsed="false">
      <c r="H46" s="3"/>
    </row>
  </sheetData>
  <mergeCells count="1">
    <mergeCell ref="H5:H4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7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2"/>
    <col collapsed="false" customWidth="true" hidden="false" outlineLevel="0" max="3" min="2" style="0" width="30"/>
    <col collapsed="false" customWidth="true" hidden="false" outlineLevel="0" max="4" min="4" style="0" width="14"/>
    <col collapsed="false" customWidth="true" hidden="false" outlineLevel="0" max="5" min="5" style="0" width="18"/>
    <col collapsed="false" customWidth="true" hidden="false" outlineLevel="0" max="6" min="6" style="0" width="38"/>
    <col collapsed="false" customWidth="true" hidden="false" outlineLevel="0" max="7" min="7" style="0" width="3"/>
    <col collapsed="false" customWidth="true" hidden="false" outlineLevel="0" max="8" min="8" style="0" width="58"/>
  </cols>
  <sheetData>
    <row r="1" customFormat="false" ht="17.35" hidden="false" customHeight="false" outlineLevel="0" collapsed="false">
      <c r="A1" s="1" t="s">
        <v>156</v>
      </c>
    </row>
    <row r="2" customFormat="false" ht="15" hidden="false" customHeight="false" outlineLevel="0" collapsed="false">
      <c r="A2" s="2" t="s">
        <v>157</v>
      </c>
    </row>
    <row r="4" customFormat="false" ht="27.75" hidden="false" customHeight="true" outlineLevel="0" collapsed="false">
      <c r="A4" s="6" t="s">
        <v>158</v>
      </c>
      <c r="B4" s="7" t="s">
        <v>159</v>
      </c>
      <c r="C4" s="7" t="s">
        <v>160</v>
      </c>
      <c r="D4" s="7" t="s">
        <v>161</v>
      </c>
      <c r="E4" s="7" t="s">
        <v>162</v>
      </c>
      <c r="F4" s="7" t="s">
        <v>163</v>
      </c>
      <c r="H4" s="5" t="s">
        <v>164</v>
      </c>
    </row>
    <row r="5" customFormat="false" ht="33.75" hidden="false" customHeight="true" outlineLevel="0" collapsed="false">
      <c r="A5" s="21" t="s">
        <v>165</v>
      </c>
      <c r="B5" s="50" t="s">
        <v>166</v>
      </c>
      <c r="C5" s="50" t="s">
        <v>167</v>
      </c>
      <c r="D5" s="51" t="n">
        <v>7.953</v>
      </c>
      <c r="E5" s="52" t="s">
        <v>168</v>
      </c>
      <c r="F5" s="50" t="s">
        <v>169</v>
      </c>
      <c r="H5" s="3" t="s">
        <v>170</v>
      </c>
    </row>
    <row r="6" customFormat="false" ht="33.75" hidden="false" customHeight="true" outlineLevel="0" collapsed="false">
      <c r="A6" s="53" t="s">
        <v>171</v>
      </c>
      <c r="B6" s="54" t="s">
        <v>172</v>
      </c>
      <c r="C6" s="54" t="s">
        <v>173</v>
      </c>
      <c r="D6" s="17" t="n">
        <v>0.3</v>
      </c>
      <c r="E6" s="55" t="s">
        <v>174</v>
      </c>
      <c r="F6" s="54" t="s">
        <v>175</v>
      </c>
      <c r="H6" s="3"/>
    </row>
    <row r="7" customFormat="false" ht="33.75" hidden="false" customHeight="true" outlineLevel="0" collapsed="false">
      <c r="A7" s="21" t="s">
        <v>176</v>
      </c>
      <c r="B7" s="50" t="s">
        <v>177</v>
      </c>
      <c r="C7" s="50" t="s">
        <v>178</v>
      </c>
      <c r="D7" s="51" t="n">
        <v>0.5</v>
      </c>
      <c r="E7" s="52" t="s">
        <v>174</v>
      </c>
      <c r="F7" s="50" t="s">
        <v>179</v>
      </c>
      <c r="H7" s="3"/>
    </row>
    <row r="8" customFormat="false" ht="33.75" hidden="false" customHeight="true" outlineLevel="0" collapsed="false">
      <c r="A8" s="53" t="s">
        <v>180</v>
      </c>
      <c r="B8" s="54" t="s">
        <v>181</v>
      </c>
      <c r="C8" s="54" t="s">
        <v>182</v>
      </c>
      <c r="D8" s="17" t="n">
        <v>1.5</v>
      </c>
      <c r="E8" s="55" t="s">
        <v>183</v>
      </c>
      <c r="F8" s="54" t="s">
        <v>184</v>
      </c>
      <c r="H8" s="3"/>
    </row>
    <row r="9" customFormat="false" ht="33.75" hidden="false" customHeight="true" outlineLevel="0" collapsed="false">
      <c r="A9" s="21" t="s">
        <v>185</v>
      </c>
      <c r="B9" s="50" t="s">
        <v>186</v>
      </c>
      <c r="C9" s="50" t="s">
        <v>187</v>
      </c>
      <c r="D9" s="51" t="n">
        <v>150</v>
      </c>
      <c r="E9" s="52" t="s">
        <v>188</v>
      </c>
      <c r="F9" s="50" t="s">
        <v>189</v>
      </c>
      <c r="H9" s="3"/>
    </row>
    <row r="10" customFormat="false" ht="33.75" hidden="false" customHeight="true" outlineLevel="0" collapsed="false">
      <c r="A10" s="53" t="s">
        <v>190</v>
      </c>
      <c r="B10" s="54" t="s">
        <v>191</v>
      </c>
      <c r="C10" s="54" t="s">
        <v>192</v>
      </c>
      <c r="D10" s="9"/>
      <c r="E10" s="55" t="s">
        <v>193</v>
      </c>
      <c r="F10" s="54" t="s">
        <v>194</v>
      </c>
      <c r="H10" s="3"/>
    </row>
    <row r="11" customFormat="false" ht="15" hidden="false" customHeight="false" outlineLevel="0" collapsed="false">
      <c r="H11" s="3"/>
    </row>
    <row r="12" customFormat="false" ht="15" hidden="false" customHeight="false" outlineLevel="0" collapsed="false">
      <c r="A12" s="21" t="s">
        <v>195</v>
      </c>
      <c r="D12" s="25" t="n">
        <f aca="false">SUM(D5:D10)</f>
        <v>160.253</v>
      </c>
      <c r="H12" s="3"/>
    </row>
    <row r="13" customFormat="false" ht="15" hidden="false" customHeight="false" outlineLevel="0" collapsed="false">
      <c r="A13" s="21" t="s">
        <v>196</v>
      </c>
      <c r="D13" s="22" t="n">
        <f aca="false">D9/D12</f>
        <v>0.936019918503866</v>
      </c>
      <c r="H13" s="3"/>
    </row>
    <row r="14" customFormat="false" ht="15" hidden="false" customHeight="false" outlineLevel="0" collapsed="false">
      <c r="A14" s="21" t="s">
        <v>197</v>
      </c>
      <c r="D14" s="22" t="n">
        <f aca="false">(D5+D6+D7+D8)/D12</f>
        <v>0.0639800814961342</v>
      </c>
      <c r="H14" s="3"/>
    </row>
    <row r="15" customFormat="false" ht="15" hidden="false" customHeight="false" outlineLevel="0" collapsed="false">
      <c r="H15" s="3"/>
    </row>
    <row r="16" customFormat="false" ht="15" hidden="false" customHeight="false" outlineLevel="0" collapsed="false">
      <c r="A16" s="5" t="s">
        <v>198</v>
      </c>
      <c r="H16" s="3"/>
    </row>
    <row r="17" customFormat="false" ht="15" hidden="false" customHeight="false" outlineLevel="0" collapsed="false">
      <c r="A17" s="13" t="s">
        <v>199</v>
      </c>
      <c r="D17" s="30" t="n">
        <v>7.953</v>
      </c>
      <c r="H17" s="3"/>
    </row>
    <row r="18" customFormat="false" ht="15" hidden="false" customHeight="false" outlineLevel="0" collapsed="false">
      <c r="A18" s="13" t="s">
        <v>200</v>
      </c>
      <c r="D18" s="51" t="n">
        <v>2.651</v>
      </c>
      <c r="H18" s="3"/>
    </row>
    <row r="19" customFormat="false" ht="15" hidden="false" customHeight="false" outlineLevel="0" collapsed="false">
      <c r="A19" s="13" t="s">
        <v>201</v>
      </c>
      <c r="D19" s="51" t="n">
        <v>5.302</v>
      </c>
      <c r="H19" s="3"/>
    </row>
    <row r="20" customFormat="false" ht="15" hidden="false" customHeight="false" outlineLevel="0" collapsed="false">
      <c r="A20" s="18" t="s">
        <v>202</v>
      </c>
      <c r="D20" s="25" t="n">
        <f aca="false">D18+D19</f>
        <v>7.953</v>
      </c>
      <c r="H20" s="3"/>
    </row>
    <row r="21" customFormat="false" ht="15" hidden="false" customHeight="false" outlineLevel="0" collapsed="false">
      <c r="A21" s="18" t="s">
        <v>203</v>
      </c>
      <c r="D21" s="21" t="str">
        <f aca="false">IF(ABS(D20-D17)&lt;0.001,"exact","differs")</f>
        <v>exact</v>
      </c>
      <c r="H21" s="3"/>
    </row>
    <row r="22" customFormat="false" ht="15" hidden="false" customHeight="false" outlineLevel="0" collapsed="false">
      <c r="A22" s="13" t="s">
        <v>204</v>
      </c>
      <c r="D22" s="26" t="n">
        <f aca="false">D18/D17</f>
        <v>0.333333333333333</v>
      </c>
      <c r="H22" s="3"/>
    </row>
    <row r="23" customFormat="false" ht="15" hidden="false" customHeight="false" outlineLevel="0" collapsed="false">
      <c r="A23" s="13" t="s">
        <v>205</v>
      </c>
      <c r="D23" s="26" t="n">
        <f aca="false">D19/D17</f>
        <v>0.666666666666667</v>
      </c>
      <c r="H23" s="3"/>
    </row>
    <row r="24" customFormat="false" ht="15" hidden="false" customHeight="false" outlineLevel="0" collapsed="false">
      <c r="A24" s="13" t="s">
        <v>206</v>
      </c>
      <c r="D24" s="51" t="n">
        <v>7.3</v>
      </c>
      <c r="H24" s="3"/>
    </row>
    <row r="25" customFormat="false" ht="15" hidden="false" customHeight="false" outlineLevel="0" collapsed="false">
      <c r="A25" s="13" t="s">
        <v>207</v>
      </c>
      <c r="D25" s="26" t="n">
        <f aca="false">D24/D17-1</f>
        <v>-0.0821073808625676</v>
      </c>
      <c r="H25" s="3"/>
    </row>
    <row r="26" customFormat="false" ht="15" hidden="false" customHeight="false" outlineLevel="0" collapsed="false">
      <c r="H26" s="3"/>
    </row>
    <row r="27" customFormat="false" ht="15" hidden="false" customHeight="false" outlineLevel="0" collapsed="false">
      <c r="A27" s="5" t="s">
        <v>208</v>
      </c>
      <c r="H27" s="3"/>
    </row>
    <row r="28" customFormat="false" ht="15" hidden="false" customHeight="false" outlineLevel="0" collapsed="false">
      <c r="A28" s="13" t="s">
        <v>209</v>
      </c>
      <c r="D28" s="28" t="n">
        <v>410</v>
      </c>
      <c r="H28" s="3"/>
    </row>
    <row r="29" customFormat="false" ht="15" hidden="false" customHeight="false" outlineLevel="0" collapsed="false">
      <c r="A29" s="13" t="s">
        <v>210</v>
      </c>
      <c r="D29" s="14" t="n">
        <v>0.37</v>
      </c>
      <c r="H29" s="3"/>
    </row>
    <row r="30" customFormat="false" ht="15" hidden="false" customHeight="false" outlineLevel="0" collapsed="false">
      <c r="A30" s="13" t="s">
        <v>211</v>
      </c>
      <c r="D30" s="48" t="n">
        <f aca="false">D28/(1+D29)</f>
        <v>299.270072992701</v>
      </c>
      <c r="H30" s="3"/>
    </row>
    <row r="31" customFormat="false" ht="15" hidden="false" customHeight="false" outlineLevel="0" collapsed="false">
      <c r="A31" s="13" t="s">
        <v>212</v>
      </c>
      <c r="D31" s="16" t="n">
        <v>1065</v>
      </c>
      <c r="H31" s="3"/>
    </row>
    <row r="32" customFormat="false" ht="15" hidden="false" customHeight="false" outlineLevel="0" collapsed="false">
      <c r="A32" s="13" t="s">
        <v>213</v>
      </c>
      <c r="D32" s="32" t="n">
        <v>1070</v>
      </c>
      <c r="H32" s="3"/>
    </row>
    <row r="33" customFormat="false" ht="15" hidden="false" customHeight="false" outlineLevel="0" collapsed="false">
      <c r="A33" s="13" t="s">
        <v>214</v>
      </c>
      <c r="D33" s="16" t="n">
        <v>675</v>
      </c>
      <c r="H33" s="3"/>
    </row>
    <row r="34" customFormat="false" ht="15" hidden="false" customHeight="false" outlineLevel="0" collapsed="false">
      <c r="A34" s="13" t="s">
        <v>215</v>
      </c>
      <c r="D34" s="16" t="n">
        <v>332</v>
      </c>
      <c r="H34" s="3"/>
    </row>
    <row r="35" customFormat="false" ht="15" hidden="false" customHeight="false" outlineLevel="0" collapsed="false">
      <c r="A35" s="18" t="s">
        <v>216</v>
      </c>
      <c r="D35" s="19" t="n">
        <f aca="false">D33+D34</f>
        <v>1007</v>
      </c>
      <c r="H35" s="3"/>
    </row>
    <row r="36" customFormat="false" ht="15" hidden="false" customHeight="false" outlineLevel="0" collapsed="false">
      <c r="A36" s="18" t="s">
        <v>217</v>
      </c>
      <c r="D36" s="19" t="n">
        <f aca="false">D35-D32</f>
        <v>-63</v>
      </c>
      <c r="H36" s="3"/>
    </row>
    <row r="37" customFormat="false" ht="15" hidden="false" customHeight="false" outlineLevel="0" collapsed="false">
      <c r="A37" s="18" t="s">
        <v>218</v>
      </c>
      <c r="D37" s="21" t="str">
        <f aca="false">IF(ABS(D36)&lt;5,"yes","NO — the components fall "&amp;TEXT(-D36,"0")&amp;" m short of the stated total")</f>
        <v>NO — the components fall 63 m short of the stated total</v>
      </c>
      <c r="H37" s="3"/>
    </row>
    <row r="38" customFormat="false" ht="15" hidden="false" customHeight="false" outlineLevel="0" collapsed="false">
      <c r="A38" s="13" t="s">
        <v>219</v>
      </c>
      <c r="D38" s="28" t="n">
        <v>57</v>
      </c>
      <c r="H38" s="3"/>
    </row>
    <row r="39" customFormat="false" ht="15" hidden="false" customHeight="false" outlineLevel="0" collapsed="false">
      <c r="A39" s="13" t="s">
        <v>220</v>
      </c>
      <c r="D39" s="28" t="n">
        <v>32</v>
      </c>
      <c r="H39" s="3"/>
    </row>
    <row r="40" customFormat="false" ht="15" hidden="false" customHeight="false" outlineLevel="0" collapsed="false">
      <c r="A40" s="13" t="s">
        <v>221</v>
      </c>
      <c r="D40" s="28" t="n">
        <v>25</v>
      </c>
      <c r="H40" s="3"/>
    </row>
    <row r="41" customFormat="false" ht="15" hidden="false" customHeight="false" outlineLevel="0" collapsed="false">
      <c r="A41" s="18" t="s">
        <v>222</v>
      </c>
      <c r="D41" s="35" t="n">
        <f aca="false">D39+D40</f>
        <v>57</v>
      </c>
      <c r="H41" s="3"/>
    </row>
    <row r="42" customFormat="false" ht="15" hidden="false" customHeight="false" outlineLevel="0" collapsed="false">
      <c r="A42" s="18" t="s">
        <v>223</v>
      </c>
      <c r="D42" s="25" t="n">
        <f aca="false">D33/D39</f>
        <v>21.09375</v>
      </c>
      <c r="H42" s="3"/>
    </row>
    <row r="43" customFormat="false" ht="15" hidden="false" customHeight="false" outlineLevel="0" collapsed="false">
      <c r="A43" s="18" t="s">
        <v>224</v>
      </c>
      <c r="D43" s="25" t="n">
        <f aca="false">D34/D40</f>
        <v>13.28</v>
      </c>
      <c r="H43" s="3"/>
    </row>
    <row r="44" customFormat="false" ht="15" hidden="false" customHeight="false" outlineLevel="0" collapsed="false">
      <c r="A44" s="13" t="s">
        <v>225</v>
      </c>
      <c r="D44" s="28" t="n">
        <v>634</v>
      </c>
      <c r="H44" s="3"/>
    </row>
    <row r="45" customFormat="false" ht="15" hidden="false" customHeight="false" outlineLevel="0" collapsed="false">
      <c r="A45" s="13" t="s">
        <v>226</v>
      </c>
      <c r="D45" s="27" t="n">
        <f aca="false">D44/D38</f>
        <v>11.1228070175439</v>
      </c>
      <c r="H45" s="3"/>
    </row>
    <row r="46" customFormat="false" ht="15" hidden="false" customHeight="false" outlineLevel="0" collapsed="false">
      <c r="A46" s="13" t="s">
        <v>227</v>
      </c>
      <c r="D46" s="14" t="n">
        <v>0.38</v>
      </c>
      <c r="H46" s="3"/>
    </row>
    <row r="47" customFormat="false" ht="15" hidden="false" customHeight="false" outlineLevel="0" collapsed="false">
      <c r="A47" s="13" t="s">
        <v>228</v>
      </c>
      <c r="D47" s="14" t="n">
        <v>0.21</v>
      </c>
      <c r="H47" s="3"/>
    </row>
    <row r="48" customFormat="false" ht="15" hidden="false" customHeight="false" outlineLevel="0" collapsed="false">
      <c r="A48" s="13" t="s">
        <v>229</v>
      </c>
      <c r="D48" s="48" t="n">
        <f aca="false">D44*D46</f>
        <v>240.92</v>
      </c>
      <c r="H48" s="3"/>
    </row>
    <row r="49" customFormat="false" ht="15" hidden="false" customHeight="false" outlineLevel="0" collapsed="false">
      <c r="A49" s="13" t="s">
        <v>230</v>
      </c>
      <c r="D49" s="27" t="n">
        <f aca="false">D35*D47</f>
        <v>211.47</v>
      </c>
      <c r="H49" s="3"/>
    </row>
    <row r="50" customFormat="false" ht="15" hidden="false" customHeight="false" outlineLevel="0" collapsed="false">
      <c r="A50" s="13" t="s">
        <v>231</v>
      </c>
      <c r="D50" s="27" t="n">
        <f aca="false">D49/D48</f>
        <v>0.877760252365931</v>
      </c>
      <c r="H50" s="3"/>
    </row>
    <row r="51" customFormat="false" ht="15" hidden="false" customHeight="false" outlineLevel="0" collapsed="false">
      <c r="A51" s="13" t="s">
        <v>232</v>
      </c>
      <c r="D51" s="27" t="n">
        <f aca="false">D35/D44</f>
        <v>1.58832807570978</v>
      </c>
    </row>
    <row r="52" customFormat="false" ht="15" hidden="false" customHeight="false" outlineLevel="0" collapsed="false">
      <c r="A52" s="18" t="s">
        <v>233</v>
      </c>
      <c r="D52" s="56" t="n">
        <f aca="false">D50/D51</f>
        <v>0.552631578947369</v>
      </c>
    </row>
    <row r="54" customFormat="false" ht="15" hidden="false" customHeight="false" outlineLevel="0" collapsed="false">
      <c r="A54" s="13" t="s">
        <v>234</v>
      </c>
    </row>
    <row r="55" customFormat="false" ht="15" hidden="false" customHeight="false" outlineLevel="0" collapsed="false">
      <c r="A55" s="13" t="s">
        <v>235</v>
      </c>
      <c r="D55" s="32" t="n">
        <v>1200</v>
      </c>
    </row>
    <row r="56" customFormat="false" ht="15" hidden="false" customHeight="false" outlineLevel="0" collapsed="false">
      <c r="A56" s="13" t="s">
        <v>236</v>
      </c>
      <c r="D56" s="32" t="n">
        <v>300</v>
      </c>
    </row>
    <row r="57" customFormat="false" ht="15" hidden="false" customHeight="false" outlineLevel="0" collapsed="false">
      <c r="A57" s="13" t="s">
        <v>237</v>
      </c>
      <c r="D57" s="32" t="n">
        <v>325</v>
      </c>
    </row>
    <row r="58" customFormat="false" ht="15" hidden="false" customHeight="false" outlineLevel="0" collapsed="false">
      <c r="A58" s="13" t="s">
        <v>238</v>
      </c>
      <c r="D58" s="32" t="n">
        <v>240</v>
      </c>
    </row>
    <row r="59" customFormat="false" ht="15" hidden="false" customHeight="false" outlineLevel="0" collapsed="false">
      <c r="A59" s="13" t="s">
        <v>239</v>
      </c>
      <c r="D59" s="32" t="n">
        <v>100</v>
      </c>
    </row>
    <row r="60" customFormat="false" ht="15" hidden="false" customHeight="false" outlineLevel="0" collapsed="false">
      <c r="A60" s="13" t="s">
        <v>240</v>
      </c>
      <c r="D60" s="57" t="n">
        <f aca="false">D55-D57-D58-D59</f>
        <v>535</v>
      </c>
    </row>
    <row r="61" customFormat="false" ht="15" hidden="false" customHeight="false" outlineLevel="0" collapsed="false">
      <c r="A61" s="13" t="s">
        <v>241</v>
      </c>
      <c r="D61" s="32" t="n">
        <v>260</v>
      </c>
    </row>
    <row r="62" customFormat="false" ht="15" hidden="false" customHeight="false" outlineLevel="0" collapsed="false">
      <c r="A62" s="13" t="s">
        <v>242</v>
      </c>
      <c r="D62" s="57" t="n">
        <f aca="false">D60+D61</f>
        <v>795</v>
      </c>
    </row>
    <row r="63" customFormat="false" ht="15" hidden="false" customHeight="false" outlineLevel="0" collapsed="false">
      <c r="A63" s="13" t="s">
        <v>243</v>
      </c>
      <c r="D63" s="57" t="str">
        <f aca="false">IF(D62&gt;700,"yes","NO")</f>
        <v>yes</v>
      </c>
    </row>
    <row r="64" customFormat="false" ht="15" hidden="false" customHeight="false" outlineLevel="0" collapsed="false">
      <c r="A64" s="13" t="s">
        <v>244</v>
      </c>
      <c r="D64" s="32" t="n">
        <v>35.3</v>
      </c>
    </row>
    <row r="65" customFormat="false" ht="15" hidden="false" customHeight="false" outlineLevel="0" collapsed="false">
      <c r="A65" s="13" t="s">
        <v>245</v>
      </c>
      <c r="D65" s="57" t="n">
        <f aca="false">D62+D57+D58+D59</f>
        <v>1460</v>
      </c>
    </row>
    <row r="66" customFormat="false" ht="15" hidden="false" customHeight="false" outlineLevel="0" collapsed="false">
      <c r="A66" s="13" t="s">
        <v>246</v>
      </c>
      <c r="D66" s="57" t="n">
        <f aca="false">D55+D56</f>
        <v>1500</v>
      </c>
    </row>
    <row r="67" customFormat="false" ht="15" hidden="false" customHeight="false" outlineLevel="0" collapsed="false">
      <c r="A67" s="13" t="s">
        <v>247</v>
      </c>
      <c r="D67" s="57" t="n">
        <f aca="false">D66-D65</f>
        <v>40</v>
      </c>
    </row>
    <row r="68" customFormat="false" ht="15" hidden="false" customHeight="false" outlineLevel="0" collapsed="false">
      <c r="A68" s="13" t="s">
        <v>248</v>
      </c>
      <c r="D68" s="57" t="n">
        <f aca="false">700+D57+D58+D61+D59+D64</f>
        <v>1660.3</v>
      </c>
    </row>
    <row r="69" customFormat="false" ht="15" hidden="false" customHeight="false" outlineLevel="0" collapsed="false">
      <c r="A69" s="13" t="s">
        <v>249</v>
      </c>
      <c r="D69" s="57" t="n">
        <f aca="false">D68-D65</f>
        <v>200.3</v>
      </c>
    </row>
    <row r="70" customFormat="false" ht="15" hidden="false" customHeight="false" outlineLevel="0" collapsed="false">
      <c r="A70" s="58" t="s">
        <v>250</v>
      </c>
    </row>
  </sheetData>
  <mergeCells count="1">
    <mergeCell ref="H5:H5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2" min="2" style="0" width="6"/>
    <col collapsed="false" customWidth="true" hidden="false" outlineLevel="0" max="5" min="3" style="0" width="16"/>
    <col collapsed="false" customWidth="true" hidden="false" outlineLevel="0" max="6" min="6" style="0" width="3"/>
    <col collapsed="false" customWidth="true" hidden="false" outlineLevel="0" max="7" min="7" style="0" width="60"/>
  </cols>
  <sheetData>
    <row r="1" customFormat="false" ht="17.35" hidden="false" customHeight="false" outlineLevel="0" collapsed="false">
      <c r="A1" s="1" t="s">
        <v>251</v>
      </c>
    </row>
    <row r="2" customFormat="false" ht="15" hidden="false" customHeight="false" outlineLevel="0" collapsed="false">
      <c r="A2" s="2" t="s">
        <v>252</v>
      </c>
    </row>
    <row r="4" customFormat="false" ht="15" hidden="false" customHeight="false" outlineLevel="0" collapsed="false">
      <c r="A4" s="5" t="s">
        <v>253</v>
      </c>
      <c r="G4" s="5" t="s">
        <v>254</v>
      </c>
    </row>
    <row r="5" customFormat="false" ht="15" hidden="false" customHeight="true" outlineLevel="0" collapsed="false">
      <c r="A5" s="13" t="s">
        <v>255</v>
      </c>
      <c r="C5" s="32" t="n">
        <v>300</v>
      </c>
      <c r="G5" s="3" t="s">
        <v>256</v>
      </c>
    </row>
    <row r="6" customFormat="false" ht="15" hidden="false" customHeight="false" outlineLevel="0" collapsed="false">
      <c r="A6" s="13" t="s">
        <v>257</v>
      </c>
      <c r="C6" s="28" t="n">
        <v>5</v>
      </c>
      <c r="G6" s="3"/>
    </row>
    <row r="7" customFormat="false" ht="15" hidden="false" customHeight="false" outlineLevel="0" collapsed="false">
      <c r="A7" s="13" t="s">
        <v>258</v>
      </c>
      <c r="C7" s="16" t="n">
        <v>60</v>
      </c>
      <c r="G7" s="3"/>
    </row>
    <row r="8" customFormat="false" ht="15" hidden="false" customHeight="false" outlineLevel="0" collapsed="false">
      <c r="A8" s="18" t="s">
        <v>259</v>
      </c>
      <c r="C8" s="19" t="n">
        <f aca="false">C6*C7</f>
        <v>300</v>
      </c>
      <c r="G8" s="3"/>
    </row>
    <row r="9" customFormat="false" ht="15" hidden="false" customHeight="false" outlineLevel="0" collapsed="false">
      <c r="A9" s="18" t="s">
        <v>260</v>
      </c>
      <c r="C9" s="21" t="str">
        <f aca="false">IF(ABS(C8-C5)&lt;1,"exact — the budget was fully allocated","differs")</f>
        <v>exact — the budget was fully allocated</v>
      </c>
      <c r="G9" s="3"/>
    </row>
    <row r="10" customFormat="false" ht="15" hidden="false" customHeight="false" outlineLevel="0" collapsed="false">
      <c r="A10" s="13" t="s">
        <v>261</v>
      </c>
      <c r="C10" s="28" t="n">
        <v>20</v>
      </c>
      <c r="G10" s="3"/>
    </row>
    <row r="11" customFormat="false" ht="15" hidden="false" customHeight="false" outlineLevel="0" collapsed="false">
      <c r="A11" s="13" t="s">
        <v>262</v>
      </c>
      <c r="C11" s="28" t="n">
        <v>6</v>
      </c>
      <c r="G11" s="3"/>
    </row>
    <row r="12" customFormat="false" ht="15" hidden="false" customHeight="false" outlineLevel="0" collapsed="false">
      <c r="A12" s="13" t="s">
        <v>263</v>
      </c>
      <c r="C12" s="48" t="n">
        <f aca="false">C6*C11</f>
        <v>30</v>
      </c>
      <c r="G12" s="3"/>
    </row>
    <row r="13" customFormat="false" ht="15" hidden="false" customHeight="false" outlineLevel="0" collapsed="false">
      <c r="A13" s="13" t="s">
        <v>264</v>
      </c>
      <c r="C13" s="27" t="n">
        <f aca="false">C12/C10</f>
        <v>1.5</v>
      </c>
      <c r="G13" s="3"/>
    </row>
    <row r="14" customFormat="false" ht="15" hidden="false" customHeight="false" outlineLevel="0" collapsed="false">
      <c r="A14" s="13" t="s">
        <v>265</v>
      </c>
      <c r="C14" s="32" t="n">
        <v>11</v>
      </c>
      <c r="G14" s="3"/>
    </row>
    <row r="15" customFormat="false" ht="15" hidden="false" customHeight="false" outlineLevel="0" collapsed="false">
      <c r="A15" s="18" t="s">
        <v>266</v>
      </c>
      <c r="C15" s="56" t="n">
        <f aca="false">C14*1000/C5</f>
        <v>36.6666666666667</v>
      </c>
      <c r="G15" s="3"/>
    </row>
    <row r="16" customFormat="false" ht="15" hidden="false" customHeight="false" outlineLevel="0" collapsed="false">
      <c r="A16" s="13" t="s">
        <v>267</v>
      </c>
      <c r="C16" s="2" t="s">
        <v>268</v>
      </c>
      <c r="G16" s="3"/>
    </row>
    <row r="17" customFormat="false" ht="15" hidden="false" customHeight="false" outlineLevel="0" collapsed="false">
      <c r="A17" s="18" t="s">
        <v>269</v>
      </c>
      <c r="C17" s="21" t="str">
        <f aca="false">IF(AND(C15&gt;=30,C15&lt;=40),"yes — just under forty","no")</f>
        <v>yes — just under forty</v>
      </c>
      <c r="G17" s="3"/>
    </row>
    <row r="18" customFormat="false" ht="15" hidden="false" customHeight="false" outlineLevel="0" collapsed="false">
      <c r="G18" s="3"/>
    </row>
    <row r="19" customFormat="false" ht="15" hidden="false" customHeight="false" outlineLevel="0" collapsed="false">
      <c r="A19" s="5" t="s">
        <v>270</v>
      </c>
      <c r="G19" s="3"/>
    </row>
    <row r="20" customFormat="false" ht="15" hidden="false" customHeight="false" outlineLevel="0" collapsed="false">
      <c r="A20" s="13" t="s">
        <v>271</v>
      </c>
      <c r="C20" s="32" t="n">
        <v>500</v>
      </c>
      <c r="G20" s="3"/>
    </row>
    <row r="21" customFormat="false" ht="15" hidden="false" customHeight="false" outlineLevel="0" collapsed="false">
      <c r="A21" s="13" t="s">
        <v>272</v>
      </c>
      <c r="C21" s="30" t="n">
        <v>1.4</v>
      </c>
      <c r="G21" s="3"/>
    </row>
    <row r="22" customFormat="false" ht="15" hidden="false" customHeight="false" outlineLevel="0" collapsed="false">
      <c r="A22" s="18" t="s">
        <v>266</v>
      </c>
      <c r="C22" s="56" t="n">
        <f aca="false">C21*1000/C20</f>
        <v>2.8</v>
      </c>
      <c r="G22" s="3"/>
    </row>
    <row r="23" customFormat="false" ht="15" hidden="false" customHeight="false" outlineLevel="0" collapsed="false">
      <c r="A23" s="13" t="s">
        <v>273</v>
      </c>
      <c r="C23" s="28" t="n">
        <v>31</v>
      </c>
      <c r="G23" s="3"/>
    </row>
    <row r="24" customFormat="false" ht="27.75" hidden="false" customHeight="true" outlineLevel="0" collapsed="false">
      <c r="A24" s="6" t="s">
        <v>274</v>
      </c>
      <c r="B24" s="7"/>
      <c r="C24" s="7" t="s">
        <v>275</v>
      </c>
      <c r="D24" s="7" t="s">
        <v>276</v>
      </c>
      <c r="G24" s="3"/>
    </row>
    <row r="25" customFormat="false" ht="15" hidden="false" customHeight="false" outlineLevel="0" collapsed="false">
      <c r="A25" s="13" t="s">
        <v>277</v>
      </c>
      <c r="C25" s="16" t="n">
        <v>248</v>
      </c>
      <c r="D25" s="15" t="n">
        <f aca="false">C25/$C$30</f>
        <v>0.482490272373541</v>
      </c>
      <c r="G25" s="3"/>
    </row>
    <row r="26" customFormat="false" ht="15" hidden="false" customHeight="false" outlineLevel="0" collapsed="false">
      <c r="A26" s="8" t="s">
        <v>278</v>
      </c>
      <c r="C26" s="10" t="n">
        <v>124</v>
      </c>
      <c r="D26" s="12" t="n">
        <f aca="false">C26/$C$30</f>
        <v>0.24124513618677</v>
      </c>
      <c r="G26" s="3"/>
    </row>
    <row r="27" customFormat="false" ht="15" hidden="false" customHeight="false" outlineLevel="0" collapsed="false">
      <c r="A27" s="13" t="s">
        <v>279</v>
      </c>
      <c r="C27" s="16" t="n">
        <v>90</v>
      </c>
      <c r="D27" s="15" t="n">
        <f aca="false">C27/$C$30</f>
        <v>0.175097276264591</v>
      </c>
      <c r="G27" s="3"/>
    </row>
    <row r="28" customFormat="false" ht="15" hidden="false" customHeight="false" outlineLevel="0" collapsed="false">
      <c r="A28" s="8" t="s">
        <v>280</v>
      </c>
      <c r="C28" s="10" t="n">
        <v>50</v>
      </c>
      <c r="D28" s="12" t="n">
        <f aca="false">C28/$C$30</f>
        <v>0.0972762645914397</v>
      </c>
      <c r="G28" s="3"/>
    </row>
    <row r="29" customFormat="false" ht="15" hidden="false" customHeight="false" outlineLevel="0" collapsed="false">
      <c r="A29" s="13" t="s">
        <v>281</v>
      </c>
      <c r="C29" s="16" t="n">
        <v>2</v>
      </c>
      <c r="D29" s="15" t="n">
        <f aca="false">C29/$C$30</f>
        <v>0.00389105058365759</v>
      </c>
      <c r="G29" s="3"/>
    </row>
    <row r="30" customFormat="false" ht="15" hidden="false" customHeight="false" outlineLevel="0" collapsed="false">
      <c r="A30" s="18" t="s">
        <v>282</v>
      </c>
      <c r="C30" s="19" t="n">
        <f aca="false">SUM(C25:C29)</f>
        <v>514</v>
      </c>
      <c r="G30" s="3"/>
    </row>
    <row r="31" customFormat="false" ht="15" hidden="false" customHeight="false" outlineLevel="0" collapsed="false">
      <c r="A31" s="18" t="s">
        <v>283</v>
      </c>
      <c r="C31" s="19" t="n">
        <f aca="false">C30-C20</f>
        <v>14</v>
      </c>
      <c r="G31" s="3"/>
    </row>
    <row r="32" customFormat="false" ht="15" hidden="false" customHeight="false" outlineLevel="0" collapsed="false">
      <c r="A32" s="18" t="s">
        <v>218</v>
      </c>
      <c r="C32" s="21" t="str">
        <f aca="false">IF(ABS(C31)&lt;=20,"yes, within the rounding the book signals with approximately","NO — check the components")</f>
        <v>yes, within the rounding the book signals with approximately</v>
      </c>
      <c r="G32" s="3"/>
    </row>
    <row r="33" customFormat="false" ht="15" hidden="false" customHeight="false" outlineLevel="0" collapsed="false">
      <c r="A33" s="13" t="s">
        <v>284</v>
      </c>
      <c r="C33" s="27" t="n">
        <f aca="false">C20/C23</f>
        <v>16.1290322580645</v>
      </c>
      <c r="G33" s="3"/>
    </row>
    <row r="34" customFormat="false" ht="15" hidden="false" customHeight="false" outlineLevel="0" collapsed="false">
      <c r="A34" s="18" t="s">
        <v>285</v>
      </c>
      <c r="C34" s="19" t="n">
        <f aca="false">C21*1000-C20</f>
        <v>900</v>
      </c>
      <c r="G34" s="3"/>
    </row>
    <row r="35" customFormat="false" ht="15" hidden="false" customHeight="false" outlineLevel="0" collapsed="false">
      <c r="A35" s="13" t="s">
        <v>286</v>
      </c>
      <c r="C35" s="15" t="n">
        <f aca="false">C20/(C21*1000)</f>
        <v>0.357142857142857</v>
      </c>
      <c r="G35" s="3"/>
    </row>
    <row r="36" customFormat="false" ht="15" hidden="false" customHeight="false" outlineLevel="0" collapsed="false">
      <c r="G36" s="3"/>
    </row>
    <row r="37" customFormat="false" ht="15" hidden="false" customHeight="false" outlineLevel="0" collapsed="false">
      <c r="A37" s="5" t="s">
        <v>287</v>
      </c>
      <c r="G37" s="3"/>
    </row>
    <row r="38" customFormat="false" ht="15" hidden="false" customHeight="false" outlineLevel="0" collapsed="false">
      <c r="A38" s="13" t="s">
        <v>288</v>
      </c>
      <c r="C38" s="32" t="n">
        <v>165</v>
      </c>
      <c r="G38" s="3"/>
    </row>
    <row r="39" customFormat="false" ht="15" hidden="false" customHeight="false" outlineLevel="0" collapsed="false">
      <c r="A39" s="13" t="s">
        <v>289</v>
      </c>
      <c r="C39" s="16" t="n">
        <v>470</v>
      </c>
      <c r="G39" s="3"/>
    </row>
    <row r="40" customFormat="false" ht="15" hidden="false" customHeight="false" outlineLevel="0" collapsed="false">
      <c r="A40" s="18" t="s">
        <v>290</v>
      </c>
      <c r="C40" s="23" t="n">
        <f aca="false">C38/C39</f>
        <v>0.351063829787234</v>
      </c>
      <c r="G40" s="3"/>
    </row>
    <row r="41" customFormat="false" ht="15" hidden="false" customHeight="false" outlineLevel="0" collapsed="false">
      <c r="A41" s="13" t="s">
        <v>291</v>
      </c>
      <c r="C41" s="24" t="n">
        <v>0.35</v>
      </c>
      <c r="G41" s="3"/>
    </row>
    <row r="42" customFormat="false" ht="15" hidden="false" customHeight="false" outlineLevel="0" collapsed="false">
      <c r="A42" s="18" t="s">
        <v>292</v>
      </c>
      <c r="C42" s="19" t="n">
        <f aca="false">C38/C41</f>
        <v>471.428571428571</v>
      </c>
      <c r="G42" s="3"/>
    </row>
    <row r="43" customFormat="false" ht="15" hidden="false" customHeight="false" outlineLevel="0" collapsed="false">
      <c r="A43" s="18" t="s">
        <v>293</v>
      </c>
      <c r="C43" s="19" t="n">
        <f aca="false">C42-C39</f>
        <v>1.42857142857144</v>
      </c>
      <c r="G43" s="3"/>
    </row>
    <row r="44" customFormat="false" ht="15" hidden="false" customHeight="false" outlineLevel="0" collapsed="false">
      <c r="A44" s="18" t="s">
        <v>294</v>
      </c>
      <c r="C44" s="21" t="str">
        <f aca="false">IF(ABS(C43)&lt;=5,"yes — the roughly EUR 470 m is EUR 165 m at the 35% ceiling","no")</f>
        <v>yes — the roughly EUR 470 m is EUR 165 m at the 35% ceiling</v>
      </c>
      <c r="G44" s="3"/>
    </row>
    <row r="45" customFormat="false" ht="15" hidden="false" customHeight="false" outlineLevel="0" collapsed="false">
      <c r="A45" s="13" t="s">
        <v>209</v>
      </c>
      <c r="C45" s="28" t="n">
        <v>83</v>
      </c>
      <c r="G45" s="3"/>
    </row>
    <row r="46" customFormat="false" ht="15" hidden="false" customHeight="false" outlineLevel="0" collapsed="false">
      <c r="A46" s="13" t="s">
        <v>295</v>
      </c>
      <c r="C46" s="28" t="n">
        <v>24</v>
      </c>
      <c r="G46" s="3"/>
    </row>
    <row r="47" customFormat="false" ht="15" hidden="false" customHeight="false" outlineLevel="0" collapsed="false">
      <c r="A47" s="13" t="s">
        <v>296</v>
      </c>
      <c r="C47" s="27" t="n">
        <f aca="false">C38/C45</f>
        <v>1.98795180722892</v>
      </c>
      <c r="G47" s="3"/>
    </row>
    <row r="48" customFormat="false" ht="15" hidden="false" customHeight="false" outlineLevel="0" collapsed="false">
      <c r="G48" s="3"/>
    </row>
    <row r="49" customFormat="false" ht="15" hidden="false" customHeight="false" outlineLevel="0" collapsed="false">
      <c r="A49" s="5" t="s">
        <v>297</v>
      </c>
      <c r="G49" s="3"/>
    </row>
    <row r="50" customFormat="false" ht="15" hidden="false" customHeight="false" outlineLevel="0" collapsed="false">
      <c r="A50" s="13" t="s">
        <v>298</v>
      </c>
      <c r="C50" s="16" t="n">
        <v>1980</v>
      </c>
      <c r="G50" s="3"/>
    </row>
    <row r="51" customFormat="false" ht="15" hidden="false" customHeight="false" outlineLevel="0" collapsed="false">
      <c r="A51" s="13" t="s">
        <v>299</v>
      </c>
      <c r="C51" s="32" t="n">
        <v>131</v>
      </c>
    </row>
    <row r="52" customFormat="false" ht="15" hidden="false" customHeight="false" outlineLevel="0" collapsed="false">
      <c r="A52" s="18" t="s">
        <v>300</v>
      </c>
      <c r="C52" s="23" t="n">
        <f aca="false">C51/C50</f>
        <v>0.0661616161616162</v>
      </c>
    </row>
    <row r="53" customFormat="false" ht="15" hidden="false" customHeight="false" outlineLevel="0" collapsed="false">
      <c r="A53" s="13" t="s">
        <v>301</v>
      </c>
      <c r="C53" s="59" t="n">
        <v>5</v>
      </c>
    </row>
    <row r="54" customFormat="false" ht="15" hidden="false" customHeight="false" outlineLevel="0" collapsed="false">
      <c r="A54" s="18" t="s">
        <v>302</v>
      </c>
      <c r="C54" s="25" t="n">
        <f aca="false">C51/C53</f>
        <v>26.2</v>
      </c>
    </row>
    <row r="55" customFormat="false" ht="15" hidden="false" customHeight="false" outlineLevel="0" collapsed="false">
      <c r="A55" s="13" t="s">
        <v>303</v>
      </c>
      <c r="C55" s="27" t="n">
        <f aca="false">'The four instruments'!D5+'The four instruments'!D8</f>
        <v>9.453</v>
      </c>
    </row>
    <row r="56" customFormat="false" ht="15" hidden="false" customHeight="false" outlineLevel="0" collapsed="false">
      <c r="A56" s="18" t="s">
        <v>304</v>
      </c>
      <c r="C56" s="25" t="n">
        <f aca="false">C54-C55</f>
        <v>16.747</v>
      </c>
    </row>
    <row r="57" customFormat="false" ht="15" hidden="false" customHeight="false" outlineLevel="0" collapsed="false">
      <c r="A57" s="18" t="s">
        <v>305</v>
      </c>
      <c r="C57" s="21" t="str">
        <f aca="false">IF(ABS(C54-C55)&lt;3,"yes","no — the baseline is defence AND space, and space is the larger part")</f>
        <v>no — the baseline is defence AND space, and space is the larger part</v>
      </c>
    </row>
    <row r="58" customFormat="false" ht="15" hidden="false" customHeight="false" outlineLevel="0" collapsed="false">
      <c r="A58" s="13" t="s">
        <v>306</v>
      </c>
      <c r="C58" s="2" t="s">
        <v>307</v>
      </c>
    </row>
  </sheetData>
  <mergeCells count="1">
    <mergeCell ref="G5:G5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13"/>
    <col collapsed="false" customWidth="true" hidden="false" outlineLevel="0" max="2" min="2" style="0" width="56"/>
    <col collapsed="false" customWidth="true" hidden="false" outlineLevel="0" max="4" min="3" style="0" width="16"/>
    <col collapsed="false" customWidth="true" hidden="false" outlineLevel="0" max="6" min="5" style="0" width="13"/>
    <col collapsed="false" customWidth="true" hidden="false" outlineLevel="0" max="7" min="7" style="0" width="3"/>
    <col collapsed="false" customWidth="true" hidden="false" outlineLevel="0" max="8" min="8" style="0" width="46"/>
  </cols>
  <sheetData>
    <row r="1" customFormat="false" ht="17.35" hidden="false" customHeight="false" outlineLevel="0" collapsed="false">
      <c r="A1" s="1" t="s">
        <v>308</v>
      </c>
    </row>
    <row r="2" customFormat="false" ht="15" hidden="false" customHeight="false" outlineLevel="0" collapsed="false">
      <c r="A2" s="2" t="s">
        <v>309</v>
      </c>
    </row>
    <row r="4" customFormat="false" ht="27.75" hidden="false" customHeight="true" outlineLevel="0" collapsed="false">
      <c r="A4" s="6" t="s">
        <v>310</v>
      </c>
      <c r="B4" s="7" t="s">
        <v>311</v>
      </c>
      <c r="C4" s="7" t="s">
        <v>312</v>
      </c>
      <c r="D4" s="7" t="s">
        <v>313</v>
      </c>
      <c r="E4" s="7" t="s">
        <v>314</v>
      </c>
      <c r="F4" s="7" t="s">
        <v>306</v>
      </c>
      <c r="H4" s="5" t="s">
        <v>315</v>
      </c>
    </row>
    <row r="5" customFormat="false" ht="15" hidden="false" customHeight="true" outlineLevel="0" collapsed="false">
      <c r="A5" s="60" t="s">
        <v>316</v>
      </c>
      <c r="B5" s="52" t="s">
        <v>317</v>
      </c>
      <c r="C5" s="61" t="n">
        <v>0.31</v>
      </c>
      <c r="D5" s="62" t="n">
        <f aca="false">'The build-up'!C15</f>
        <v>0.309037900874636</v>
      </c>
      <c r="E5" s="63" t="n">
        <f aca="false">D5-C5</f>
        <v>-0.000962099125364435</v>
      </c>
      <c r="F5" s="64" t="str">
        <f aca="false">IF(ABS(E5)&lt;=0.005,"reproduced",IF(ABS(E5)&lt;=0.005*5,"rounding","CHECK"))</f>
        <v>reproduced</v>
      </c>
      <c r="H5" s="3" t="s">
        <v>318</v>
      </c>
    </row>
    <row r="6" customFormat="false" ht="15" hidden="false" customHeight="false" outlineLevel="0" collapsed="false">
      <c r="A6" s="65" t="s">
        <v>316</v>
      </c>
      <c r="B6" s="55" t="s">
        <v>24</v>
      </c>
      <c r="C6" s="66" t="n">
        <v>0.015</v>
      </c>
      <c r="D6" s="67" t="n">
        <f aca="false">'The build-up'!C18</f>
        <v>0.0145772594752187</v>
      </c>
      <c r="E6" s="68" t="n">
        <f aca="false">D6-C6</f>
        <v>-0.000422740524781341</v>
      </c>
      <c r="F6" s="69" t="str">
        <f aca="false">IF(ABS(E6)&lt;=0.0005,"reproduced",IF(ABS(E6)&lt;=0.0005*5,"rounding","CHECK"))</f>
        <v>reproduced</v>
      </c>
      <c r="H6" s="3"/>
    </row>
    <row r="7" customFormat="false" ht="15" hidden="false" customHeight="false" outlineLevel="0" collapsed="false">
      <c r="A7" s="60" t="s">
        <v>316</v>
      </c>
      <c r="B7" s="52" t="s">
        <v>319</v>
      </c>
      <c r="C7" s="70" t="n">
        <v>1</v>
      </c>
      <c r="D7" s="71" t="n">
        <f aca="false">IF('The build-up'!C14="yes, within two per cent",1,0)</f>
        <v>1</v>
      </c>
      <c r="E7" s="72" t="n">
        <f aca="false">D7-C7</f>
        <v>0</v>
      </c>
      <c r="F7" s="64" t="str">
        <f aca="false">IF(ABS(E7)&lt;=0.0001,"reproduced",IF(ABS(E7)&lt;=0.0001*5,"rounding","CHECK"))</f>
        <v>reproduced</v>
      </c>
      <c r="H7" s="3"/>
    </row>
    <row r="8" customFormat="false" ht="15" hidden="false" customHeight="false" outlineLevel="0" collapsed="false">
      <c r="A8" s="65" t="s">
        <v>316</v>
      </c>
      <c r="B8" s="55" t="s">
        <v>320</v>
      </c>
      <c r="C8" s="73" t="n">
        <v>63.3</v>
      </c>
      <c r="D8" s="74" t="n">
        <f aca="false">'The build-up'!C22</f>
        <v>63.3093525179856</v>
      </c>
      <c r="E8" s="75" t="n">
        <f aca="false">D8-C8</f>
        <v>0.00935251798561154</v>
      </c>
      <c r="F8" s="69" t="str">
        <f aca="false">IF(ABS(E8)&lt;=0.05,"reproduced",IF(ABS(E8)&lt;=0.05*5,"rounding","CHECK"))</f>
        <v>reproduced</v>
      </c>
      <c r="H8" s="3"/>
    </row>
    <row r="9" customFormat="false" ht="15" hidden="false" customHeight="false" outlineLevel="0" collapsed="false">
      <c r="A9" s="60" t="s">
        <v>316</v>
      </c>
      <c r="B9" s="52" t="s">
        <v>40</v>
      </c>
      <c r="C9" s="76" t="n">
        <v>6.86</v>
      </c>
      <c r="D9" s="77" t="n">
        <f aca="false">'The build-up'!C32</f>
        <v>6.86</v>
      </c>
      <c r="E9" s="78" t="n">
        <f aca="false">D9-C9</f>
        <v>0</v>
      </c>
      <c r="F9" s="64" t="str">
        <f aca="false">IF(ABS(E9)&lt;=0.005,"reproduced",IF(ABS(E9)&lt;=0.005*5,"rounding","CHECK"))</f>
        <v>reproduced</v>
      </c>
      <c r="H9" s="3"/>
    </row>
    <row r="10" customFormat="false" ht="15" hidden="false" customHeight="false" outlineLevel="0" collapsed="false">
      <c r="A10" s="65" t="s">
        <v>316</v>
      </c>
      <c r="B10" s="55" t="s">
        <v>321</v>
      </c>
      <c r="C10" s="79" t="n">
        <v>0.444</v>
      </c>
      <c r="D10" s="80" t="n">
        <f aca="false">'The build-up'!C31</f>
        <v>0.444444444444444</v>
      </c>
      <c r="E10" s="81" t="n">
        <f aca="false">D10-C10</f>
        <v>0.000444444444444414</v>
      </c>
      <c r="F10" s="69" t="str">
        <f aca="false">IF(ABS(E10)&lt;=0.005,"reproduced",IF(ABS(E10)&lt;=0.005*5,"rounding","CHECK"))</f>
        <v>reproduced</v>
      </c>
      <c r="H10" s="3"/>
    </row>
    <row r="11" customFormat="false" ht="15" hidden="false" customHeight="false" outlineLevel="0" collapsed="false">
      <c r="A11" s="60" t="s">
        <v>316</v>
      </c>
      <c r="B11" s="52" t="s">
        <v>322</v>
      </c>
      <c r="C11" s="82" t="n">
        <v>50127</v>
      </c>
      <c r="D11" s="83" t="n">
        <f aca="false">'The build-up'!C42</f>
        <v>50127.0718232045</v>
      </c>
      <c r="E11" s="84" t="n">
        <f aca="false">D11-C11</f>
        <v>0.0718232045182958</v>
      </c>
      <c r="F11" s="64" t="str">
        <f aca="false">IF(ABS(E11)&lt;=50,"reproduced",IF(ABS(E11)&lt;=50*5,"rounding","CHECK"))</f>
        <v>reproduced</v>
      </c>
      <c r="H11" s="3"/>
    </row>
    <row r="12" customFormat="false" ht="15" hidden="false" customHeight="false" outlineLevel="0" collapsed="false">
      <c r="A12" s="65" t="s">
        <v>316</v>
      </c>
      <c r="B12" s="55" t="s">
        <v>323</v>
      </c>
      <c r="C12" s="79" t="n">
        <v>0.316</v>
      </c>
      <c r="D12" s="80" t="n">
        <f aca="false">'The build-up'!C44</f>
        <v>0.315955766192733</v>
      </c>
      <c r="E12" s="81" t="n">
        <f aca="false">D12-C12</f>
        <v>-4.42338072669801E-005</v>
      </c>
      <c r="F12" s="69" t="str">
        <f aca="false">IF(ABS(E12)&lt;=0.005,"reproduced",IF(ABS(E12)&lt;=0.005*5,"rounding","CHECK"))</f>
        <v>reproduced</v>
      </c>
      <c r="H12" s="3"/>
    </row>
    <row r="13" customFormat="false" ht="15" hidden="false" customHeight="false" outlineLevel="0" collapsed="false">
      <c r="A13" s="60" t="s">
        <v>316</v>
      </c>
      <c r="B13" s="52" t="s">
        <v>324</v>
      </c>
      <c r="C13" s="70" t="n">
        <v>5</v>
      </c>
      <c r="D13" s="71" t="n">
        <f aca="false">2026-2021</f>
        <v>5</v>
      </c>
      <c r="E13" s="72" t="n">
        <f aca="false">D13-C13</f>
        <v>0</v>
      </c>
      <c r="F13" s="64" t="str">
        <f aca="false">IF(ABS(E13)&lt;=0.0001,"reproduced",IF(ABS(E13)&lt;=0.0001*5,"rounding","CHECK"))</f>
        <v>reproduced</v>
      </c>
      <c r="H13" s="3"/>
    </row>
    <row r="14" customFormat="false" ht="15" hidden="false" customHeight="false" outlineLevel="0" collapsed="false">
      <c r="A14" s="65" t="s">
        <v>325</v>
      </c>
      <c r="B14" s="55" t="s">
        <v>326</v>
      </c>
      <c r="C14" s="85" t="n">
        <v>800</v>
      </c>
      <c r="D14" s="86" t="n">
        <f aca="false">'Readiness 2030'!C8</f>
        <v>800</v>
      </c>
      <c r="E14" s="87" t="n">
        <f aca="false">D14-C14</f>
        <v>0</v>
      </c>
      <c r="F14" s="69" t="str">
        <f aca="false">IF(ABS(E14)&lt;=0.5,"reproduced",IF(ABS(E14)&lt;=0.5*5,"rounding","CHECK"))</f>
        <v>reproduced</v>
      </c>
      <c r="H14" s="3"/>
    </row>
    <row r="15" customFormat="false" ht="15" hidden="false" customHeight="false" outlineLevel="0" collapsed="false">
      <c r="A15" s="60" t="s">
        <v>325</v>
      </c>
      <c r="B15" s="52" t="s">
        <v>327</v>
      </c>
      <c r="C15" s="88" t="n">
        <v>0.1875</v>
      </c>
      <c r="D15" s="89" t="n">
        <f aca="false">'Readiness 2030'!C11</f>
        <v>0.1875</v>
      </c>
      <c r="E15" s="90" t="n">
        <f aca="false">D15-C15</f>
        <v>0</v>
      </c>
      <c r="F15" s="64" t="str">
        <f aca="false">IF(ABS(E15)&lt;=0.0005,"reproduced",IF(ABS(E15)&lt;=0.0005*5,"rounding","CHECK"))</f>
        <v>reproduced</v>
      </c>
      <c r="H15" s="3"/>
    </row>
    <row r="16" customFormat="false" ht="15" hidden="false" customHeight="false" outlineLevel="0" collapsed="false">
      <c r="A16" s="65" t="s">
        <v>325</v>
      </c>
      <c r="B16" s="55" t="s">
        <v>328</v>
      </c>
      <c r="C16" s="91" t="n">
        <v>4</v>
      </c>
      <c r="D16" s="92" t="n">
        <f aca="false">'Readiness 2030'!C20</f>
        <v>4</v>
      </c>
      <c r="E16" s="93" t="n">
        <f aca="false">D16-C16</f>
        <v>0</v>
      </c>
      <c r="F16" s="69" t="str">
        <f aca="false">IF(ABS(E16)&lt;=0.0001,"reproduced",IF(ABS(E16)&lt;=0.0001*5,"rounding","CHECK"))</f>
        <v>reproduced</v>
      </c>
      <c r="H16" s="3"/>
    </row>
    <row r="17" customFormat="false" ht="15" hidden="false" customHeight="false" outlineLevel="0" collapsed="false">
      <c r="A17" s="60" t="s">
        <v>329</v>
      </c>
      <c r="B17" s="52" t="s">
        <v>330</v>
      </c>
      <c r="C17" s="82" t="n">
        <v>1083</v>
      </c>
      <c r="D17" s="83" t="n">
        <f aca="false">'Readiness 2030'!C24</f>
        <v>1083.15789473684</v>
      </c>
      <c r="E17" s="84" t="n">
        <f aca="false">D17-C17</f>
        <v>0.157894736842081</v>
      </c>
      <c r="F17" s="64" t="str">
        <f aca="false">IF(ABS(E17)&lt;=5,"reproduced",IF(ABS(E17)&lt;=5*5,"rounding","CHECK"))</f>
        <v>reproduced</v>
      </c>
      <c r="H17" s="3"/>
    </row>
    <row r="18" customFormat="false" ht="15" hidden="false" customHeight="false" outlineLevel="0" collapsed="false">
      <c r="A18" s="65" t="s">
        <v>329</v>
      </c>
      <c r="B18" s="55" t="s">
        <v>331</v>
      </c>
      <c r="C18" s="79" t="n">
        <v>0.6</v>
      </c>
      <c r="D18" s="80" t="n">
        <f aca="false">'Readiness 2030'!C26</f>
        <v>0.600097181729835</v>
      </c>
      <c r="E18" s="81" t="n">
        <f aca="false">D18-C18</f>
        <v>9.7181729834861E-005</v>
      </c>
      <c r="F18" s="69" t="str">
        <f aca="false">IF(ABS(E18)&lt;=0.005,"reproduced",IF(ABS(E18)&lt;=0.005*5,"rounding","CHECK"))</f>
        <v>reproduced</v>
      </c>
      <c r="H18" s="3"/>
    </row>
    <row r="19" customFormat="false" ht="15" hidden="false" customHeight="false" outlineLevel="0" collapsed="false">
      <c r="A19" s="60" t="s">
        <v>329</v>
      </c>
      <c r="B19" s="52" t="s">
        <v>332</v>
      </c>
      <c r="C19" s="88" t="n">
        <v>0.009</v>
      </c>
      <c r="D19" s="89" t="n">
        <f aca="false">'Readiness 2030'!C28</f>
        <v>0.00900145772594752</v>
      </c>
      <c r="E19" s="90" t="n">
        <f aca="false">D19-C19</f>
        <v>1.45772594752243E-006</v>
      </c>
      <c r="F19" s="64" t="str">
        <f aca="false">IF(ABS(E19)&lt;=0.0005,"reproduced",IF(ABS(E19)&lt;=0.0005*5,"rounding","CHECK"))</f>
        <v>reproduced</v>
      </c>
      <c r="H19" s="3"/>
    </row>
    <row r="20" customFormat="false" ht="15" hidden="false" customHeight="false" outlineLevel="0" collapsed="false">
      <c r="A20" s="65" t="s">
        <v>333</v>
      </c>
      <c r="B20" s="55" t="s">
        <v>334</v>
      </c>
      <c r="C20" s="85" t="n">
        <v>75</v>
      </c>
      <c r="D20" s="86" t="n">
        <f aca="false">'The Roadmap targets'!B40</f>
        <v>75</v>
      </c>
      <c r="E20" s="87" t="n">
        <f aca="false">D20-C20</f>
        <v>0</v>
      </c>
      <c r="F20" s="69" t="str">
        <f aca="false">IF(ABS(E20)&lt;=0.5,"reproduced",IF(ABS(E20)&lt;=0.5*5,"rounding","CHECK"))</f>
        <v>reproduced</v>
      </c>
      <c r="H20" s="3"/>
    </row>
    <row r="21" customFormat="false" ht="15" hidden="false" customHeight="false" outlineLevel="0" collapsed="false">
      <c r="A21" s="60" t="s">
        <v>333</v>
      </c>
      <c r="B21" s="52" t="s">
        <v>335</v>
      </c>
      <c r="C21" s="76" t="n">
        <v>4.4</v>
      </c>
      <c r="D21" s="77" t="n">
        <f aca="false">'The Roadmap targets'!B39</f>
        <v>4.40000000000001</v>
      </c>
      <c r="E21" s="78" t="n">
        <f aca="false">D21-C21</f>
        <v>0</v>
      </c>
      <c r="F21" s="64" t="str">
        <f aca="false">IF(ABS(E21)&lt;=0.05,"reproduced",IF(ABS(E21)&lt;=0.05*5,"rounding","CHECK"))</f>
        <v>reproduced</v>
      </c>
      <c r="H21" s="3"/>
    </row>
    <row r="22" customFormat="false" ht="15" hidden="false" customHeight="false" outlineLevel="0" collapsed="false">
      <c r="A22" s="65" t="s">
        <v>336</v>
      </c>
      <c r="B22" s="55" t="s">
        <v>337</v>
      </c>
      <c r="C22" s="73" t="n">
        <v>7.953</v>
      </c>
      <c r="D22" s="74" t="n">
        <f aca="false">'The four instruments'!D20</f>
        <v>7.953</v>
      </c>
      <c r="E22" s="75" t="n">
        <f aca="false">D22-C22</f>
        <v>0</v>
      </c>
      <c r="F22" s="69" t="str">
        <f aca="false">IF(ABS(E22)&lt;=0.0005,"reproduced",IF(ABS(E22)&lt;=0.0005*5,"rounding","CHECK"))</f>
        <v>reproduced</v>
      </c>
      <c r="H22" s="3"/>
    </row>
    <row r="23" customFormat="false" ht="15" hidden="false" customHeight="false" outlineLevel="0" collapsed="false">
      <c r="A23" s="60" t="s">
        <v>336</v>
      </c>
      <c r="B23" s="52" t="s">
        <v>338</v>
      </c>
      <c r="C23" s="88" t="n">
        <v>0.3333</v>
      </c>
      <c r="D23" s="89" t="n">
        <f aca="false">'The four instruments'!D22</f>
        <v>0.333333333333333</v>
      </c>
      <c r="E23" s="90" t="n">
        <f aca="false">D23-C23</f>
        <v>3.33333333333297E-005</v>
      </c>
      <c r="F23" s="64" t="str">
        <f aca="false">IF(ABS(E23)&lt;=0.0005,"reproduced",IF(ABS(E23)&lt;=0.0005*5,"rounding","CHECK"))</f>
        <v>reproduced</v>
      </c>
      <c r="H23" s="3"/>
    </row>
    <row r="24" customFormat="false" ht="15" hidden="false" customHeight="false" outlineLevel="0" collapsed="false">
      <c r="A24" s="65" t="s">
        <v>336</v>
      </c>
      <c r="B24" s="55" t="s">
        <v>339</v>
      </c>
      <c r="C24" s="66" t="n">
        <v>-0.082</v>
      </c>
      <c r="D24" s="67" t="n">
        <f aca="false">'The four instruments'!D25</f>
        <v>-0.0821073808625676</v>
      </c>
      <c r="E24" s="68" t="n">
        <f aca="false">D24-C24</f>
        <v>-0.000107380862567633</v>
      </c>
      <c r="F24" s="69" t="str">
        <f aca="false">IF(ABS(E24)&lt;=0.0005,"reproduced",IF(ABS(E24)&lt;=0.0005*5,"rounding","CHECK"))</f>
        <v>reproduced</v>
      </c>
      <c r="H24" s="3"/>
    </row>
    <row r="25" customFormat="false" ht="15" hidden="false" customHeight="false" outlineLevel="0" collapsed="false">
      <c r="A25" s="60" t="s">
        <v>336</v>
      </c>
      <c r="B25" s="52" t="s">
        <v>340</v>
      </c>
      <c r="C25" s="70" t="n">
        <v>57</v>
      </c>
      <c r="D25" s="71" t="n">
        <f aca="false">'The four instruments'!D41</f>
        <v>57</v>
      </c>
      <c r="E25" s="72" t="n">
        <f aca="false">D25-C25</f>
        <v>0</v>
      </c>
      <c r="F25" s="64" t="str">
        <f aca="false">IF(ABS(E25)&lt;=0.0001,"reproduced",IF(ABS(E25)&lt;=0.0001*5,"rounding","CHECK"))</f>
        <v>reproduced</v>
      </c>
      <c r="H25" s="3"/>
    </row>
    <row r="26" customFormat="false" ht="15" hidden="false" customHeight="false" outlineLevel="0" collapsed="false">
      <c r="A26" s="65" t="s">
        <v>336</v>
      </c>
      <c r="B26" s="55" t="s">
        <v>341</v>
      </c>
      <c r="C26" s="85" t="n">
        <v>1007</v>
      </c>
      <c r="D26" s="86" t="n">
        <f aca="false">'The four instruments'!D35</f>
        <v>1007</v>
      </c>
      <c r="E26" s="87" t="n">
        <f aca="false">D26-C26</f>
        <v>0</v>
      </c>
      <c r="F26" s="69" t="str">
        <f aca="false">IF(ABS(E26)&lt;=0.5,"reproduced",IF(ABS(E26)&lt;=0.5*5,"rounding","CHECK"))</f>
        <v>reproduced</v>
      </c>
      <c r="G26" s="94" t="s">
        <v>342</v>
      </c>
      <c r="H26" s="3"/>
    </row>
    <row r="27" customFormat="false" ht="15" hidden="false" customHeight="false" outlineLevel="0" collapsed="false">
      <c r="A27" s="60" t="s">
        <v>336</v>
      </c>
      <c r="B27" s="52" t="s">
        <v>343</v>
      </c>
      <c r="C27" s="76" t="n">
        <v>21.1</v>
      </c>
      <c r="D27" s="77" t="n">
        <f aca="false">'The four instruments'!D42</f>
        <v>21.09375</v>
      </c>
      <c r="E27" s="78" t="n">
        <f aca="false">D27-C27</f>
        <v>-0.00625000000000142</v>
      </c>
      <c r="F27" s="64" t="str">
        <f aca="false">IF(ABS(E27)&lt;=0.05,"reproduced",IF(ABS(E27)&lt;=0.05*5,"rounding","CHECK"))</f>
        <v>reproduced</v>
      </c>
    </row>
    <row r="28" customFormat="false" ht="15" hidden="false" customHeight="false" outlineLevel="0" collapsed="false">
      <c r="A28" s="65" t="s">
        <v>336</v>
      </c>
      <c r="B28" s="55" t="s">
        <v>344</v>
      </c>
      <c r="C28" s="73" t="n">
        <v>13.3</v>
      </c>
      <c r="D28" s="74" t="n">
        <f aca="false">'The four instruments'!D43</f>
        <v>13.28</v>
      </c>
      <c r="E28" s="75" t="n">
        <f aca="false">D28-C28</f>
        <v>-0.0200000000000014</v>
      </c>
      <c r="F28" s="69" t="str">
        <f aca="false">IF(ABS(E28)&lt;=0.05,"reproduced",IF(ABS(E28)&lt;=0.05*5,"rounding","CHECK"))</f>
        <v>reproduced</v>
      </c>
    </row>
    <row r="29" customFormat="false" ht="15" hidden="false" customHeight="false" outlineLevel="0" collapsed="false">
      <c r="A29" s="60" t="s">
        <v>336</v>
      </c>
      <c r="B29" s="52" t="s">
        <v>345</v>
      </c>
      <c r="C29" s="76" t="n">
        <v>1.5</v>
      </c>
      <c r="D29" s="77" t="n">
        <f aca="false">'The four instruments'!D8</f>
        <v>1.5</v>
      </c>
      <c r="E29" s="78" t="n">
        <f aca="false">D29-C29</f>
        <v>0</v>
      </c>
      <c r="F29" s="64" t="str">
        <f aca="false">IF(ABS(E29)&lt;=0.0005,"reproduced",IF(ABS(E29)&lt;=0.0005*5,"rounding","CHECK"))</f>
        <v>reproduced</v>
      </c>
    </row>
    <row r="30" customFormat="false" ht="15" hidden="false" customHeight="false" outlineLevel="0" collapsed="false">
      <c r="A30" s="65" t="s">
        <v>336</v>
      </c>
      <c r="B30" s="55" t="s">
        <v>346</v>
      </c>
      <c r="C30" s="85" t="n">
        <v>300</v>
      </c>
      <c r="D30" s="86" t="n">
        <f aca="false">Leverage!C8</f>
        <v>300</v>
      </c>
      <c r="E30" s="87" t="n">
        <f aca="false">D30-C30</f>
        <v>0</v>
      </c>
      <c r="F30" s="69" t="str">
        <f aca="false">IF(ABS(E30)&lt;=0.5,"reproduced",IF(ABS(E30)&lt;=0.5*5,"rounding","CHECK"))</f>
        <v>reproduced</v>
      </c>
    </row>
    <row r="31" customFormat="false" ht="15" hidden="false" customHeight="false" outlineLevel="0" collapsed="false">
      <c r="A31" s="60" t="s">
        <v>336</v>
      </c>
      <c r="B31" s="52" t="s">
        <v>347</v>
      </c>
      <c r="C31" s="95" t="n">
        <v>36.7</v>
      </c>
      <c r="D31" s="96" t="n">
        <f aca="false">Leverage!C15</f>
        <v>36.6666666666667</v>
      </c>
      <c r="E31" s="97" t="n">
        <f aca="false">D31-C31</f>
        <v>-0.0333333333333385</v>
      </c>
      <c r="F31" s="64" t="str">
        <f aca="false">IF(ABS(E31)&lt;=0.05,"reproduced",IF(ABS(E31)&lt;=0.05*5,"rounding","CHECK"))</f>
        <v>reproduced</v>
      </c>
    </row>
    <row r="32" customFormat="false" ht="15" hidden="false" customHeight="false" outlineLevel="0" collapsed="false">
      <c r="A32" s="65" t="s">
        <v>336</v>
      </c>
      <c r="B32" s="55" t="s">
        <v>348</v>
      </c>
      <c r="C32" s="98" t="n">
        <v>2.8</v>
      </c>
      <c r="D32" s="99" t="n">
        <f aca="false">Leverage!C22</f>
        <v>2.8</v>
      </c>
      <c r="E32" s="100" t="n">
        <f aca="false">D32-C32</f>
        <v>0</v>
      </c>
      <c r="F32" s="69" t="str">
        <f aca="false">IF(ABS(E32)&lt;=0.05,"reproduced",IF(ABS(E32)&lt;=0.05*5,"rounding","CHECK"))</f>
        <v>reproduced</v>
      </c>
    </row>
    <row r="33" customFormat="false" ht="15" hidden="false" customHeight="false" outlineLevel="0" collapsed="false">
      <c r="A33" s="60" t="s">
        <v>336</v>
      </c>
      <c r="B33" s="52" t="s">
        <v>349</v>
      </c>
      <c r="C33" s="82" t="n">
        <v>514</v>
      </c>
      <c r="D33" s="83" t="n">
        <f aca="false">Leverage!C30</f>
        <v>514</v>
      </c>
      <c r="E33" s="84" t="n">
        <f aca="false">D33-C33</f>
        <v>0</v>
      </c>
      <c r="F33" s="64" t="str">
        <f aca="false">IF(ABS(E33)&lt;=0.5,"reproduced",IF(ABS(E33)&lt;=0.5*5,"rounding","CHECK"))</f>
        <v>reproduced</v>
      </c>
    </row>
    <row r="34" customFormat="false" ht="15" hidden="false" customHeight="false" outlineLevel="0" collapsed="false">
      <c r="A34" s="65" t="s">
        <v>329</v>
      </c>
      <c r="B34" s="55" t="s">
        <v>350</v>
      </c>
      <c r="C34" s="85" t="n">
        <v>470</v>
      </c>
      <c r="D34" s="86" t="n">
        <f aca="false">Leverage!C42</f>
        <v>471.428571428571</v>
      </c>
      <c r="E34" s="87" t="n">
        <f aca="false">D34-C34</f>
        <v>1.42857142857144</v>
      </c>
      <c r="F34" s="69" t="str">
        <f aca="false">IF(ABS(E34)&lt;=2,"reproduced",IF(ABS(E34)&lt;=2*5,"rounding","CHECK"))</f>
        <v>reproduced</v>
      </c>
    </row>
    <row r="35" customFormat="false" ht="15" hidden="false" customHeight="false" outlineLevel="0" collapsed="false">
      <c r="A35" s="60" t="s">
        <v>336</v>
      </c>
      <c r="B35" s="52" t="s">
        <v>351</v>
      </c>
      <c r="C35" s="88" t="n">
        <v>0.066</v>
      </c>
      <c r="D35" s="89" t="n">
        <f aca="false">Leverage!C52</f>
        <v>0.0661616161616162</v>
      </c>
      <c r="E35" s="90" t="n">
        <f aca="false">D35-C35</f>
        <v>0.000161616161616154</v>
      </c>
      <c r="F35" s="64" t="str">
        <f aca="false">IF(ABS(E35)&lt;=0.0005,"reproduced",IF(ABS(E35)&lt;=0.0005*5,"rounding","CHECK"))</f>
        <v>reproduced</v>
      </c>
    </row>
    <row r="36" customFormat="false" ht="15" hidden="false" customHeight="false" outlineLevel="0" collapsed="false">
      <c r="A36" s="65" t="s">
        <v>329</v>
      </c>
      <c r="B36" s="55" t="s">
        <v>352</v>
      </c>
      <c r="C36" s="73" t="n">
        <v>26.2</v>
      </c>
      <c r="D36" s="74" t="n">
        <f aca="false">Leverage!C54</f>
        <v>26.2</v>
      </c>
      <c r="E36" s="75" t="n">
        <f aca="false">D36-C36</f>
        <v>0</v>
      </c>
      <c r="F36" s="69" t="str">
        <f aca="false">IF(ABS(E36)&lt;=0.05,"reproduced",IF(ABS(E36)&lt;=0.05*5,"rounding","CHECK"))</f>
        <v>reproduced</v>
      </c>
    </row>
    <row r="37" customFormat="false" ht="15" hidden="false" customHeight="false" outlineLevel="0" collapsed="false">
      <c r="A37" s="60" t="s">
        <v>336</v>
      </c>
      <c r="B37" s="52" t="s">
        <v>353</v>
      </c>
      <c r="C37" s="82" t="n">
        <v>1460</v>
      </c>
      <c r="D37" s="83" t="n">
        <f aca="false">'The four instruments'!D65</f>
        <v>1460</v>
      </c>
      <c r="E37" s="84" t="n">
        <f aca="false">D37-C37</f>
        <v>0</v>
      </c>
      <c r="F37" s="64" t="str">
        <f aca="false">IF(ABS(E37)&lt;=5,"reproduced",IF(ABS(E37)&lt;=5*5,"rounding","CHECK"))</f>
        <v>reproduced</v>
      </c>
      <c r="G37" s="94" t="s">
        <v>354</v>
      </c>
    </row>
    <row r="38" customFormat="false" ht="15" hidden="false" customHeight="false" outlineLevel="0" collapsed="false">
      <c r="A38" s="65" t="s">
        <v>329</v>
      </c>
      <c r="B38" s="55" t="s">
        <v>355</v>
      </c>
      <c r="C38" s="73" t="n">
        <v>795</v>
      </c>
      <c r="D38" s="74" t="n">
        <f aca="false">'The four instruments'!D62</f>
        <v>795</v>
      </c>
      <c r="E38" s="75" t="n">
        <f aca="false">D38-C38</f>
        <v>0</v>
      </c>
      <c r="F38" s="69" t="str">
        <f aca="false">IF(ABS(E38)&lt;=0.05,"reproduced",IF(ABS(E38)&lt;=0.05*5,"rounding","CHECK"))</f>
        <v>reproduced</v>
      </c>
    </row>
    <row r="39" customFormat="false" ht="15" hidden="false" customHeight="false" outlineLevel="0" collapsed="false">
      <c r="A39" s="65" t="s">
        <v>329</v>
      </c>
      <c r="B39" s="55" t="s">
        <v>356</v>
      </c>
      <c r="C39" s="73" t="n">
        <v>200.3</v>
      </c>
      <c r="D39" s="74" t="n">
        <f aca="false">'The four instruments'!D69</f>
        <v>200.3</v>
      </c>
      <c r="E39" s="75" t="n">
        <f aca="false">D39-C39</f>
        <v>0</v>
      </c>
      <c r="F39" s="69" t="str">
        <f aca="false">IF(ABS(E39)&lt;=0.05,"reproduced",IF(ABS(E39)&lt;=0.05*5,"rounding","CHECK"))</f>
        <v>reproduced</v>
      </c>
    </row>
    <row r="40" customFormat="false" ht="15" hidden="false" customHeight="false" outlineLevel="0" collapsed="false">
      <c r="A40" s="65" t="s">
        <v>336</v>
      </c>
      <c r="B40" s="55" t="s">
        <v>357</v>
      </c>
      <c r="C40" s="101" t="n">
        <v>-63</v>
      </c>
      <c r="D40" s="102" t="n">
        <f aca="false">'The four instruments'!D36</f>
        <v>-63</v>
      </c>
      <c r="E40" s="103" t="n">
        <f aca="false">D40-C40</f>
        <v>0</v>
      </c>
      <c r="F40" s="69" t="str">
        <f aca="false">IF(ABS(E40)&lt;=0.5,"reproduced",IF(ABS(E40)&lt;=0.5*5,"rounding","CHECK"))</f>
        <v>reproduced</v>
      </c>
      <c r="G40" s="94" t="s">
        <v>358</v>
      </c>
    </row>
    <row r="41" customFormat="false" ht="15" hidden="false" customHeight="false" outlineLevel="0" collapsed="false">
      <c r="A41" s="49"/>
      <c r="C41" s="35"/>
    </row>
    <row r="42" customFormat="false" ht="15" hidden="false" customHeight="false" outlineLevel="0" collapsed="false">
      <c r="A42" s="49" t="s">
        <v>359</v>
      </c>
      <c r="C42" s="35" t="n">
        <f aca="false">COUNTIF(F5:F40,"reproduced")</f>
        <v>36</v>
      </c>
    </row>
    <row r="43" customFormat="false" ht="15" hidden="false" customHeight="false" outlineLevel="0" collapsed="false">
      <c r="A43" s="49" t="s">
        <v>360</v>
      </c>
      <c r="C43" s="35" t="n">
        <f aca="false">COUNTIF(F5:F40,"rounding")</f>
        <v>0</v>
      </c>
    </row>
    <row r="44" customFormat="false" ht="15" hidden="false" customHeight="false" outlineLevel="0" collapsed="false">
      <c r="A44" s="49" t="s">
        <v>361</v>
      </c>
      <c r="C44" s="35" t="n">
        <f aca="false">COUNTIF(F5:F40,"CHECK")</f>
        <v>0</v>
      </c>
    </row>
    <row r="46" customFormat="false" ht="15" hidden="false" customHeight="false" outlineLevel="0" collapsed="false">
      <c r="A46" s="21" t="s">
        <v>362</v>
      </c>
      <c r="C46" s="35" t="str">
        <f aca="false">IF(COUNTIF(F5:F40,"reproduced")=36,"ALL OK",COUNTIF(F5:F40,"reproduced")&amp;" / 36")</f>
        <v>ALL OK</v>
      </c>
    </row>
  </sheetData>
  <mergeCells count="1">
    <mergeCell ref="H5:H2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2026-08-20T07:48:03Z</dcterms:created>
  <dc:creator>openpyxl</dc:creator>
  <dc:description/>
  <dc:language>en-US</dc:language>
  <cp:lastModifiedBy/>
  <dcterms:modified xsi:type="dcterms:W3CDTF">2026-09-24T02:15:14Z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