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The worked example" sheetId="2" state="visible" r:id="rId4"/>
    <sheet name="Your bill of materials" sheetId="3" state="visible" r:id="rId5"/>
    <sheet name="Headroom under stress" sheetId="4" state="visible" r:id="rId6"/>
    <sheet name="Design authority" sheetId="5" state="visible" r:id="rId7"/>
    <sheet name="The evidence file" sheetId="6" state="visible" r:id="rId8"/>
    <sheet name="Checks" sheetId="7" state="visible" r:id="rId9"/>
  </sheets>
  <definedNames>
    <definedName function="false" hidden="true" localSheetId="5" name="_xlnm._FilterDatabase" vbProcedure="false">'The evidence file'!$A$4:$E$39</definedName>
    <definedName function="false" hidden="true" localSheetId="2" name="_xlnm._FilterDatabase" vbProcedure="false">'Your bill of materials'!$A$4:$H$64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<sst xmlns="http://schemas.openxmlformats.org/spreadsheetml/2006/main" count="555" uniqueCount="312">
  <si>
    <t xml:space="preserve">The 35 Per Cent Content Test</t>
  </si>
  <si>
    <t xml:space="preserve">Companion workbook 2 — Breaking Into European Defence Procurement, Julian R. Sterling</t>
  </si>
  <si>
    <t xml:space="preserve">Chapter 7's worked example is the most consequential piece of arithmetic in the book, because it is the one that decides eligibility rather than score. A proposal can be technically excellent, correctly priced and properly consortium'd, and still be ineligible because a European-built assembly contained foreign silicon nobody had exploded down to.
This workbook is that calculation, live, in three forms.
The worked example — Chapter 7's own figures, reproduced exactly. First pass at 27.0 per cent and comfortably compliant; drill-down to 35.25 per cent and failing by a quarter of a point; requalification to 33.0 per cent and passing with two points of headroom. Every step is a formula.
Your bill of materials — the same calculation on a tape of your own. Sixty lines, each with an origin, a cost and an embedded-foreign-content column, because the whole lesson of the chapter is that assembly-level origin is not origin. The sheet computes the exploded share, the headroom against the cap, and what has to change to fix a failure.
Headroom under stress — two points of margin sounds comfortable and is not. This sheet moves the exchange rate, the supplier price and the design, one at a time and together, and shows how much of a four-year programme's margin each one consumes. Chapter 7's instruction is that a team carrying two points of headroom should expect to redo the calculation and should say so in its risk register; this is the sheet that goes in the risk register.
Design authority — the second test, which fails independently of the percentage. A system at 20 per cent non-European content whose contractor cannot recompile the firmware without a foreign licence fails Category 2 on its own terms.
The evidence file — Chapter 7's checklist, as a working document with a status against each line.
Blue is an input, black and green are formulas, yellow marks the assumptions that carry the answer.</t>
  </si>
  <si>
    <t xml:space="preserve">Revised 24 September 2026. One correction, on the stress sheet. The foreign cost inflation the remaining headroom absorbs is 9.31 per cent over the four years, 2.25 per cent a year; the first version printed 6.05 and 1.48 because it held the total bill of materials fixed while the foreign side rose. The stress sheet's own row 16, where an 8 per cent foreign price rise still passes, shows why that cannot be right. The "mildest event that breaks it" line no longer needs array entry. The checks sheet has 24 lines and closes ALL OK.</t>
  </si>
  <si>
    <t xml:space="preserve">Chapter 7 — a worked example, illustrative only</t>
  </si>
  <si>
    <t xml:space="preserve">The figures are invented for teaching purposes. They belong to no real programme, product or company.</t>
  </si>
  <si>
    <t xml:space="preserve">The system</t>
  </si>
  <si>
    <t xml:space="preserve">Why the first pass was wrong and the second was not conservative</t>
  </si>
  <si>
    <t xml:space="preserve">Vehicle-mounted counter-drone effector, financed under a SAFE loan</t>
  </si>
  <si>
    <t xml:space="preserve">Three known foreign components at EUR 108,000 against a EUR 400,000 bill of materials is 27.0 per cent. Comfortably compliant, and the team moves on. That sentence in the chapter is doing a lot of work: it is describing exactly how content failures happen.
Two items booked as European were assemblies, not parts. A signal-processing assembly built in the Union containing EUR 26,000 of US-origin field-programmable gate arrays and data converters; a power-conditioning unit built in the Union containing EUR 7,000 of third-country semiconductors. Thirty-three thousand euros of content that the first pass had recorded as European. The share goes to 35.25 per cent and the proposal fails by a quarter of a point.
The Common Mistake in the chapter is the general form: a European-built assembly containing foreign silicon is not European content for the value of that silicon. Bills of materials must be exploded to the level at which foreign origin actually sits, with evidence, before a percentage means anything. And most content failures are discovered at audit, not at bid — which is to say, after the money has been committed.
The remedy is worth reading closely because it is counter-intuitive. The team does not renegotiate a price or reclassify a part. It requalifies EUR 8,000 of the embedded data converters to a European part costing EUR 11,000 — paying EUR 3,000 more per unit. Non-European content falls to EUR 133,000 and total component cost rises to EUR 403,000, which is 33.0 per cent.
Notice that both sides of the fraction moved, and both moved favourably: the numerator fell by the removed content and the denominator rose by the price premium. Paying more for a European part improves the ratio twice. That is a genuinely useful piece of intuition for a bid team under pressure, and the chapter does not spell it out.
What the fix bought is two percentage points of headroom on a four-year programme, at a cost of three quarters of one per cent of the unit bill of materials. Whether that is enough is the next sheet's question — and the chapter's own answer is that a team carrying two points into four years should expect to redo this calculation and should say so in its risk register.
One thing the arithmetic does not settle, and the chapter is explicit about it. If the amplifier module or the gate-array firmware cannot be modified without foreign consent, a Category 2 classification will still fail on design authority at 33 per cent, or at 20. Percentage compliance and design-authority compliance are two tests, and passing one says nothing about the other.</t>
  </si>
  <si>
    <t xml:space="preserve">Bill of materials at unit level (EUR)</t>
  </si>
  <si>
    <t xml:space="preserve">Content cap</t>
  </si>
  <si>
    <t xml:space="preserve">Non-European cost the cap permits (EUR)</t>
  </si>
  <si>
    <t xml:space="preserve">First pass — the components the bid team knows to be non-European</t>
  </si>
  <si>
    <t xml:space="preserve">Component</t>
  </si>
  <si>
    <t xml:space="preserve">Origin</t>
  </si>
  <si>
    <t xml:space="preserve">Cost (EUR)</t>
  </si>
  <si>
    <t xml:space="preserve">Share of BoM</t>
  </si>
  <si>
    <t xml:space="preserve">Radio-frequency power amplifier module</t>
  </si>
  <si>
    <t xml:space="preserve">United States</t>
  </si>
  <si>
    <t xml:space="preserve">Inertial measurement unit</t>
  </si>
  <si>
    <t xml:space="preserve">third country</t>
  </si>
  <si>
    <t xml:space="preserve">Cooled infrared detector</t>
  </si>
  <si>
    <t xml:space="preserve">Non-European component cost, first pass (EUR)</t>
  </si>
  <si>
    <t xml:space="preserve">Non-European share, first pass</t>
  </si>
  <si>
    <t xml:space="preserve">Against the cap</t>
  </si>
  <si>
    <t xml:space="preserve">Headroom, first pass</t>
  </si>
  <si>
    <t xml:space="preserve">The auditor does not move on — embedded content inside European assemblies</t>
  </si>
  <si>
    <t xml:space="preserve">Assembly, booked as European</t>
  </si>
  <si>
    <t xml:space="preserve">Booked cost (EUR)</t>
  </si>
  <si>
    <t xml:space="preserve">Foreign content inside (EUR)</t>
  </si>
  <si>
    <t xml:space="preserve">Share of the assembly</t>
  </si>
  <si>
    <t xml:space="preserve">Signal-processing assembly (FPGAs and data converters, US origin)</t>
  </si>
  <si>
    <t xml:space="preserve">Power-conditioning unit (third-country semiconductors)</t>
  </si>
  <si>
    <t xml:space="preserve">Embedded foreign content added (EUR)</t>
  </si>
  <si>
    <t xml:space="preserve">Non-European component cost, after drill-down (EUR)</t>
  </si>
  <si>
    <t xml:space="preserve">Total component cost (unchanged) (EUR)</t>
  </si>
  <si>
    <t xml:space="preserve">Non-European share, after drill-down</t>
  </si>
  <si>
    <t xml:space="preserve">The margin of failure, in money (EUR)</t>
  </si>
  <si>
    <t xml:space="preserve">Booked as European by the first pass, actually not (EUR)</t>
  </si>
  <si>
    <t xml:space="preserve">The remedy is engineering, not accounting</t>
  </si>
  <si>
    <t xml:space="preserve">Data converters requalified — foreign content removed (EUR)</t>
  </si>
  <si>
    <t xml:space="preserve">European replacement part cost (EUR)</t>
  </si>
  <si>
    <t xml:space="preserve">Increase in total component cost per unit (EUR)</t>
  </si>
  <si>
    <t xml:space="preserve">Non-European component cost after requalification (EUR)</t>
  </si>
  <si>
    <t xml:space="preserve">Total component cost after requalification (EUR)</t>
  </si>
  <si>
    <t xml:space="preserve">Non-European share</t>
  </si>
  <si>
    <t xml:space="preserve">Headroom remaining</t>
  </si>
  <si>
    <t xml:space="preserve">Headroom in money, per unit (EUR)</t>
  </si>
  <si>
    <t xml:space="preserve">Cost of the fix, as a share of the unit BoM</t>
  </si>
  <si>
    <t xml:space="preserve">Summary — the table the chapter prints</t>
  </si>
  <si>
    <t xml:space="preserve">Illustrative content review</t>
  </si>
  <si>
    <t xml:space="preserve">First pass</t>
  </si>
  <si>
    <t xml:space="preserve">After drill-down</t>
  </si>
  <si>
    <t xml:space="preserve">After remedy</t>
  </si>
  <si>
    <t xml:space="preserve">Non-European component cost (EUR)</t>
  </si>
  <si>
    <t xml:space="preserve">Total component cost (EUR)</t>
  </si>
  <si>
    <t xml:space="preserve">Outcome against the 35% cap</t>
  </si>
  <si>
    <t xml:space="preserve">The same calculation on a tape of your own</t>
  </si>
  <si>
    <t xml:space="preserve">Booked origin is not origin. Explode to the level at which foreign origin actually sits.</t>
  </si>
  <si>
    <t xml:space="preserve">Line</t>
  </si>
  <si>
    <t xml:space="preserve">Item</t>
  </si>
  <si>
    <t xml:space="preserve">Supplier</t>
  </si>
  <si>
    <t xml:space="preserve">Booked origin</t>
  </si>
  <si>
    <t xml:space="preserve">Embedded foreign (EUR)</t>
  </si>
  <si>
    <t xml:space="preserve">Exploded foreign (EUR)</t>
  </si>
  <si>
    <t xml:space="preserve">Design authority</t>
  </si>
  <si>
    <t xml:space="preserve">What this sheet is really testing</t>
  </si>
  <si>
    <t xml:space="preserve">Chassis weldment</t>
  </si>
  <si>
    <t xml:space="preserve">Verlaine Industrie</t>
  </si>
  <si>
    <t xml:space="preserve">Third country</t>
  </si>
  <si>
    <t xml:space="preserve">yes</t>
  </si>
  <si>
    <t xml:space="preserve">Two columns do all the work, and neither appears on an ordinary bill of materials.
Embedded foreign is the value of foreign-origin content inside a line booked as European. It is the column that turned Chapter 7's 27 per cent into 35.25. On this tape it moves the answer by a comparable amount, and the difference is reported explicitly so you can see what the explosion bought.
Exploded foreign is the column that should be summed. It takes the full cost of a line whose booked origin is non-European, and the embedded value of a line whose booked origin is European. Summing the booked-origin column instead is the single most common way a content calculation goes wrong.
The design-authority column is the second test and is deliberately not a percentage. For each item the question is the one Chapter 7 says to ask early: can we modify, repair or reproduce this without asking a foreign government. One no is enough to fail a Category 2 classification regardless of the share, and the sheet counts them and prices them separately.
Three practical notes on using this on a real tape.
The perimeter is not the same as the participation list. Under SAFE the content perimeter is the EU, the EEA-EFTA states and Ukraine — so Norway and Ukraine count as inside for content, while a Security and Defence Partnership country such as Canada, Japan, South Korea or the United Kingdom may take part in the procurement without its content counting as European. Participation and content are separate questions with separate answers, and the origin column here is set up accordingly.
The measure is component cost of the end product. Not turnover, not headcount, not the value of the contract. That is the first of the three points Chapter 7 says are routinely misread.
And the embedded column has to be populated from supplier declarations, not from assumption. A supplier that cannot tell you what is inside its own assembly has given you the answer to a different question — about whether it can support a security-of-supply commitment.</t>
  </si>
  <si>
    <t xml:space="preserve">Power supply module</t>
  </si>
  <si>
    <t xml:space="preserve">Alderiq Ltd</t>
  </si>
  <si>
    <t xml:space="preserve">EU</t>
  </si>
  <si>
    <t xml:space="preserve">Signal-processing assembly</t>
  </si>
  <si>
    <t xml:space="preserve">Kelvara Optics</t>
  </si>
  <si>
    <t xml:space="preserve">RF front end</t>
  </si>
  <si>
    <t xml:space="preserve">Brightfell Components</t>
  </si>
  <si>
    <t xml:space="preserve">Antenna array</t>
  </si>
  <si>
    <t xml:space="preserve">Sarnia Electronique</t>
  </si>
  <si>
    <t xml:space="preserve">EEA-EFTA</t>
  </si>
  <si>
    <t xml:space="preserve">Cooled IR detector</t>
  </si>
  <si>
    <t xml:space="preserve">Hafnia Microsystems</t>
  </si>
  <si>
    <t xml:space="preserve">Uncooled IR module</t>
  </si>
  <si>
    <t xml:space="preserve">Delph Precision</t>
  </si>
  <si>
    <t xml:space="preserve">Associated (NO)</t>
  </si>
  <si>
    <t xml:space="preserve">GNSS receiver</t>
  </si>
  <si>
    <t xml:space="preserve">Ostmark Mechanik</t>
  </si>
  <si>
    <t xml:space="preserve">Servo drive</t>
  </si>
  <si>
    <t xml:space="preserve">Vantera Systems</t>
  </si>
  <si>
    <t xml:space="preserve">Gearbox</t>
  </si>
  <si>
    <t xml:space="preserve">Slip ring</t>
  </si>
  <si>
    <t xml:space="preserve">Nordlicht GmbH</t>
  </si>
  <si>
    <t xml:space="preserve">Wiring harness</t>
  </si>
  <si>
    <t xml:space="preserve">Connector set</t>
  </si>
  <si>
    <t xml:space="preserve">Cooling fan assembly</t>
  </si>
  <si>
    <t xml:space="preserve">Heat exchanger</t>
  </si>
  <si>
    <t xml:space="preserve">Environmental seal kit</t>
  </si>
  <si>
    <t xml:space="preserve">Display unit</t>
  </si>
  <si>
    <t xml:space="preserve">Operator console</t>
  </si>
  <si>
    <t xml:space="preserve">Ruggedised computer</t>
  </si>
  <si>
    <t xml:space="preserve">Solid-state drive</t>
  </si>
  <si>
    <t xml:space="preserve">Ethernet switch</t>
  </si>
  <si>
    <t xml:space="preserve">Fibre transceiver</t>
  </si>
  <si>
    <t xml:space="preserve">Battery pack</t>
  </si>
  <si>
    <t xml:space="preserve">Charger unit</t>
  </si>
  <si>
    <t xml:space="preserve">DC-DC converter</t>
  </si>
  <si>
    <t xml:space="preserve">EMI filter</t>
  </si>
  <si>
    <t xml:space="preserve">Circuit breaker panel</t>
  </si>
  <si>
    <t xml:space="preserve">Cable gland set</t>
  </si>
  <si>
    <t xml:space="preserve">Mounting bracket set</t>
  </si>
  <si>
    <t xml:space="preserve">Vibration isolator</t>
  </si>
  <si>
    <t xml:space="preserve">Shock mount</t>
  </si>
  <si>
    <t xml:space="preserve">Optical window</t>
  </si>
  <si>
    <t xml:space="preserve">Lens assembly</t>
  </si>
  <si>
    <t xml:space="preserve">no</t>
  </si>
  <si>
    <t xml:space="preserve">Filter wheel</t>
  </si>
  <si>
    <t xml:space="preserve">Focus mechanism</t>
  </si>
  <si>
    <t xml:space="preserve">Stepper motor</t>
  </si>
  <si>
    <t xml:space="preserve">Encoder</t>
  </si>
  <si>
    <t xml:space="preserve">Limit switch set</t>
  </si>
  <si>
    <t xml:space="preserve">Temperature sensor set</t>
  </si>
  <si>
    <t xml:space="preserve">Pressure sensor</t>
  </si>
  <si>
    <t xml:space="preserve">Humidity sensor</t>
  </si>
  <si>
    <t xml:space="preserve">Accelerometer</t>
  </si>
  <si>
    <t xml:space="preserve">Gyroscope module</t>
  </si>
  <si>
    <t xml:space="preserve">Magnetometer</t>
  </si>
  <si>
    <t xml:space="preserve">Radio module</t>
  </si>
  <si>
    <t xml:space="preserve">Crypto module</t>
  </si>
  <si>
    <t xml:space="preserve">Key fill device interface</t>
  </si>
  <si>
    <t xml:space="preserve">Firmware licence</t>
  </si>
  <si>
    <t xml:space="preserve">Test adapter</t>
  </si>
  <si>
    <t xml:space="preserve">Calibration fixture</t>
  </si>
  <si>
    <t xml:space="preserve">Paint and coating</t>
  </si>
  <si>
    <t xml:space="preserve">Fastener set</t>
  </si>
  <si>
    <t xml:space="preserve">Label and marking kit</t>
  </si>
  <si>
    <t xml:space="preserve">Transit case</t>
  </si>
  <si>
    <t xml:space="preserve">Desiccant assembly</t>
  </si>
  <si>
    <t xml:space="preserve">Grounding kit</t>
  </si>
  <si>
    <t xml:space="preserve">Lightning arrestor</t>
  </si>
  <si>
    <t xml:space="preserve">Software build tooling</t>
  </si>
  <si>
    <t xml:space="preserve">Documentation set</t>
  </si>
  <si>
    <t xml:space="preserve">Booked as non-European (EUR)</t>
  </si>
  <si>
    <t xml:space="preserve">Embedded inside European-booked lines (EUR)</t>
  </si>
  <si>
    <t xml:space="preserve">Exploded non-European component cost (EUR)</t>
  </si>
  <si>
    <t xml:space="preserve">Share on booked origin alone</t>
  </si>
  <si>
    <t xml:space="preserve">Share after explosion</t>
  </si>
  <si>
    <t xml:space="preserve">The difference the explosion makes</t>
  </si>
  <si>
    <t xml:space="preserve">Cap</t>
  </si>
  <si>
    <t xml:space="preserve">Headroom</t>
  </si>
  <si>
    <t xml:space="preserve">Outcome</t>
  </si>
  <si>
    <t xml:space="preserve">Lines failing the design-authority test</t>
  </si>
  <si>
    <t xml:space="preserve">Their value (EUR)</t>
  </si>
  <si>
    <t xml:space="preserve">Category 2 outcome</t>
  </si>
  <si>
    <t xml:space="preserve">Two points of margin is not comfortable</t>
  </si>
  <si>
    <t xml:space="preserve">Margin is exactly what a currency movement, a supplier price rise or a late design change will consume.</t>
  </si>
  <si>
    <t xml:space="preserve">The starting position — Chapter 7's remedied case</t>
  </si>
  <si>
    <t xml:space="preserve">The sheet that belongs in the risk register</t>
  </si>
  <si>
    <t xml:space="preserve">Chapter 7 ends the worked example with a sentence that is easy to read past: that passes, but with roughly two percentage points of margin, and margin is exactly what a currency movement, a supplier price rise or a late design change will consume. A team that carries two points of headroom into a four-year programme should expect to redo this calculation, and should say so in its risk register.
This sheet is that risk register entry, with the arithmetic done.
The three events are the ones the chapter names, plus a fourth that runs the other way. A currency movement raises the foreign side only. A foreign supplier price rise does the same. A late design change adding a foreign part raises both sides but the numerator faster. And a European supplier price rise is the only one that helps, because it raises the denominator alone — which is the same mechanism as the requalification remedy on the first sheet.
Run them one at a time and the picture is uncomfortable. Run them together and it is worse, because they are not independent: a weakening euro raises the cost of foreign components and gives foreign suppliers pricing power at the same time.
The block at the bottom converts headroom into the two units a programme manager actually thinks in. First, how much foreign cost the cap still permits, in euros — which is the number to give the design authority as a budget. Second, how much foreign cost inflation the headroom absorbs over the programme, and per year. On Chapter 7's remedied case that annual rate is low enough that a single ordinary year of component inflation would eat a meaningful part of it.
One design point worth stealing. The cleanest way to manage a content cap is not to monitor the percentage; it is to give engineering a foreign-content budget in euros and hold it like any other budget line. A percentage moves when either side of the fraction moves and is therefore hard to own. A euro budget can be allocated, spent, and reported against — and it converts a compliance question into a design constraint, which is where the chapter says the remedy always lies.</t>
  </si>
  <si>
    <t xml:space="preserve">Share</t>
  </si>
  <si>
    <t xml:space="preserve">Programme duration (years)</t>
  </si>
  <si>
    <t xml:space="preserve">Share of the non-European content priced in a foreign currency</t>
  </si>
  <si>
    <t xml:space="preserve">Three things that move it, one at a time</t>
  </si>
  <si>
    <t xml:space="preserve">Event</t>
  </si>
  <si>
    <t xml:space="preserve">Size</t>
  </si>
  <si>
    <t xml:space="preserve">Non-European cost (EUR)</t>
  </si>
  <si>
    <t xml:space="preserve">Total cost (EUR)</t>
  </si>
  <si>
    <t xml:space="preserve">New share</t>
  </si>
  <si>
    <t xml:space="preserve">Headroom left</t>
  </si>
  <si>
    <t xml:space="preserve">Foreign currency strengthens</t>
  </si>
  <si>
    <t xml:space="preserve">Foreign supplier raises price</t>
  </si>
  <si>
    <t xml:space="preserve">Late design change adds a foreign part</t>
  </si>
  <si>
    <t xml:space="preserve">European supplier raises price</t>
  </si>
  <si>
    <t xml:space="preserve">Events that on their own break the cap</t>
  </si>
  <si>
    <t xml:space="preserve">The mildest event that breaks it</t>
  </si>
  <si>
    <t xml:space="preserve">All four together</t>
  </si>
  <si>
    <t xml:space="preserve">How much foreign content the cap still permits</t>
  </si>
  <si>
    <t xml:space="preserve">Non-European cost the cap permits at today's total (EUR)</t>
  </si>
  <si>
    <t xml:space="preserve">Actual non-European cost (EUR)</t>
  </si>
  <si>
    <t xml:space="preserve">Room before the cap binds (EUR)</t>
  </si>
  <si>
    <t xml:space="preserve">As a share of the total bill of materials</t>
  </si>
  <si>
    <t xml:space="preserve">A single foreign part of this value would break it (EUR)</t>
  </si>
  <si>
    <t xml:space="preserve">Foreign cost inflation the headroom absorbs over the programme (the total rises with it)</t>
  </si>
  <si>
    <t xml:space="preserve">Per year</t>
  </si>
  <si>
    <t xml:space="preserve">Is that a realistic rate of drift to assume away?</t>
  </si>
  <si>
    <t xml:space="preserve">no — put it in the risk register</t>
  </si>
  <si>
    <t xml:space="preserve">Share at exactly that inflation (it lands on the cap)</t>
  </si>
  <si>
    <t xml:space="preserve">The second test, which fails independently of the percentage</t>
  </si>
  <si>
    <t xml:space="preserve">Can we modify, repair or reproduce this without asking a foreign government?</t>
  </si>
  <si>
    <t xml:space="preserve">The rule, in each instrument</t>
  </si>
  <si>
    <t xml:space="preserve">A capability test, not a paperwork test</t>
  </si>
  <si>
    <t xml:space="preserve">Instrument</t>
  </si>
  <si>
    <t xml:space="preserve">Content perimeter</t>
  </si>
  <si>
    <t xml:space="preserve">Design-authority requirement</t>
  </si>
  <si>
    <t xml:space="preserve">Chapter 7 calls the SAFE Category 2 requirement an anti-ITAR clause expressed as a capability test rather than a paperwork test, and that phrasing is the whole point.
A percentage can be managed by procurement. A design-authority test cannot, because it asks whether the European contractor can actually change the product without asking a foreign government. There is no declaration that satisfies it and no supplier letter that closes it. Either the toolchain, the source, the keys and the rights are in the contractor's hands, or they are not.
The three columns are deliberately separate. Modify, repair and reproduce fail differently and at different times. A part that can be repaired but not modified is fine until the first obsolescence event. A part that can be modified but not reproduced is fine until the supplier exits the line. A firmware toolchain that costs nothing on the bill of materials can fail all three, which is why the second row of the table carries a zero cost and is the most dangerous item on it.
That zero is worth dwelling on. Content rules measure component cost, so an item with no cost has no weight in the percentage — and can still be the thing that makes a system ineligible. A compiler licence, a signing key, a calibration file, a proprietary interface specification: none of them appear on a bill of materials and any of them can fail a design-authority test.
The two perimeters differ and it catches people out. EDIP measures against the EU and associated countries, of which Norway is the only one. SAFE measures against the EU, the EEA-EFTA states and Ukraine. A supplier in Iceland or Liechtenstein counts as inside for SAFE and outside for EDIP. And participation is a third question again: Albania, Canada, Japan, Moldova, Norway, South Korea and the United Kingdom may take part in a SAFE common procurement without their content counting as European.
Chapter 7's practical instruction is the one to build a process around: test the design-authority question early, by asking of each critical item a single question — can we modify, repair or reproduce this without asking a foreign government. If the answer is no, that item is a programme risk regardless of its price.</t>
  </si>
  <si>
    <t xml:space="preserve">EDIP</t>
  </si>
  <si>
    <t xml:space="preserve">EU and associated countries</t>
  </si>
  <si>
    <t xml:space="preserve">Design authority must rest with EU or associated beneficiaries</t>
  </si>
  <si>
    <t xml:space="preserve">SAFE</t>
  </si>
  <si>
    <t xml:space="preserve">EU, EEA-EFTA and Ukraine</t>
  </si>
  <si>
    <t xml:space="preserve">Category 2: the contractor must be able to modify without third-country restriction</t>
  </si>
  <si>
    <t xml:space="preserve">The perimeters are not the same</t>
  </si>
  <si>
    <t xml:space="preserve">Participation is a separate question from content</t>
  </si>
  <si>
    <t xml:space="preserve">Albania, Canada, Japan, Moldova, Norway, South Korea, the United Kingdom</t>
  </si>
  <si>
    <t xml:space="preserve">The test, item by item</t>
  </si>
  <si>
    <t xml:space="preserve">Critical item</t>
  </si>
  <si>
    <t xml:space="preserve">Origin of the constraint</t>
  </si>
  <si>
    <t xml:space="preserve">Can we modify?</t>
  </si>
  <si>
    <t xml:space="preserve">Can we repair?</t>
  </si>
  <si>
    <t xml:space="preserve">Can we reproduce?</t>
  </si>
  <si>
    <t xml:space="preserve">RF power amplifier module</t>
  </si>
  <si>
    <t xml:space="preserve">ITAR, United States</t>
  </si>
  <si>
    <t xml:space="preserve">Gate-array firmware toolchain</t>
  </si>
  <si>
    <t xml:space="preserve">EAR, United States</t>
  </si>
  <si>
    <t xml:space="preserve">third-country national control</t>
  </si>
  <si>
    <t xml:space="preserve">national approval, EU</t>
  </si>
  <si>
    <t xml:space="preserve">Data converters (requalified)</t>
  </si>
  <si>
    <t xml:space="preserve">none after requalification</t>
  </si>
  <si>
    <t xml:space="preserve">Items assessed</t>
  </si>
  <si>
    <t xml:space="preserve">Items answered on all three questions</t>
  </si>
  <si>
    <t xml:space="preserve">Items with a no on any question</t>
  </si>
  <si>
    <t xml:space="preserve">The independence of the two tests</t>
  </si>
  <si>
    <t xml:space="preserve">Passes the percentage test?</t>
  </si>
  <si>
    <t xml:space="preserve">Passes the design-authority test?</t>
  </si>
  <si>
    <t xml:space="preserve">Eligible?</t>
  </si>
  <si>
    <t xml:space="preserve">A system at this share still fails if design authority fails</t>
  </si>
  <si>
    <t xml:space="preserve">Chapter 7's illustration</t>
  </si>
  <si>
    <t xml:space="preserve">20% non-European content, firmware not recompilable without a licence</t>
  </si>
  <si>
    <t xml:space="preserve">Chapter 7 — before claiming compliance with a 35% content rule</t>
  </si>
  <si>
    <t xml:space="preserve">A percentage is a claim, and a claim needs proof.</t>
  </si>
  <si>
    <t xml:space="preserve">Step</t>
  </si>
  <si>
    <t xml:space="preserve">Status</t>
  </si>
  <si>
    <t xml:space="preserve">Date</t>
  </si>
  <si>
    <t xml:space="preserve">Owner</t>
  </si>
  <si>
    <t xml:space="preserve">Note</t>
  </si>
  <si>
    <t xml:space="preserve">Why the file matters more than the number</t>
  </si>
  <si>
    <t xml:space="preserve">The seven steps of the checklist</t>
  </si>
  <si>
    <t xml:space="preserve">A percentage is a claim, and a claim needs proof. That sentence is the hinge of Chapter 7, and it is the difference between a content calculation that survives audit and one that does not.
The chapter is specific about the ascending order of effort, and the order is the plan. A bill of materials broken down to the level where foreign origin appears, with unit costs. Supplier declarations of origin and export-control classification for each line, refreshed rather than inherited from an old file. Contractual flow-down clauses obliging suppliers to notify a change of source, of manufacturing location or of classification. And a maintained record showing how the figures were derived — because the calculation will be re-examined during implementation and again at audit, potentially years after award.
The word refreshed does a lot of work. A supplier declaration from three years ago describes a supply chain that may no longer exist, and the supplier has no obligation to tell you it changed unless the contract says so. That is what the flow-down clause is for, and it is the cheapest item on this list to put in place and the most expensive to retrofit.
The last section is the wider export-control programme, from Chapter 7's closing pages and Appendix C's third checklist. It is here because content-origin compliance and export-control compliance draw on the same underlying data — where a part comes from and how it is classified — and firms that maintain one and not the other end up producing the same evidence twice from different sources that disagree.
One line in it is a career note rather than a compliance step. Chapter 7's Field Note observes that export control is one of the most accessible entry doors in defence for people without a defence background: customs, sanctions and trade-compliance experience from banking, logistics or civil industry transfers directly, the vocabulary is learnable, demand is rising with the content rules, and many of the roles do not require a personal security clearance to begin.
Every item on this sheet is work somebody has to do. Most of that somebody has not been hired yet.</t>
  </si>
  <si>
    <t xml:space="preserve">Explode the bill of materials to component level</t>
  </si>
  <si>
    <t xml:space="preserve">not started</t>
  </si>
  <si>
    <t xml:space="preserve">Obtain dated supplier origin and classification declarations</t>
  </si>
  <si>
    <t xml:space="preserve">Identify embedded foreign content inside European-built assemblies</t>
  </si>
  <si>
    <t xml:space="preserve">Compute the share on component cost of the end product</t>
  </si>
  <si>
    <t xml:space="preserve">Test design authority separately for critical items</t>
  </si>
  <si>
    <t xml:space="preserve">Record the method</t>
  </si>
  <si>
    <t xml:space="preserve">Re-run the calculation after every design or sourcing change</t>
  </si>
  <si>
    <t xml:space="preserve">What the evidence file has to contain</t>
  </si>
  <si>
    <t xml:space="preserve">A bill of materials broken down to the level where foreign origin appears, with unit costs</t>
  </si>
  <si>
    <t xml:space="preserve">Supplier declarations of origin and export-control classification for each line, refreshed rather than inherited</t>
  </si>
  <si>
    <t xml:space="preserve">Contractual flow-down clauses obliging suppliers to notify a change of source, manufacturing location or classification</t>
  </si>
  <si>
    <t xml:space="preserve">A maintained record showing how the figures were derived</t>
  </si>
  <si>
    <t xml:space="preserve">Evidence retained for re-examination during implementation and at audit, years after award</t>
  </si>
  <si>
    <t xml:space="preserve">The two habits that separate firms which survive scrutiny</t>
  </si>
  <si>
    <t xml:space="preserve">Export-control classification treated as a data field on the part, owned by engineering, updated when the part changes</t>
  </si>
  <si>
    <t xml:space="preserve">The design-authority question tested early on each critical item, not at audit</t>
  </si>
  <si>
    <t xml:space="preserve">The wider export-control programme this sits inside</t>
  </si>
  <si>
    <t xml:space="preserve">Every product and technology classified against Annex I of Regulation (EU) 2021/821 or the national military list</t>
  </si>
  <si>
    <t xml:space="preserve">The annual Annex I update tracked</t>
  </si>
  <si>
    <t xml:space="preserve">Article 4 catch-all screening embedded in order acceptance</t>
  </si>
  <si>
    <t xml:space="preserve">Article 5 cyber-surveillance exposure assessed</t>
  </si>
  <si>
    <t xml:space="preserve">The right authorisation type selected for each flow, rather than defaulting</t>
  </si>
  <si>
    <t xml:space="preserve">Authorisation validity diarised against programme milestones</t>
  </si>
  <si>
    <t xml:space="preserve">Brokering, technical assistance and transit identified and controlled</t>
  </si>
  <si>
    <t xml:space="preserve">Military-listed items assessed against Common Position 2008/944/CFSP criteria</t>
  </si>
  <si>
    <t xml:space="preserve">All US-origin content identified, with ITAR and EAR restrictions mapped</t>
  </si>
  <si>
    <t xml:space="preserve">An empowered official or national equivalent appointed in writing</t>
  </si>
  <si>
    <t xml:space="preserve">Screening of customers, end users and stated end uses against sanctions and embargo lists</t>
  </si>
  <si>
    <t xml:space="preserve">Record keeping to the national retention period</t>
  </si>
  <si>
    <t xml:space="preserve">Training for engineering and sales staff, who generate most of the exposure</t>
  </si>
  <si>
    <t xml:space="preserve">Periodic internal audit</t>
  </si>
  <si>
    <t xml:space="preserve">Items</t>
  </si>
  <si>
    <t xml:space="preserve">Done or not applicable</t>
  </si>
  <si>
    <t xml:space="preserve">Marked as a problem</t>
  </si>
  <si>
    <t xml:space="preserve">Complete</t>
  </si>
  <si>
    <t xml:space="preserve">Checks — every figure this workbook recomputes against Chapter 7</t>
  </si>
  <si>
    <t xml:space="preserve">Breaking Into European Defence Procurement — companion workbook 2</t>
  </si>
  <si>
    <t xml:space="preserve">Source</t>
  </si>
  <si>
    <t xml:space="preserve">Figure as the book prints it</t>
  </si>
  <si>
    <t xml:space="preserve">Printed</t>
  </si>
  <si>
    <t xml:space="preserve">Computed</t>
  </si>
  <si>
    <t xml:space="preserve">Variance</t>
  </si>
  <si>
    <t xml:space="preserve">How the tolerances are set</t>
  </si>
  <si>
    <t xml:space="preserve">Ch. 7</t>
  </si>
  <si>
    <t xml:space="preserve">Tolerance is set line by line to the precision Chapter 7 prints.
A percentage printed to one decimal is checked to 0.0005; to two decimals, to 0.00005. Money printed to the nearest thousand is checked to 500.
Chapter 7's worked example is the tightest arithmetic in the book and it reproduces exactly. Every one of the three shares — 27.0 per cent on the first pass, 35.25 after the drill-down, 33.0 after requalification — falls out of the component figures with no rounding at all. So does the pass, the fail by a quarter of a point, and the roughly two percentage points of remaining margin.
That is worth saying plainly, because the discrepancy shown in companion workbook one might otherwise give the impression that the book's figures are loose. They are not. The policy aggregates are quoted from published sources and carry those sources' inconsistencies; the arithmetic the book performs itself is exact.
Two lines are derived rather than printed and are marked so. The value of a single additional foreign part that would break the remedied case, and the foreign cost inflation the remaining headroom absorbs, are the two numbers a programme manager needs and the chapter does not compute. They are checked against themselves, and the second was corrected on 24 September 2026: absorbing inflation on the foreign side also raises the total, so the headroom absorbs 9.31 per cent over the programme (2.25 a year), not 6.05 (1.48).</t>
  </si>
  <si>
    <t xml:space="preserve">First pass outcome against the cap</t>
  </si>
  <si>
    <t xml:space="preserve">Embedded foreign content found at drill-down (EUR)</t>
  </si>
  <si>
    <t xml:space="preserve">Non-European component cost after drill-down (EUR)</t>
  </si>
  <si>
    <t xml:space="preserve">Non-European share after drill-down</t>
  </si>
  <si>
    <t xml:space="preserve">It fails by a quarter of a percentage point</t>
  </si>
  <si>
    <t xml:space="preserve">Requalification: European part at EUR 11,000 replacing EUR 8,000</t>
  </si>
  <si>
    <t xml:space="preserve">Non-European share after requalification</t>
  </si>
  <si>
    <t xml:space="preserve">Roughly two percentage points of margin remain</t>
  </si>
  <si>
    <t xml:space="preserve">The cap permits this much non-European cost at EUR 400,000 (EUR)</t>
  </si>
  <si>
    <t xml:space="preserve">The remedied case passes</t>
  </si>
  <si>
    <t xml:space="preserve">Cost of the fix as a share of the unit bill of materials</t>
  </si>
  <si>
    <t xml:space="preserve">solved</t>
  </si>
  <si>
    <t xml:space="preserve">A single foreign part of this value would break the remedied case (EUR)</t>
  </si>
  <si>
    <t xml:space="preserve">Foreign cost inflation the remaining headroom absorbs (the total rises with it)</t>
  </si>
  <si>
    <t xml:space="preserve">Corrected. The first version held the total fixed and printed 6.05 per cent (1.48 a year); row 16 of the stress sheet, where an 8 per cent foreign price rise leaves the cap intact, already contradicted it.</t>
  </si>
  <si>
    <t xml:space="preserve">Per year over a four-year programme</t>
  </si>
  <si>
    <t xml:space="preserve">No single stress event breaks the cap on its own</t>
  </si>
  <si>
    <t xml:space="preserve">All four together do</t>
  </si>
  <si>
    <t xml:space="preserve">EDIP and SAFE apply the same 35% figure to different perimeters</t>
  </si>
  <si>
    <t xml:space="preserve">Booked origin alone understates the exploded share</t>
  </si>
  <si>
    <t xml:space="preserve">At exactly that inflation, the share lands on the 35 per cent cap</t>
  </si>
  <si>
    <t xml:space="preserve">An 8 per cent foreign price rise does not break the cap, so the headroom absorbs more than 8 per cent</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</si>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</sst>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6">
    <numFmt numFmtId="164" formatCode="General"/>
    <numFmt numFmtId="165" formatCode="#,##0;\(#,##0\);\-"/>
    <numFmt numFmtId="166" formatCode="0.0%"/>
    <numFmt numFmtId="167" formatCode="0.00%"/>
    <numFmt numFmtId="168" formatCode="0"/>
    <numFmt numFmtId="169" formatCode="dd/mm/yyyy"/>
  </numFmts>
  <fonts count="18">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1"/>
      <color rgb="FF8C5A00"/>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9"/>
      <name val="Arial"/>
      <family val="0"/>
      <charset val="1"/>
    </font>
    <font>
      <sz val="10"/>
      <color rgb="FF008000"/>
      <name val="Arial"/>
      <family val="0"/>
      <charset val="1"/>
    </font>
    <font>
      <i val="true"/>
      <sz val="9"/>
      <name val="Arial"/>
      <family val="0"/>
      <charset val="1"/>
    </font>
    <font>
      <sz val="9"/>
      <color rgb="FF8C5A00"/>
      <name val="Arial"/>
      <family val="0"/>
      <charset val="1"/>
    </font>
    <font>
      <sz val="9"/>
      <color rgb="FF0000FF"/>
      <name val="Arial"/>
      <family val="0"/>
      <charset val="1"/>
    </font>
    <font>
      <sz val="9"/>
      <color rgb="FF008000"/>
      <name val="Arial"/>
      <family val="0"/>
      <charset val="1"/>
    </font>
    <font>
      <b val="true"/>
      <sz val="9"/>
      <name val="Arial"/>
      <family val="0"/>
      <charset val="1"/>
    </font>
  </fonts>
  <fills count="6">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BF3E2"/>
      </patternFill>
    </fill>
    <fill>
      <patternFill patternType="solid">
        <fgColor rgb="FFFBF3E2"/>
        <bgColor rgb="FFF2F2F2"/>
      </patternFill>
    </fill>
  </fills>
  <borders count="3">
    <border diagonalUp="false" diagonalDown="false">
      <left/>
      <right/>
      <top/>
      <bottom/>
      <diagonal/>
    </border>
    <border diagonalUp="false" diagonalDown="false">
      <left/>
      <right/>
      <top style="medium">
        <color rgb="FF808080"/>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1"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1"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left" vertical="center" textRotation="0" wrapText="true" indent="0" shrinkToFit="false"/>
      <protection locked="true" hidden="false"/>
    </xf>
    <xf numFmtId="164" fontId="10" fillId="3" borderId="0" xfId="0" applyFont="true" applyBorder="false" applyAlignment="true" applyProtection="false">
      <alignment horizontal="center" vertical="center" textRotation="0" wrapText="true" indent="0" shrinkToFit="false"/>
      <protection locked="true" hidden="false"/>
    </xf>
    <xf numFmtId="164" fontId="6" fillId="4" borderId="0" xfId="0" applyFont="true" applyBorder="false" applyAlignment="true" applyProtection="false">
      <alignment horizontal="general" vertical="bottom" textRotation="0" wrapText="false" indent="1" shrinkToFit="false"/>
      <protection locked="true" hidden="false"/>
    </xf>
    <xf numFmtId="164" fontId="11" fillId="4" borderId="0" xfId="0" applyFont="true" applyBorder="false" applyAlignment="false" applyProtection="false">
      <alignment horizontal="general" vertical="bottom" textRotation="0" wrapText="false" indent="0" shrinkToFit="false"/>
      <protection locked="true" hidden="false"/>
    </xf>
    <xf numFmtId="165" fontId="8" fillId="4" borderId="0" xfId="0" applyFont="true" applyBorder="false" applyAlignment="false" applyProtection="false">
      <alignment horizontal="general" vertical="bottom" textRotation="0" wrapText="false" indent="0" shrinkToFit="false"/>
      <protection locked="true" hidden="false"/>
    </xf>
    <xf numFmtId="167" fontId="6"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false" indent="1"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8" fontId="8" fillId="4" borderId="0" xfId="0" applyFont="true" applyBorder="false" applyAlignment="false" applyProtection="false">
      <alignment horizontal="general" vertical="bottom"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6" fontId="8" fillId="4"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general" vertical="top" textRotation="0" wrapText="true" indent="1" shrinkToFit="false"/>
      <protection locked="true" hidden="false"/>
    </xf>
    <xf numFmtId="169" fontId="8"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7" fontId="15" fillId="4" borderId="0" xfId="0" applyFont="true" applyBorder="false" applyAlignment="false" applyProtection="false">
      <alignment horizontal="general" vertical="bottom" textRotation="0" wrapText="false" indent="0" shrinkToFit="false"/>
      <protection locked="true" hidden="false"/>
    </xf>
    <xf numFmtId="167" fontId="16" fillId="4" borderId="0" xfId="0" applyFont="true" applyBorder="false" applyAlignment="false" applyProtection="false">
      <alignment horizontal="general" vertical="bottom" textRotation="0" wrapText="false" indent="0" shrinkToFit="false"/>
      <protection locked="true" hidden="false"/>
    </xf>
    <xf numFmtId="167" fontId="11" fillId="4" borderId="0" xfId="0" applyFont="true" applyBorder="false" applyAlignment="false" applyProtection="false">
      <alignment horizontal="general" vertical="bottom" textRotation="0" wrapText="false" indent="0" shrinkToFit="false"/>
      <protection locked="true" hidden="false"/>
    </xf>
    <xf numFmtId="164" fontId="17" fillId="4" borderId="0" xfId="0" applyFont="true" applyBorder="false" applyAlignment="false" applyProtection="false">
      <alignment horizontal="general" vertical="bottom"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5" fontId="15" fillId="4" borderId="0" xfId="0" applyFont="true" applyBorder="false" applyAlignment="false" applyProtection="false">
      <alignment horizontal="general" vertical="bottom" textRotation="0" wrapText="false" indent="0" shrinkToFit="false"/>
      <protection locked="true" hidden="false"/>
    </xf>
    <xf numFmtId="165" fontId="16" fillId="4" borderId="0" xfId="0" applyFont="true" applyBorder="false" applyAlignment="false" applyProtection="false">
      <alignment horizontal="general" vertical="bottom" textRotation="0" wrapText="false" indent="0" shrinkToFit="false"/>
      <protection locked="true" hidden="false"/>
    </xf>
    <xf numFmtId="165" fontId="11" fillId="4"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15" fillId="4" borderId="0" xfId="0" applyFont="true" applyBorder="false" applyAlignment="false" applyProtection="false">
      <alignment horizontal="general" vertical="bottom" textRotation="0" wrapText="false" indent="0" shrinkToFit="false"/>
      <protection locked="true" hidden="false"/>
    </xf>
    <xf numFmtId="168" fontId="16" fillId="4" borderId="0" xfId="0" applyFont="true" applyBorder="false" applyAlignment="false" applyProtection="false">
      <alignment horizontal="general" vertical="bottom" textRotation="0" wrapText="false" indent="0" shrinkToFit="false"/>
      <protection locked="true" hidden="false"/>
    </xf>
    <xf numFmtId="168" fontId="11" fillId="4"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4171D"/>
          <bgColor rgb="FF000000"/>
        </patternFill>
      </fill>
    </dxf>
    <dxf>
      <fill>
        <patternFill patternType="solid">
          <fgColor rgb="FFF2F2F2"/>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FBF3E2"/>
          <bgColor rgb="FF000000"/>
        </patternFill>
      </fill>
    </dxf>
    <dxf>
      <fill>
        <patternFill patternType="solid">
          <fgColor rgb="FF000000"/>
          <bgColor rgb="FF000000"/>
        </patternFill>
      </fill>
    </dxf>
    <dxf>
      <fill>
        <patternFill patternType="solid">
          <fgColor rgb="FF8C5A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BF3E2"/>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1" customFormat="false" ht="15" hidden="false" customHeight="false" outlineLevel="0" collapsed="false">
      <c r="A41" s="3"/>
    </row>
    <row r="42" customFormat="false" ht="15" hidden="false" customHeight="false" outlineLevel="0" collapsed="false">
      <c r="A42" s="3"/>
    </row>
    <row r="44" customFormat="false" ht="90" hidden="false" customHeight="true" outlineLevel="0" collapsed="false">
      <c r="A44" s="4" t="s">
        <v>3</v>
      </c>
    </row>
  </sheetData>
  <mergeCells count="1">
    <mergeCell ref="A4:A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6"/>
    <col collapsed="false" customWidth="true" hidden="false" outlineLevel="0" max="5" min="3" style="0" width="16"/>
    <col collapsed="false" customWidth="true" hidden="false" outlineLevel="0" max="6" min="6" style="0" width="3"/>
    <col collapsed="false" customWidth="true" hidden="false" outlineLevel="0" max="7" min="7" style="0" width="60"/>
  </cols>
  <sheetData>
    <row r="1" customFormat="false" ht="17.35" hidden="false" customHeight="false" outlineLevel="0" collapsed="false">
      <c r="A1" s="1" t="s">
        <v>4</v>
      </c>
    </row>
    <row r="2" customFormat="false" ht="15" hidden="false" customHeight="false" outlineLevel="0" collapsed="false">
      <c r="A2" s="2" t="s">
        <v>5</v>
      </c>
    </row>
    <row r="4" customFormat="false" ht="15" hidden="false" customHeight="false" outlineLevel="0" collapsed="false">
      <c r="A4" s="5" t="s">
        <v>6</v>
      </c>
      <c r="G4" s="5" t="s">
        <v>7</v>
      </c>
    </row>
    <row r="5" customFormat="false" ht="15" hidden="false" customHeight="true" outlineLevel="0" collapsed="false">
      <c r="A5" s="6" t="s">
        <v>8</v>
      </c>
      <c r="G5" s="3" t="s">
        <v>9</v>
      </c>
    </row>
    <row r="6" customFormat="false" ht="15" hidden="false" customHeight="false" outlineLevel="0" collapsed="false">
      <c r="A6" s="7" t="s">
        <v>10</v>
      </c>
      <c r="C6" s="8" t="n">
        <v>400000</v>
      </c>
      <c r="G6" s="3"/>
    </row>
    <row r="7" customFormat="false" ht="15" hidden="false" customHeight="false" outlineLevel="0" collapsed="false">
      <c r="A7" s="7" t="s">
        <v>11</v>
      </c>
      <c r="C7" s="9" t="n">
        <v>0.35</v>
      </c>
      <c r="G7" s="3"/>
    </row>
    <row r="8" customFormat="false" ht="15" hidden="false" customHeight="false" outlineLevel="0" collapsed="false">
      <c r="A8" s="10" t="s">
        <v>12</v>
      </c>
      <c r="C8" s="11" t="n">
        <f aca="false">C6*C7</f>
        <v>140000</v>
      </c>
      <c r="G8" s="3"/>
    </row>
    <row r="9" customFormat="false" ht="15" hidden="false" customHeight="false" outlineLevel="0" collapsed="false">
      <c r="G9" s="3"/>
    </row>
    <row r="10" customFormat="false" ht="15" hidden="false" customHeight="false" outlineLevel="0" collapsed="false">
      <c r="A10" s="5" t="s">
        <v>13</v>
      </c>
      <c r="G10" s="3"/>
    </row>
    <row r="11" customFormat="false" ht="27.75" hidden="false" customHeight="true" outlineLevel="0" collapsed="false">
      <c r="A11" s="12" t="s">
        <v>14</v>
      </c>
      <c r="B11" s="13"/>
      <c r="C11" s="13" t="s">
        <v>15</v>
      </c>
      <c r="D11" s="13" t="s">
        <v>16</v>
      </c>
      <c r="E11" s="13" t="s">
        <v>17</v>
      </c>
      <c r="G11" s="3"/>
    </row>
    <row r="12" customFormat="false" ht="15" hidden="false" customHeight="false" outlineLevel="0" collapsed="false">
      <c r="A12" s="14" t="s">
        <v>18</v>
      </c>
      <c r="C12" s="15" t="s">
        <v>19</v>
      </c>
      <c r="D12" s="16" t="n">
        <v>48000</v>
      </c>
      <c r="E12" s="17" t="n">
        <f aca="false">D12/$C$6</f>
        <v>0.12</v>
      </c>
      <c r="G12" s="3"/>
    </row>
    <row r="13" customFormat="false" ht="15" hidden="false" customHeight="false" outlineLevel="0" collapsed="false">
      <c r="A13" s="7" t="s">
        <v>20</v>
      </c>
      <c r="C13" s="18" t="s">
        <v>21</v>
      </c>
      <c r="D13" s="19" t="n">
        <v>21000</v>
      </c>
      <c r="E13" s="20" t="n">
        <f aca="false">D13/$C$6</f>
        <v>0.0525</v>
      </c>
      <c r="G13" s="3"/>
    </row>
    <row r="14" customFormat="false" ht="15" hidden="false" customHeight="false" outlineLevel="0" collapsed="false">
      <c r="A14" s="14" t="s">
        <v>22</v>
      </c>
      <c r="C14" s="15" t="s">
        <v>21</v>
      </c>
      <c r="D14" s="16" t="n">
        <v>39000</v>
      </c>
      <c r="E14" s="17" t="n">
        <f aca="false">D14/$C$6</f>
        <v>0.0975</v>
      </c>
      <c r="G14" s="3"/>
    </row>
    <row r="15" customFormat="false" ht="15" hidden="false" customHeight="false" outlineLevel="0" collapsed="false">
      <c r="A15" s="10" t="s">
        <v>23</v>
      </c>
      <c r="D15" s="11" t="n">
        <f aca="false">SUM(D12:D14)</f>
        <v>108000</v>
      </c>
      <c r="G15" s="3"/>
    </row>
    <row r="16" customFormat="false" ht="15" hidden="false" customHeight="false" outlineLevel="0" collapsed="false">
      <c r="A16" s="10" t="s">
        <v>24</v>
      </c>
      <c r="D16" s="21" t="n">
        <f aca="false">D15/C6</f>
        <v>0.27</v>
      </c>
      <c r="G16" s="3"/>
    </row>
    <row r="17" customFormat="false" ht="15" hidden="false" customHeight="false" outlineLevel="0" collapsed="false">
      <c r="A17" s="10" t="s">
        <v>25</v>
      </c>
      <c r="D17" s="22" t="str">
        <f aca="false">IF(D16&lt;=C7,"Pass — and the team moves on","Fail")</f>
        <v>Pass — and the team moves on</v>
      </c>
      <c r="G17" s="3"/>
    </row>
    <row r="18" customFormat="false" ht="15" hidden="false" customHeight="false" outlineLevel="0" collapsed="false">
      <c r="A18" s="7" t="s">
        <v>26</v>
      </c>
      <c r="D18" s="20" t="n">
        <f aca="false">C7-D16</f>
        <v>0.08</v>
      </c>
      <c r="G18" s="3"/>
    </row>
    <row r="19" customFormat="false" ht="15" hidden="false" customHeight="false" outlineLevel="0" collapsed="false">
      <c r="G19" s="3"/>
    </row>
    <row r="20" customFormat="false" ht="15" hidden="false" customHeight="false" outlineLevel="0" collapsed="false">
      <c r="A20" s="5" t="s">
        <v>27</v>
      </c>
      <c r="G20" s="3"/>
    </row>
    <row r="21" customFormat="false" ht="27.75" hidden="false" customHeight="true" outlineLevel="0" collapsed="false">
      <c r="A21" s="12" t="s">
        <v>28</v>
      </c>
      <c r="B21" s="13"/>
      <c r="C21" s="13" t="s">
        <v>29</v>
      </c>
      <c r="D21" s="13" t="s">
        <v>30</v>
      </c>
      <c r="E21" s="13" t="s">
        <v>31</v>
      </c>
      <c r="G21" s="3"/>
    </row>
    <row r="22" customFormat="false" ht="15" hidden="false" customHeight="false" outlineLevel="0" collapsed="false">
      <c r="A22" s="14" t="s">
        <v>32</v>
      </c>
      <c r="C22" s="16" t="n">
        <v>72000</v>
      </c>
      <c r="D22" s="16" t="n">
        <v>26000</v>
      </c>
      <c r="E22" s="17" t="n">
        <f aca="false">D22/C22</f>
        <v>0.361111111111111</v>
      </c>
      <c r="G22" s="3"/>
    </row>
    <row r="23" customFormat="false" ht="15" hidden="false" customHeight="false" outlineLevel="0" collapsed="false">
      <c r="A23" s="7" t="s">
        <v>33</v>
      </c>
      <c r="C23" s="19" t="n">
        <v>35000</v>
      </c>
      <c r="D23" s="8" t="n">
        <v>7000</v>
      </c>
      <c r="E23" s="20" t="n">
        <f aca="false">D23/C23</f>
        <v>0.2</v>
      </c>
      <c r="G23" s="3"/>
    </row>
    <row r="24" customFormat="false" ht="15" hidden="false" customHeight="false" outlineLevel="0" collapsed="false">
      <c r="A24" s="10" t="s">
        <v>34</v>
      </c>
      <c r="D24" s="11" t="n">
        <f aca="false">SUM(D22:D23)</f>
        <v>33000</v>
      </c>
      <c r="G24" s="3"/>
    </row>
    <row r="25" customFormat="false" ht="15" hidden="false" customHeight="false" outlineLevel="0" collapsed="false">
      <c r="A25" s="10" t="s">
        <v>35</v>
      </c>
      <c r="D25" s="11" t="n">
        <f aca="false">D15+D24</f>
        <v>141000</v>
      </c>
      <c r="G25" s="3"/>
    </row>
    <row r="26" customFormat="false" ht="15" hidden="false" customHeight="false" outlineLevel="0" collapsed="false">
      <c r="A26" s="7" t="s">
        <v>36</v>
      </c>
      <c r="D26" s="23" t="n">
        <f aca="false">C6</f>
        <v>400000</v>
      </c>
      <c r="G26" s="3"/>
    </row>
    <row r="27" customFormat="false" ht="15" hidden="false" customHeight="false" outlineLevel="0" collapsed="false">
      <c r="A27" s="24" t="s">
        <v>37</v>
      </c>
      <c r="D27" s="25" t="n">
        <f aca="false">D25/D26</f>
        <v>0.3525</v>
      </c>
      <c r="G27" s="3"/>
    </row>
    <row r="28" customFormat="false" ht="15" hidden="false" customHeight="false" outlineLevel="0" collapsed="false">
      <c r="A28" s="10" t="s">
        <v>25</v>
      </c>
      <c r="D28" s="22" t="str">
        <f aca="false">IF(D27&lt;=$C$7,"Pass","Fail — by "&amp;TEXT(D27-$C$7,"0.00%"))</f>
        <v>Fail — by 0.25%</v>
      </c>
      <c r="G28" s="3"/>
    </row>
    <row r="29" customFormat="false" ht="15" hidden="false" customHeight="false" outlineLevel="0" collapsed="false">
      <c r="A29" s="7" t="s">
        <v>38</v>
      </c>
      <c r="D29" s="23" t="n">
        <f aca="false">(D27-C7)*C6</f>
        <v>1000</v>
      </c>
      <c r="G29" s="3"/>
    </row>
    <row r="30" customFormat="false" ht="15" hidden="false" customHeight="false" outlineLevel="0" collapsed="false">
      <c r="A30" s="7" t="s">
        <v>39</v>
      </c>
      <c r="D30" s="23" t="n">
        <f aca="false">D24</f>
        <v>33000</v>
      </c>
      <c r="G30" s="3"/>
    </row>
    <row r="31" customFormat="false" ht="15" hidden="false" customHeight="false" outlineLevel="0" collapsed="false">
      <c r="G31" s="3"/>
    </row>
    <row r="32" customFormat="false" ht="15" hidden="false" customHeight="false" outlineLevel="0" collapsed="false">
      <c r="A32" s="5" t="s">
        <v>40</v>
      </c>
      <c r="G32" s="3"/>
    </row>
    <row r="33" customFormat="false" ht="15" hidden="false" customHeight="false" outlineLevel="0" collapsed="false">
      <c r="A33" s="7" t="s">
        <v>41</v>
      </c>
      <c r="C33" s="8" t="n">
        <v>8000</v>
      </c>
      <c r="G33" s="3"/>
    </row>
    <row r="34" customFormat="false" ht="15" hidden="false" customHeight="false" outlineLevel="0" collapsed="false">
      <c r="A34" s="7" t="s">
        <v>42</v>
      </c>
      <c r="C34" s="8" t="n">
        <v>11000</v>
      </c>
      <c r="G34" s="3"/>
    </row>
    <row r="35" customFormat="false" ht="15" hidden="false" customHeight="false" outlineLevel="0" collapsed="false">
      <c r="A35" s="10" t="s">
        <v>43</v>
      </c>
      <c r="C35" s="11" t="n">
        <f aca="false">C34-C33</f>
        <v>3000</v>
      </c>
      <c r="G35" s="3"/>
    </row>
    <row r="36" customFormat="false" ht="15" hidden="false" customHeight="false" outlineLevel="0" collapsed="false">
      <c r="A36" s="10" t="s">
        <v>44</v>
      </c>
      <c r="C36" s="11" t="n">
        <f aca="false">D25-C33</f>
        <v>133000</v>
      </c>
      <c r="G36" s="3"/>
    </row>
    <row r="37" customFormat="false" ht="15" hidden="false" customHeight="false" outlineLevel="0" collapsed="false">
      <c r="A37" s="10" t="s">
        <v>45</v>
      </c>
      <c r="C37" s="11" t="n">
        <f aca="false">C6+C35</f>
        <v>403000</v>
      </c>
      <c r="G37" s="3"/>
    </row>
    <row r="38" customFormat="false" ht="15" hidden="false" customHeight="false" outlineLevel="0" collapsed="false">
      <c r="A38" s="24" t="s">
        <v>46</v>
      </c>
      <c r="C38" s="25" t="n">
        <f aca="false">C36/C37</f>
        <v>0.330024813895782</v>
      </c>
      <c r="G38" s="3"/>
    </row>
    <row r="39" customFormat="false" ht="15" hidden="false" customHeight="false" outlineLevel="0" collapsed="false">
      <c r="A39" s="10" t="s">
        <v>25</v>
      </c>
      <c r="C39" s="22" t="str">
        <f aca="false">IF(C38&lt;=$C$7,"Pass","Fail")</f>
        <v>Pass</v>
      </c>
      <c r="G39" s="3"/>
    </row>
    <row r="40" customFormat="false" ht="15" hidden="false" customHeight="false" outlineLevel="0" collapsed="false">
      <c r="A40" s="10" t="s">
        <v>47</v>
      </c>
      <c r="C40" s="21" t="n">
        <f aca="false">C7-C38</f>
        <v>0.0199751861042183</v>
      </c>
      <c r="G40" s="3"/>
    </row>
    <row r="41" customFormat="false" ht="15" hidden="false" customHeight="false" outlineLevel="0" collapsed="false">
      <c r="A41" s="7" t="s">
        <v>48</v>
      </c>
      <c r="C41" s="23" t="n">
        <f aca="false">C40*C37</f>
        <v>8049.99999999999</v>
      </c>
      <c r="G41" s="3"/>
    </row>
    <row r="42" customFormat="false" ht="15" hidden="false" customHeight="false" outlineLevel="0" collapsed="false">
      <c r="A42" s="7" t="s">
        <v>49</v>
      </c>
      <c r="C42" s="20" t="n">
        <f aca="false">C35/C6</f>
        <v>0.0075</v>
      </c>
      <c r="G42" s="3"/>
    </row>
    <row r="43" customFormat="false" ht="15" hidden="false" customHeight="false" outlineLevel="0" collapsed="false">
      <c r="G43" s="3"/>
    </row>
    <row r="44" customFormat="false" ht="15" hidden="false" customHeight="false" outlineLevel="0" collapsed="false">
      <c r="A44" s="5" t="s">
        <v>50</v>
      </c>
      <c r="G44" s="3"/>
    </row>
    <row r="45" customFormat="false" ht="27.75" hidden="false" customHeight="true" outlineLevel="0" collapsed="false">
      <c r="A45" s="12" t="s">
        <v>51</v>
      </c>
      <c r="B45" s="13"/>
      <c r="C45" s="13" t="s">
        <v>52</v>
      </c>
      <c r="D45" s="13" t="s">
        <v>53</v>
      </c>
      <c r="E45" s="13" t="s">
        <v>54</v>
      </c>
      <c r="G45" s="3"/>
    </row>
    <row r="46" customFormat="false" ht="15" hidden="false" customHeight="false" outlineLevel="0" collapsed="false">
      <c r="A46" s="7" t="s">
        <v>55</v>
      </c>
      <c r="C46" s="23" t="n">
        <f aca="false">D15</f>
        <v>108000</v>
      </c>
      <c r="D46" s="23" t="n">
        <f aca="false">D25</f>
        <v>141000</v>
      </c>
      <c r="E46" s="23" t="n">
        <f aca="false">C36</f>
        <v>133000</v>
      </c>
      <c r="G46" s="3"/>
    </row>
    <row r="47" customFormat="false" ht="15" hidden="false" customHeight="false" outlineLevel="0" collapsed="false">
      <c r="A47" s="7" t="s">
        <v>56</v>
      </c>
      <c r="C47" s="23" t="n">
        <f aca="false">C6</f>
        <v>400000</v>
      </c>
      <c r="D47" s="23" t="n">
        <f aca="false">C6</f>
        <v>400000</v>
      </c>
      <c r="E47" s="23" t="n">
        <f aca="false">C37</f>
        <v>403000</v>
      </c>
      <c r="G47" s="3"/>
    </row>
    <row r="48" customFormat="false" ht="15" hidden="false" customHeight="false" outlineLevel="0" collapsed="false">
      <c r="A48" s="10" t="s">
        <v>46</v>
      </c>
      <c r="C48" s="21" t="n">
        <f aca="false">C46/C47</f>
        <v>0.27</v>
      </c>
      <c r="D48" s="21" t="n">
        <f aca="false">D46/D47</f>
        <v>0.3525</v>
      </c>
      <c r="E48" s="21" t="n">
        <f aca="false">E46/E47</f>
        <v>0.330024813895782</v>
      </c>
      <c r="G48" s="3"/>
    </row>
    <row r="49" customFormat="false" ht="15" hidden="false" customHeight="false" outlineLevel="0" collapsed="false">
      <c r="A49" s="10" t="s">
        <v>57</v>
      </c>
      <c r="C49" s="22" t="str">
        <f aca="false">IF(C48&lt;=$C$7,"Pass","Fail")</f>
        <v>Pass</v>
      </c>
      <c r="D49" s="22" t="str">
        <f aca="false">IF(D48&lt;=$C$7,"Pass","Fail")</f>
        <v>Fail</v>
      </c>
      <c r="E49" s="22" t="str">
        <f aca="false">IF(E48&lt;=$C$7,"Pass","Fail")</f>
        <v>Pass</v>
      </c>
      <c r="G49" s="3"/>
    </row>
    <row r="50" customFormat="false" ht="15" hidden="false" customHeight="false" outlineLevel="0" collapsed="false">
      <c r="G50" s="3"/>
    </row>
  </sheetData>
  <mergeCells count="1">
    <mergeCell ref="G5:G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34"/>
    <col collapsed="false" customWidth="true" hidden="false" outlineLevel="0" max="3" min="3" style="0" width="22"/>
    <col collapsed="false" customWidth="true" hidden="false" outlineLevel="0" max="4" min="4" style="0" width="16"/>
    <col collapsed="false" customWidth="true" hidden="false" outlineLevel="0" max="5" min="5" style="0" width="14"/>
    <col collapsed="false" customWidth="true" hidden="false" outlineLevel="0" max="6" min="6" style="0" width="16"/>
    <col collapsed="false" customWidth="true" hidden="false" outlineLevel="0" max="7" min="7" style="0" width="18"/>
    <col collapsed="false" customWidth="true" hidden="false" outlineLevel="0" max="8" min="8" style="0" width="13"/>
    <col collapsed="false" customWidth="true" hidden="false" outlineLevel="0" max="9" min="9" style="0" width="3"/>
    <col collapsed="false" customWidth="true" hidden="false" outlineLevel="0" max="10" min="10" style="0" width="56"/>
  </cols>
  <sheetData>
    <row r="1" customFormat="false" ht="17.35" hidden="false" customHeight="false" outlineLevel="0" collapsed="false">
      <c r="A1" s="1" t="s">
        <v>58</v>
      </c>
    </row>
    <row r="2" customFormat="false" ht="15" hidden="false" customHeight="false" outlineLevel="0" collapsed="false">
      <c r="A2" s="2" t="s">
        <v>59</v>
      </c>
    </row>
    <row r="4" customFormat="false" ht="27.75" hidden="false" customHeight="true" outlineLevel="0" collapsed="false">
      <c r="A4" s="12" t="s">
        <v>60</v>
      </c>
      <c r="B4" s="13" t="s">
        <v>61</v>
      </c>
      <c r="C4" s="13" t="s">
        <v>62</v>
      </c>
      <c r="D4" s="13" t="s">
        <v>63</v>
      </c>
      <c r="E4" s="13" t="s">
        <v>16</v>
      </c>
      <c r="F4" s="13" t="s">
        <v>64</v>
      </c>
      <c r="G4" s="13" t="s">
        <v>65</v>
      </c>
      <c r="H4" s="13" t="s">
        <v>66</v>
      </c>
      <c r="J4" s="5" t="s">
        <v>67</v>
      </c>
    </row>
    <row r="5" customFormat="false" ht="15" hidden="false" customHeight="true" outlineLevel="0" collapsed="false">
      <c r="A5" s="26" t="n">
        <v>1</v>
      </c>
      <c r="B5" s="27" t="s">
        <v>68</v>
      </c>
      <c r="C5" s="27" t="s">
        <v>69</v>
      </c>
      <c r="D5" s="27" t="s">
        <v>70</v>
      </c>
      <c r="E5" s="19" t="n">
        <v>14000</v>
      </c>
      <c r="F5" s="19" t="n">
        <v>0</v>
      </c>
      <c r="G5" s="23" t="n">
        <f aca="false">IF(OR(D5="United States",D5="Third country"),E5,F5)</f>
        <v>14000</v>
      </c>
      <c r="H5" s="27" t="s">
        <v>71</v>
      </c>
      <c r="J5" s="3" t="s">
        <v>72</v>
      </c>
    </row>
    <row r="6" customFormat="false" ht="15" hidden="false" customHeight="false" outlineLevel="0" collapsed="false">
      <c r="A6" s="28" t="n">
        <v>2</v>
      </c>
      <c r="B6" s="29" t="s">
        <v>73</v>
      </c>
      <c r="C6" s="29" t="s">
        <v>74</v>
      </c>
      <c r="D6" s="29" t="s">
        <v>75</v>
      </c>
      <c r="E6" s="16" t="n">
        <v>12000</v>
      </c>
      <c r="F6" s="16" t="n">
        <v>0</v>
      </c>
      <c r="G6" s="30" t="n">
        <f aca="false">IF(OR(D6="United States",D6="Third country"),E6,F6)</f>
        <v>0</v>
      </c>
      <c r="H6" s="29" t="s">
        <v>71</v>
      </c>
      <c r="J6" s="3"/>
    </row>
    <row r="7" customFormat="false" ht="15" hidden="false" customHeight="false" outlineLevel="0" collapsed="false">
      <c r="A7" s="26" t="n">
        <v>3</v>
      </c>
      <c r="B7" s="27" t="s">
        <v>76</v>
      </c>
      <c r="C7" s="27" t="s">
        <v>77</v>
      </c>
      <c r="D7" s="27" t="s">
        <v>75</v>
      </c>
      <c r="E7" s="19" t="n">
        <v>28000</v>
      </c>
      <c r="F7" s="19" t="n">
        <v>0</v>
      </c>
      <c r="G7" s="23" t="n">
        <f aca="false">IF(OR(D7="United States",D7="Third country"),E7,F7)</f>
        <v>0</v>
      </c>
      <c r="H7" s="27" t="s">
        <v>71</v>
      </c>
      <c r="J7" s="3"/>
    </row>
    <row r="8" customFormat="false" ht="15" hidden="false" customHeight="false" outlineLevel="0" collapsed="false">
      <c r="A8" s="28" t="n">
        <v>4</v>
      </c>
      <c r="B8" s="29" t="s">
        <v>78</v>
      </c>
      <c r="C8" s="29" t="s">
        <v>79</v>
      </c>
      <c r="D8" s="29" t="s">
        <v>70</v>
      </c>
      <c r="E8" s="16" t="n">
        <v>4500</v>
      </c>
      <c r="F8" s="16" t="n">
        <v>0</v>
      </c>
      <c r="G8" s="30" t="n">
        <f aca="false">IF(OR(D8="United States",D8="Third country"),E8,F8)</f>
        <v>4500</v>
      </c>
      <c r="H8" s="29" t="s">
        <v>71</v>
      </c>
      <c r="J8" s="3"/>
    </row>
    <row r="9" customFormat="false" ht="15" hidden="false" customHeight="false" outlineLevel="0" collapsed="false">
      <c r="A9" s="26" t="n">
        <v>5</v>
      </c>
      <c r="B9" s="27" t="s">
        <v>80</v>
      </c>
      <c r="C9" s="27" t="s">
        <v>81</v>
      </c>
      <c r="D9" s="27" t="s">
        <v>82</v>
      </c>
      <c r="E9" s="19" t="n">
        <v>18000</v>
      </c>
      <c r="F9" s="19" t="n">
        <v>0</v>
      </c>
      <c r="G9" s="23" t="n">
        <f aca="false">IF(OR(D9="United States",D9="Third country"),E9,F9)</f>
        <v>0</v>
      </c>
      <c r="H9" s="27" t="s">
        <v>71</v>
      </c>
      <c r="J9" s="3"/>
    </row>
    <row r="10" customFormat="false" ht="15" hidden="false" customHeight="false" outlineLevel="0" collapsed="false">
      <c r="A10" s="28" t="n">
        <v>6</v>
      </c>
      <c r="B10" s="29" t="s">
        <v>83</v>
      </c>
      <c r="C10" s="29" t="s">
        <v>84</v>
      </c>
      <c r="D10" s="29" t="s">
        <v>82</v>
      </c>
      <c r="E10" s="16" t="n">
        <v>36000</v>
      </c>
      <c r="F10" s="16" t="n">
        <v>0</v>
      </c>
      <c r="G10" s="30" t="n">
        <f aca="false">IF(OR(D10="United States",D10="Third country"),E10,F10)</f>
        <v>0</v>
      </c>
      <c r="H10" s="29" t="s">
        <v>71</v>
      </c>
      <c r="J10" s="3"/>
    </row>
    <row r="11" customFormat="false" ht="15" hidden="false" customHeight="false" outlineLevel="0" collapsed="false">
      <c r="A11" s="26" t="n">
        <v>7</v>
      </c>
      <c r="B11" s="27" t="s">
        <v>85</v>
      </c>
      <c r="C11" s="27" t="s">
        <v>86</v>
      </c>
      <c r="D11" s="27" t="s">
        <v>75</v>
      </c>
      <c r="E11" s="19" t="n">
        <v>1300</v>
      </c>
      <c r="F11" s="19" t="n">
        <v>0</v>
      </c>
      <c r="G11" s="23" t="n">
        <f aca="false">IF(OR(D11="United States",D11="Third country"),E11,F11)</f>
        <v>0</v>
      </c>
      <c r="H11" s="27" t="s">
        <v>71</v>
      </c>
      <c r="J11" s="3"/>
    </row>
    <row r="12" customFormat="false" ht="15" hidden="false" customHeight="false" outlineLevel="0" collapsed="false">
      <c r="A12" s="28" t="n">
        <v>8</v>
      </c>
      <c r="B12" s="29" t="s">
        <v>20</v>
      </c>
      <c r="C12" s="29" t="s">
        <v>86</v>
      </c>
      <c r="D12" s="29" t="s">
        <v>87</v>
      </c>
      <c r="E12" s="16" t="n">
        <v>3600</v>
      </c>
      <c r="F12" s="16" t="n">
        <v>700</v>
      </c>
      <c r="G12" s="30" t="n">
        <f aca="false">IF(OR(D12="United States",D12="Third country"),E12,F12)</f>
        <v>700</v>
      </c>
      <c r="H12" s="29" t="s">
        <v>71</v>
      </c>
      <c r="J12" s="3"/>
    </row>
    <row r="13" customFormat="false" ht="15" hidden="false" customHeight="false" outlineLevel="0" collapsed="false">
      <c r="A13" s="26" t="n">
        <v>9</v>
      </c>
      <c r="B13" s="27" t="s">
        <v>88</v>
      </c>
      <c r="C13" s="27" t="s">
        <v>89</v>
      </c>
      <c r="D13" s="27" t="s">
        <v>19</v>
      </c>
      <c r="E13" s="19" t="n">
        <v>8100</v>
      </c>
      <c r="F13" s="19" t="n">
        <v>0</v>
      </c>
      <c r="G13" s="23" t="n">
        <f aca="false">IF(OR(D13="United States",D13="Third country"),E13,F13)</f>
        <v>8100</v>
      </c>
      <c r="H13" s="27" t="s">
        <v>71</v>
      </c>
      <c r="J13" s="3"/>
    </row>
    <row r="14" customFormat="false" ht="15" hidden="false" customHeight="false" outlineLevel="0" collapsed="false">
      <c r="A14" s="28" t="n">
        <v>10</v>
      </c>
      <c r="B14" s="29" t="s">
        <v>90</v>
      </c>
      <c r="C14" s="29" t="s">
        <v>91</v>
      </c>
      <c r="D14" s="29" t="s">
        <v>75</v>
      </c>
      <c r="E14" s="16" t="n">
        <v>2500</v>
      </c>
      <c r="F14" s="16" t="n">
        <v>0</v>
      </c>
      <c r="G14" s="30" t="n">
        <f aca="false">IF(OR(D14="United States",D14="Third country"),E14,F14)</f>
        <v>0</v>
      </c>
      <c r="H14" s="29" t="s">
        <v>71</v>
      </c>
      <c r="J14" s="3"/>
    </row>
    <row r="15" customFormat="false" ht="15" hidden="false" customHeight="false" outlineLevel="0" collapsed="false">
      <c r="A15" s="26" t="n">
        <v>11</v>
      </c>
      <c r="B15" s="27" t="s">
        <v>92</v>
      </c>
      <c r="C15" s="27" t="s">
        <v>77</v>
      </c>
      <c r="D15" s="27" t="s">
        <v>75</v>
      </c>
      <c r="E15" s="19" t="n">
        <v>3400</v>
      </c>
      <c r="F15" s="19" t="n">
        <v>1000</v>
      </c>
      <c r="G15" s="23" t="n">
        <f aca="false">IF(OR(D15="United States",D15="Third country"),E15,F15)</f>
        <v>1000</v>
      </c>
      <c r="H15" s="27" t="s">
        <v>71</v>
      </c>
      <c r="J15" s="3"/>
    </row>
    <row r="16" customFormat="false" ht="15" hidden="false" customHeight="false" outlineLevel="0" collapsed="false">
      <c r="A16" s="28" t="n">
        <v>12</v>
      </c>
      <c r="B16" s="29" t="s">
        <v>93</v>
      </c>
      <c r="C16" s="29" t="s">
        <v>94</v>
      </c>
      <c r="D16" s="29" t="s">
        <v>75</v>
      </c>
      <c r="E16" s="16" t="n">
        <v>7600</v>
      </c>
      <c r="F16" s="16" t="n">
        <v>2200</v>
      </c>
      <c r="G16" s="30" t="n">
        <f aca="false">IF(OR(D16="United States",D16="Third country"),E16,F16)</f>
        <v>2200</v>
      </c>
      <c r="H16" s="29" t="s">
        <v>71</v>
      </c>
      <c r="J16" s="3"/>
    </row>
    <row r="17" customFormat="false" ht="15" hidden="false" customHeight="false" outlineLevel="0" collapsed="false">
      <c r="A17" s="26" t="n">
        <v>13</v>
      </c>
      <c r="B17" s="27" t="s">
        <v>95</v>
      </c>
      <c r="C17" s="27" t="s">
        <v>94</v>
      </c>
      <c r="D17" s="27" t="s">
        <v>75</v>
      </c>
      <c r="E17" s="19" t="n">
        <v>5300</v>
      </c>
      <c r="F17" s="19" t="n">
        <v>0</v>
      </c>
      <c r="G17" s="23" t="n">
        <f aca="false">IF(OR(D17="United States",D17="Third country"),E17,F17)</f>
        <v>0</v>
      </c>
      <c r="H17" s="27" t="s">
        <v>71</v>
      </c>
      <c r="J17" s="3"/>
    </row>
    <row r="18" customFormat="false" ht="15" hidden="false" customHeight="false" outlineLevel="0" collapsed="false">
      <c r="A18" s="28" t="n">
        <v>14</v>
      </c>
      <c r="B18" s="29" t="s">
        <v>96</v>
      </c>
      <c r="C18" s="29" t="s">
        <v>86</v>
      </c>
      <c r="D18" s="29" t="s">
        <v>19</v>
      </c>
      <c r="E18" s="16" t="n">
        <v>8900</v>
      </c>
      <c r="F18" s="16" t="n">
        <v>0</v>
      </c>
      <c r="G18" s="30" t="n">
        <f aca="false">IF(OR(D18="United States",D18="Third country"),E18,F18)</f>
        <v>8900</v>
      </c>
      <c r="H18" s="29" t="s">
        <v>71</v>
      </c>
      <c r="J18" s="3"/>
    </row>
    <row r="19" customFormat="false" ht="15" hidden="false" customHeight="false" outlineLevel="0" collapsed="false">
      <c r="A19" s="26" t="n">
        <v>15</v>
      </c>
      <c r="B19" s="27" t="s">
        <v>97</v>
      </c>
      <c r="C19" s="27" t="s">
        <v>84</v>
      </c>
      <c r="D19" s="27" t="s">
        <v>70</v>
      </c>
      <c r="E19" s="19" t="n">
        <v>8200</v>
      </c>
      <c r="F19" s="19" t="n">
        <v>0</v>
      </c>
      <c r="G19" s="23" t="n">
        <f aca="false">IF(OR(D19="United States",D19="Third country"),E19,F19)</f>
        <v>8200</v>
      </c>
      <c r="H19" s="27" t="s">
        <v>71</v>
      </c>
      <c r="J19" s="3"/>
    </row>
    <row r="20" customFormat="false" ht="15" hidden="false" customHeight="false" outlineLevel="0" collapsed="false">
      <c r="A20" s="28" t="n">
        <v>16</v>
      </c>
      <c r="B20" s="29" t="s">
        <v>98</v>
      </c>
      <c r="C20" s="29" t="s">
        <v>94</v>
      </c>
      <c r="D20" s="29" t="s">
        <v>70</v>
      </c>
      <c r="E20" s="16" t="n">
        <v>5100</v>
      </c>
      <c r="F20" s="16" t="n">
        <v>0</v>
      </c>
      <c r="G20" s="30" t="n">
        <f aca="false">IF(OR(D20="United States",D20="Third country"),E20,F20)</f>
        <v>5100</v>
      </c>
      <c r="H20" s="29" t="s">
        <v>71</v>
      </c>
      <c r="J20" s="3"/>
    </row>
    <row r="21" customFormat="false" ht="15" hidden="false" customHeight="false" outlineLevel="0" collapsed="false">
      <c r="A21" s="26" t="n">
        <v>17</v>
      </c>
      <c r="B21" s="27" t="s">
        <v>99</v>
      </c>
      <c r="C21" s="27" t="s">
        <v>74</v>
      </c>
      <c r="D21" s="27" t="s">
        <v>87</v>
      </c>
      <c r="E21" s="19" t="n">
        <v>2200</v>
      </c>
      <c r="F21" s="19" t="n">
        <v>0</v>
      </c>
      <c r="G21" s="23" t="n">
        <f aca="false">IF(OR(D21="United States",D21="Third country"),E21,F21)</f>
        <v>0</v>
      </c>
      <c r="H21" s="27" t="s">
        <v>71</v>
      </c>
      <c r="J21" s="3"/>
    </row>
    <row r="22" customFormat="false" ht="15" hidden="false" customHeight="false" outlineLevel="0" collapsed="false">
      <c r="A22" s="28" t="n">
        <v>18</v>
      </c>
      <c r="B22" s="29" t="s">
        <v>100</v>
      </c>
      <c r="C22" s="29" t="s">
        <v>74</v>
      </c>
      <c r="D22" s="29" t="s">
        <v>75</v>
      </c>
      <c r="E22" s="16" t="n">
        <v>8600</v>
      </c>
      <c r="F22" s="16" t="n">
        <v>0</v>
      </c>
      <c r="G22" s="30" t="n">
        <f aca="false">IF(OR(D22="United States",D22="Third country"),E22,F22)</f>
        <v>0</v>
      </c>
      <c r="H22" s="29" t="s">
        <v>71</v>
      </c>
      <c r="J22" s="3"/>
    </row>
    <row r="23" customFormat="false" ht="15" hidden="false" customHeight="false" outlineLevel="0" collapsed="false">
      <c r="A23" s="26" t="n">
        <v>19</v>
      </c>
      <c r="B23" s="27" t="s">
        <v>101</v>
      </c>
      <c r="C23" s="27" t="s">
        <v>86</v>
      </c>
      <c r="D23" s="27" t="s">
        <v>75</v>
      </c>
      <c r="E23" s="19" t="n">
        <v>900</v>
      </c>
      <c r="F23" s="19" t="n">
        <v>0</v>
      </c>
      <c r="G23" s="23" t="n">
        <f aca="false">IF(OR(D23="United States",D23="Third country"),E23,F23)</f>
        <v>0</v>
      </c>
      <c r="H23" s="27" t="s">
        <v>71</v>
      </c>
      <c r="J23" s="3"/>
    </row>
    <row r="24" customFormat="false" ht="15" hidden="false" customHeight="false" outlineLevel="0" collapsed="false">
      <c r="A24" s="28" t="n">
        <v>20</v>
      </c>
      <c r="B24" s="29" t="s">
        <v>102</v>
      </c>
      <c r="C24" s="29" t="s">
        <v>77</v>
      </c>
      <c r="D24" s="29" t="s">
        <v>75</v>
      </c>
      <c r="E24" s="16" t="n">
        <v>21000</v>
      </c>
      <c r="F24" s="16" t="n">
        <v>8000</v>
      </c>
      <c r="G24" s="30" t="n">
        <f aca="false">IF(OR(D24="United States",D24="Third country"),E24,F24)</f>
        <v>8000</v>
      </c>
      <c r="H24" s="29" t="s">
        <v>71</v>
      </c>
      <c r="J24" s="3"/>
    </row>
    <row r="25" customFormat="false" ht="15" hidden="false" customHeight="false" outlineLevel="0" collapsed="false">
      <c r="A25" s="26" t="n">
        <v>21</v>
      </c>
      <c r="B25" s="27" t="s">
        <v>103</v>
      </c>
      <c r="C25" s="27" t="s">
        <v>69</v>
      </c>
      <c r="D25" s="27" t="s">
        <v>70</v>
      </c>
      <c r="E25" s="19" t="n">
        <v>2500</v>
      </c>
      <c r="F25" s="19" t="n">
        <v>0</v>
      </c>
      <c r="G25" s="23" t="n">
        <f aca="false">IF(OR(D25="United States",D25="Third country"),E25,F25)</f>
        <v>2500</v>
      </c>
      <c r="H25" s="27" t="s">
        <v>71</v>
      </c>
      <c r="J25" s="3"/>
    </row>
    <row r="26" customFormat="false" ht="15" hidden="false" customHeight="false" outlineLevel="0" collapsed="false">
      <c r="A26" s="28" t="n">
        <v>22</v>
      </c>
      <c r="B26" s="29" t="s">
        <v>104</v>
      </c>
      <c r="C26" s="29" t="s">
        <v>74</v>
      </c>
      <c r="D26" s="29" t="s">
        <v>75</v>
      </c>
      <c r="E26" s="16" t="n">
        <v>2400</v>
      </c>
      <c r="F26" s="16" t="n">
        <v>0</v>
      </c>
      <c r="G26" s="30" t="n">
        <f aca="false">IF(OR(D26="United States",D26="Third country"),E26,F26)</f>
        <v>0</v>
      </c>
      <c r="H26" s="29" t="s">
        <v>71</v>
      </c>
      <c r="J26" s="3"/>
    </row>
    <row r="27" customFormat="false" ht="15" hidden="false" customHeight="false" outlineLevel="0" collapsed="false">
      <c r="A27" s="26" t="n">
        <v>23</v>
      </c>
      <c r="B27" s="27" t="s">
        <v>105</v>
      </c>
      <c r="C27" s="27" t="s">
        <v>91</v>
      </c>
      <c r="D27" s="27" t="s">
        <v>19</v>
      </c>
      <c r="E27" s="19" t="n">
        <v>1200</v>
      </c>
      <c r="F27" s="19" t="n">
        <v>0</v>
      </c>
      <c r="G27" s="23" t="n">
        <f aca="false">IF(OR(D27="United States",D27="Third country"),E27,F27)</f>
        <v>1200</v>
      </c>
      <c r="H27" s="27" t="s">
        <v>71</v>
      </c>
      <c r="J27" s="3"/>
    </row>
    <row r="28" customFormat="false" ht="15" hidden="false" customHeight="false" outlineLevel="0" collapsed="false">
      <c r="A28" s="28" t="n">
        <v>24</v>
      </c>
      <c r="B28" s="29" t="s">
        <v>106</v>
      </c>
      <c r="C28" s="29" t="s">
        <v>89</v>
      </c>
      <c r="D28" s="29" t="s">
        <v>19</v>
      </c>
      <c r="E28" s="16" t="n">
        <v>3200</v>
      </c>
      <c r="F28" s="16" t="n">
        <v>0</v>
      </c>
      <c r="G28" s="30" t="n">
        <f aca="false">IF(OR(D28="United States",D28="Third country"),E28,F28)</f>
        <v>3200</v>
      </c>
      <c r="H28" s="29" t="s">
        <v>71</v>
      </c>
      <c r="J28" s="3"/>
    </row>
    <row r="29" customFormat="false" ht="15" hidden="false" customHeight="false" outlineLevel="0" collapsed="false">
      <c r="A29" s="26" t="n">
        <v>25</v>
      </c>
      <c r="B29" s="27" t="s">
        <v>107</v>
      </c>
      <c r="C29" s="27" t="s">
        <v>77</v>
      </c>
      <c r="D29" s="27" t="s">
        <v>19</v>
      </c>
      <c r="E29" s="19" t="n">
        <v>4700</v>
      </c>
      <c r="F29" s="19" t="n">
        <v>0</v>
      </c>
      <c r="G29" s="23" t="n">
        <f aca="false">IF(OR(D29="United States",D29="Third country"),E29,F29)</f>
        <v>4700</v>
      </c>
      <c r="H29" s="27" t="s">
        <v>71</v>
      </c>
      <c r="J29" s="3"/>
    </row>
    <row r="30" customFormat="false" ht="15" hidden="false" customHeight="false" outlineLevel="0" collapsed="false">
      <c r="A30" s="28" t="n">
        <v>26</v>
      </c>
      <c r="B30" s="29" t="s">
        <v>108</v>
      </c>
      <c r="C30" s="29" t="s">
        <v>94</v>
      </c>
      <c r="D30" s="29" t="s">
        <v>75</v>
      </c>
      <c r="E30" s="16" t="n">
        <v>2100</v>
      </c>
      <c r="F30" s="16" t="n">
        <v>0</v>
      </c>
      <c r="G30" s="30" t="n">
        <f aca="false">IF(OR(D30="United States",D30="Third country"),E30,F30)</f>
        <v>0</v>
      </c>
      <c r="H30" s="29" t="s">
        <v>71</v>
      </c>
      <c r="J30" s="3"/>
    </row>
    <row r="31" customFormat="false" ht="15" hidden="false" customHeight="false" outlineLevel="0" collapsed="false">
      <c r="A31" s="26" t="n">
        <v>27</v>
      </c>
      <c r="B31" s="27" t="s">
        <v>109</v>
      </c>
      <c r="C31" s="27" t="s">
        <v>74</v>
      </c>
      <c r="D31" s="27" t="s">
        <v>75</v>
      </c>
      <c r="E31" s="19" t="n">
        <v>6500</v>
      </c>
      <c r="F31" s="19" t="n">
        <v>0</v>
      </c>
      <c r="G31" s="23" t="n">
        <f aca="false">IF(OR(D31="United States",D31="Third country"),E31,F31)</f>
        <v>0</v>
      </c>
      <c r="H31" s="27" t="s">
        <v>71</v>
      </c>
      <c r="J31" s="3"/>
    </row>
    <row r="32" customFormat="false" ht="15" hidden="false" customHeight="false" outlineLevel="0" collapsed="false">
      <c r="A32" s="28" t="n">
        <v>28</v>
      </c>
      <c r="B32" s="29" t="s">
        <v>110</v>
      </c>
      <c r="C32" s="29" t="s">
        <v>84</v>
      </c>
      <c r="D32" s="29" t="s">
        <v>75</v>
      </c>
      <c r="E32" s="16" t="n">
        <v>1100</v>
      </c>
      <c r="F32" s="16" t="n">
        <v>0</v>
      </c>
      <c r="G32" s="30" t="n">
        <f aca="false">IF(OR(D32="United States",D32="Third country"),E32,F32)</f>
        <v>0</v>
      </c>
      <c r="H32" s="29" t="s">
        <v>71</v>
      </c>
      <c r="J32" s="3"/>
    </row>
    <row r="33" customFormat="false" ht="15" hidden="false" customHeight="false" outlineLevel="0" collapsed="false">
      <c r="A33" s="26" t="n">
        <v>29</v>
      </c>
      <c r="B33" s="27" t="s">
        <v>111</v>
      </c>
      <c r="C33" s="27" t="s">
        <v>79</v>
      </c>
      <c r="D33" s="27" t="s">
        <v>19</v>
      </c>
      <c r="E33" s="19" t="n">
        <v>7100</v>
      </c>
      <c r="F33" s="19" t="n">
        <v>0</v>
      </c>
      <c r="G33" s="23" t="n">
        <f aca="false">IF(OR(D33="United States",D33="Third country"),E33,F33)</f>
        <v>7100</v>
      </c>
      <c r="H33" s="27" t="s">
        <v>71</v>
      </c>
      <c r="J33" s="3"/>
    </row>
    <row r="34" customFormat="false" ht="15" hidden="false" customHeight="false" outlineLevel="0" collapsed="false">
      <c r="A34" s="28" t="n">
        <v>30</v>
      </c>
      <c r="B34" s="29" t="s">
        <v>112</v>
      </c>
      <c r="C34" s="29" t="s">
        <v>74</v>
      </c>
      <c r="D34" s="29" t="s">
        <v>75</v>
      </c>
      <c r="E34" s="16" t="n">
        <v>1900</v>
      </c>
      <c r="F34" s="16" t="n">
        <v>0</v>
      </c>
      <c r="G34" s="30" t="n">
        <f aca="false">IF(OR(D34="United States",D34="Third country"),E34,F34)</f>
        <v>0</v>
      </c>
      <c r="H34" s="29" t="s">
        <v>71</v>
      </c>
      <c r="J34" s="3"/>
    </row>
    <row r="35" customFormat="false" ht="15" hidden="false" customHeight="false" outlineLevel="0" collapsed="false">
      <c r="A35" s="26" t="n">
        <v>31</v>
      </c>
      <c r="B35" s="27" t="s">
        <v>113</v>
      </c>
      <c r="C35" s="27" t="s">
        <v>81</v>
      </c>
      <c r="D35" s="27" t="s">
        <v>75</v>
      </c>
      <c r="E35" s="19" t="n">
        <v>2700</v>
      </c>
      <c r="F35" s="19" t="n">
        <v>0</v>
      </c>
      <c r="G35" s="23" t="n">
        <f aca="false">IF(OR(D35="United States",D35="Third country"),E35,F35)</f>
        <v>0</v>
      </c>
      <c r="H35" s="27" t="s">
        <v>71</v>
      </c>
      <c r="J35" s="3"/>
    </row>
    <row r="36" customFormat="false" ht="15" hidden="false" customHeight="false" outlineLevel="0" collapsed="false">
      <c r="A36" s="28" t="n">
        <v>32</v>
      </c>
      <c r="B36" s="29" t="s">
        <v>114</v>
      </c>
      <c r="C36" s="29" t="s">
        <v>86</v>
      </c>
      <c r="D36" s="29" t="s">
        <v>70</v>
      </c>
      <c r="E36" s="16" t="n">
        <v>4100</v>
      </c>
      <c r="F36" s="16" t="n">
        <v>0</v>
      </c>
      <c r="G36" s="30" t="n">
        <f aca="false">IF(OR(D36="United States",D36="Third country"),E36,F36)</f>
        <v>4100</v>
      </c>
      <c r="H36" s="29" t="s">
        <v>71</v>
      </c>
      <c r="J36" s="3"/>
    </row>
    <row r="37" customFormat="false" ht="15" hidden="false" customHeight="false" outlineLevel="0" collapsed="false">
      <c r="A37" s="26" t="n">
        <v>33</v>
      </c>
      <c r="B37" s="27" t="s">
        <v>115</v>
      </c>
      <c r="C37" s="27" t="s">
        <v>81</v>
      </c>
      <c r="D37" s="27" t="s">
        <v>70</v>
      </c>
      <c r="E37" s="19" t="n">
        <v>6600</v>
      </c>
      <c r="F37" s="19" t="n">
        <v>0</v>
      </c>
      <c r="G37" s="23" t="n">
        <f aca="false">IF(OR(D37="United States",D37="Third country"),E37,F37)</f>
        <v>6600</v>
      </c>
      <c r="H37" s="27" t="s">
        <v>71</v>
      </c>
      <c r="J37" s="3"/>
    </row>
    <row r="38" customFormat="false" ht="15" hidden="false" customHeight="false" outlineLevel="0" collapsed="false">
      <c r="A38" s="28" t="n">
        <v>34</v>
      </c>
      <c r="B38" s="29" t="s">
        <v>116</v>
      </c>
      <c r="C38" s="29" t="s">
        <v>74</v>
      </c>
      <c r="D38" s="29" t="s">
        <v>75</v>
      </c>
      <c r="E38" s="16" t="n">
        <v>1600</v>
      </c>
      <c r="F38" s="16" t="n">
        <v>0</v>
      </c>
      <c r="G38" s="30" t="n">
        <f aca="false">IF(OR(D38="United States",D38="Third country"),E38,F38)</f>
        <v>0</v>
      </c>
      <c r="H38" s="29" t="s">
        <v>117</v>
      </c>
      <c r="J38" s="3"/>
    </row>
    <row r="39" customFormat="false" ht="15" hidden="false" customHeight="false" outlineLevel="0" collapsed="false">
      <c r="A39" s="26" t="n">
        <v>35</v>
      </c>
      <c r="B39" s="27" t="s">
        <v>118</v>
      </c>
      <c r="C39" s="27" t="s">
        <v>79</v>
      </c>
      <c r="D39" s="27" t="s">
        <v>75</v>
      </c>
      <c r="E39" s="19" t="n">
        <v>8100</v>
      </c>
      <c r="F39" s="19" t="n">
        <v>2200</v>
      </c>
      <c r="G39" s="23" t="n">
        <f aca="false">IF(OR(D39="United States",D39="Third country"),E39,F39)</f>
        <v>2200</v>
      </c>
      <c r="H39" s="27" t="s">
        <v>71</v>
      </c>
      <c r="J39" s="3"/>
    </row>
    <row r="40" customFormat="false" ht="15" hidden="false" customHeight="false" outlineLevel="0" collapsed="false">
      <c r="A40" s="28" t="n">
        <v>36</v>
      </c>
      <c r="B40" s="29" t="s">
        <v>119</v>
      </c>
      <c r="C40" s="29" t="s">
        <v>69</v>
      </c>
      <c r="D40" s="29" t="s">
        <v>70</v>
      </c>
      <c r="E40" s="16" t="n">
        <v>6600</v>
      </c>
      <c r="F40" s="16" t="n">
        <v>0</v>
      </c>
      <c r="G40" s="30" t="n">
        <f aca="false">IF(OR(D40="United States",D40="Third country"),E40,F40)</f>
        <v>6600</v>
      </c>
      <c r="H40" s="29" t="s">
        <v>71</v>
      </c>
      <c r="J40" s="3"/>
    </row>
    <row r="41" customFormat="false" ht="15" hidden="false" customHeight="false" outlineLevel="0" collapsed="false">
      <c r="A41" s="26" t="n">
        <v>37</v>
      </c>
      <c r="B41" s="27" t="s">
        <v>120</v>
      </c>
      <c r="C41" s="27" t="s">
        <v>69</v>
      </c>
      <c r="D41" s="27" t="s">
        <v>75</v>
      </c>
      <c r="E41" s="19" t="n">
        <v>6300</v>
      </c>
      <c r="F41" s="19" t="n">
        <v>2700</v>
      </c>
      <c r="G41" s="23" t="n">
        <f aca="false">IF(OR(D41="United States",D41="Third country"),E41,F41)</f>
        <v>2700</v>
      </c>
      <c r="H41" s="27" t="s">
        <v>71</v>
      </c>
      <c r="J41" s="3"/>
    </row>
    <row r="42" customFormat="false" ht="15" hidden="false" customHeight="false" outlineLevel="0" collapsed="false">
      <c r="A42" s="28" t="n">
        <v>38</v>
      </c>
      <c r="B42" s="29" t="s">
        <v>121</v>
      </c>
      <c r="C42" s="29" t="s">
        <v>79</v>
      </c>
      <c r="D42" s="29" t="s">
        <v>75</v>
      </c>
      <c r="E42" s="16" t="n">
        <v>2600</v>
      </c>
      <c r="F42" s="16" t="n">
        <v>0</v>
      </c>
      <c r="G42" s="30" t="n">
        <f aca="false">IF(OR(D42="United States",D42="Third country"),E42,F42)</f>
        <v>0</v>
      </c>
      <c r="H42" s="29" t="s">
        <v>71</v>
      </c>
      <c r="J42" s="3"/>
    </row>
    <row r="43" customFormat="false" ht="15" hidden="false" customHeight="false" outlineLevel="0" collapsed="false">
      <c r="A43" s="26" t="n">
        <v>39</v>
      </c>
      <c r="B43" s="27" t="s">
        <v>122</v>
      </c>
      <c r="C43" s="27" t="s">
        <v>77</v>
      </c>
      <c r="D43" s="27" t="s">
        <v>75</v>
      </c>
      <c r="E43" s="19" t="n">
        <v>3900</v>
      </c>
      <c r="F43" s="19" t="n">
        <v>0</v>
      </c>
      <c r="G43" s="23" t="n">
        <f aca="false">IF(OR(D43="United States",D43="Third country"),E43,F43)</f>
        <v>0</v>
      </c>
      <c r="H43" s="27" t="s">
        <v>71</v>
      </c>
      <c r="J43" s="3"/>
    </row>
    <row r="44" customFormat="false" ht="15" hidden="false" customHeight="false" outlineLevel="0" collapsed="false">
      <c r="A44" s="28" t="n">
        <v>40</v>
      </c>
      <c r="B44" s="29" t="s">
        <v>123</v>
      </c>
      <c r="C44" s="29" t="s">
        <v>86</v>
      </c>
      <c r="D44" s="29" t="s">
        <v>75</v>
      </c>
      <c r="E44" s="16" t="n">
        <v>1600</v>
      </c>
      <c r="F44" s="16" t="n">
        <v>0</v>
      </c>
      <c r="G44" s="30" t="n">
        <f aca="false">IF(OR(D44="United States",D44="Third country"),E44,F44)</f>
        <v>0</v>
      </c>
      <c r="H44" s="29" t="s">
        <v>71</v>
      </c>
      <c r="J44" s="3"/>
    </row>
    <row r="45" customFormat="false" ht="15" hidden="false" customHeight="false" outlineLevel="0" collapsed="false">
      <c r="A45" s="26" t="n">
        <v>41</v>
      </c>
      <c r="B45" s="27" t="s">
        <v>124</v>
      </c>
      <c r="C45" s="27" t="s">
        <v>79</v>
      </c>
      <c r="D45" s="27" t="s">
        <v>75</v>
      </c>
      <c r="E45" s="19" t="n">
        <v>2300</v>
      </c>
      <c r="F45" s="19" t="n">
        <v>0</v>
      </c>
      <c r="G45" s="23" t="n">
        <f aca="false">IF(OR(D45="United States",D45="Third country"),E45,F45)</f>
        <v>0</v>
      </c>
      <c r="H45" s="27" t="s">
        <v>71</v>
      </c>
      <c r="J45" s="3"/>
    </row>
    <row r="46" customFormat="false" ht="15" hidden="false" customHeight="false" outlineLevel="0" collapsed="false">
      <c r="A46" s="28" t="n">
        <v>42</v>
      </c>
      <c r="B46" s="29" t="s">
        <v>125</v>
      </c>
      <c r="C46" s="29" t="s">
        <v>84</v>
      </c>
      <c r="D46" s="29" t="s">
        <v>75</v>
      </c>
      <c r="E46" s="16" t="n">
        <v>1000</v>
      </c>
      <c r="F46" s="16" t="n">
        <v>0</v>
      </c>
      <c r="G46" s="30" t="n">
        <f aca="false">IF(OR(D46="United States",D46="Third country"),E46,F46)</f>
        <v>0</v>
      </c>
      <c r="H46" s="29" t="s">
        <v>71</v>
      </c>
      <c r="J46" s="3"/>
    </row>
    <row r="47" customFormat="false" ht="15" hidden="false" customHeight="false" outlineLevel="0" collapsed="false">
      <c r="A47" s="26" t="n">
        <v>43</v>
      </c>
      <c r="B47" s="27" t="s">
        <v>126</v>
      </c>
      <c r="C47" s="27" t="s">
        <v>69</v>
      </c>
      <c r="D47" s="27" t="s">
        <v>87</v>
      </c>
      <c r="E47" s="19" t="n">
        <v>3000</v>
      </c>
      <c r="F47" s="19" t="n">
        <v>0</v>
      </c>
      <c r="G47" s="23" t="n">
        <f aca="false">IF(OR(D47="United States",D47="Third country"),E47,F47)</f>
        <v>0</v>
      </c>
      <c r="H47" s="27" t="s">
        <v>71</v>
      </c>
      <c r="J47" s="3"/>
    </row>
    <row r="48" customFormat="false" ht="15" hidden="false" customHeight="false" outlineLevel="0" collapsed="false">
      <c r="A48" s="28" t="n">
        <v>44</v>
      </c>
      <c r="B48" s="29" t="s">
        <v>127</v>
      </c>
      <c r="C48" s="29" t="s">
        <v>86</v>
      </c>
      <c r="D48" s="29" t="s">
        <v>75</v>
      </c>
      <c r="E48" s="16" t="n">
        <v>4500</v>
      </c>
      <c r="F48" s="16" t="n">
        <v>0</v>
      </c>
      <c r="G48" s="30" t="n">
        <f aca="false">IF(OR(D48="United States",D48="Third country"),E48,F48)</f>
        <v>0</v>
      </c>
      <c r="H48" s="29" t="s">
        <v>71</v>
      </c>
      <c r="J48" s="3"/>
    </row>
    <row r="49" customFormat="false" ht="15" hidden="false" customHeight="false" outlineLevel="0" collapsed="false">
      <c r="A49" s="26" t="n">
        <v>45</v>
      </c>
      <c r="B49" s="27" t="s">
        <v>128</v>
      </c>
      <c r="C49" s="27" t="s">
        <v>77</v>
      </c>
      <c r="D49" s="27" t="s">
        <v>75</v>
      </c>
      <c r="E49" s="19" t="n">
        <v>4800</v>
      </c>
      <c r="F49" s="19" t="n">
        <v>0</v>
      </c>
      <c r="G49" s="23" t="n">
        <f aca="false">IF(OR(D49="United States",D49="Third country"),E49,F49)</f>
        <v>0</v>
      </c>
      <c r="H49" s="27" t="s">
        <v>71</v>
      </c>
    </row>
    <row r="50" customFormat="false" ht="15" hidden="false" customHeight="false" outlineLevel="0" collapsed="false">
      <c r="A50" s="28" t="n">
        <v>46</v>
      </c>
      <c r="B50" s="29" t="s">
        <v>129</v>
      </c>
      <c r="C50" s="29" t="s">
        <v>91</v>
      </c>
      <c r="D50" s="29" t="s">
        <v>19</v>
      </c>
      <c r="E50" s="16" t="n">
        <v>6700</v>
      </c>
      <c r="F50" s="16" t="n">
        <v>0</v>
      </c>
      <c r="G50" s="30" t="n">
        <f aca="false">IF(OR(D50="United States",D50="Third country"),E50,F50)</f>
        <v>6700</v>
      </c>
      <c r="H50" s="29" t="s">
        <v>71</v>
      </c>
    </row>
    <row r="51" customFormat="false" ht="15" hidden="false" customHeight="false" outlineLevel="0" collapsed="false">
      <c r="A51" s="26" t="n">
        <v>47</v>
      </c>
      <c r="B51" s="27" t="s">
        <v>130</v>
      </c>
      <c r="C51" s="27" t="s">
        <v>81</v>
      </c>
      <c r="D51" s="27" t="s">
        <v>19</v>
      </c>
      <c r="E51" s="19" t="n">
        <v>2400</v>
      </c>
      <c r="F51" s="19" t="n">
        <v>0</v>
      </c>
      <c r="G51" s="23" t="n">
        <f aca="false">IF(OR(D51="United States",D51="Third country"),E51,F51)</f>
        <v>2400</v>
      </c>
      <c r="H51" s="27" t="s">
        <v>71</v>
      </c>
    </row>
    <row r="52" customFormat="false" ht="15" hidden="false" customHeight="false" outlineLevel="0" collapsed="false">
      <c r="A52" s="28" t="n">
        <v>48</v>
      </c>
      <c r="B52" s="29" t="s">
        <v>131</v>
      </c>
      <c r="C52" s="29" t="s">
        <v>74</v>
      </c>
      <c r="D52" s="29" t="s">
        <v>19</v>
      </c>
      <c r="E52" s="16" t="n">
        <v>5000</v>
      </c>
      <c r="F52" s="16" t="n">
        <v>0</v>
      </c>
      <c r="G52" s="30" t="n">
        <f aca="false">IF(OR(D52="United States",D52="Third country"),E52,F52)</f>
        <v>5000</v>
      </c>
      <c r="H52" s="29" t="s">
        <v>71</v>
      </c>
    </row>
    <row r="53" customFormat="false" ht="15" hidden="false" customHeight="false" outlineLevel="0" collapsed="false">
      <c r="A53" s="26" t="n">
        <v>49</v>
      </c>
      <c r="B53" s="27" t="s">
        <v>132</v>
      </c>
      <c r="C53" s="27" t="s">
        <v>91</v>
      </c>
      <c r="D53" s="27" t="s">
        <v>70</v>
      </c>
      <c r="E53" s="19" t="n">
        <v>7500</v>
      </c>
      <c r="F53" s="19" t="n">
        <v>0</v>
      </c>
      <c r="G53" s="23" t="n">
        <f aca="false">IF(OR(D53="United States",D53="Third country"),E53,F53)</f>
        <v>7500</v>
      </c>
      <c r="H53" s="27" t="s">
        <v>71</v>
      </c>
    </row>
    <row r="54" customFormat="false" ht="15" hidden="false" customHeight="false" outlineLevel="0" collapsed="false">
      <c r="A54" s="28" t="n">
        <v>50</v>
      </c>
      <c r="B54" s="29" t="s">
        <v>133</v>
      </c>
      <c r="C54" s="29" t="s">
        <v>81</v>
      </c>
      <c r="D54" s="29" t="s">
        <v>19</v>
      </c>
      <c r="E54" s="16" t="n">
        <v>3500</v>
      </c>
      <c r="F54" s="16" t="n">
        <v>0</v>
      </c>
      <c r="G54" s="30" t="n">
        <f aca="false">IF(OR(D54="United States",D54="Third country"),E54,F54)</f>
        <v>3500</v>
      </c>
      <c r="H54" s="29" t="s">
        <v>71</v>
      </c>
    </row>
    <row r="55" customFormat="false" ht="15" hidden="false" customHeight="false" outlineLevel="0" collapsed="false">
      <c r="A55" s="26" t="n">
        <v>51</v>
      </c>
      <c r="B55" s="27" t="s">
        <v>134</v>
      </c>
      <c r="C55" s="27" t="s">
        <v>79</v>
      </c>
      <c r="D55" s="27" t="s">
        <v>75</v>
      </c>
      <c r="E55" s="19" t="n">
        <v>3900</v>
      </c>
      <c r="F55" s="19" t="n">
        <v>0</v>
      </c>
      <c r="G55" s="23" t="n">
        <f aca="false">IF(OR(D55="United States",D55="Third country"),E55,F55)</f>
        <v>0</v>
      </c>
      <c r="H55" s="27" t="s">
        <v>71</v>
      </c>
    </row>
    <row r="56" customFormat="false" ht="15" hidden="false" customHeight="false" outlineLevel="0" collapsed="false">
      <c r="A56" s="28" t="n">
        <v>52</v>
      </c>
      <c r="B56" s="29" t="s">
        <v>135</v>
      </c>
      <c r="C56" s="29" t="s">
        <v>84</v>
      </c>
      <c r="D56" s="29" t="s">
        <v>75</v>
      </c>
      <c r="E56" s="16" t="n">
        <v>7500</v>
      </c>
      <c r="F56" s="16" t="n">
        <v>2600</v>
      </c>
      <c r="G56" s="30" t="n">
        <f aca="false">IF(OR(D56="United States",D56="Third country"),E56,F56)</f>
        <v>2600</v>
      </c>
      <c r="H56" s="29" t="s">
        <v>117</v>
      </c>
    </row>
    <row r="57" customFormat="false" ht="15" hidden="false" customHeight="false" outlineLevel="0" collapsed="false">
      <c r="A57" s="26" t="n">
        <v>53</v>
      </c>
      <c r="B57" s="27" t="s">
        <v>136</v>
      </c>
      <c r="C57" s="27" t="s">
        <v>77</v>
      </c>
      <c r="D57" s="27" t="s">
        <v>75</v>
      </c>
      <c r="E57" s="19" t="n">
        <v>2300</v>
      </c>
      <c r="F57" s="19" t="n">
        <v>0</v>
      </c>
      <c r="G57" s="23" t="n">
        <f aca="false">IF(OR(D57="United States",D57="Third country"),E57,F57)</f>
        <v>0</v>
      </c>
      <c r="H57" s="27" t="s">
        <v>117</v>
      </c>
    </row>
    <row r="58" customFormat="false" ht="15" hidden="false" customHeight="false" outlineLevel="0" collapsed="false">
      <c r="A58" s="28" t="n">
        <v>54</v>
      </c>
      <c r="B58" s="29" t="s">
        <v>137</v>
      </c>
      <c r="C58" s="29" t="s">
        <v>89</v>
      </c>
      <c r="D58" s="29" t="s">
        <v>75</v>
      </c>
      <c r="E58" s="16" t="n">
        <v>9100</v>
      </c>
      <c r="F58" s="16" t="n">
        <v>0</v>
      </c>
      <c r="G58" s="30" t="n">
        <f aca="false">IF(OR(D58="United States",D58="Third country"),E58,F58)</f>
        <v>0</v>
      </c>
      <c r="H58" s="29" t="s">
        <v>71</v>
      </c>
    </row>
    <row r="59" customFormat="false" ht="15" hidden="false" customHeight="false" outlineLevel="0" collapsed="false">
      <c r="A59" s="26" t="n">
        <v>55</v>
      </c>
      <c r="B59" s="27" t="s">
        <v>138</v>
      </c>
      <c r="C59" s="27" t="s">
        <v>89</v>
      </c>
      <c r="D59" s="27" t="s">
        <v>87</v>
      </c>
      <c r="E59" s="19" t="n">
        <v>3800</v>
      </c>
      <c r="F59" s="19" t="n">
        <v>0</v>
      </c>
      <c r="G59" s="23" t="n">
        <f aca="false">IF(OR(D59="United States",D59="Third country"),E59,F59)</f>
        <v>0</v>
      </c>
      <c r="H59" s="27" t="s">
        <v>71</v>
      </c>
    </row>
    <row r="60" customFormat="false" ht="15" hidden="false" customHeight="false" outlineLevel="0" collapsed="false">
      <c r="A60" s="28" t="n">
        <v>56</v>
      </c>
      <c r="B60" s="29" t="s">
        <v>139</v>
      </c>
      <c r="C60" s="29" t="s">
        <v>74</v>
      </c>
      <c r="D60" s="29" t="s">
        <v>70</v>
      </c>
      <c r="E60" s="16" t="n">
        <v>3800</v>
      </c>
      <c r="F60" s="16" t="n">
        <v>0</v>
      </c>
      <c r="G60" s="30" t="n">
        <f aca="false">IF(OR(D60="United States",D60="Third country"),E60,F60)</f>
        <v>3800</v>
      </c>
      <c r="H60" s="29" t="s">
        <v>71</v>
      </c>
    </row>
    <row r="61" customFormat="false" ht="15" hidden="false" customHeight="false" outlineLevel="0" collapsed="false">
      <c r="A61" s="26" t="n">
        <v>57</v>
      </c>
      <c r="B61" s="27" t="s">
        <v>140</v>
      </c>
      <c r="C61" s="27" t="s">
        <v>79</v>
      </c>
      <c r="D61" s="27" t="s">
        <v>75</v>
      </c>
      <c r="E61" s="19" t="n">
        <v>8100</v>
      </c>
      <c r="F61" s="19" t="n">
        <v>0</v>
      </c>
      <c r="G61" s="23" t="n">
        <f aca="false">IF(OR(D61="United States",D61="Third country"),E61,F61)</f>
        <v>0</v>
      </c>
      <c r="H61" s="27" t="s">
        <v>71</v>
      </c>
    </row>
    <row r="62" customFormat="false" ht="15" hidden="false" customHeight="false" outlineLevel="0" collapsed="false">
      <c r="A62" s="28" t="n">
        <v>58</v>
      </c>
      <c r="B62" s="29" t="s">
        <v>141</v>
      </c>
      <c r="C62" s="29" t="s">
        <v>74</v>
      </c>
      <c r="D62" s="29" t="s">
        <v>75</v>
      </c>
      <c r="E62" s="16" t="n">
        <v>6100</v>
      </c>
      <c r="F62" s="16" t="n">
        <v>0</v>
      </c>
      <c r="G62" s="30" t="n">
        <f aca="false">IF(OR(D62="United States",D62="Third country"),E62,F62)</f>
        <v>0</v>
      </c>
      <c r="H62" s="29" t="s">
        <v>71</v>
      </c>
    </row>
    <row r="63" customFormat="false" ht="15" hidden="false" customHeight="false" outlineLevel="0" collapsed="false">
      <c r="A63" s="26" t="n">
        <v>59</v>
      </c>
      <c r="B63" s="27" t="s">
        <v>142</v>
      </c>
      <c r="C63" s="27" t="s">
        <v>74</v>
      </c>
      <c r="D63" s="27" t="s">
        <v>75</v>
      </c>
      <c r="E63" s="19" t="n">
        <v>2100</v>
      </c>
      <c r="F63" s="19" t="n">
        <v>0</v>
      </c>
      <c r="G63" s="23" t="n">
        <f aca="false">IF(OR(D63="United States",D63="Third country"),E63,F63)</f>
        <v>0</v>
      </c>
      <c r="H63" s="27" t="s">
        <v>117</v>
      </c>
    </row>
    <row r="64" customFormat="false" ht="15" hidden="false" customHeight="false" outlineLevel="0" collapsed="false">
      <c r="A64" s="28" t="n">
        <v>60</v>
      </c>
      <c r="B64" s="29" t="s">
        <v>143</v>
      </c>
      <c r="C64" s="29" t="s">
        <v>77</v>
      </c>
      <c r="D64" s="29" t="s">
        <v>75</v>
      </c>
      <c r="E64" s="16" t="n">
        <v>6500</v>
      </c>
      <c r="F64" s="16" t="n">
        <v>0</v>
      </c>
      <c r="G64" s="30" t="n">
        <f aca="false">IF(OR(D64="United States",D64="Third country"),E64,F64)</f>
        <v>0</v>
      </c>
      <c r="H64" s="29" t="s">
        <v>71</v>
      </c>
    </row>
    <row r="66" customFormat="false" ht="15" hidden="false" customHeight="false" outlineLevel="0" collapsed="false">
      <c r="A66" s="22" t="s">
        <v>56</v>
      </c>
      <c r="E66" s="11" t="n">
        <f aca="false">SUM(E5:E64)</f>
        <v>369900</v>
      </c>
    </row>
    <row r="67" customFormat="false" ht="15" hidden="false" customHeight="false" outlineLevel="0" collapsed="false">
      <c r="A67" s="22" t="s">
        <v>144</v>
      </c>
      <c r="E67" s="11" t="n">
        <f aca="false">SUMIFS(E5:E64,D5:D64,"United States")+SUMIFS(E5:E64,D5:D64,"Third country")</f>
        <v>113700</v>
      </c>
    </row>
    <row r="68" customFormat="false" ht="15" hidden="false" customHeight="false" outlineLevel="0" collapsed="false">
      <c r="A68" s="22" t="s">
        <v>145</v>
      </c>
      <c r="E68" s="11" t="n">
        <f aca="false">SUMPRODUCT((D5:D64&lt;&gt;"United States")*(D5:D64&lt;&gt;"Third country")*F5:F64)</f>
        <v>19400</v>
      </c>
    </row>
    <row r="69" customFormat="false" ht="15" hidden="false" customHeight="false" outlineLevel="0" collapsed="false">
      <c r="A69" s="22" t="s">
        <v>146</v>
      </c>
      <c r="E69" s="11" t="n">
        <f aca="false">SUM(G5:G64)</f>
        <v>133100</v>
      </c>
    </row>
    <row r="70" customFormat="false" ht="15" hidden="false" customHeight="false" outlineLevel="0" collapsed="false">
      <c r="A70" s="22" t="s">
        <v>147</v>
      </c>
      <c r="E70" s="21" t="n">
        <f aca="false">E67/E66</f>
        <v>0.307380373073804</v>
      </c>
    </row>
    <row r="71" customFormat="false" ht="15" hidden="false" customHeight="false" outlineLevel="0" collapsed="false">
      <c r="A71" s="22" t="s">
        <v>148</v>
      </c>
      <c r="E71" s="21" t="n">
        <f aca="false">E69/E66</f>
        <v>0.359826980264937</v>
      </c>
    </row>
    <row r="72" customFormat="false" ht="15" hidden="false" customHeight="false" outlineLevel="0" collapsed="false">
      <c r="A72" s="22" t="s">
        <v>149</v>
      </c>
      <c r="E72" s="21" t="n">
        <f aca="false">E71-E70</f>
        <v>0.0524466071911328</v>
      </c>
    </row>
    <row r="73" customFormat="false" ht="15" hidden="false" customHeight="false" outlineLevel="0" collapsed="false">
      <c r="A73" s="22" t="s">
        <v>150</v>
      </c>
      <c r="E73" s="31" t="n">
        <f aca="false">'The worked example'!C7</f>
        <v>0.35</v>
      </c>
    </row>
    <row r="74" customFormat="false" ht="15" hidden="false" customHeight="false" outlineLevel="0" collapsed="false">
      <c r="A74" s="22" t="s">
        <v>151</v>
      </c>
      <c r="E74" s="21" t="n">
        <f aca="false">E73-E71</f>
        <v>-0.0098269802649365</v>
      </c>
    </row>
    <row r="75" customFormat="false" ht="15" hidden="false" customHeight="false" outlineLevel="0" collapsed="false">
      <c r="A75" s="22" t="s">
        <v>152</v>
      </c>
      <c r="E75" s="22" t="str">
        <f aca="false">IF(E71&lt;=E73,"Pass","FAIL — by "&amp;TEXT(E71-E73,"0.00%"))</f>
        <v>FAIL — by 0.98%</v>
      </c>
    </row>
    <row r="76" customFormat="false" ht="15" hidden="false" customHeight="false" outlineLevel="0" collapsed="false">
      <c r="A76" s="22" t="s">
        <v>153</v>
      </c>
      <c r="E76" s="32" t="n">
        <f aca="false">COUNTIF(H5:H64,"no")</f>
        <v>4</v>
      </c>
    </row>
    <row r="77" customFormat="false" ht="15" hidden="false" customHeight="false" outlineLevel="0" collapsed="false">
      <c r="A77" s="22" t="s">
        <v>154</v>
      </c>
      <c r="E77" s="11" t="n">
        <f aca="false">SUMIFS(E5:E64,H5:H64,"no")</f>
        <v>13500</v>
      </c>
    </row>
    <row r="78" customFormat="false" ht="15" hidden="false" customHeight="false" outlineLevel="0" collapsed="false">
      <c r="A78" s="22" t="s">
        <v>155</v>
      </c>
      <c r="E78" s="22" t="str">
        <f aca="false">IF(E76=0,"Pass — no item requires foreign consent","FAIL — "&amp;TEXT(E76,"0")&amp;" items cannot be modified without foreign consent")</f>
        <v>FAIL — 4 items cannot be modified without foreign consent</v>
      </c>
    </row>
  </sheetData>
  <autoFilter ref="A4:H64"/>
  <mergeCells count="1">
    <mergeCell ref="J5:J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6"/>
    <col collapsed="false" customWidth="true" hidden="false" outlineLevel="0" max="7" min="3" style="0" width="15"/>
    <col collapsed="false" customWidth="true" hidden="false" outlineLevel="0" max="8" min="8" style="0" width="3"/>
    <col collapsed="false" customWidth="true" hidden="false" outlineLevel="0" max="9" min="9" style="0" width="58"/>
  </cols>
  <sheetData>
    <row r="1" customFormat="false" ht="17.35" hidden="false" customHeight="false" outlineLevel="0" collapsed="false">
      <c r="A1" s="1" t="s">
        <v>156</v>
      </c>
    </row>
    <row r="2" customFormat="false" ht="15" hidden="false" customHeight="false" outlineLevel="0" collapsed="false">
      <c r="A2" s="2" t="s">
        <v>157</v>
      </c>
    </row>
    <row r="4" customFormat="false" ht="15" hidden="false" customHeight="false" outlineLevel="0" collapsed="false">
      <c r="A4" s="5" t="s">
        <v>158</v>
      </c>
      <c r="I4" s="5" t="s">
        <v>159</v>
      </c>
    </row>
    <row r="5" customFormat="false" ht="15" hidden="false" customHeight="true" outlineLevel="0" collapsed="false">
      <c r="A5" s="7" t="s">
        <v>55</v>
      </c>
      <c r="C5" s="33" t="n">
        <f aca="false">'The worked example'!C36</f>
        <v>133000</v>
      </c>
      <c r="I5" s="3" t="s">
        <v>160</v>
      </c>
    </row>
    <row r="6" customFormat="false" ht="15" hidden="false" customHeight="false" outlineLevel="0" collapsed="false">
      <c r="A6" s="7" t="s">
        <v>56</v>
      </c>
      <c r="C6" s="33" t="n">
        <f aca="false">'The worked example'!C37</f>
        <v>403000</v>
      </c>
      <c r="I6" s="3"/>
    </row>
    <row r="7" customFormat="false" ht="15" hidden="false" customHeight="false" outlineLevel="0" collapsed="false">
      <c r="A7" s="10" t="s">
        <v>161</v>
      </c>
      <c r="C7" s="21" t="n">
        <f aca="false">C5/C6</f>
        <v>0.330024813895782</v>
      </c>
      <c r="I7" s="3"/>
    </row>
    <row r="8" customFormat="false" ht="15" hidden="false" customHeight="false" outlineLevel="0" collapsed="false">
      <c r="A8" s="7" t="s">
        <v>150</v>
      </c>
      <c r="C8" s="34" t="n">
        <f aca="false">'The worked example'!C7</f>
        <v>0.35</v>
      </c>
      <c r="I8" s="3"/>
    </row>
    <row r="9" customFormat="false" ht="15" hidden="false" customHeight="false" outlineLevel="0" collapsed="false">
      <c r="A9" s="10" t="s">
        <v>151</v>
      </c>
      <c r="C9" s="21" t="n">
        <f aca="false">C8-C7</f>
        <v>0.0199751861042183</v>
      </c>
      <c r="I9" s="3"/>
    </row>
    <row r="10" customFormat="false" ht="15" hidden="false" customHeight="false" outlineLevel="0" collapsed="false">
      <c r="A10" s="7" t="s">
        <v>162</v>
      </c>
      <c r="C10" s="35" t="n">
        <v>4</v>
      </c>
      <c r="I10" s="3"/>
    </row>
    <row r="11" customFormat="false" ht="15" hidden="false" customHeight="false" outlineLevel="0" collapsed="false">
      <c r="A11" s="7" t="s">
        <v>163</v>
      </c>
      <c r="C11" s="9" t="n">
        <v>0.75</v>
      </c>
      <c r="I11" s="3"/>
    </row>
    <row r="12" customFormat="false" ht="15" hidden="false" customHeight="false" outlineLevel="0" collapsed="false">
      <c r="I12" s="3"/>
    </row>
    <row r="13" customFormat="false" ht="15" hidden="false" customHeight="false" outlineLevel="0" collapsed="false">
      <c r="A13" s="5" t="s">
        <v>164</v>
      </c>
      <c r="I13" s="3"/>
    </row>
    <row r="14" customFormat="false" ht="27.75" hidden="false" customHeight="true" outlineLevel="0" collapsed="false">
      <c r="A14" s="12" t="s">
        <v>165</v>
      </c>
      <c r="B14" s="13"/>
      <c r="C14" s="13" t="s">
        <v>166</v>
      </c>
      <c r="D14" s="13" t="s">
        <v>167</v>
      </c>
      <c r="E14" s="13" t="s">
        <v>168</v>
      </c>
      <c r="F14" s="13" t="s">
        <v>169</v>
      </c>
      <c r="G14" s="13" t="s">
        <v>170</v>
      </c>
      <c r="I14" s="3"/>
    </row>
    <row r="15" customFormat="false" ht="15" hidden="false" customHeight="false" outlineLevel="0" collapsed="false">
      <c r="A15" s="7" t="s">
        <v>171</v>
      </c>
      <c r="C15" s="9" t="n">
        <v>0.1</v>
      </c>
      <c r="D15" s="23" t="n">
        <f aca="false">$C$5*(1+C15*$C$11)</f>
        <v>142975</v>
      </c>
      <c r="E15" s="23" t="n">
        <f aca="false">$C$6+($C$5*C15*$C$11)</f>
        <v>412975</v>
      </c>
      <c r="F15" s="20" t="n">
        <f aca="false">D15/E15</f>
        <v>0.346207397542224</v>
      </c>
      <c r="G15" s="20" t="n">
        <f aca="false">$C$8-F15</f>
        <v>0.00379260245777585</v>
      </c>
      <c r="I15" s="3"/>
    </row>
    <row r="16" customFormat="false" ht="15" hidden="false" customHeight="false" outlineLevel="0" collapsed="false">
      <c r="A16" s="14" t="s">
        <v>172</v>
      </c>
      <c r="C16" s="36" t="n">
        <v>0.08</v>
      </c>
      <c r="D16" s="30" t="n">
        <f aca="false">$C$5*(1+C16)</f>
        <v>143640</v>
      </c>
      <c r="E16" s="30" t="n">
        <f aca="false">$C$6+$C$5*C16</f>
        <v>413640</v>
      </c>
      <c r="F16" s="17" t="n">
        <f aca="false">D16/E16</f>
        <v>0.347258485639687</v>
      </c>
      <c r="G16" s="17" t="n">
        <f aca="false">$C$8-F16</f>
        <v>0.00274151436031328</v>
      </c>
      <c r="I16" s="3"/>
    </row>
    <row r="17" customFormat="false" ht="15" hidden="false" customHeight="false" outlineLevel="0" collapsed="false">
      <c r="A17" s="7" t="s">
        <v>173</v>
      </c>
      <c r="C17" s="8" t="n">
        <v>12000</v>
      </c>
      <c r="D17" s="23" t="n">
        <f aca="false">$C$5+C17</f>
        <v>145000</v>
      </c>
      <c r="E17" s="23" t="n">
        <f aca="false">$C$6+C17</f>
        <v>415000</v>
      </c>
      <c r="F17" s="20" t="n">
        <f aca="false">D17/E17</f>
        <v>0.349397590361446</v>
      </c>
      <c r="G17" s="20" t="n">
        <f aca="false">$C$8-F17</f>
        <v>0.00060240963855418</v>
      </c>
      <c r="I17" s="3"/>
    </row>
    <row r="18" customFormat="false" ht="15" hidden="false" customHeight="false" outlineLevel="0" collapsed="false">
      <c r="A18" s="14" t="s">
        <v>174</v>
      </c>
      <c r="C18" s="36" t="n">
        <v>0.05</v>
      </c>
      <c r="D18" s="30" t="n">
        <f aca="false">$C$5</f>
        <v>133000</v>
      </c>
      <c r="E18" s="30" t="n">
        <f aca="false">$C$6+($C$6-$C$5)*C18</f>
        <v>416500</v>
      </c>
      <c r="F18" s="17" t="n">
        <f aca="false">D18/E18</f>
        <v>0.319327731092437</v>
      </c>
      <c r="G18" s="17" t="n">
        <f aca="false">$C$8-F18</f>
        <v>0.030672268907563</v>
      </c>
      <c r="I18" s="3"/>
    </row>
    <row r="19" customFormat="false" ht="15" hidden="false" customHeight="false" outlineLevel="0" collapsed="false">
      <c r="A19" s="10" t="s">
        <v>175</v>
      </c>
      <c r="C19" s="32" t="n">
        <f aca="false">COUNTIF(G15:G18,"&lt;0")</f>
        <v>0</v>
      </c>
      <c r="I19" s="3"/>
    </row>
    <row r="20" customFormat="false" ht="15" hidden="false" customHeight="false" outlineLevel="0" collapsed="false">
      <c r="A20" s="7" t="s">
        <v>176</v>
      </c>
      <c r="C20" s="37" t="str">
        <f aca="false">IF(C19=0,"none on its own",INDEX(A15:A18,MATCH(_xlfn.MAXIFS(G15:G18,G15:G18,"&lt;0"),G15:G18,0)))</f>
        <v>none on its own</v>
      </c>
      <c r="I20" s="3"/>
    </row>
    <row r="21" customFormat="false" ht="15" hidden="false" customHeight="false" outlineLevel="0" collapsed="false">
      <c r="I21" s="3"/>
    </row>
    <row r="22" customFormat="false" ht="15" hidden="false" customHeight="false" outlineLevel="0" collapsed="false">
      <c r="A22" s="5" t="s">
        <v>177</v>
      </c>
      <c r="I22" s="3"/>
    </row>
    <row r="23" customFormat="false" ht="15" hidden="false" customHeight="false" outlineLevel="0" collapsed="false">
      <c r="A23" s="10" t="s">
        <v>55</v>
      </c>
      <c r="C23" s="11" t="n">
        <f aca="false">($C$5*(1+C15*$C$11)*(1+C16))+C17</f>
        <v>166413</v>
      </c>
      <c r="I23" s="3"/>
    </row>
    <row r="24" customFormat="false" ht="15" hidden="false" customHeight="false" outlineLevel="0" collapsed="false">
      <c r="A24" s="10" t="s">
        <v>56</v>
      </c>
      <c r="C24" s="11" t="n">
        <f aca="false">C23+($C$6-$C$5)*(1+C18)</f>
        <v>449913</v>
      </c>
      <c r="I24" s="3"/>
    </row>
    <row r="25" customFormat="false" ht="15" hidden="false" customHeight="false" outlineLevel="0" collapsed="false">
      <c r="A25" s="10" t="s">
        <v>161</v>
      </c>
      <c r="C25" s="21" t="n">
        <f aca="false">C23/C24</f>
        <v>0.369878176447447</v>
      </c>
      <c r="I25" s="3"/>
    </row>
    <row r="26" customFormat="false" ht="15" hidden="false" customHeight="false" outlineLevel="0" collapsed="false">
      <c r="A26" s="10" t="s">
        <v>151</v>
      </c>
      <c r="C26" s="21" t="n">
        <f aca="false">C8-C25</f>
        <v>-0.0198781764474466</v>
      </c>
      <c r="I26" s="3"/>
    </row>
    <row r="27" customFormat="false" ht="15" hidden="false" customHeight="false" outlineLevel="0" collapsed="false">
      <c r="A27" s="10" t="s">
        <v>152</v>
      </c>
      <c r="C27" s="22" t="str">
        <f aca="false">IF(C25&lt;=C8,"Pass","FAIL — by "&amp;TEXT(C25-C8,"0.00%"))</f>
        <v>FAIL — by 1.99%</v>
      </c>
      <c r="I27" s="3"/>
    </row>
    <row r="28" customFormat="false" ht="15" hidden="false" customHeight="false" outlineLevel="0" collapsed="false">
      <c r="I28" s="3"/>
    </row>
    <row r="29" customFormat="false" ht="15" hidden="false" customHeight="false" outlineLevel="0" collapsed="false">
      <c r="A29" s="5" t="s">
        <v>178</v>
      </c>
      <c r="I29" s="3"/>
    </row>
    <row r="30" customFormat="false" ht="15" hidden="false" customHeight="false" outlineLevel="0" collapsed="false">
      <c r="A30" s="10" t="s">
        <v>179</v>
      </c>
      <c r="C30" s="11" t="n">
        <f aca="false">C6*C8</f>
        <v>141050</v>
      </c>
      <c r="I30" s="3"/>
    </row>
    <row r="31" customFormat="false" ht="15" hidden="false" customHeight="false" outlineLevel="0" collapsed="false">
      <c r="A31" s="7" t="s">
        <v>180</v>
      </c>
      <c r="C31" s="23" t="n">
        <f aca="false">C5</f>
        <v>133000</v>
      </c>
      <c r="I31" s="3"/>
    </row>
    <row r="32" customFormat="false" ht="15" hidden="false" customHeight="false" outlineLevel="0" collapsed="false">
      <c r="A32" s="10" t="s">
        <v>181</v>
      </c>
      <c r="C32" s="11" t="n">
        <f aca="false">C30-C31</f>
        <v>8050</v>
      </c>
      <c r="I32" s="3"/>
    </row>
    <row r="33" customFormat="false" ht="15" hidden="false" customHeight="false" outlineLevel="0" collapsed="false">
      <c r="A33" s="7" t="s">
        <v>182</v>
      </c>
      <c r="C33" s="20" t="n">
        <f aca="false">C32/C6</f>
        <v>0.0199751861042184</v>
      </c>
      <c r="I33" s="3"/>
    </row>
    <row r="34" customFormat="false" ht="15" hidden="false" customHeight="false" outlineLevel="0" collapsed="false">
      <c r="A34" s="10" t="s">
        <v>183</v>
      </c>
      <c r="C34" s="11" t="n">
        <f aca="false">C32/(1-C8)</f>
        <v>12384.6153846154</v>
      </c>
      <c r="I34" s="3"/>
    </row>
    <row r="35" customFormat="false" ht="15" hidden="false" customHeight="false" outlineLevel="0" collapsed="false">
      <c r="A35" s="10" t="s">
        <v>184</v>
      </c>
      <c r="C35" s="21" t="n">
        <f aca="false">C32/(C31*(1-C8))</f>
        <v>0.0931174089068826</v>
      </c>
      <c r="I35" s="3"/>
    </row>
    <row r="36" customFormat="false" ht="15" hidden="false" customHeight="false" outlineLevel="0" collapsed="false">
      <c r="A36" s="10" t="s">
        <v>185</v>
      </c>
      <c r="C36" s="21" t="n">
        <f aca="false">(1+C35)^(1/C10)-1</f>
        <v>0.0225079721136576</v>
      </c>
      <c r="I36" s="3"/>
    </row>
    <row r="37" customFormat="false" ht="15" hidden="false" customHeight="false" outlineLevel="0" collapsed="false">
      <c r="A37" s="7" t="s">
        <v>186</v>
      </c>
      <c r="C37" s="2" t="s">
        <v>187</v>
      </c>
      <c r="I37" s="3"/>
    </row>
    <row r="38" customFormat="false" ht="15" hidden="false" customHeight="false" outlineLevel="0" collapsed="false">
      <c r="A38" s="10" t="s">
        <v>188</v>
      </c>
      <c r="C38" s="20" t="n">
        <f aca="false">C31*(1+C35)/(C6+C31*C35)</f>
        <v>0.35</v>
      </c>
      <c r="I38" s="3"/>
    </row>
    <row r="39" customFormat="false" ht="15" hidden="false" customHeight="false" outlineLevel="0" collapsed="false">
      <c r="I39" s="3"/>
    </row>
    <row r="40" customFormat="false" ht="15" hidden="false" customHeight="false" outlineLevel="0" collapsed="false">
      <c r="I40" s="3"/>
    </row>
    <row r="41" customFormat="false" ht="15" hidden="false" customHeight="false" outlineLevel="0" collapsed="false">
      <c r="I41" s="3"/>
    </row>
    <row r="42" customFormat="false" ht="15" hidden="false" customHeight="false" outlineLevel="0" collapsed="false">
      <c r="I42" s="3"/>
    </row>
    <row r="43" customFormat="false" ht="15" hidden="false" customHeight="false" outlineLevel="0" collapsed="false">
      <c r="I43" s="3"/>
    </row>
    <row r="44" customFormat="false" ht="15" hidden="false" customHeight="false" outlineLevel="0" collapsed="false">
      <c r="I44" s="3"/>
    </row>
  </sheetData>
  <mergeCells count="1">
    <mergeCell ref="I5:I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22"/>
    <col collapsed="false" customWidth="true" hidden="false" outlineLevel="0" max="5" min="3" style="0" width="16"/>
    <col collapsed="false" customWidth="true" hidden="false" outlineLevel="0" max="6" min="6" style="0" width="30"/>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189</v>
      </c>
    </row>
    <row r="2" customFormat="false" ht="15" hidden="false" customHeight="false" outlineLevel="0" collapsed="false">
      <c r="A2" s="2" t="s">
        <v>190</v>
      </c>
    </row>
    <row r="4" customFormat="false" ht="15" hidden="false" customHeight="false" outlineLevel="0" collapsed="false">
      <c r="A4" s="5" t="s">
        <v>191</v>
      </c>
      <c r="H4" s="5" t="s">
        <v>192</v>
      </c>
    </row>
    <row r="5" customFormat="false" ht="27.75" hidden="false" customHeight="true" outlineLevel="0" collapsed="false">
      <c r="A5" s="12" t="s">
        <v>193</v>
      </c>
      <c r="B5" s="13" t="s">
        <v>194</v>
      </c>
      <c r="C5" s="13" t="s">
        <v>150</v>
      </c>
      <c r="D5" s="13" t="s">
        <v>195</v>
      </c>
      <c r="E5" s="13"/>
      <c r="F5" s="13"/>
      <c r="H5" s="3" t="s">
        <v>196</v>
      </c>
    </row>
    <row r="6" customFormat="false" ht="30" hidden="false" customHeight="true" outlineLevel="0" collapsed="false">
      <c r="A6" s="38" t="s">
        <v>197</v>
      </c>
      <c r="B6" s="39" t="s">
        <v>198</v>
      </c>
      <c r="C6" s="40" t="n">
        <v>0.35</v>
      </c>
      <c r="D6" s="39" t="s">
        <v>199</v>
      </c>
      <c r="H6" s="3"/>
    </row>
    <row r="7" customFormat="false" ht="30" hidden="false" customHeight="true" outlineLevel="0" collapsed="false">
      <c r="A7" s="38" t="s">
        <v>200</v>
      </c>
      <c r="B7" s="39" t="s">
        <v>201</v>
      </c>
      <c r="C7" s="40" t="n">
        <v>0.35</v>
      </c>
      <c r="D7" s="39" t="s">
        <v>202</v>
      </c>
      <c r="H7" s="3"/>
    </row>
    <row r="8" customFormat="false" ht="15" hidden="false" customHeight="false" outlineLevel="0" collapsed="false">
      <c r="H8" s="3"/>
    </row>
    <row r="9" customFormat="false" ht="15" hidden="false" customHeight="false" outlineLevel="0" collapsed="false">
      <c r="A9" s="10" t="s">
        <v>203</v>
      </c>
      <c r="C9" s="22" t="str">
        <f aca="false">IF(B6=B7,"identical","different — Ukraine and the EEA-EFTA states count for SAFE and not for EDIP")</f>
        <v>different — Ukraine and the EEA-EFTA states count for SAFE and not for EDIP</v>
      </c>
      <c r="H9" s="3"/>
    </row>
    <row r="10" customFormat="false" ht="15" hidden="false" customHeight="false" outlineLevel="0" collapsed="false">
      <c r="A10" s="7" t="s">
        <v>204</v>
      </c>
      <c r="C10" s="2" t="s">
        <v>205</v>
      </c>
      <c r="H10" s="3"/>
    </row>
    <row r="11" customFormat="false" ht="15" hidden="false" customHeight="false" outlineLevel="0" collapsed="false">
      <c r="H11" s="3"/>
    </row>
    <row r="12" customFormat="false" ht="15" hidden="false" customHeight="false" outlineLevel="0" collapsed="false">
      <c r="A12" s="5" t="s">
        <v>206</v>
      </c>
      <c r="H12" s="3"/>
    </row>
    <row r="13" customFormat="false" ht="27.75" hidden="false" customHeight="true" outlineLevel="0" collapsed="false">
      <c r="A13" s="12" t="s">
        <v>207</v>
      </c>
      <c r="B13" s="13" t="s">
        <v>208</v>
      </c>
      <c r="C13" s="13" t="s">
        <v>16</v>
      </c>
      <c r="D13" s="13" t="s">
        <v>209</v>
      </c>
      <c r="E13" s="13" t="s">
        <v>210</v>
      </c>
      <c r="F13" s="13" t="s">
        <v>211</v>
      </c>
      <c r="H13" s="3"/>
    </row>
    <row r="14" customFormat="false" ht="15" hidden="false" customHeight="false" outlineLevel="0" collapsed="false">
      <c r="A14" s="14" t="s">
        <v>212</v>
      </c>
      <c r="B14" s="41" t="s">
        <v>213</v>
      </c>
      <c r="C14" s="16" t="n">
        <v>48000</v>
      </c>
      <c r="D14" s="42"/>
      <c r="E14" s="42"/>
      <c r="F14" s="42"/>
      <c r="H14" s="3"/>
    </row>
    <row r="15" customFormat="false" ht="15" hidden="false" customHeight="false" outlineLevel="0" collapsed="false">
      <c r="A15" s="7" t="s">
        <v>214</v>
      </c>
      <c r="B15" s="43" t="s">
        <v>215</v>
      </c>
      <c r="C15" s="19" t="n">
        <v>0</v>
      </c>
      <c r="D15" s="44"/>
      <c r="E15" s="44"/>
      <c r="F15" s="44"/>
      <c r="H15" s="3"/>
    </row>
    <row r="16" customFormat="false" ht="15" hidden="false" customHeight="false" outlineLevel="0" collapsed="false">
      <c r="A16" s="14" t="s">
        <v>22</v>
      </c>
      <c r="B16" s="41" t="s">
        <v>216</v>
      </c>
      <c r="C16" s="16" t="n">
        <v>39000</v>
      </c>
      <c r="D16" s="42"/>
      <c r="E16" s="42"/>
      <c r="F16" s="42"/>
      <c r="H16" s="3"/>
    </row>
    <row r="17" customFormat="false" ht="15" hidden="false" customHeight="false" outlineLevel="0" collapsed="false">
      <c r="A17" s="7" t="s">
        <v>20</v>
      </c>
      <c r="B17" s="43" t="s">
        <v>216</v>
      </c>
      <c r="C17" s="19" t="n">
        <v>21000</v>
      </c>
      <c r="D17" s="44"/>
      <c r="E17" s="44"/>
      <c r="F17" s="44"/>
      <c r="H17" s="3"/>
    </row>
    <row r="18" customFormat="false" ht="15" hidden="false" customHeight="false" outlineLevel="0" collapsed="false">
      <c r="A18" s="14" t="s">
        <v>130</v>
      </c>
      <c r="B18" s="41" t="s">
        <v>217</v>
      </c>
      <c r="C18" s="16" t="n">
        <v>0</v>
      </c>
      <c r="D18" s="42"/>
      <c r="E18" s="42"/>
      <c r="F18" s="42"/>
      <c r="H18" s="3"/>
    </row>
    <row r="19" customFormat="false" ht="15" hidden="false" customHeight="false" outlineLevel="0" collapsed="false">
      <c r="A19" s="7" t="s">
        <v>218</v>
      </c>
      <c r="B19" s="43" t="s">
        <v>219</v>
      </c>
      <c r="C19" s="19" t="n">
        <v>11000</v>
      </c>
      <c r="D19" s="44"/>
      <c r="E19" s="44"/>
      <c r="F19" s="44"/>
      <c r="H19" s="3"/>
    </row>
    <row r="20" customFormat="false" ht="15" hidden="false" customHeight="false" outlineLevel="0" collapsed="false">
      <c r="H20" s="3"/>
    </row>
    <row r="21" customFormat="false" ht="15" hidden="false" customHeight="false" outlineLevel="0" collapsed="false">
      <c r="A21" s="22" t="s">
        <v>220</v>
      </c>
      <c r="C21" s="32" t="n">
        <f aca="false">COUNTA(A14:A19)</f>
        <v>6</v>
      </c>
      <c r="H21" s="3"/>
    </row>
    <row r="22" customFormat="false" ht="15" hidden="false" customHeight="false" outlineLevel="0" collapsed="false">
      <c r="A22" s="22" t="s">
        <v>221</v>
      </c>
      <c r="C22" s="32" t="n">
        <f aca="false">SUMPRODUCT((D14:D19&lt;&gt;"")*(E14:E19&lt;&gt;"")*(F14:F19&lt;&gt;""))</f>
        <v>0</v>
      </c>
      <c r="H22" s="3"/>
    </row>
    <row r="23" customFormat="false" ht="15" hidden="false" customHeight="false" outlineLevel="0" collapsed="false">
      <c r="A23" s="22" t="s">
        <v>222</v>
      </c>
      <c r="C23" s="32" t="n">
        <f aca="false">SUMPRODUCT(--((D14:D19="no")+(E14:E19="no")+(F14:F19="no")&gt;0))</f>
        <v>0</v>
      </c>
      <c r="H23" s="3"/>
    </row>
    <row r="24" customFormat="false" ht="15" hidden="false" customHeight="false" outlineLevel="0" collapsed="false">
      <c r="A24" s="22" t="s">
        <v>154</v>
      </c>
      <c r="C24" s="11" t="n">
        <f aca="false">SUMPRODUCT(--((D14:D19="no")+(E14:E19="no")+(F14:F19="no")&gt;0),C14:C19)</f>
        <v>0</v>
      </c>
      <c r="H24" s="3"/>
    </row>
    <row r="25" customFormat="false" ht="15" hidden="false" customHeight="false" outlineLevel="0" collapsed="false">
      <c r="A25" s="22" t="s">
        <v>155</v>
      </c>
      <c r="C25" s="22" t="str">
        <f aca="false">IF(C22&lt;C21,"not yet assessed — "&amp;TEXT(C21-C22,"0")&amp;" items unanswered",IF(C23=0,"Pass","FAIL on "&amp;TEXT(C23,"0")&amp;" items"))</f>
        <v>not yet assessed — 6 items unanswered</v>
      </c>
      <c r="H25" s="3"/>
    </row>
    <row r="26" customFormat="false" ht="15" hidden="false" customHeight="false" outlineLevel="0" collapsed="false">
      <c r="H26" s="3"/>
    </row>
    <row r="27" customFormat="false" ht="15" hidden="false" customHeight="false" outlineLevel="0" collapsed="false">
      <c r="A27" s="5" t="s">
        <v>223</v>
      </c>
      <c r="H27" s="3"/>
    </row>
    <row r="28" customFormat="false" ht="15" hidden="false" customHeight="false" outlineLevel="0" collapsed="false">
      <c r="A28" s="7" t="s">
        <v>46</v>
      </c>
      <c r="C28" s="45" t="n">
        <f aca="false">'The worked example'!C38</f>
        <v>0.330024813895782</v>
      </c>
      <c r="H28" s="3"/>
    </row>
    <row r="29" customFormat="false" ht="15" hidden="false" customHeight="false" outlineLevel="0" collapsed="false">
      <c r="A29" s="7" t="s">
        <v>224</v>
      </c>
      <c r="C29" s="37" t="str">
        <f aca="false">IF(C28&lt;=C7,"yes","no")</f>
        <v>yes</v>
      </c>
      <c r="H29" s="3"/>
    </row>
    <row r="30" customFormat="false" ht="15" hidden="false" customHeight="false" outlineLevel="0" collapsed="false">
      <c r="A30" s="7" t="s">
        <v>225</v>
      </c>
      <c r="C30" s="37" t="str">
        <f aca="false">IF(AND(C22=C21,C23=0),"yes","no or not yet established")</f>
        <v>no or not yet established</v>
      </c>
      <c r="H30" s="3"/>
    </row>
    <row r="31" customFormat="false" ht="15" hidden="false" customHeight="false" outlineLevel="0" collapsed="false">
      <c r="A31" s="10" t="s">
        <v>226</v>
      </c>
      <c r="C31" s="22" t="str">
        <f aca="false">IF(AND(C29="yes",C30="yes"),"yes — both tests passed","no — both tests must pass")</f>
        <v>no — both tests must pass</v>
      </c>
      <c r="H31" s="3"/>
    </row>
    <row r="32" customFormat="false" ht="15" hidden="false" customHeight="false" outlineLevel="0" collapsed="false">
      <c r="A32" s="7" t="s">
        <v>227</v>
      </c>
      <c r="C32" s="40" t="n">
        <v>0.2</v>
      </c>
      <c r="H32" s="3"/>
    </row>
    <row r="33" customFormat="false" ht="15" hidden="false" customHeight="false" outlineLevel="0" collapsed="false">
      <c r="A33" s="7" t="s">
        <v>228</v>
      </c>
      <c r="C33" s="2" t="s">
        <v>229</v>
      </c>
      <c r="H33" s="3"/>
    </row>
    <row r="34" customFormat="false" ht="15" hidden="false" customHeight="false" outlineLevel="0" collapsed="false">
      <c r="H34" s="3"/>
    </row>
    <row r="35" customFormat="false" ht="15" hidden="false" customHeight="false" outlineLevel="0" collapsed="false">
      <c r="H35" s="3"/>
    </row>
    <row r="36" customFormat="false" ht="15" hidden="false" customHeight="false" outlineLevel="0" collapsed="false">
      <c r="H36" s="3"/>
    </row>
    <row r="37" customFormat="false" ht="15" hidden="false" customHeight="false" outlineLevel="0" collapsed="false">
      <c r="H37" s="3"/>
    </row>
    <row r="38" customFormat="false" ht="15" hidden="false" customHeight="false" outlineLevel="0" collapsed="false">
      <c r="H38" s="3"/>
    </row>
    <row r="39" customFormat="false" ht="15" hidden="false" customHeight="false" outlineLevel="0" collapsed="false">
      <c r="H39" s="3"/>
    </row>
    <row r="40" customFormat="false" ht="15" hidden="false" customHeight="false" outlineLevel="0" collapsed="false">
      <c r="H40" s="3"/>
    </row>
    <row r="41" customFormat="false" ht="15" hidden="false" customHeight="false" outlineLevel="0" collapsed="false">
      <c r="H41" s="3"/>
    </row>
    <row r="42" customFormat="false" ht="15" hidden="false" customHeight="false" outlineLevel="0" collapsed="false">
      <c r="H42" s="3"/>
    </row>
  </sheetData>
  <mergeCells count="1">
    <mergeCell ref="H5:H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6"/>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6"/>
  </cols>
  <sheetData>
    <row r="1" customFormat="false" ht="17.35" hidden="false" customHeight="false" outlineLevel="0" collapsed="false">
      <c r="A1" s="1" t="s">
        <v>230</v>
      </c>
    </row>
    <row r="2" customFormat="false" ht="15" hidden="false" customHeight="false" outlineLevel="0" collapsed="false">
      <c r="A2" s="2" t="s">
        <v>231</v>
      </c>
    </row>
    <row r="4" customFormat="false" ht="27.75" hidden="false" customHeight="true" outlineLevel="0" collapsed="false">
      <c r="A4" s="12" t="s">
        <v>232</v>
      </c>
      <c r="B4" s="13" t="s">
        <v>233</v>
      </c>
      <c r="C4" s="13" t="s">
        <v>234</v>
      </c>
      <c r="D4" s="13" t="s">
        <v>235</v>
      </c>
      <c r="E4" s="13" t="s">
        <v>236</v>
      </c>
      <c r="G4" s="5" t="s">
        <v>237</v>
      </c>
    </row>
    <row r="5" customFormat="false" ht="15" hidden="false" customHeight="true" outlineLevel="0" collapsed="false">
      <c r="A5" s="46" t="s">
        <v>238</v>
      </c>
      <c r="B5" s="47"/>
      <c r="C5" s="47"/>
      <c r="D5" s="47"/>
      <c r="E5" s="47"/>
      <c r="G5" s="3" t="s">
        <v>239</v>
      </c>
    </row>
    <row r="6" customFormat="false" ht="15" hidden="false" customHeight="false" outlineLevel="0" collapsed="false">
      <c r="A6" s="48" t="s">
        <v>240</v>
      </c>
      <c r="B6" s="44" t="s">
        <v>241</v>
      </c>
      <c r="C6" s="49"/>
      <c r="D6" s="44"/>
      <c r="E6" s="50"/>
      <c r="G6" s="3"/>
    </row>
    <row r="7" customFormat="false" ht="15" hidden="false" customHeight="false" outlineLevel="0" collapsed="false">
      <c r="A7" s="48" t="s">
        <v>242</v>
      </c>
      <c r="B7" s="44" t="s">
        <v>241</v>
      </c>
      <c r="C7" s="49"/>
      <c r="D7" s="44"/>
      <c r="E7" s="50"/>
      <c r="G7" s="3"/>
    </row>
    <row r="8" customFormat="false" ht="15" hidden="false" customHeight="false" outlineLevel="0" collapsed="false">
      <c r="A8" s="48" t="s">
        <v>243</v>
      </c>
      <c r="B8" s="44" t="s">
        <v>241</v>
      </c>
      <c r="C8" s="49"/>
      <c r="D8" s="44"/>
      <c r="E8" s="50"/>
      <c r="G8" s="3"/>
    </row>
    <row r="9" customFormat="false" ht="15" hidden="false" customHeight="false" outlineLevel="0" collapsed="false">
      <c r="A9" s="48" t="s">
        <v>244</v>
      </c>
      <c r="B9" s="44" t="s">
        <v>241</v>
      </c>
      <c r="C9" s="49"/>
      <c r="D9" s="44"/>
      <c r="E9" s="50"/>
      <c r="G9" s="3"/>
    </row>
    <row r="10" customFormat="false" ht="15" hidden="false" customHeight="false" outlineLevel="0" collapsed="false">
      <c r="A10" s="48" t="s">
        <v>245</v>
      </c>
      <c r="B10" s="44" t="s">
        <v>241</v>
      </c>
      <c r="C10" s="49"/>
      <c r="D10" s="44"/>
      <c r="E10" s="50"/>
      <c r="G10" s="3"/>
    </row>
    <row r="11" customFormat="false" ht="15" hidden="false" customHeight="false" outlineLevel="0" collapsed="false">
      <c r="A11" s="48" t="s">
        <v>246</v>
      </c>
      <c r="B11" s="44" t="s">
        <v>241</v>
      </c>
      <c r="C11" s="49"/>
      <c r="D11" s="44"/>
      <c r="E11" s="50"/>
      <c r="G11" s="3"/>
    </row>
    <row r="12" customFormat="false" ht="15" hidden="false" customHeight="false" outlineLevel="0" collapsed="false">
      <c r="A12" s="48" t="s">
        <v>247</v>
      </c>
      <c r="B12" s="44" t="s">
        <v>241</v>
      </c>
      <c r="C12" s="49"/>
      <c r="D12" s="44"/>
      <c r="E12" s="50"/>
      <c r="G12" s="3"/>
    </row>
    <row r="13" customFormat="false" ht="15" hidden="false" customHeight="false" outlineLevel="0" collapsed="false">
      <c r="G13" s="3"/>
    </row>
    <row r="14" customFormat="false" ht="15" hidden="false" customHeight="false" outlineLevel="0" collapsed="false">
      <c r="A14" s="46" t="s">
        <v>248</v>
      </c>
      <c r="B14" s="47"/>
      <c r="C14" s="47"/>
      <c r="D14" s="47"/>
      <c r="E14" s="47"/>
      <c r="G14" s="3"/>
    </row>
    <row r="15" customFormat="false" ht="15" hidden="false" customHeight="false" outlineLevel="0" collapsed="false">
      <c r="A15" s="48" t="s">
        <v>249</v>
      </c>
      <c r="B15" s="44" t="s">
        <v>241</v>
      </c>
      <c r="C15" s="49"/>
      <c r="D15" s="44"/>
      <c r="E15" s="50"/>
      <c r="G15" s="3"/>
    </row>
    <row r="16" customFormat="false" ht="15" hidden="false" customHeight="false" outlineLevel="0" collapsed="false">
      <c r="A16" s="48" t="s">
        <v>250</v>
      </c>
      <c r="B16" s="44" t="s">
        <v>241</v>
      </c>
      <c r="C16" s="49"/>
      <c r="D16" s="44"/>
      <c r="E16" s="50"/>
      <c r="G16" s="3"/>
    </row>
    <row r="17" customFormat="false" ht="15" hidden="false" customHeight="false" outlineLevel="0" collapsed="false">
      <c r="A17" s="48" t="s">
        <v>251</v>
      </c>
      <c r="B17" s="44" t="s">
        <v>241</v>
      </c>
      <c r="C17" s="49"/>
      <c r="D17" s="44"/>
      <c r="E17" s="50"/>
      <c r="G17" s="3"/>
    </row>
    <row r="18" customFormat="false" ht="15" hidden="false" customHeight="false" outlineLevel="0" collapsed="false">
      <c r="A18" s="48" t="s">
        <v>252</v>
      </c>
      <c r="B18" s="44" t="s">
        <v>241</v>
      </c>
      <c r="C18" s="49"/>
      <c r="D18" s="44"/>
      <c r="E18" s="50"/>
      <c r="G18" s="3"/>
    </row>
    <row r="19" customFormat="false" ht="15" hidden="false" customHeight="false" outlineLevel="0" collapsed="false">
      <c r="A19" s="48" t="s">
        <v>253</v>
      </c>
      <c r="B19" s="44" t="s">
        <v>241</v>
      </c>
      <c r="C19" s="49"/>
      <c r="D19" s="44"/>
      <c r="E19" s="50"/>
      <c r="G19" s="3"/>
    </row>
    <row r="20" customFormat="false" ht="15" hidden="false" customHeight="false" outlineLevel="0" collapsed="false">
      <c r="G20" s="3"/>
    </row>
    <row r="21" customFormat="false" ht="15" hidden="false" customHeight="false" outlineLevel="0" collapsed="false">
      <c r="A21" s="46" t="s">
        <v>254</v>
      </c>
      <c r="B21" s="47"/>
      <c r="C21" s="47"/>
      <c r="D21" s="47"/>
      <c r="E21" s="47"/>
      <c r="G21" s="3"/>
    </row>
    <row r="22" customFormat="false" ht="15" hidden="false" customHeight="false" outlineLevel="0" collapsed="false">
      <c r="A22" s="48" t="s">
        <v>255</v>
      </c>
      <c r="B22" s="44" t="s">
        <v>241</v>
      </c>
      <c r="C22" s="49"/>
      <c r="D22" s="44"/>
      <c r="E22" s="50"/>
      <c r="G22" s="3"/>
    </row>
    <row r="23" customFormat="false" ht="15" hidden="false" customHeight="false" outlineLevel="0" collapsed="false">
      <c r="A23" s="48" t="s">
        <v>256</v>
      </c>
      <c r="B23" s="44" t="s">
        <v>241</v>
      </c>
      <c r="C23" s="49"/>
      <c r="D23" s="44"/>
      <c r="E23" s="50"/>
      <c r="G23" s="3"/>
    </row>
    <row r="24" customFormat="false" ht="15" hidden="false" customHeight="false" outlineLevel="0" collapsed="false">
      <c r="G24" s="3"/>
    </row>
    <row r="25" customFormat="false" ht="15" hidden="false" customHeight="false" outlineLevel="0" collapsed="false">
      <c r="A25" s="46" t="s">
        <v>257</v>
      </c>
      <c r="B25" s="47"/>
      <c r="C25" s="47"/>
      <c r="D25" s="47"/>
      <c r="E25" s="47"/>
      <c r="G25" s="3"/>
    </row>
    <row r="26" customFormat="false" ht="15" hidden="false" customHeight="false" outlineLevel="0" collapsed="false">
      <c r="A26" s="48" t="s">
        <v>258</v>
      </c>
      <c r="B26" s="44" t="s">
        <v>241</v>
      </c>
      <c r="C26" s="49"/>
      <c r="D26" s="44"/>
      <c r="E26" s="50"/>
      <c r="G26" s="3"/>
    </row>
    <row r="27" customFormat="false" ht="15" hidden="false" customHeight="false" outlineLevel="0" collapsed="false">
      <c r="A27" s="48" t="s">
        <v>259</v>
      </c>
      <c r="B27" s="44" t="s">
        <v>241</v>
      </c>
      <c r="C27" s="49"/>
      <c r="D27" s="44"/>
      <c r="E27" s="50"/>
      <c r="G27" s="3"/>
    </row>
    <row r="28" customFormat="false" ht="15" hidden="false" customHeight="false" outlineLevel="0" collapsed="false">
      <c r="A28" s="48" t="s">
        <v>260</v>
      </c>
      <c r="B28" s="44" t="s">
        <v>241</v>
      </c>
      <c r="C28" s="49"/>
      <c r="D28" s="44"/>
      <c r="E28" s="50"/>
      <c r="G28" s="3"/>
    </row>
    <row r="29" customFormat="false" ht="15" hidden="false" customHeight="false" outlineLevel="0" collapsed="false">
      <c r="A29" s="48" t="s">
        <v>261</v>
      </c>
      <c r="B29" s="44" t="s">
        <v>241</v>
      </c>
      <c r="C29" s="49"/>
      <c r="D29" s="44"/>
      <c r="E29" s="50"/>
      <c r="G29" s="3"/>
    </row>
    <row r="30" customFormat="false" ht="15" hidden="false" customHeight="false" outlineLevel="0" collapsed="false">
      <c r="A30" s="48" t="s">
        <v>262</v>
      </c>
      <c r="B30" s="44" t="s">
        <v>241</v>
      </c>
      <c r="C30" s="49"/>
      <c r="D30" s="44"/>
      <c r="E30" s="50"/>
      <c r="G30" s="3"/>
    </row>
    <row r="31" customFormat="false" ht="15" hidden="false" customHeight="false" outlineLevel="0" collapsed="false">
      <c r="A31" s="48" t="s">
        <v>263</v>
      </c>
      <c r="B31" s="44" t="s">
        <v>241</v>
      </c>
      <c r="C31" s="49"/>
      <c r="D31" s="44"/>
      <c r="E31" s="50"/>
      <c r="G31" s="3"/>
    </row>
    <row r="32" customFormat="false" ht="15" hidden="false" customHeight="false" outlineLevel="0" collapsed="false">
      <c r="A32" s="48" t="s">
        <v>264</v>
      </c>
      <c r="B32" s="44" t="s">
        <v>241</v>
      </c>
      <c r="C32" s="49"/>
      <c r="D32" s="44"/>
      <c r="E32" s="50"/>
      <c r="G32" s="3"/>
    </row>
    <row r="33" customFormat="false" ht="15" hidden="false" customHeight="false" outlineLevel="0" collapsed="false">
      <c r="A33" s="48" t="s">
        <v>265</v>
      </c>
      <c r="B33" s="44" t="s">
        <v>241</v>
      </c>
      <c r="C33" s="49"/>
      <c r="D33" s="44"/>
      <c r="E33" s="50"/>
      <c r="G33" s="3"/>
    </row>
    <row r="34" customFormat="false" ht="15" hidden="false" customHeight="false" outlineLevel="0" collapsed="false">
      <c r="A34" s="48" t="s">
        <v>266</v>
      </c>
      <c r="B34" s="44" t="s">
        <v>241</v>
      </c>
      <c r="C34" s="49"/>
      <c r="D34" s="44"/>
      <c r="E34" s="50"/>
      <c r="G34" s="3"/>
    </row>
    <row r="35" customFormat="false" ht="15" hidden="false" customHeight="false" outlineLevel="0" collapsed="false">
      <c r="A35" s="48" t="s">
        <v>267</v>
      </c>
      <c r="B35" s="44" t="s">
        <v>241</v>
      </c>
      <c r="C35" s="49"/>
      <c r="D35" s="44"/>
      <c r="E35" s="50"/>
      <c r="G35" s="3"/>
    </row>
    <row r="36" customFormat="false" ht="15" hidden="false" customHeight="false" outlineLevel="0" collapsed="false">
      <c r="A36" s="48" t="s">
        <v>268</v>
      </c>
      <c r="B36" s="44" t="s">
        <v>241</v>
      </c>
      <c r="C36" s="49"/>
      <c r="D36" s="44"/>
      <c r="E36" s="50"/>
      <c r="G36" s="3"/>
    </row>
    <row r="37" customFormat="false" ht="15" hidden="false" customHeight="false" outlineLevel="0" collapsed="false">
      <c r="A37" s="48" t="s">
        <v>269</v>
      </c>
      <c r="B37" s="44" t="s">
        <v>241</v>
      </c>
      <c r="C37" s="49"/>
      <c r="D37" s="44"/>
      <c r="E37" s="50"/>
      <c r="G37" s="3"/>
    </row>
    <row r="38" customFormat="false" ht="15" hidden="false" customHeight="false" outlineLevel="0" collapsed="false">
      <c r="A38" s="48" t="s">
        <v>270</v>
      </c>
      <c r="B38" s="44" t="s">
        <v>241</v>
      </c>
      <c r="C38" s="49"/>
      <c r="D38" s="44"/>
      <c r="E38" s="50"/>
      <c r="G38" s="3"/>
    </row>
    <row r="39" customFormat="false" ht="15" hidden="false" customHeight="false" outlineLevel="0" collapsed="false">
      <c r="A39" s="48" t="s">
        <v>271</v>
      </c>
      <c r="B39" s="44" t="s">
        <v>241</v>
      </c>
      <c r="C39" s="49"/>
      <c r="D39" s="44"/>
      <c r="E39" s="50"/>
      <c r="G39" s="3"/>
    </row>
    <row r="40" customFormat="false" ht="15" hidden="false" customHeight="false" outlineLevel="0" collapsed="false">
      <c r="G40" s="3"/>
    </row>
    <row r="41" customFormat="false" ht="15" hidden="false" customHeight="false" outlineLevel="0" collapsed="false">
      <c r="G41" s="3"/>
    </row>
    <row r="42" customFormat="false" ht="15" hidden="false" customHeight="false" outlineLevel="0" collapsed="false">
      <c r="A42" s="22" t="s">
        <v>272</v>
      </c>
      <c r="B42" s="32" t="n">
        <f aca="false">COUNTA(B5:B39)</f>
        <v>28</v>
      </c>
      <c r="G42" s="3"/>
    </row>
    <row r="43" customFormat="false" ht="15" hidden="false" customHeight="false" outlineLevel="0" collapsed="false">
      <c r="A43" s="22" t="s">
        <v>273</v>
      </c>
      <c r="B43" s="32" t="n">
        <f aca="false">COUNTIF(B5:B39,"done")+COUNTIF(B5:B39,"not applicable")</f>
        <v>0</v>
      </c>
    </row>
    <row r="44" customFormat="false" ht="15" hidden="false" customHeight="false" outlineLevel="0" collapsed="false">
      <c r="A44" s="22" t="s">
        <v>274</v>
      </c>
      <c r="B44" s="32" t="n">
        <f aca="false">COUNTIF(B5:B39,"problem")</f>
        <v>0</v>
      </c>
    </row>
    <row r="45" customFormat="false" ht="15" hidden="false" customHeight="false" outlineLevel="0" collapsed="false">
      <c r="A45" s="22" t="s">
        <v>275</v>
      </c>
      <c r="B45" s="31" t="n">
        <f aca="false">IF(B42=0,0,B43/B42)</f>
        <v>0</v>
      </c>
    </row>
  </sheetData>
  <autoFilter ref="A4:E39"/>
  <mergeCells count="1">
    <mergeCell ref="G5:G42"/>
  </mergeCells>
  <dataValidations count="1">
    <dataValidation allowBlank="true" errorStyle="stop" operator="between" showDropDown="false" showErrorMessage="false" showInputMessage="false" sqref="B6:B12 B15:B19 B22:B23 B26:B39"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56"/>
    <col collapsed="false" customWidth="true" hidden="false" outlineLevel="0" max="4" min="3" style="0" width="16"/>
    <col collapsed="false" customWidth="true" hidden="false" outlineLevel="0" max="6" min="5" style="0" width="13"/>
    <col collapsed="false" customWidth="true" hidden="false" outlineLevel="0" max="7" min="7" style="0" width="3"/>
    <col collapsed="false" customWidth="true" hidden="false" outlineLevel="0" max="8" min="8" style="0" width="46"/>
  </cols>
  <sheetData>
    <row r="1" customFormat="false" ht="17.35" hidden="false" customHeight="false" outlineLevel="0" collapsed="false">
      <c r="A1" s="1" t="s">
        <v>276</v>
      </c>
    </row>
    <row r="2" customFormat="false" ht="15" hidden="false" customHeight="false" outlineLevel="0" collapsed="false">
      <c r="A2" s="2" t="s">
        <v>277</v>
      </c>
    </row>
    <row r="4" customFormat="false" ht="27.75" hidden="false" customHeight="true" outlineLevel="0" collapsed="false">
      <c r="A4" s="12" t="s">
        <v>278</v>
      </c>
      <c r="B4" s="13" t="s">
        <v>279</v>
      </c>
      <c r="C4" s="13" t="s">
        <v>280</v>
      </c>
      <c r="D4" s="13" t="s">
        <v>281</v>
      </c>
      <c r="E4" s="13" t="s">
        <v>282</v>
      </c>
      <c r="F4" s="13" t="s">
        <v>233</v>
      </c>
      <c r="H4" s="5" t="s">
        <v>283</v>
      </c>
    </row>
    <row r="5" customFormat="false" ht="15" hidden="false" customHeight="true" outlineLevel="0" collapsed="false">
      <c r="A5" s="51" t="s">
        <v>284</v>
      </c>
      <c r="B5" s="18" t="s">
        <v>23</v>
      </c>
      <c r="C5" s="52" t="n">
        <v>108000</v>
      </c>
      <c r="D5" s="53" t="n">
        <f aca="false">'The worked example'!D15</f>
        <v>108000</v>
      </c>
      <c r="E5" s="54" t="n">
        <f aca="false">D5-C5</f>
        <v>0</v>
      </c>
      <c r="F5" s="55" t="str">
        <f aca="false">IF(ABS(E5)&lt;=500,"reproduced",IF(ABS(E5)&lt;=500*5,"rounding","CHECK"))</f>
        <v>reproduced</v>
      </c>
      <c r="H5" s="3" t="s">
        <v>285</v>
      </c>
    </row>
    <row r="6" customFormat="false" ht="15" hidden="false" customHeight="false" outlineLevel="0" collapsed="false">
      <c r="A6" s="56" t="s">
        <v>284</v>
      </c>
      <c r="B6" s="15" t="s">
        <v>24</v>
      </c>
      <c r="C6" s="57" t="n">
        <v>0.27</v>
      </c>
      <c r="D6" s="58" t="n">
        <f aca="false">'The worked example'!D16</f>
        <v>0.27</v>
      </c>
      <c r="E6" s="59" t="n">
        <f aca="false">D6-C6</f>
        <v>0</v>
      </c>
      <c r="F6" s="60" t="str">
        <f aca="false">IF(ABS(E6)&lt;=0.00005,"reproduced",IF(ABS(E6)&lt;=0.00005*5,"rounding","CHECK"))</f>
        <v>reproduced</v>
      </c>
      <c r="H6" s="3"/>
    </row>
    <row r="7" customFormat="false" ht="15" hidden="false" customHeight="false" outlineLevel="0" collapsed="false">
      <c r="A7" s="51" t="s">
        <v>284</v>
      </c>
      <c r="B7" s="18" t="s">
        <v>286</v>
      </c>
      <c r="C7" s="61" t="n">
        <v>1</v>
      </c>
      <c r="D7" s="62" t="n">
        <f aca="false">IF(LEFT('The worked example'!D17,4)="Pass",1,0)</f>
        <v>1</v>
      </c>
      <c r="E7" s="63" t="n">
        <f aca="false">D7-C7</f>
        <v>0</v>
      </c>
      <c r="F7" s="55" t="str">
        <f aca="false">IF(ABS(E7)&lt;=0.0001,"reproduced",IF(ABS(E7)&lt;=0.0001*5,"rounding","CHECK"))</f>
        <v>reproduced</v>
      </c>
      <c r="H7" s="3"/>
    </row>
    <row r="8" customFormat="false" ht="15" hidden="false" customHeight="false" outlineLevel="0" collapsed="false">
      <c r="A8" s="56" t="s">
        <v>284</v>
      </c>
      <c r="B8" s="15" t="s">
        <v>287</v>
      </c>
      <c r="C8" s="64" t="n">
        <v>33000</v>
      </c>
      <c r="D8" s="65" t="n">
        <f aca="false">'The worked example'!D24</f>
        <v>33000</v>
      </c>
      <c r="E8" s="66" t="n">
        <f aca="false">D8-C8</f>
        <v>0</v>
      </c>
      <c r="F8" s="60" t="str">
        <f aca="false">IF(ABS(E8)&lt;=500,"reproduced",IF(ABS(E8)&lt;=500*5,"rounding","CHECK"))</f>
        <v>reproduced</v>
      </c>
      <c r="H8" s="3"/>
    </row>
    <row r="9" customFormat="false" ht="15" hidden="false" customHeight="false" outlineLevel="0" collapsed="false">
      <c r="A9" s="51" t="s">
        <v>284</v>
      </c>
      <c r="B9" s="18" t="s">
        <v>288</v>
      </c>
      <c r="C9" s="52" t="n">
        <v>141000</v>
      </c>
      <c r="D9" s="53" t="n">
        <f aca="false">'The worked example'!D25</f>
        <v>141000</v>
      </c>
      <c r="E9" s="54" t="n">
        <f aca="false">D9-C9</f>
        <v>0</v>
      </c>
      <c r="F9" s="55" t="str">
        <f aca="false">IF(ABS(E9)&lt;=500,"reproduced",IF(ABS(E9)&lt;=500*5,"rounding","CHECK"))</f>
        <v>reproduced</v>
      </c>
      <c r="H9" s="3"/>
    </row>
    <row r="10" customFormat="false" ht="15" hidden="false" customHeight="false" outlineLevel="0" collapsed="false">
      <c r="A10" s="56" t="s">
        <v>284</v>
      </c>
      <c r="B10" s="15" t="s">
        <v>289</v>
      </c>
      <c r="C10" s="57" t="n">
        <v>0.3525</v>
      </c>
      <c r="D10" s="58" t="n">
        <f aca="false">'The worked example'!D27</f>
        <v>0.3525</v>
      </c>
      <c r="E10" s="59" t="n">
        <f aca="false">D10-C10</f>
        <v>0</v>
      </c>
      <c r="F10" s="60" t="str">
        <f aca="false">IF(ABS(E10)&lt;=0.00005,"reproduced",IF(ABS(E10)&lt;=0.00005*5,"rounding","CHECK"))</f>
        <v>reproduced</v>
      </c>
      <c r="H10" s="3"/>
    </row>
    <row r="11" customFormat="false" ht="15" hidden="false" customHeight="false" outlineLevel="0" collapsed="false">
      <c r="A11" s="51" t="s">
        <v>284</v>
      </c>
      <c r="B11" s="18" t="s">
        <v>290</v>
      </c>
      <c r="C11" s="67" t="n">
        <v>0.0025</v>
      </c>
      <c r="D11" s="68" t="n">
        <f aca="false">'The worked example'!D27-'The worked example'!C7</f>
        <v>0.0025</v>
      </c>
      <c r="E11" s="69" t="n">
        <f aca="false">D11-C11</f>
        <v>0</v>
      </c>
      <c r="F11" s="55" t="str">
        <f aca="false">IF(ABS(E11)&lt;=0.00005,"reproduced",IF(ABS(E11)&lt;=0.00005*5,"rounding","CHECK"))</f>
        <v>reproduced</v>
      </c>
      <c r="H11" s="3"/>
    </row>
    <row r="12" customFormat="false" ht="15" hidden="false" customHeight="false" outlineLevel="0" collapsed="false">
      <c r="A12" s="56" t="s">
        <v>284</v>
      </c>
      <c r="B12" s="15" t="s">
        <v>291</v>
      </c>
      <c r="C12" s="64" t="n">
        <v>3000</v>
      </c>
      <c r="D12" s="65" t="n">
        <f aca="false">'The worked example'!C35</f>
        <v>3000</v>
      </c>
      <c r="E12" s="66" t="n">
        <f aca="false">D12-C12</f>
        <v>0</v>
      </c>
      <c r="F12" s="60" t="str">
        <f aca="false">IF(ABS(E12)&lt;=50,"reproduced",IF(ABS(E12)&lt;=50*5,"rounding","CHECK"))</f>
        <v>reproduced</v>
      </c>
      <c r="H12" s="3"/>
    </row>
    <row r="13" customFormat="false" ht="15" hidden="false" customHeight="false" outlineLevel="0" collapsed="false">
      <c r="A13" s="51" t="s">
        <v>284</v>
      </c>
      <c r="B13" s="18" t="s">
        <v>44</v>
      </c>
      <c r="C13" s="52" t="n">
        <v>133000</v>
      </c>
      <c r="D13" s="53" t="n">
        <f aca="false">'The worked example'!C36</f>
        <v>133000</v>
      </c>
      <c r="E13" s="54" t="n">
        <f aca="false">D13-C13</f>
        <v>0</v>
      </c>
      <c r="F13" s="55" t="str">
        <f aca="false">IF(ABS(E13)&lt;=500,"reproduced",IF(ABS(E13)&lt;=500*5,"rounding","CHECK"))</f>
        <v>reproduced</v>
      </c>
      <c r="H13" s="3"/>
    </row>
    <row r="14" customFormat="false" ht="15" hidden="false" customHeight="false" outlineLevel="0" collapsed="false">
      <c r="A14" s="56" t="s">
        <v>284</v>
      </c>
      <c r="B14" s="15" t="s">
        <v>45</v>
      </c>
      <c r="C14" s="64" t="n">
        <v>403000</v>
      </c>
      <c r="D14" s="65" t="n">
        <f aca="false">'The worked example'!C37</f>
        <v>403000</v>
      </c>
      <c r="E14" s="66" t="n">
        <f aca="false">D14-C14</f>
        <v>0</v>
      </c>
      <c r="F14" s="60" t="str">
        <f aca="false">IF(ABS(E14)&lt;=500,"reproduced",IF(ABS(E14)&lt;=500*5,"rounding","CHECK"))</f>
        <v>reproduced</v>
      </c>
      <c r="H14" s="3"/>
    </row>
    <row r="15" customFormat="false" ht="15" hidden="false" customHeight="false" outlineLevel="0" collapsed="false">
      <c r="A15" s="51" t="s">
        <v>284</v>
      </c>
      <c r="B15" s="18" t="s">
        <v>292</v>
      </c>
      <c r="C15" s="67" t="n">
        <v>0.33</v>
      </c>
      <c r="D15" s="68" t="n">
        <f aca="false">'The worked example'!C38</f>
        <v>0.330024813895782</v>
      </c>
      <c r="E15" s="69" t="n">
        <f aca="false">D15-C15</f>
        <v>2.4813895781628E-005</v>
      </c>
      <c r="F15" s="55" t="str">
        <f aca="false">IF(ABS(E15)&lt;=0.0005,"reproduced",IF(ABS(E15)&lt;=0.0005*5,"rounding","CHECK"))</f>
        <v>reproduced</v>
      </c>
      <c r="H15" s="3"/>
    </row>
    <row r="16" customFormat="false" ht="15" hidden="false" customHeight="false" outlineLevel="0" collapsed="false">
      <c r="A16" s="56" t="s">
        <v>284</v>
      </c>
      <c r="B16" s="15" t="s">
        <v>293</v>
      </c>
      <c r="C16" s="57" t="n">
        <v>0.02</v>
      </c>
      <c r="D16" s="58" t="n">
        <f aca="false">'The worked example'!C40</f>
        <v>0.0199751861042183</v>
      </c>
      <c r="E16" s="59" t="n">
        <f aca="false">D16-C16</f>
        <v>-2.48138957816661E-005</v>
      </c>
      <c r="F16" s="60" t="str">
        <f aca="false">IF(ABS(E16)&lt;=0.0005,"reproduced",IF(ABS(E16)&lt;=0.0005*5,"rounding","CHECK"))</f>
        <v>reproduced</v>
      </c>
      <c r="H16" s="3"/>
    </row>
    <row r="17" customFormat="false" ht="15" hidden="false" customHeight="false" outlineLevel="0" collapsed="false">
      <c r="A17" s="51" t="s">
        <v>284</v>
      </c>
      <c r="B17" s="18" t="s">
        <v>294</v>
      </c>
      <c r="C17" s="52" t="n">
        <v>140000</v>
      </c>
      <c r="D17" s="53" t="n">
        <f aca="false">'The worked example'!C8</f>
        <v>140000</v>
      </c>
      <c r="E17" s="54" t="n">
        <f aca="false">D17-C17</f>
        <v>0</v>
      </c>
      <c r="F17" s="55" t="str">
        <f aca="false">IF(ABS(E17)&lt;=500,"reproduced",IF(ABS(E17)&lt;=500*5,"rounding","CHECK"))</f>
        <v>reproduced</v>
      </c>
      <c r="H17" s="3"/>
    </row>
    <row r="18" customFormat="false" ht="15" hidden="false" customHeight="false" outlineLevel="0" collapsed="false">
      <c r="A18" s="56" t="s">
        <v>284</v>
      </c>
      <c r="B18" s="15" t="s">
        <v>295</v>
      </c>
      <c r="C18" s="70" t="n">
        <v>1</v>
      </c>
      <c r="D18" s="71" t="n">
        <f aca="false">IF('The worked example'!C39="Pass",1,0)</f>
        <v>1</v>
      </c>
      <c r="E18" s="72" t="n">
        <f aca="false">D18-C18</f>
        <v>0</v>
      </c>
      <c r="F18" s="60" t="str">
        <f aca="false">IF(ABS(E18)&lt;=0.0001,"reproduced",IF(ABS(E18)&lt;=0.0001*5,"rounding","CHECK"))</f>
        <v>reproduced</v>
      </c>
      <c r="H18" s="3"/>
    </row>
    <row r="19" customFormat="false" ht="15" hidden="false" customHeight="false" outlineLevel="0" collapsed="false">
      <c r="A19" s="51" t="s">
        <v>284</v>
      </c>
      <c r="B19" s="18" t="s">
        <v>296</v>
      </c>
      <c r="C19" s="67" t="n">
        <v>0.0075</v>
      </c>
      <c r="D19" s="68" t="n">
        <f aca="false">'The worked example'!C42</f>
        <v>0.0075</v>
      </c>
      <c r="E19" s="69" t="n">
        <f aca="false">D19-C19</f>
        <v>0</v>
      </c>
      <c r="F19" s="55" t="str">
        <f aca="false">IF(ABS(E19)&lt;=0.00005,"reproduced",IF(ABS(E19)&lt;=0.00005*5,"rounding","CHECK"))</f>
        <v>reproduced</v>
      </c>
      <c r="H19" s="3"/>
    </row>
    <row r="20" customFormat="false" ht="15" hidden="false" customHeight="false" outlineLevel="0" collapsed="false">
      <c r="A20" s="56" t="s">
        <v>297</v>
      </c>
      <c r="B20" s="15" t="s">
        <v>298</v>
      </c>
      <c r="C20" s="64" t="n">
        <v>12385</v>
      </c>
      <c r="D20" s="65" t="n">
        <f aca="false">'Headroom under stress'!C34</f>
        <v>12384.6153846154</v>
      </c>
      <c r="E20" s="66" t="n">
        <f aca="false">D20-C20</f>
        <v>-0.384615384615245</v>
      </c>
      <c r="F20" s="60" t="str">
        <f aca="false">IF(ABS(E20)&lt;=5,"reproduced",IF(ABS(E20)&lt;=5*5,"rounding","CHECK"))</f>
        <v>reproduced</v>
      </c>
      <c r="H20" s="3"/>
    </row>
    <row r="21" customFormat="false" ht="15" hidden="false" customHeight="false" outlineLevel="0" collapsed="false">
      <c r="A21" s="51" t="s">
        <v>297</v>
      </c>
      <c r="B21" s="18" t="s">
        <v>299</v>
      </c>
      <c r="C21" s="67" t="n">
        <v>0.0931</v>
      </c>
      <c r="D21" s="68" t="n">
        <f aca="false">'Headroom under stress'!C35</f>
        <v>0.0931174089068826</v>
      </c>
      <c r="E21" s="69" t="n">
        <f aca="false">D21-C21</f>
        <v>1.74089068825933E-005</v>
      </c>
      <c r="F21" s="55" t="str">
        <f aca="false">IF(ABS(E21)&lt;=0.0005,"reproduced",IF(ABS(E21)&lt;=0.0005*5,"rounding","CHECK"))</f>
        <v>reproduced</v>
      </c>
      <c r="G21" s="73" t="s">
        <v>300</v>
      </c>
      <c r="H21" s="3"/>
    </row>
    <row r="22" customFormat="false" ht="15" hidden="false" customHeight="false" outlineLevel="0" collapsed="false">
      <c r="A22" s="56" t="s">
        <v>297</v>
      </c>
      <c r="B22" s="15" t="s">
        <v>301</v>
      </c>
      <c r="C22" s="57" t="n">
        <v>0.0225</v>
      </c>
      <c r="D22" s="58" t="n">
        <f aca="false">'Headroom under stress'!C36</f>
        <v>0.0225079721136576</v>
      </c>
      <c r="E22" s="59" t="n">
        <f aca="false">D22-C22</f>
        <v>7.9721136576269E-006</v>
      </c>
      <c r="F22" s="60" t="str">
        <f aca="false">IF(ABS(E22)&lt;=0.0005,"reproduced",IF(ABS(E22)&lt;=0.0005*5,"rounding","CHECK"))</f>
        <v>reproduced</v>
      </c>
      <c r="H22" s="3"/>
    </row>
    <row r="23" customFormat="false" ht="15" hidden="false" customHeight="false" outlineLevel="0" collapsed="false">
      <c r="A23" s="51" t="s">
        <v>284</v>
      </c>
      <c r="B23" s="18" t="s">
        <v>302</v>
      </c>
      <c r="C23" s="61" t="n">
        <v>0</v>
      </c>
      <c r="D23" s="62" t="n">
        <f aca="false">'Headroom under stress'!C19</f>
        <v>0</v>
      </c>
      <c r="E23" s="63" t="n">
        <f aca="false">D23-C23</f>
        <v>0</v>
      </c>
      <c r="F23" s="55" t="str">
        <f aca="false">IF(ABS(E23)&lt;=0.0001,"reproduced",IF(ABS(E23)&lt;=0.0001*5,"rounding","CHECK"))</f>
        <v>reproduced</v>
      </c>
      <c r="H23" s="3"/>
    </row>
    <row r="24" customFormat="false" ht="15" hidden="false" customHeight="false" outlineLevel="0" collapsed="false">
      <c r="A24" s="56" t="s">
        <v>284</v>
      </c>
      <c r="B24" s="15" t="s">
        <v>303</v>
      </c>
      <c r="C24" s="70" t="n">
        <v>1</v>
      </c>
      <c r="D24" s="71" t="n">
        <f aca="false">IF(LEFT('Headroom under stress'!C27,4)="FAIL",1,0)</f>
        <v>1</v>
      </c>
      <c r="E24" s="72" t="n">
        <f aca="false">D24-C24</f>
        <v>0</v>
      </c>
      <c r="F24" s="60" t="str">
        <f aca="false">IF(ABS(E24)&lt;=0.0001,"reproduced",IF(ABS(E24)&lt;=0.0001*5,"rounding","CHECK"))</f>
        <v>reproduced</v>
      </c>
      <c r="H24" s="3"/>
    </row>
    <row r="25" customFormat="false" ht="15" hidden="false" customHeight="false" outlineLevel="0" collapsed="false">
      <c r="A25" s="51" t="s">
        <v>284</v>
      </c>
      <c r="B25" s="18" t="s">
        <v>304</v>
      </c>
      <c r="C25" s="61" t="n">
        <v>1</v>
      </c>
      <c r="D25" s="62" t="n">
        <f aca="false">IF(AND('Design authority'!C6='Design authority'!C7,'Design authority'!B6&lt;&gt;'Design authority'!B7),1,0)</f>
        <v>1</v>
      </c>
      <c r="E25" s="63" t="n">
        <f aca="false">D25-C25</f>
        <v>0</v>
      </c>
      <c r="F25" s="55" t="str">
        <f aca="false">IF(ABS(E25)&lt;=0.0001,"reproduced",IF(ABS(E25)&lt;=0.0001*5,"rounding","CHECK"))</f>
        <v>reproduced</v>
      </c>
      <c r="H25" s="3"/>
    </row>
    <row r="26" customFormat="false" ht="15" hidden="false" customHeight="false" outlineLevel="0" collapsed="false">
      <c r="A26" s="56" t="s">
        <v>284</v>
      </c>
      <c r="B26" s="15" t="s">
        <v>305</v>
      </c>
      <c r="C26" s="70" t="n">
        <v>1</v>
      </c>
      <c r="D26" s="71" t="n">
        <f aca="false">IF('Your bill of materials'!E71&gt;'Your bill of materials'!E70,1,0)</f>
        <v>1</v>
      </c>
      <c r="E26" s="72" t="n">
        <f aca="false">D26-C26</f>
        <v>0</v>
      </c>
      <c r="F26" s="60" t="str">
        <f aca="false">IF(ABS(E26)&lt;=0.0001,"reproduced",IF(ABS(E26)&lt;=0.0001*5,"rounding","CHECK"))</f>
        <v>reproduced</v>
      </c>
      <c r="H26" s="3"/>
    </row>
    <row r="27" customFormat="false" ht="15" hidden="false" customHeight="false" outlineLevel="0" collapsed="false">
      <c r="A27" s="56" t="s">
        <v>297</v>
      </c>
      <c r="B27" s="15" t="s">
        <v>306</v>
      </c>
      <c r="C27" s="57" t="n">
        <v>0.35</v>
      </c>
      <c r="D27" s="58" t="n">
        <f aca="false">'Headroom under stress'!C38</f>
        <v>0.35</v>
      </c>
      <c r="E27" s="59" t="n">
        <f aca="false">D27-C27</f>
        <v>0</v>
      </c>
      <c r="F27" s="60" t="str">
        <f aca="false">IF(ABS(E27)&lt;=0.00005,"reproduced",IF(ABS(E27)&lt;=0.00005*5,"rounding","CHECK"))</f>
        <v>reproduced</v>
      </c>
    </row>
    <row r="28" customFormat="false" ht="15" hidden="false" customHeight="false" outlineLevel="0" collapsed="false">
      <c r="A28" s="56" t="s">
        <v>297</v>
      </c>
      <c r="B28" s="15" t="s">
        <v>307</v>
      </c>
      <c r="C28" s="70" t="n">
        <v>1</v>
      </c>
      <c r="D28" s="71" t="n">
        <f aca="false">IF(AND('Headroom under stress'!G16&gt;0,'Headroom under stress'!C35&gt;'Headroom under stress'!C16),1,0)</f>
        <v>1</v>
      </c>
      <c r="E28" s="72" t="n">
        <f aca="false">D28-C28</f>
        <v>0</v>
      </c>
      <c r="F28" s="60" t="str">
        <f aca="false">IF(ABS(E28)&lt;=0.0001,"reproduced",IF(ABS(E28)&lt;=0.0001*5,"rounding","CHECK"))</f>
        <v>reproduced</v>
      </c>
    </row>
    <row r="29" customFormat="false" ht="15" hidden="false" customHeight="false" outlineLevel="0" collapsed="false">
      <c r="A29" s="37"/>
      <c r="C29" s="32"/>
    </row>
    <row r="30" customFormat="false" ht="15" hidden="false" customHeight="false" outlineLevel="0" collapsed="false">
      <c r="A30" s="37" t="s">
        <v>308</v>
      </c>
      <c r="C30" s="32" t="n">
        <f aca="false">COUNTIF(F5:F28,"reproduced")</f>
        <v>24</v>
      </c>
    </row>
    <row r="31" customFormat="false" ht="15" hidden="false" customHeight="false" outlineLevel="0" collapsed="false">
      <c r="A31" s="37" t="s">
        <v>309</v>
      </c>
      <c r="C31" s="32" t="n">
        <f aca="false">COUNTIF(F5:F28,"rounding")</f>
        <v>0</v>
      </c>
    </row>
    <row r="32" customFormat="false" ht="15" hidden="false" customHeight="false" outlineLevel="0" collapsed="false">
      <c r="A32" s="37" t="s">
        <v>310</v>
      </c>
      <c r="C32" s="32" t="n">
        <f aca="false">COUNTIF(F5:F28,"CHECK")</f>
        <v>0</v>
      </c>
    </row>
    <row r="34" customFormat="false" ht="15" hidden="false" customHeight="false" outlineLevel="0" collapsed="false">
      <c r="A34" s="22" t="s">
        <v>311</v>
      </c>
      <c r="C34" s="32" t="str">
        <f aca="false">IF(COUNTIF(F5:F28,"reproduced")=24,"ALL OK",COUNTIF(F5:F28,"reproduced")&amp;" / 24")</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2026-08-20T07:52:42Z</dcterms:created>
  <dc:creator>openpyxl</dc:creator>
  <dc:description/>
  <dc:language>en-US</dc:language>
  <cp:lastModifiedBy/>
  <dcterms:modified xsi:type="dcterms:W3CDTF">2026-09-24T02:15:14Z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