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Funding rates" sheetId="2" state="visible" r:id="rId4"/>
    <sheet name="The co-financing trap" sheetId="3" state="visible" r:id="rId5"/>
    <sheet name="EDIP windows" sheetId="4" state="visible" r:id="rId6"/>
    <sheet name="Scoring" sheetId="5" state="visible" r:id="rId7"/>
    <sheet name="Thresholds" sheetId="6" state="visible" r:id="rId8"/>
    <sheet name="Seven ways a proposal dies" sheetId="7" state="visible" r:id="rId9"/>
    <sheet name="Checks" sheetId="8" state="visible" r:id="rId10"/>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<sst xmlns="http://schemas.openxmlformats.org/spreadsheetml/2006/main" count="354" uniqueCount="315">
  <si>
    <t xml:space="preserve">Proposal Economics and Scoring</t>
  </si>
  <si>
    <t xml:space="preserve">Companion workbook 3 — Breaking Into European Defence Procurement, Julian R. Sterling</t>
  </si>
  <si>
    <t xml:space="preserve">Chapter 9 calls the funding rates the single most consequential piece of arithmetic in the programme, and it is right for a reason that has nothing to do with grant applications. A twenty per cent funding rate on prototyping is not a subsidy decision — it is an industrial investment decision, and the consortium finds the other eighty per cent. Firms that discover this after the technical concept is written lose weeks and often lose the bid.
Six sheets.
Funding rates — the EDF rates and bonuses as a calculator. Set the activity mix and the consortium composition and the sheet returns the effective rate, the co-financing gap in cash, and what each bonus is actually worth.
The co-financing trap — the same arithmetic seen from the balance sheet. On a development action with prototyping at twenty per cent, how much matched spend is the consortium committing, and over how long. This is the number that has to go to a board.
EDIP windows — a different instrument with different ceilings. Common procurement at fifteen or twenty-five per cent, industrial reinforcement at thirty-five or fifty, projects of common interest up to a hundred. The sheet shows what structuring to trigger the higher ceiling is worth, which Chapter 9 says is reading the rules rather than gaming them.
Scoring — the threshold that kills. Weights, an overall pass mark and individual criterion thresholds, with a worked case of a proposal that clears the overall bar comfortably and is rejected anyway. There is no averaging away a weakness.
Thresholds — the procurement figures from Chapter 3, and the large market beneath them.
Seven ways a proposal dies — Chapter 9's rejection causes as a pre-submission review.
Blue is an input, black and green are formulas, yellow marks the assumptions that carry the answer.</t>
  </si>
  <si>
    <t xml:space="preserve">Revised 24 September 2026. On the scoring sheet, the scenario labelled "exactly on both thresholds" now sits on both: 4.0 on Excellence, 3.5 on Impact and 3.0 on Implementation, 18.0 weighted. The first version totalled 18.6. The checks sheet has 26 lines and closes ALL OK.</t>
  </si>
  <si>
    <t xml:space="preserve">Regulation (EU) 2021/697 — the rates and the bonuses</t>
  </si>
  <si>
    <t xml:space="preserve">Research actions can be funded up to 100 per cent. Development actions cannot.</t>
  </si>
  <si>
    <t xml:space="preserve">The base rates</t>
  </si>
  <si>
    <t xml:space="preserve">Twenty per cent is not a grant rate, it is a matched-spend decision</t>
  </si>
  <si>
    <t xml:space="preserve">Research actions</t>
  </si>
  <si>
    <t xml:space="preserve">Chapter 9 tells you to read the prototyping figure again, because newcomers coming from Horizon Europe consistently misread it. A twenty per cent funding rate on prototyping means the consortium finds the other eighty per cent — from company balance sheets, from national co-financing, or from both.
On a EUR 40 million development action weighted toward prototyping, this sheet puts the co-financing at over forty per cent of the total cost even after fifteen points of bonuses — some EUR 17.6 million of matched industrial spend on a EUR 40 million action. That is not a grant application. It is a board paper.
It is also why the Member State commitment is a legal prerequisite rather than a courtesy, and the block at the bottom of the sheet states that consequence rather than the rule. Without a ministry intending to procure or own the output, no rational board approves the matched spend. A brilliant development proposal with no government behind it is not a weak proposal; it is an ineligible one.
The bonus block repays a careful read, and one of its rows is deliberately set to zero. The regulation adds a bonus for projects linked to Permanent Structured Cooperation, and the book does not state its rate — so the workbook does not invent one. Put the figure from your own call in and it flows through.
Bonuses are expressed in percentage points on the funding rate, so their cash value scales with the total eligible cost rather than with the SME participation that earns them. Ten percentage points on a EUR 40 million action is EUR 4 million — considerably more than the SME work packages that trigger it are likely to be worth. That asymmetry is the reason cross-border SME participation is worth designing into a consortium rather than accepting if it happens.
It is also the reason Chapter 9 lists, among its seven ways a proposal dies, consortium imbalance with no real cross-border SME content when a bonus was assumed in the budget. A bonus assumed and not earned is a hole in the financing plan discovered after award.
The last line of the effective-rate block is a comparison worth making before choosing which call to answer. The same cost, run as a research action, would be funded at up to a hundred per cent. Research actions are smaller and further from revenue, and they are free. For a firm entering the system, the research side is where the first participation is cheapest to buy — and Chapter 9's cascade funding route is cheaper still.</t>
  </si>
  <si>
    <t xml:space="preserve">Development — system prototyping</t>
  </si>
  <si>
    <t xml:space="preserve">Development — testing, qualification and certification</t>
  </si>
  <si>
    <t xml:space="preserve">Your action</t>
  </si>
  <si>
    <t xml:space="preserve">Type of action</t>
  </si>
  <si>
    <t xml:space="preserve">development</t>
  </si>
  <si>
    <t xml:space="preserve">Total eligible cost (EUR m)</t>
  </si>
  <si>
    <t xml:space="preserve">Activity</t>
  </si>
  <si>
    <t xml:space="preserve">Share of eligible cost</t>
  </si>
  <si>
    <t xml:space="preserve">Cost (EUR m)</t>
  </si>
  <si>
    <t xml:space="preserve">Base rate</t>
  </si>
  <si>
    <t xml:space="preserve">EU support (EUR m)</t>
  </si>
  <si>
    <t xml:space="preserve">System prototyping</t>
  </si>
  <si>
    <t xml:space="preserve">Testing, qualification and certification</t>
  </si>
  <si>
    <t xml:space="preserve">Total</t>
  </si>
  <si>
    <t xml:space="preserve">Shares add to one hundred per cent?</t>
  </si>
  <si>
    <t xml:space="preserve">Blended base rate before bonuses</t>
  </si>
  <si>
    <t xml:space="preserve">The bonuses</t>
  </si>
  <si>
    <t xml:space="preserve">Bonus</t>
  </si>
  <si>
    <t xml:space="preserve">Percentage points</t>
  </si>
  <si>
    <t xml:space="preserve">Applies?</t>
  </si>
  <si>
    <t xml:space="preserve">Worth (EUR m)</t>
  </si>
  <si>
    <t xml:space="preserve">Cross-border SME participation</t>
  </si>
  <si>
    <t xml:space="preserve">SMEs in the same Member State</t>
  </si>
  <si>
    <t xml:space="preserve">At least 15% of eligible costs to mid-caps</t>
  </si>
  <si>
    <t xml:space="preserve">PESCO project membership — rate not stated in the book</t>
  </si>
  <si>
    <t xml:space="preserve">Bonus percentage points applied</t>
  </si>
  <si>
    <t xml:space="preserve">Bonuses in cash (EUR m)</t>
  </si>
  <si>
    <t xml:space="preserve">Cross-border and same-Member-State SME bonuses are alternatives</t>
  </si>
  <si>
    <t xml:space="preserve">The effective rate</t>
  </si>
  <si>
    <t xml:space="preserve">Blended base rate</t>
  </si>
  <si>
    <t xml:space="preserve">Plus bonuses</t>
  </si>
  <si>
    <t xml:space="preserve">Effective rate before the ceiling</t>
  </si>
  <si>
    <t xml:space="preserve">Ceiling on the total EU contribution</t>
  </si>
  <si>
    <t xml:space="preserve">Effective rate applied</t>
  </si>
  <si>
    <t xml:space="preserve">Consortium co-financing (EUR m)</t>
  </si>
  <si>
    <t xml:space="preserve">Co-financing as a share of eligible cost</t>
  </si>
  <si>
    <t xml:space="preserve">What a research action of the same size would have received (EUR m)</t>
  </si>
  <si>
    <t xml:space="preserve">The difference (EUR m)</t>
  </si>
  <si>
    <t xml:space="preserve">The eligibility condition that is not a courtesy</t>
  </si>
  <si>
    <t xml:space="preserve">Member State commitment to procure or own the result</t>
  </si>
  <si>
    <t xml:space="preserve">secured</t>
  </si>
  <si>
    <t xml:space="preserve">Required for a development action?</t>
  </si>
  <si>
    <t xml:space="preserve">Status of the proposal without it</t>
  </si>
  <si>
    <t xml:space="preserve">Recipients established in the EU or an associated country</t>
  </si>
  <si>
    <t xml:space="preserve">required</t>
  </si>
  <si>
    <t xml:space="preserve">Executive management structures in the Union</t>
  </si>
  <si>
    <t xml:space="preserve">Ownership and control declaration</t>
  </si>
  <si>
    <t xml:space="preserve">a mandatory annex, not a formality</t>
  </si>
  <si>
    <t xml:space="preserve">The board paper behind the grant application</t>
  </si>
  <si>
    <t xml:space="preserve">A twenty per cent funding rate on prototyping means the consortium finds the other eighty per cent.</t>
  </si>
  <si>
    <t xml:space="preserve">The action</t>
  </si>
  <si>
    <t xml:space="preserve">The question the finance director asks</t>
  </si>
  <si>
    <t xml:space="preserve">An EDF development action is not free money with paperwork attached. It is a co-investment in which the European contribution is the smaller half on the prototyping activities, and the sheet exists to put that in the units a finance director works in: cash per year, against a specific partner's share.
The financing-plan block is the one that catches consortia. Co-financing comes from company balance sheets, from national co-financing, or from both — and national co-financing is a separate negotiation with a separate ministry on a separate timetable. A consortium that submits with the national portion unsecured has a financing plan that is a hope. The secured column is a yes-or-no field on purpose.
The comparison block is the argument the proposal actually has to win internally, and it rarely wins on margin alone. Matched spend today against a probability-weighted order in several years, at a defence margin, generally does not return the money by itself. The sheet computes the probability at which it would, which is the honest way to frame it: if you do not believe the Member State proceeds at least at that likelihood, the case has to rest on something else.
It usually does, and legitimately. The intellectual property, the reference, and a place in the consortium next time are real assets, and a firm that has never participated is not on the list when the next call comes. But they are strategic arguments, and Chapter 9's point is that they should be made explicitly to a board rather than smuggled in behind a grant application.
The last block is about lump sums, which are increasingly the default and change the working method more than people expect. Under a lump sum, payment follows completion of defined work packages rather than reimbursement of audited actual costs. The budget negotiation therefore happens at proposal stage, in the detailed work-package breakdown, and it is effectively final. Underprice a work package and you will deliver it at a loss.
There is an upside the chapter does not mention: a lump sum removes the audit exposure that Chapter 2 warns about, because there are no actual costs to disallow years later. What it substitutes is estimating risk, which sits with the bid team rather than with the finance team. Which of the two a firm would rather carry is a real decision, and it should be taken before the work-package budgets are written rather than after.</t>
  </si>
  <si>
    <t xml:space="preserve">Duration (months)</t>
  </si>
  <si>
    <t xml:space="preserve">Partners in the consortium</t>
  </si>
  <si>
    <t xml:space="preserve">Your share of the eligible cost</t>
  </si>
  <si>
    <t xml:space="preserve">What it costs you</t>
  </si>
  <si>
    <t xml:space="preserve">Your eligible cost (EUR m)</t>
  </si>
  <si>
    <t xml:space="preserve">Your EU support (EUR m)</t>
  </si>
  <si>
    <t xml:space="preserve">Your co-financing (EUR m)</t>
  </si>
  <si>
    <t xml:space="preserve">Per month (EUR m)</t>
  </si>
  <si>
    <t xml:space="preserve">Per year (EUR m)</t>
  </si>
  <si>
    <t xml:space="preserve">Average co-financing per partner (EUR m)</t>
  </si>
  <si>
    <t xml:space="preserve">Where the co-financing comes from</t>
  </si>
  <si>
    <t xml:space="preserve">Source</t>
  </si>
  <si>
    <t xml:space="preserve">Share</t>
  </si>
  <si>
    <t xml:space="preserve">EUR m</t>
  </si>
  <si>
    <t xml:space="preserve">Secured?</t>
  </si>
  <si>
    <t xml:space="preserve">Note</t>
  </si>
  <si>
    <t xml:space="preserve">Company balance sheet</t>
  </si>
  <si>
    <t xml:space="preserve">National co-financing</t>
  </si>
  <si>
    <t xml:space="preserve">Other</t>
  </si>
  <si>
    <t xml:space="preserve">Secured (EUR m)</t>
  </si>
  <si>
    <t xml:space="preserve">Unsecured (EUR m)</t>
  </si>
  <si>
    <t xml:space="preserve">Financing plan complete?</t>
  </si>
  <si>
    <t xml:space="preserve">The comparison a board will make</t>
  </si>
  <si>
    <t xml:space="preserve">Your matched spend over the action (EUR m)</t>
  </si>
  <si>
    <t xml:space="preserve">Expected order value if the capability is procured (EUR m)</t>
  </si>
  <si>
    <t xml:space="preserve">Probability the Member State proceeds to procurement</t>
  </si>
  <si>
    <t xml:space="preserve">Your share of that order</t>
  </si>
  <si>
    <t xml:space="preserve">Expected revenue (EUR m)</t>
  </si>
  <si>
    <t xml:space="preserve">Margin on it</t>
  </si>
  <si>
    <t xml:space="preserve">Expected margin (EUR m)</t>
  </si>
  <si>
    <t xml:space="preserve">Against the matched spend</t>
  </si>
  <si>
    <t xml:space="preserve">Verdict on this basis</t>
  </si>
  <si>
    <t xml:space="preserve">What else the spend buys</t>
  </si>
  <si>
    <t xml:space="preserve">the intellectual property, the reference, and a place in the consortium next time</t>
  </si>
  <si>
    <t xml:space="preserve">Probability at which the margin alone breaks even</t>
  </si>
  <si>
    <t xml:space="preserve">Is that a probability you could defend?</t>
  </si>
  <si>
    <t xml:space="preserve">Lump-sum grants change the working method</t>
  </si>
  <si>
    <t xml:space="preserve">Grant model</t>
  </si>
  <si>
    <t xml:space="preserve">lump sum</t>
  </si>
  <si>
    <t xml:space="preserve">Payment follows</t>
  </si>
  <si>
    <t xml:space="preserve">When the budget is negotiated</t>
  </si>
  <si>
    <t xml:space="preserve">Consequence of underpricing a work package</t>
  </si>
  <si>
    <t xml:space="preserve">Contingency you have added to each work package</t>
  </si>
  <si>
    <t xml:space="preserve">On your eligible cost (EUR m)</t>
  </si>
  <si>
    <t xml:space="preserve">A different instrument with different ceilings</t>
  </si>
  <si>
    <t xml:space="preserve">A consortium that structures itself to trigger the higher ceiling is not gaming the rules; it is reading them.</t>
  </si>
  <si>
    <t xml:space="preserve">The programme</t>
  </si>
  <si>
    <t xml:space="preserve">The ratio is a fingerprint</t>
  </si>
  <si>
    <t xml:space="preserve">EDIP total (EUR bn)</t>
  </si>
  <si>
    <t xml:space="preserve">EDIP is not a bigger EDF. The mechanics carry across, and the ceilings do not, and a bid team should read which instrument it is facing before assuming anything.
The window structure is worth memorising because it is short. At least fifteen per cent of the programme for common procurement, at least thirty per cent for industrial reinforcement, up to twenty-five per cent for projects of common interest. Those are shares of the programme. The co-financing ceilings are a different set of numbers entirely, and confusing the two is a standing source of error.
The structuring block prices what Chapter 9 calls reading the rules rather than gaming them. On a EUR 60 million industrial reinforcement activity, moving from the thirty-five per cent base ceiling to the fifty per cent higher one is worth EUR 9 million of European money — and, more to the point, cuts the matched industrial spend by more than a fifth. The trigger is that SMEs and mid-caps predominate, or that a Structure for European Armament Programme executes the action. Both are consortium design decisions taken months before submission.
The last block runs the arithmetic backwards, and it is the most practically useful thing on the sheet. When a call notice quotes both a European envelope and a total project value, their ratio tells you which window and which ceiling you are in. EUR 165 million against roughly EUR 470 million is 35.1 per cent — industrial reinforcement at the base ceiling. That single division tells you what the call expects from industry before you have read a page of the topic text.
It also tells you the size of the matched spend the call assumes, which is the number that decides whether your firm can participate at all. A EUR 470 million call with EUR 165 million of European money is asking industry for EUR 305 million. If you are a twenty-person firm, that is not your call — and knowing it in one division rather than after four weeks of proposal work is worth a great deal.</t>
  </si>
  <si>
    <t xml:space="preserve">EU programme (EUR bn)</t>
  </si>
  <si>
    <t xml:space="preserve">Ukraine Support Instrument (EUR bn)</t>
  </si>
  <si>
    <t xml:space="preserve">The two add to (EUR bn)</t>
  </si>
  <si>
    <t xml:space="preserve">Period</t>
  </si>
  <si>
    <t xml:space="preserve">30 December 2025 to end 2027</t>
  </si>
  <si>
    <t xml:space="preserve">The indicative windows</t>
  </si>
  <si>
    <t xml:space="preserve">Window</t>
  </si>
  <si>
    <t xml:space="preserve">Indicative share</t>
  </si>
  <si>
    <t xml:space="preserve">On the EUR 1.5 bn (EUR m)</t>
  </si>
  <si>
    <t xml:space="preserve">Base ceiling</t>
  </si>
  <si>
    <t xml:space="preserve">Higher ceiling</t>
  </si>
  <si>
    <t xml:space="preserve">Common procurement (at least)</t>
  </si>
  <si>
    <t xml:space="preserve">Industrial reinforcement (at least)</t>
  </si>
  <si>
    <t xml:space="preserve">European Defence Projects of Common Interest (up to)</t>
  </si>
  <si>
    <t xml:space="preserve">What triggers the higher ceiling</t>
  </si>
  <si>
    <t xml:space="preserve">Common procurement</t>
  </si>
  <si>
    <t xml:space="preserve">a Structure for European Armament Programme, or benefit to Ukraine or Moldova</t>
  </si>
  <si>
    <t xml:space="preserve">Industrial reinforcement</t>
  </si>
  <si>
    <t xml:space="preserve">SMEs and mid-caps predominate, or a SEAP executes the action</t>
  </si>
  <si>
    <t xml:space="preserve">Projects of common interest</t>
  </si>
  <si>
    <t xml:space="preserve">at least four Member States; Ukraine may participate</t>
  </si>
  <si>
    <t xml:space="preserve">What structuring is worth</t>
  </si>
  <si>
    <t xml:space="preserve">Total activity cost (EUR m)</t>
  </si>
  <si>
    <t xml:space="preserve">industrial reinforcement</t>
  </si>
  <si>
    <t xml:space="preserve">Base ceiling applies</t>
  </si>
  <si>
    <t xml:space="preserve">Higher ceiling applies</t>
  </si>
  <si>
    <t xml:space="preserve">EU support at the base ceiling (EUR m)</t>
  </si>
  <si>
    <t xml:space="preserve">EU support at the higher ceiling (EUR m)</t>
  </si>
  <si>
    <t xml:space="preserve">What triggering it is worth (EUR m)</t>
  </si>
  <si>
    <t xml:space="preserve">As a share of the activity cost</t>
  </si>
  <si>
    <t xml:space="preserve">Industry co-financing at the base ceiling (EUR m)</t>
  </si>
  <si>
    <t xml:space="preserve">Industry co-financing at the higher ceiling (EUR m)</t>
  </si>
  <si>
    <t xml:space="preserve">Reduction in matched spend</t>
  </si>
  <si>
    <t xml:space="preserve">Reading a call notice backwards</t>
  </si>
  <si>
    <t xml:space="preserve">European money available in the call (EUR m)</t>
  </si>
  <si>
    <t xml:space="preserve">Total project value the notice quotes (EUR m)</t>
  </si>
  <si>
    <t xml:space="preserve">European share that implies</t>
  </si>
  <si>
    <t xml:space="preserve">Which ceiling that fingerprints</t>
  </si>
  <si>
    <t xml:space="preserve">Matched spend the call therefore expects from industry (EUR m)</t>
  </si>
  <si>
    <t xml:space="preserve">The threshold that kills</t>
  </si>
  <si>
    <t xml:space="preserve">A consortium can clear the overall threshold comfortably and still be rejected for falling below the individual pass mark on a single criterion.</t>
  </si>
  <si>
    <t xml:space="preserve">The call — EDF-2026-LS-DIS, as the book describes it</t>
  </si>
  <si>
    <t xml:space="preserve">There is no averaging away a weakness</t>
  </si>
  <si>
    <t xml:space="preserve">Topic budget (EUR m)</t>
  </si>
  <si>
    <t xml:space="preserve">Proposals are scored against published award criteria with published weights, and both the weights and the thresholds vary by call. The sample topic weighted its criteria two, two and one, required an overall pass mark of eighteen out of twenty-five, and additionally required four out of five on Excellence.
The first thing to check is that the arithmetic closes. Weights of two, two and one on a five-point scale give a maximum weighted score of twenty-five, which is exactly what the call states. When they do not, you have misread either the weights or the scale, and it is worth finding out before drafting.
The second condition is the one that destroys otherwise strong proposals, and the scenario table makes it visible. A proposal scoring 3.8 on Excellence, 4.6 on Impact and 4.8 on Implementation clears eighteen comfortably — and is rejected, because Excellence is below four. Two tenths of a point on one criterion, against a weighted margin of nearly three points elsewhere. There is no averaging away a weakness.
The practical implication is a rule about where effort goes. Bid teams naturally polish their strongest section, because it is the one they enjoy writing and the one the technical lead cares about. On a scheme with individual thresholds, the marginal point is worth far more on the weakest criterion than on the strongest — and above the threshold, additional points on any criterion are worth only their weight.
Chapter 9's instruction follows from that: the first read of any call should extract the weights and every individual threshold onto a single page before a word of narrative is written. Appendix C repeats it as a checklist item — award criteria weightings and individual pass thresholds used as the drafting skeleton, not read afterwards.
One number at the top of the sheet is worth a glance for a different reason. A EUR 27 million topic with a EUR 3 million maximum supports nine projects. If eighty proposals arrive, the success rate is around one in nine before any judgement about quality — which is the context in which a two-tenths shortfall on one criterion should be understood. The threshold is not what rejects most proposals. It is what rejects the ones that were nearly good enough, and those are the ones a team can actually do something about.</t>
  </si>
  <si>
    <t xml:space="preserve">Maximum per project (EUR m)</t>
  </si>
  <si>
    <t xml:space="preserve">Funding rate</t>
  </si>
  <si>
    <t xml:space="preserve">Technology readiness level, minimum</t>
  </si>
  <si>
    <t xml:space="preserve">Duration, minimum (months)</t>
  </si>
  <si>
    <t xml:space="preserve">Duration, maximum (months)</t>
  </si>
  <si>
    <t xml:space="preserve">Part B page limit</t>
  </si>
  <si>
    <t xml:space="preserve">Projects the budget supports at the maximum</t>
  </si>
  <si>
    <t xml:space="preserve">Pages of Part B per EUR million requested, at the maximum</t>
  </si>
  <si>
    <t xml:space="preserve">The award criteria</t>
  </si>
  <si>
    <t xml:space="preserve">Criterion</t>
  </si>
  <si>
    <t xml:space="preserve">Weight</t>
  </si>
  <si>
    <t xml:space="preserve">Maximum score</t>
  </si>
  <si>
    <t xml:space="preserve">Your score</t>
  </si>
  <si>
    <t xml:space="preserve">Weighted</t>
  </si>
  <si>
    <t xml:space="preserve">Individual threshold</t>
  </si>
  <si>
    <t xml:space="preserve">Excellence</t>
  </si>
  <si>
    <t xml:space="preserve">Impact</t>
  </si>
  <si>
    <t xml:space="preserve">Quality and efficiency of implementation</t>
  </si>
  <si>
    <t xml:space="preserve">Maximum weighted score available</t>
  </si>
  <si>
    <t xml:space="preserve">Matches the 25 the call states?</t>
  </si>
  <si>
    <t xml:space="preserve">Overall pass mark</t>
  </si>
  <si>
    <t xml:space="preserve">Overall pass mark as a percentage</t>
  </si>
  <si>
    <t xml:space="preserve">Your weighted score</t>
  </si>
  <si>
    <t xml:space="preserve">Margin over the overall pass mark</t>
  </si>
  <si>
    <t xml:space="preserve">Clears the overall threshold?</t>
  </si>
  <si>
    <t xml:space="preserve">Criteria with an individual threshold</t>
  </si>
  <si>
    <t xml:space="preserve">Criteria failing their individual threshold</t>
  </si>
  <si>
    <t xml:space="preserve">Outcome</t>
  </si>
  <si>
    <t xml:space="preserve">The case Chapter 9 warns about</t>
  </si>
  <si>
    <t xml:space="preserve">Scenario</t>
  </si>
  <si>
    <t xml:space="preserve">Implementation</t>
  </si>
  <si>
    <t xml:space="preserve">Weighted total</t>
  </si>
  <si>
    <t xml:space="preserve">Balanced, strong</t>
  </si>
  <si>
    <t xml:space="preserve">Strong overall, weak on Excellence</t>
  </si>
  <si>
    <t xml:space="preserve">Weak overall, strong on Excellence</t>
  </si>
  <si>
    <t xml:space="preserve">Exactly on both thresholds</t>
  </si>
  <si>
    <t xml:space="preserve">Scenarios that clear the overall mark</t>
  </si>
  <si>
    <t xml:space="preserve">Of those, rejected on a criterion threshold</t>
  </si>
  <si>
    <t xml:space="preserve">Where a bid team's effort should go</t>
  </si>
  <si>
    <t xml:space="preserve">to the weakest criterion, not to polishing the strongest</t>
  </si>
  <si>
    <t xml:space="preserve">Points of Excellence needed by the weakest scenario</t>
  </si>
  <si>
    <t xml:space="preserve">Chapter 3 — thresholds, and the large market beneath them</t>
  </si>
  <si>
    <t xml:space="preserve">Below the threshold the directive does not apply, and national rules take over.</t>
  </si>
  <si>
    <t xml:space="preserve">Regime</t>
  </si>
  <si>
    <t xml:space="preserve">Contract type</t>
  </si>
  <si>
    <t xml:space="preserve">Threshold 2026–2027 (EUR)</t>
  </si>
  <si>
    <t xml:space="preserve">Your contract (EUR)</t>
  </si>
  <si>
    <t xml:space="preserve">Above the threshold?</t>
  </si>
  <si>
    <t xml:space="preserve">Three regimes, and the question to ask first</t>
  </si>
  <si>
    <t xml:space="preserve">Directive 2009/81/EC</t>
  </si>
  <si>
    <t xml:space="preserve">Supplies and services</t>
  </si>
  <si>
    <t xml:space="preserve">Chapter 1 gives the frame and Chapter 3 fills it in. There are three legal regimes governing how defence money is spent, and the first question about any opportunity is not is this interesting but whose money is this, and under which regime is it being spent.
The defence and security procurement directive applies to sensitive purchases and has its own procedural logic — notably that there is no open procedure, so selection always precedes any sight of the requirement in detail.
The treaty provision on essential security interests allows Member States to keep certain purchases out of competition entirely, which is why a significant share of European defence spending never appears as a published tender. Sweden's five declared domains are the clearest published example of what that looks like in practice.
And the ordinary public procurement directive governs everything a defence ministry buys that is not sensitive. Chapter 3 calls it the door most people walk past, and the threshold table shows why it is worth using: the central government supplies threshold is well under half the defence one, so a much wider range of contracts is published under it — and ministries are among Europe's largest ordinary buyers.
The column for your own contract value is there because the question is usually asked the wrong way round. People ask which directive applies to their sector. The directive is decided by the subject matter and the value together, and a supplier whose typical contract sits below the defence supplies threshold is operating in a market that is largely invisible on TED — national procedures, national publication, and often no European notice at all.
That is not bad news. Chapter 3's point is that the large market beneath the thresholds is where a newcomer can actually win something, and Appendix B's list of national portals exists because publication is national before it is European.</t>
  </si>
  <si>
    <t xml:space="preserve">Works</t>
  </si>
  <si>
    <t xml:space="preserve">Directive 2014/24/EU</t>
  </si>
  <si>
    <t xml:space="preserve">Central government supplies and services</t>
  </si>
  <si>
    <t xml:space="preserve">Sub-central supplies and services</t>
  </si>
  <si>
    <t xml:space="preserve">Social and other specific services</t>
  </si>
  <si>
    <t xml:space="preserve">The defence works threshold and the ordinary works threshold</t>
  </si>
  <si>
    <t xml:space="preserve">The defence supplies threshold against central government supplies</t>
  </si>
  <si>
    <t xml:space="preserve">What sits beneath the threshold</t>
  </si>
  <si>
    <t xml:space="preserve">Contracts below the defence supplies threshold</t>
  </si>
  <si>
    <t xml:space="preserve">national procedures, national publication, often no European notice at all</t>
  </si>
  <si>
    <t xml:space="preserve">Why it matters to a newcomer</t>
  </si>
  <si>
    <t xml:space="preserve">the entry-level market is the one you cannot find on TED</t>
  </si>
  <si>
    <t xml:space="preserve">The door most people walk past</t>
  </si>
  <si>
    <t xml:space="preserve">Everything a defence ministry buys that is not sensitive</t>
  </si>
  <si>
    <t xml:space="preserve">Directive 2014/24/EU — the ordinary public procurement directive</t>
  </si>
  <si>
    <t xml:space="preserve">Central government supplies and services threshold (EUR)</t>
  </si>
  <si>
    <t xml:space="preserve">Against the defence threshold (EUR)</t>
  </si>
  <si>
    <t xml:space="preserve">The ordinary threshold is lower by</t>
  </si>
  <si>
    <t xml:space="preserve">Ministries are among Europe's largest ordinary buyers</t>
  </si>
  <si>
    <t xml:space="preserve">an under-appreciated entry route</t>
  </si>
  <si>
    <t xml:space="preserve">The door out of the system</t>
  </si>
  <si>
    <t xml:space="preserve">Article 346 TFEU — essential security interests</t>
  </si>
  <si>
    <t xml:space="preserve">allows Member States to keep purchases out of competition entirely</t>
  </si>
  <si>
    <t xml:space="preserve">Consequence for a bidder</t>
  </si>
  <si>
    <t xml:space="preserve">a significant share of European defence spending never appears as a published tender</t>
  </si>
  <si>
    <t xml:space="preserve">Sweden's five declared domains</t>
  </si>
  <si>
    <t xml:space="preserve">Namely</t>
  </si>
  <si>
    <t xml:space="preserve">underwater systems, fighter aircraft, specialised C2 and cryptography, ammunition supply, sensors</t>
  </si>
  <si>
    <t xml:space="preserve">Chapter 9 — read them as a pre-submission checklist</t>
  </si>
  <si>
    <t xml:space="preserve">The rejection causes are documented and repetitive.</t>
  </si>
  <si>
    <t xml:space="preserve">Cause of rejection</t>
  </si>
  <si>
    <t xml:space="preserve">Ruled out?</t>
  </si>
  <si>
    <t xml:space="preserve">Evidence</t>
  </si>
  <si>
    <t xml:space="preserve">Won in the year before the call, lost in the last week of it</t>
  </si>
  <si>
    <t xml:space="preserve">1</t>
  </si>
  <si>
    <t xml:space="preserve">Forcing an existing solution onto an ill-fitting topic — the most common substantive rejection cause of all</t>
  </si>
  <si>
    <t xml:space="preserve">Chapter 9's key takeaway compresses the whole chapter into one sentence: an EDF or EDIP proposal is won in the year before the call and lost in the last week of it.
The seven causes divide neatly along that line. Causes one, four and five are lost in the year before — the topic fit, the Member State commitment, the consortium composition. None of them can be fixed in the drafting window, and all three are decided by work that looks like relationship-building rather than proposal-writing.
Causes two, three and six are lost in the last week — the Part A and Part B reconciliation, the declarations, the intellectual property schedules. All three are administrative, all three are entirely avoidable, and all three become impossible to fix once the clock is inside forty-eight hours. Hence the buffer that nobody is allowed to spend.
Cause seven sits on its own and is handled on the Scoring sheet.
The evidence column is the useful part of this sheet. Ruling out a cause is not a judgement, it is a document: the topic-fit assessment someone wrote down, the letter from the ministry, the signed declarations from every beneficiary and subcontractor, the background IP schedule with a date on it. A proposal team that can point to an artefact for each of the seven has done the work; one that can only assert has not.
The timing block is worth putting on a wall. Six to twelve months of positioning, eight to twelve weeks of drafting, four weeks of consortium agreement negotiation running alongside, and forty-eight hours of buffer. Anyone starting later than that is not writing a proposal, they are writing an application.</t>
  </si>
  <si>
    <t xml:space="preserve">2</t>
  </si>
  <si>
    <t xml:space="preserve">Part A and Part B mismatches, and last-minute submission errors; pages beyond the limit are simply disregarded</t>
  </si>
  <si>
    <t xml:space="preserve">3</t>
  </si>
  <si>
    <t xml:space="preserve">Missing or defective ownership and control declarations, or an unnoticed third-country control link in a beneficiary, an affiliate or a subcontractor</t>
  </si>
  <si>
    <t xml:space="preserve">4</t>
  </si>
  <si>
    <t xml:space="preserve">Underestimating the co-financing requirement on development actions and lacking a Member State commitment to procure</t>
  </si>
  <si>
    <t xml:space="preserve">5</t>
  </si>
  <si>
    <t xml:space="preserve">Consortium imbalance — too many partners, unclear roles, or no real cross-border SME content when a bonus was assumed in the budget</t>
  </si>
  <si>
    <t xml:space="preserve">6</t>
  </si>
  <si>
    <t xml:space="preserve">Intellectual property mishandling — background undeclared before submission, foreground access rights unresolved, or premature publication of results</t>
  </si>
  <si>
    <t xml:space="preserve">7</t>
  </si>
  <si>
    <t xml:space="preserve">Failing the pass threshold on a single criterion despite a high total score</t>
  </si>
  <si>
    <t xml:space="preserve">Causes ruled out</t>
  </si>
  <si>
    <t xml:space="preserve">Causes still open</t>
  </si>
  <si>
    <t xml:space="preserve">Ready to submit?</t>
  </si>
  <si>
    <t xml:space="preserve">The timing rule</t>
  </si>
  <si>
    <t xml:space="preserve">Positioning begins</t>
  </si>
  <si>
    <t xml:space="preserve">six to twelve months before publication</t>
  </si>
  <si>
    <t xml:space="preserve">Drafting window</t>
  </si>
  <si>
    <t xml:space="preserve">eight to twelve weeks</t>
  </si>
  <si>
    <t xml:space="preserve">Submission buffer nobody is allowed to spend</t>
  </si>
  <si>
    <t xml:space="preserve">forty-eight hours</t>
  </si>
  <si>
    <t xml:space="preserve">Consortium agreement negotiation</t>
  </si>
  <si>
    <t xml:space="preserve">four weeks, with a lawyer who has read the model</t>
  </si>
  <si>
    <t xml:space="preserve">Checks — every figure this workbook recomputes against the book</t>
  </si>
  <si>
    <t xml:space="preserve">Breaking Into European Defence Procurement — companion workbook 3</t>
  </si>
  <si>
    <t xml:space="preserve">Figure as the book prints it</t>
  </si>
  <si>
    <t xml:space="preserve">Printed</t>
  </si>
  <si>
    <t xml:space="preserve">Computed</t>
  </si>
  <si>
    <t xml:space="preserve">Variance</t>
  </si>
  <si>
    <t xml:space="preserve">Status</t>
  </si>
  <si>
    <t xml:space="preserve">How the tolerances are set</t>
  </si>
  <si>
    <t xml:space="preserve">Ch. 9</t>
  </si>
  <si>
    <t xml:space="preserve">Research actions funded up to 100 per cent</t>
  </si>
  <si>
    <t xml:space="preserve">Tolerance is set line by line to the precision the book prints.
Chapter 9's figures are rates and thresholds rather than results, so most of these lines check that the arithmetic built on them closes rather than that a printed total is reproduced. The exceptions are the scoring scheme, where the weights and the maximum have to be consistent with each other, and the EDIP windows, where the budget splits exactly.
One input is deliberately left at zero. The regulation adds a bonus for projects linked to Permanent Structured Cooperation and the book does not state its rate, so the workbook does not supply one. Every figure that depends on the bonus total therefore reflects the three bonuses the book does quantify.
The lines marked solved are derived rather than printed: the number of projects a EUR 27 million topic supports at a EUR 3 million maximum, the cash value of triggering the higher EDIP ceiling, and the co-financing ratio that fingerprints which window a call belongs to. None appears in the book and all three follow from figures that do.</t>
  </si>
  <si>
    <t xml:space="preserve">System prototyping funded at a maximum of 20 per cent</t>
  </si>
  <si>
    <t xml:space="preserve">Testing, qualification and certification at a maximum of 80 per cent</t>
  </si>
  <si>
    <t xml:space="preserve">Cross-border SME bonus, in percentage points</t>
  </si>
  <si>
    <t xml:space="preserve">Same-Member-State SME bonus</t>
  </si>
  <si>
    <t xml:space="preserve">Mid-cap bonus, where at least 15 per cent of eligible costs go to mid-caps</t>
  </si>
  <si>
    <t xml:space="preserve">Activity shares add to one hundred per cent</t>
  </si>
  <si>
    <t xml:space="preserve">A development action leaves the consortium to find the remainder</t>
  </si>
  <si>
    <t xml:space="preserve">Member State commitment is a prerequisite for a development action</t>
  </si>
  <si>
    <t xml:space="preserve">Ch. 2</t>
  </si>
  <si>
    <t xml:space="preserve">EDIP: EUR 1.2 bn programme plus EUR 0.3 bn Ukraine</t>
  </si>
  <si>
    <t xml:space="preserve">Common procurement co-financed up to 15 per cent, rising to 25</t>
  </si>
  <si>
    <t xml:space="preserve">Industrial reinforcement up to 35 per cent, rising to 50</t>
  </si>
  <si>
    <t xml:space="preserve">Projects of common interest up to 100 per cent</t>
  </si>
  <si>
    <t xml:space="preserve">Industrial reinforcement window: at least 30 per cent of EDIP</t>
  </si>
  <si>
    <t xml:space="preserve">solved</t>
  </si>
  <si>
    <t xml:space="preserve">Triggering the higher industrial reinforcement ceiling, on EUR 60 m</t>
  </si>
  <si>
    <t xml:space="preserve">EUR 165 m against EUR 470 m fingerprints the 35 per cent ceiling</t>
  </si>
  <si>
    <t xml:space="preserve">Weights of 2, 2 and 1 on a five-point scale give a maximum of 25</t>
  </si>
  <si>
    <t xml:space="preserve">Overall pass mark of 18 out of 25</t>
  </si>
  <si>
    <t xml:space="preserve">A proposal at 21.6 weighted is rejected for 3.8 on Excellence</t>
  </si>
  <si>
    <t xml:space="preserve">Of the scenarios clearing the overall mark, this many fail a threshold</t>
  </si>
  <si>
    <t xml:space="preserve">A EUR 27 m topic at a EUR 3 m maximum supports this many projects</t>
  </si>
  <si>
    <t xml:space="preserve">Part B page limit on the disruptive-technologies call</t>
  </si>
  <si>
    <t xml:space="preserve">Ch. 3</t>
  </si>
  <si>
    <t xml:space="preserve">Defence supplies threshold against central government supplies</t>
  </si>
  <si>
    <t xml:space="preserve">The defence and ordinary works thresholds are the same figure</t>
  </si>
  <si>
    <t xml:space="preserve">The ordinary central government threshold is lower by</t>
  </si>
  <si>
    <t xml:space="preserve">The scenario "exactly on both thresholds" sits on the pass mark of 18 and on 4.0 for Excellence</t>
  </si>
  <si>
    <t xml:space="preserve">Corrected: the first version scored it 4.0, 3.6 and 3.4, which is 18.6, not the pass mark.</t>
  </si>
  <si>
    <t xml:space="preserve">Lines reproduced within the book's own printed precision</t>
  </si>
  <si>
    <t xml:space="preserve">Lines differing only by the book's rounding of an intermediate</t>
  </si>
  <si>
    <t xml:space="preserve">Lines to check</t>
  </si>
  <si>
    <t xml:space="preserve">All checks</t>
  </si>
</sst>
</file>

<file path=xl/styles.xml><?xml version="1.0" encoding="utf-8"?>
<styleSheet xmlns="http://schemas.openxmlformats.org/spreadsheetml/2006/main">
  <numFmts count="8">
    <numFmt numFmtId="164" formatCode="General"/>
    <numFmt numFmtId="165" formatCode="0.0%"/>
    <numFmt numFmtId="166" formatCode="#,##0.00;\(#,##0.00\);\-"/>
    <numFmt numFmtId="167" formatCode="0.00%"/>
    <numFmt numFmtId="168" formatCode="0"/>
    <numFmt numFmtId="169" formatCode="#,##0;\(#,##0\);\-"/>
    <numFmt numFmtId="170" formatCode="0.00\x"/>
    <numFmt numFmtId="171" formatCode="0.0"/>
  </numFmts>
  <fonts count="18">
    <font>
      <sz val="11"/>
      <color theme="1"/>
      <name val="Calibri"/>
      <family val="2"/>
      <charset val="1"/>
    </font>
    <font>
      <sz val="10"/>
      <name val="Arial"/>
      <family val="0"/>
    </font>
    <font>
      <sz val="10"/>
      <name val="Arial"/>
      <family val="0"/>
    </font>
    <font>
      <sz val="10"/>
      <name val="Arial"/>
      <family val="0"/>
    </font>
    <font>
      <b val="true"/>
      <sz val="14"/>
      <color rgb="FF14171D"/>
      <name val="Arial"/>
      <family val="0"/>
      <charset val="1"/>
    </font>
    <font>
      <i val="true"/>
      <sz val="10"/>
      <color rgb="FF595959"/>
      <name val="Arial"/>
      <family val="0"/>
      <charset val="1"/>
    </font>
    <font>
      <sz val="10"/>
      <name val="Arial"/>
      <family val="0"/>
      <charset val="1"/>
    </font>
    <font>
      <b val="true"/>
      <sz val="11"/>
      <color rgb="FF8C5A00"/>
      <name val="Arial"/>
      <family val="0"/>
      <charset val="1"/>
    </font>
    <font>
      <sz val="10"/>
      <color rgb="FF0000FF"/>
      <name val="Arial"/>
      <family val="0"/>
      <charset val="1"/>
    </font>
    <font>
      <b val="true"/>
      <sz val="10"/>
      <color rgb="FFFFFFFF"/>
      <name val="Arial"/>
      <family val="0"/>
      <charset val="1"/>
    </font>
    <font>
      <b val="true"/>
      <sz val="10"/>
      <name val="Arial"/>
      <family val="0"/>
      <charset val="1"/>
    </font>
    <font>
      <sz val="10"/>
      <color rgb="FF008000"/>
      <name val="Arial"/>
      <family val="0"/>
      <charset val="1"/>
    </font>
    <font>
      <i val="true"/>
      <sz val="9"/>
      <name val="Arial"/>
      <family val="0"/>
      <charset val="1"/>
    </font>
    <font>
      <sz val="9"/>
      <color rgb="FF8C5A00"/>
      <name val="Arial"/>
      <family val="0"/>
      <charset val="1"/>
    </font>
    <font>
      <sz val="9"/>
      <name val="Arial"/>
      <family val="0"/>
      <charset val="1"/>
    </font>
    <font>
      <sz val="9"/>
      <color rgb="FF0000FF"/>
      <name val="Arial"/>
      <family val="0"/>
      <charset val="1"/>
    </font>
    <font>
      <sz val="9"/>
      <color rgb="FF008000"/>
      <name val="Arial"/>
      <family val="0"/>
      <charset val="1"/>
    </font>
    <font>
      <b val="true"/>
      <sz val="9"/>
      <name val="Arial"/>
      <family val="0"/>
      <charset val="1"/>
    </font>
  </fonts>
  <fills count="5">
    <fill>
      <patternFill patternType="none"/>
    </fill>
    <fill>
      <patternFill patternType="gray125"/>
    </fill>
    <fill>
      <patternFill patternType="solid">
        <fgColor rgb="FFFFFF00"/>
        <bgColor rgb="FFFFFF00"/>
      </patternFill>
    </fill>
    <fill>
      <patternFill patternType="solid">
        <fgColor rgb="FF14171D"/>
        <bgColor rgb="FF000000"/>
      </patternFill>
    </fill>
    <fill>
      <patternFill patternType="solid">
        <fgColor rgb="FFF2F2F2"/>
        <bgColor rgb="FFFFFFFF"/>
      </patternFill>
    </fill>
  </fills>
  <borders count="3">
    <border diagonalUp="false" diagonalDown="false">
      <left/>
      <right/>
      <top/>
      <bottom/>
      <diagonal/>
    </border>
    <border diagonalUp="false" diagonalDown="false">
      <left/>
      <right/>
      <top style="medium">
        <color rgb="FF808080"/>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1" shrinkToFit="false"/>
      <protection locked="true" hidden="false"/>
    </xf>
    <xf numFmtId="165" fontId="8" fillId="2" borderId="0" xfId="0" applyFont="true" applyBorder="false" applyAlignment="false" applyProtection="false">
      <alignment horizontal="general" vertical="bottom" textRotation="0" wrapText="false" indent="0" shrinkToFit="false"/>
      <protection locked="true" hidden="false"/>
    </xf>
    <xf numFmtId="164" fontId="8" fillId="2" borderId="0" xfId="0" applyFont="true" applyBorder="false" applyAlignment="false" applyProtection="false">
      <alignment horizontal="general" vertical="bottom" textRotation="0" wrapText="false" indent="0" shrinkToFit="false"/>
      <protection locked="true" hidden="false"/>
    </xf>
    <xf numFmtId="166" fontId="8" fillId="2" borderId="0" xfId="0" applyFont="true" applyBorder="false" applyAlignment="false" applyProtection="false">
      <alignment horizontal="general" vertical="bottom" textRotation="0" wrapText="false" indent="0" shrinkToFit="false"/>
      <protection locked="true" hidden="false"/>
    </xf>
    <xf numFmtId="164" fontId="9" fillId="3" borderId="0" xfId="0" applyFont="true" applyBorder="false" applyAlignment="true" applyProtection="false">
      <alignment horizontal="left" vertical="center" textRotation="0" wrapText="true" indent="0" shrinkToFit="false"/>
      <protection locked="true" hidden="false"/>
    </xf>
    <xf numFmtId="164" fontId="9" fillId="3" borderId="0" xfId="0" applyFont="true" applyBorder="false" applyAlignment="true" applyProtection="false">
      <alignment horizontal="center" vertical="center" textRotation="0" wrapText="true" indent="0" shrinkToFit="false"/>
      <protection locked="true" hidden="false"/>
    </xf>
    <xf numFmtId="166" fontId="6" fillId="0" borderId="0" xfId="0" applyFont="true" applyBorder="false" applyAlignment="false" applyProtection="false">
      <alignment horizontal="general" vertical="bottom" textRotation="0" wrapText="false" indent="0" shrinkToFit="false"/>
      <protection locked="true" hidden="false"/>
    </xf>
    <xf numFmtId="165" fontId="6" fillId="0" borderId="0" xfId="0" applyFont="true" applyBorder="false" applyAlignment="false" applyProtection="false">
      <alignment horizontal="general" vertical="bottom" textRotation="0" wrapText="false" indent="0" shrinkToFit="false"/>
      <protection locked="true" hidden="false"/>
    </xf>
    <xf numFmtId="164" fontId="6" fillId="4" borderId="0" xfId="0" applyFont="true" applyBorder="false" applyAlignment="true" applyProtection="false">
      <alignment horizontal="general" vertical="bottom" textRotation="0" wrapText="false" indent="1" shrinkToFit="false"/>
      <protection locked="true" hidden="false"/>
    </xf>
    <xf numFmtId="165" fontId="8" fillId="4" borderId="0" xfId="0" applyFont="true" applyBorder="false" applyAlignment="false" applyProtection="false">
      <alignment horizontal="general" vertical="bottom" textRotation="0" wrapText="false" indent="0" shrinkToFit="false"/>
      <protection locked="true" hidden="false"/>
    </xf>
    <xf numFmtId="166" fontId="6" fillId="4" borderId="0" xfId="0" applyFont="true" applyBorder="false" applyAlignment="false" applyProtection="false">
      <alignment horizontal="general" vertical="bottom" textRotation="0" wrapText="false" indent="0" shrinkToFit="false"/>
      <protection locked="true" hidden="false"/>
    </xf>
    <xf numFmtId="165" fontId="6" fillId="4" borderId="0" xfId="0" applyFont="true" applyBorder="false" applyAlignment="false" applyProtection="false">
      <alignment horizontal="general" vertical="bottom" textRotation="0" wrapText="false" indent="0" shrinkToFit="false"/>
      <protection locked="true" hidden="false"/>
    </xf>
    <xf numFmtId="164" fontId="10" fillId="0" borderId="1" xfId="0" applyFont="true" applyBorder="true" applyAlignment="false" applyProtection="false">
      <alignment horizontal="general" vertical="bottom" textRotation="0" wrapText="false" indent="0" shrinkToFit="false"/>
      <protection locked="true" hidden="false"/>
    </xf>
    <xf numFmtId="165" fontId="10" fillId="0" borderId="1" xfId="0" applyFont="true" applyBorder="true" applyAlignment="false" applyProtection="false">
      <alignment horizontal="general" vertical="bottom" textRotation="0" wrapText="false" indent="0" shrinkToFit="false"/>
      <protection locked="true" hidden="false"/>
    </xf>
    <xf numFmtId="166" fontId="10" fillId="0" borderId="1"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1" shrinkToFit="false"/>
      <protection locked="true" hidden="false"/>
    </xf>
    <xf numFmtId="167" fontId="10" fillId="0" borderId="0" xfId="0" applyFont="true" applyBorder="false" applyAlignment="false" applyProtection="false">
      <alignment horizontal="general" vertical="bottom" textRotation="0" wrapText="false" indent="0" shrinkToFit="false"/>
      <protection locked="true" hidden="false"/>
    </xf>
    <xf numFmtId="168" fontId="8" fillId="2" borderId="0" xfId="0" applyFont="true" applyBorder="false" applyAlignment="false" applyProtection="false">
      <alignment horizontal="general" vertical="bottom" textRotation="0" wrapText="false" indent="0" shrinkToFit="false"/>
      <protection locked="true" hidden="false"/>
    </xf>
    <xf numFmtId="168" fontId="8" fillId="4" borderId="0" xfId="0" applyFont="true" applyBorder="false" applyAlignment="false" applyProtection="false">
      <alignment horizontal="general" vertical="bottom" textRotation="0" wrapText="false" indent="0" shrinkToFit="false"/>
      <protection locked="true" hidden="false"/>
    </xf>
    <xf numFmtId="165" fontId="10" fillId="0" borderId="0" xfId="0" applyFont="true" applyBorder="false" applyAlignment="false" applyProtection="false">
      <alignment horizontal="general" vertical="bottom" textRotation="0" wrapText="false" indent="0" shrinkToFit="false"/>
      <protection locked="true" hidden="false"/>
    </xf>
    <xf numFmtId="166" fontId="10" fillId="0" borderId="0" xfId="0" applyFont="true" applyBorder="false" applyAlignment="false" applyProtection="false">
      <alignment horizontal="general" vertical="bottom" textRotation="0" wrapText="false" indent="0" shrinkToFit="false"/>
      <protection locked="true" hidden="false"/>
    </xf>
    <xf numFmtId="167" fontId="6" fillId="0" borderId="0" xfId="0" applyFont="true" applyBorder="false" applyAlignment="false" applyProtection="false">
      <alignment horizontal="general" vertical="bottom" textRotation="0" wrapText="false" indent="0" shrinkToFit="false"/>
      <protection locked="true" hidden="false"/>
    </xf>
    <xf numFmtId="165" fontId="8" fillId="0" borderId="0" xfId="0" applyFont="true" applyBorder="false" applyAlignment="false" applyProtection="false">
      <alignment horizontal="general" vertical="bottom" textRotation="0" wrapText="false" indent="0" shrinkToFit="false"/>
      <protection locked="true" hidden="false"/>
    </xf>
    <xf numFmtId="164" fontId="10" fillId="0" borderId="1" xfId="0" applyFont="true" applyBorder="true" applyAlignment="true" applyProtection="false">
      <alignment horizontal="general" vertical="bottom" textRotation="0" wrapText="false" indent="1"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6" fontId="11" fillId="0" borderId="0" xfId="0" applyFont="true" applyBorder="false" applyAlignment="false" applyProtection="false">
      <alignment horizontal="general" vertical="bottom" textRotation="0" wrapText="false" indent="0" shrinkToFit="false"/>
      <protection locked="true" hidden="false"/>
    </xf>
    <xf numFmtId="164" fontId="8" fillId="4" borderId="2" xfId="0" applyFont="true" applyBorder="true" applyAlignment="false" applyProtection="false">
      <alignment horizontal="general" vertical="bottom" textRotation="0" wrapText="false" indent="0" shrinkToFit="false"/>
      <protection locked="true" hidden="false"/>
    </xf>
    <xf numFmtId="164" fontId="8" fillId="0" borderId="2" xfId="0" applyFont="true" applyBorder="true" applyAlignment="false" applyProtection="false">
      <alignment horizontal="general" vertical="bottom" textRotation="0" wrapText="false" indent="0" shrinkToFit="false"/>
      <protection locked="true" hidden="false"/>
    </xf>
    <xf numFmtId="169" fontId="8" fillId="2" borderId="0" xfId="0" applyFont="true" applyBorder="false" applyAlignment="false" applyProtection="false">
      <alignment horizontal="general" vertical="bottom" textRotation="0" wrapText="false" indent="0" shrinkToFit="false"/>
      <protection locked="true" hidden="false"/>
    </xf>
    <xf numFmtId="170" fontId="10" fillId="0" borderId="0" xfId="0" applyFont="true" applyBorder="false" applyAlignment="false" applyProtection="false">
      <alignment horizontal="general" vertical="bottom" textRotation="0" wrapText="false" indent="0" shrinkToFit="false"/>
      <protection locked="true" hidden="false"/>
    </xf>
    <xf numFmtId="166" fontId="8" fillId="0" borderId="0" xfId="0" applyFont="true" applyBorder="false" applyAlignment="false" applyProtection="false">
      <alignment horizontal="general" vertical="bottom" textRotation="0" wrapText="false" indent="0" shrinkToFit="false"/>
      <protection locked="true" hidden="false"/>
    </xf>
    <xf numFmtId="169" fontId="6" fillId="0" borderId="0" xfId="0" applyFont="true" applyBorder="false" applyAlignment="false" applyProtection="false">
      <alignment horizontal="general" vertical="bottom" textRotation="0" wrapText="false" indent="0" shrinkToFit="false"/>
      <protection locked="true" hidden="false"/>
    </xf>
    <xf numFmtId="169" fontId="6" fillId="4"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9" fontId="10" fillId="0" borderId="0" xfId="0" applyFont="true" applyBorder="false" applyAlignment="false" applyProtection="false">
      <alignment horizontal="general" vertical="bottom" textRotation="0" wrapText="false" indent="0" shrinkToFit="false"/>
      <protection locked="true" hidden="false"/>
    </xf>
    <xf numFmtId="168" fontId="8" fillId="0" borderId="0" xfId="0" applyFont="true" applyBorder="false" applyAlignment="false" applyProtection="false">
      <alignment horizontal="general" vertical="bottom" textRotation="0" wrapText="false" indent="0" shrinkToFit="false"/>
      <protection locked="true" hidden="false"/>
    </xf>
    <xf numFmtId="168" fontId="10" fillId="0" borderId="0" xfId="0" applyFont="true" applyBorder="false" applyAlignment="false" applyProtection="false">
      <alignment horizontal="general" vertical="bottom" textRotation="0" wrapText="false" indent="0" shrinkToFit="false"/>
      <protection locked="true" hidden="false"/>
    </xf>
    <xf numFmtId="166" fontId="8" fillId="4" borderId="0" xfId="0" applyFont="true" applyBorder="false" applyAlignment="false" applyProtection="false">
      <alignment horizontal="general" vertical="bottom"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8" fontId="10" fillId="0" borderId="1" xfId="0" applyFont="true" applyBorder="true" applyAlignment="false" applyProtection="false">
      <alignment horizontal="general" vertical="bottom" textRotation="0" wrapText="false" indent="0" shrinkToFit="false"/>
      <protection locked="true" hidden="false"/>
    </xf>
    <xf numFmtId="168" fontId="6" fillId="0" borderId="0" xfId="0" applyFont="true" applyBorder="false" applyAlignment="false" applyProtection="false">
      <alignment horizontal="general" vertical="bottom" textRotation="0" wrapText="false" indent="0" shrinkToFit="false"/>
      <protection locked="true" hidden="false"/>
    </xf>
    <xf numFmtId="164" fontId="10" fillId="4" borderId="0" xfId="0" applyFont="true" applyBorder="false" applyAlignment="false" applyProtection="false">
      <alignment horizontal="general" vertical="bottom" textRotation="0" wrapText="false" indent="0" shrinkToFit="false"/>
      <protection locked="true" hidden="false"/>
    </xf>
    <xf numFmtId="169" fontId="8" fillId="0" borderId="0" xfId="0" applyFont="true" applyBorder="false" applyAlignment="false" applyProtection="false">
      <alignment horizontal="general" vertical="bottom" textRotation="0" wrapText="false" indent="0" shrinkToFit="false"/>
      <protection locked="true" hidden="false"/>
    </xf>
    <xf numFmtId="169" fontId="8" fillId="0" borderId="2" xfId="0" applyFont="true" applyBorder="true" applyAlignment="false" applyProtection="false">
      <alignment horizontal="general" vertical="bottom" textRotation="0" wrapText="false" indent="0" shrinkToFit="false"/>
      <protection locked="true" hidden="false"/>
    </xf>
    <xf numFmtId="164" fontId="6" fillId="4" borderId="0" xfId="0" applyFont="true" applyBorder="false" applyAlignment="false" applyProtection="false">
      <alignment horizontal="general" vertical="bottom" textRotation="0" wrapText="false" indent="0" shrinkToFit="false"/>
      <protection locked="true" hidden="false"/>
    </xf>
    <xf numFmtId="169" fontId="8" fillId="4" borderId="0" xfId="0" applyFont="true" applyBorder="false" applyAlignment="false" applyProtection="false">
      <alignment horizontal="general" vertical="bottom" textRotation="0" wrapText="false" indent="0" shrinkToFit="false"/>
      <protection locked="true" hidden="false"/>
    </xf>
    <xf numFmtId="169" fontId="8" fillId="4" borderId="2" xfId="0" applyFont="true" applyBorder="true" applyAlignment="false" applyProtection="false">
      <alignment horizontal="general" vertical="bottom" textRotation="0" wrapText="false" indent="0" shrinkToFit="false"/>
      <protection locked="true" hidden="false"/>
    </xf>
    <xf numFmtId="164" fontId="10" fillId="0" borderId="2" xfId="0" applyFont="true" applyBorder="true" applyAlignment="true" applyProtection="false">
      <alignment horizontal="general" vertical="top" textRotation="0" wrapText="true" indent="0" shrinkToFit="false"/>
      <protection locked="true" hidden="false"/>
    </xf>
    <xf numFmtId="164" fontId="6" fillId="0" borderId="2" xfId="0" applyFont="true" applyBorder="true" applyAlignment="true" applyProtection="false">
      <alignment horizontal="general" vertical="top" textRotation="0" wrapText="true" indent="0" shrinkToFit="false"/>
      <protection locked="true" hidden="false"/>
    </xf>
    <xf numFmtId="164" fontId="8" fillId="0" borderId="2" xfId="0" applyFont="true" applyBorder="true" applyAlignment="true" applyProtection="false">
      <alignment horizontal="general" vertical="top" textRotation="0" wrapText="true" indent="0" shrinkToFit="false"/>
      <protection locked="true" hidden="false"/>
    </xf>
    <xf numFmtId="164" fontId="10" fillId="4" borderId="2" xfId="0" applyFont="true" applyBorder="true" applyAlignment="true" applyProtection="false">
      <alignment horizontal="general" vertical="top" textRotation="0" wrapText="true" indent="0" shrinkToFit="false"/>
      <protection locked="true" hidden="false"/>
    </xf>
    <xf numFmtId="164" fontId="6" fillId="4" borderId="2" xfId="0" applyFont="true" applyBorder="true" applyAlignment="true" applyProtection="false">
      <alignment horizontal="general" vertical="top" textRotation="0" wrapText="true" indent="0" shrinkToFit="false"/>
      <protection locked="true" hidden="false"/>
    </xf>
    <xf numFmtId="164" fontId="8" fillId="4" borderId="2" xfId="0" applyFont="true" applyBorder="true" applyAlignment="true" applyProtection="false">
      <alignment horizontal="general" vertical="top" textRotation="0" wrapText="tru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5" fontId="15" fillId="0" borderId="0" xfId="0" applyFont="true" applyBorder="false" applyAlignment="false" applyProtection="false">
      <alignment horizontal="general" vertical="bottom" textRotation="0" wrapText="false" indent="0" shrinkToFit="false"/>
      <protection locked="true" hidden="false"/>
    </xf>
    <xf numFmtId="165" fontId="16" fillId="0" borderId="0" xfId="0" applyFont="true" applyBorder="false" applyAlignment="false" applyProtection="false">
      <alignment horizontal="general" vertical="bottom" textRotation="0" wrapText="false" indent="0" shrinkToFit="false"/>
      <protection locked="true" hidden="false"/>
    </xf>
    <xf numFmtId="165" fontId="14"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3" fillId="4" borderId="0" xfId="0" applyFont="true" applyBorder="false" applyAlignment="false" applyProtection="false">
      <alignment horizontal="general" vertical="bottom" textRotation="0" wrapText="false" indent="0" shrinkToFit="false"/>
      <protection locked="true" hidden="false"/>
    </xf>
    <xf numFmtId="164" fontId="14" fillId="4" borderId="0" xfId="0" applyFont="true" applyBorder="false" applyAlignment="false" applyProtection="false">
      <alignment horizontal="general" vertical="bottom" textRotation="0" wrapText="false" indent="0" shrinkToFit="false"/>
      <protection locked="true" hidden="false"/>
    </xf>
    <xf numFmtId="165" fontId="15" fillId="4" borderId="0" xfId="0" applyFont="true" applyBorder="false" applyAlignment="false" applyProtection="false">
      <alignment horizontal="general" vertical="bottom" textRotation="0" wrapText="false" indent="0" shrinkToFit="false"/>
      <protection locked="true" hidden="false"/>
    </xf>
    <xf numFmtId="165" fontId="16" fillId="4" borderId="0" xfId="0" applyFont="true" applyBorder="false" applyAlignment="false" applyProtection="false">
      <alignment horizontal="general" vertical="bottom" textRotation="0" wrapText="false" indent="0" shrinkToFit="false"/>
      <protection locked="true" hidden="false"/>
    </xf>
    <xf numFmtId="165" fontId="14" fillId="4" borderId="0" xfId="0" applyFont="true" applyBorder="false" applyAlignment="false" applyProtection="false">
      <alignment horizontal="general" vertical="bottom" textRotation="0" wrapText="false" indent="0" shrinkToFit="false"/>
      <protection locked="true" hidden="false"/>
    </xf>
    <xf numFmtId="164" fontId="17" fillId="4" borderId="0" xfId="0" applyFont="true" applyBorder="false" applyAlignment="false" applyProtection="false">
      <alignment horizontal="general" vertical="bottom" textRotation="0" wrapText="false" indent="0" shrinkToFit="false"/>
      <protection locked="true" hidden="false"/>
    </xf>
    <xf numFmtId="168" fontId="15" fillId="4" borderId="0" xfId="0" applyFont="true" applyBorder="false" applyAlignment="false" applyProtection="false">
      <alignment horizontal="general" vertical="bottom" textRotation="0" wrapText="false" indent="0" shrinkToFit="false"/>
      <protection locked="true" hidden="false"/>
    </xf>
    <xf numFmtId="168" fontId="16" fillId="4" borderId="0" xfId="0" applyFont="true" applyBorder="false" applyAlignment="false" applyProtection="false">
      <alignment horizontal="general" vertical="bottom" textRotation="0" wrapText="false" indent="0" shrinkToFit="false"/>
      <protection locked="true" hidden="false"/>
    </xf>
    <xf numFmtId="168" fontId="14" fillId="4" borderId="0" xfId="0" applyFont="true" applyBorder="false" applyAlignment="false" applyProtection="false">
      <alignment horizontal="general" vertical="bottom" textRotation="0" wrapText="false" indent="0" shrinkToFit="false"/>
      <protection locked="true" hidden="false"/>
    </xf>
    <xf numFmtId="168" fontId="15" fillId="0" borderId="0" xfId="0" applyFont="true" applyBorder="false" applyAlignment="false" applyProtection="false">
      <alignment horizontal="general" vertical="bottom" textRotation="0" wrapText="false" indent="0" shrinkToFit="false"/>
      <protection locked="true" hidden="false"/>
    </xf>
    <xf numFmtId="168" fontId="16" fillId="0" borderId="0" xfId="0" applyFont="true" applyBorder="false" applyAlignment="false" applyProtection="false">
      <alignment horizontal="general" vertical="bottom" textRotation="0" wrapText="false" indent="0" shrinkToFit="false"/>
      <protection locked="true" hidden="false"/>
    </xf>
    <xf numFmtId="168" fontId="14" fillId="0" borderId="0" xfId="0" applyFont="true" applyBorder="false" applyAlignment="false" applyProtection="false">
      <alignment horizontal="general" vertical="bottom" textRotation="0" wrapText="false" indent="0" shrinkToFit="false"/>
      <protection locked="true" hidden="false"/>
    </xf>
    <xf numFmtId="166" fontId="15" fillId="4" borderId="0" xfId="0" applyFont="true" applyBorder="false" applyAlignment="false" applyProtection="false">
      <alignment horizontal="general" vertical="bottom" textRotation="0" wrapText="false" indent="0" shrinkToFit="false"/>
      <protection locked="true" hidden="false"/>
    </xf>
    <xf numFmtId="166" fontId="16" fillId="4" borderId="0" xfId="0" applyFont="true" applyBorder="false" applyAlignment="false" applyProtection="false">
      <alignment horizontal="general" vertical="bottom" textRotation="0" wrapText="false" indent="0" shrinkToFit="false"/>
      <protection locked="true" hidden="false"/>
    </xf>
    <xf numFmtId="166" fontId="14" fillId="4" borderId="0" xfId="0" applyFont="true" applyBorder="false" applyAlignment="false" applyProtection="false">
      <alignment horizontal="general" vertical="bottom" textRotation="0" wrapText="false" indent="0" shrinkToFit="false"/>
      <protection locked="true" hidden="false"/>
    </xf>
    <xf numFmtId="166" fontId="15" fillId="0" borderId="0" xfId="0" applyFont="true" applyBorder="false" applyAlignment="false" applyProtection="false">
      <alignment horizontal="general" vertical="bottom" textRotation="0" wrapText="false" indent="0" shrinkToFit="false"/>
      <protection locked="true" hidden="false"/>
    </xf>
    <xf numFmtId="166" fontId="16" fillId="0" borderId="0" xfId="0" applyFont="true" applyBorder="false" applyAlignment="false" applyProtection="false">
      <alignment horizontal="general" vertical="bottom" textRotation="0" wrapText="false" indent="0" shrinkToFit="false"/>
      <protection locked="true" hidden="false"/>
    </xf>
    <xf numFmtId="166" fontId="14" fillId="0" borderId="0" xfId="0" applyFont="true" applyBorder="false" applyAlignment="false" applyProtection="false">
      <alignment horizontal="general" vertical="bottom" textRotation="0" wrapText="false" indent="0" shrinkToFit="false"/>
      <protection locked="true" hidden="false"/>
    </xf>
    <xf numFmtId="170" fontId="15" fillId="0" borderId="0" xfId="0" applyFont="true" applyBorder="false" applyAlignment="false" applyProtection="false">
      <alignment horizontal="general" vertical="bottom" textRotation="0" wrapText="false" indent="0" shrinkToFit="false"/>
      <protection locked="true" hidden="false"/>
    </xf>
    <xf numFmtId="170" fontId="16" fillId="0" borderId="0" xfId="0" applyFont="true" applyBorder="false" applyAlignment="false" applyProtection="false">
      <alignment horizontal="general" vertical="bottom" textRotation="0" wrapText="false" indent="0" shrinkToFit="false"/>
      <protection locked="true" hidden="false"/>
    </xf>
    <xf numFmtId="170" fontId="14" fillId="0" borderId="0" xfId="0" applyFont="true" applyBorder="false" applyAlignment="false" applyProtection="false">
      <alignment horizontal="general" vertical="bottom" textRotation="0" wrapText="false" indent="0" shrinkToFit="false"/>
      <protection locked="true" hidden="false"/>
    </xf>
    <xf numFmtId="171" fontId="15" fillId="0" borderId="0" xfId="0" applyFont="true" applyBorder="false" applyAlignment="false" applyProtection="false">
      <alignment horizontal="general" vertical="bottom" textRotation="0" wrapText="false" indent="0" shrinkToFit="false"/>
      <protection locked="true" hidden="false"/>
    </xf>
    <xf numFmtId="171" fontId="16" fillId="0" borderId="0" xfId="0" applyFont="true" applyBorder="false" applyAlignment="false" applyProtection="false">
      <alignment horizontal="general" vertical="bottom" textRotation="0" wrapText="false" indent="0" shrinkToFit="false"/>
      <protection locked="true" hidden="false"/>
    </xf>
    <xf numFmtId="171" fontId="14"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C5A00"/>
      <rgbColor rgb="FF800080"/>
      <rgbColor rgb="FF008080"/>
      <rgbColor rgb="FFBFBFBF"/>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14171D"/>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4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12"/>
  </cols>
  <sheetData>
    <row r="1" customFormat="false" ht="17.35" hidden="false" customHeight="false" outlineLevel="0" collapsed="false">
      <c r="A1" s="1" t="s">
        <v>0</v>
      </c>
    </row>
    <row r="2" customFormat="false" ht="15" hidden="false" customHeight="false" outlineLevel="0" collapsed="false">
      <c r="A2" s="2" t="s">
        <v>1</v>
      </c>
    </row>
    <row r="4" customFormat="false" ht="15" hidden="false" customHeight="true" outlineLevel="0" collapsed="false">
      <c r="A4" s="3" t="s">
        <v>2</v>
      </c>
    </row>
    <row r="5" customFormat="false" ht="15" hidden="false" customHeight="false" outlineLevel="0" collapsed="false">
      <c r="A5" s="3"/>
    </row>
    <row r="6" customFormat="false" ht="15" hidden="false" customHeight="false" outlineLevel="0" collapsed="false">
      <c r="A6" s="3"/>
    </row>
    <row r="7" customFormat="false" ht="15" hidden="false" customHeight="false" outlineLevel="0" collapsed="false">
      <c r="A7" s="3"/>
    </row>
    <row r="8" customFormat="false" ht="15" hidden="false" customHeight="false" outlineLevel="0" collapsed="false">
      <c r="A8" s="3"/>
    </row>
    <row r="9" customFormat="false" ht="15" hidden="false" customHeight="false" outlineLevel="0" collapsed="false">
      <c r="A9" s="3"/>
    </row>
    <row r="10" customFormat="false" ht="15" hidden="false" customHeight="false" outlineLevel="0" collapsed="false">
      <c r="A10" s="3"/>
    </row>
    <row r="11" customFormat="false" ht="15" hidden="false" customHeight="false" outlineLevel="0" collapsed="false">
      <c r="A11" s="3"/>
    </row>
    <row r="12" customFormat="false" ht="15" hidden="false" customHeight="false" outlineLevel="0" collapsed="false">
      <c r="A12" s="3"/>
    </row>
    <row r="13" customFormat="false" ht="15" hidden="false" customHeight="false" outlineLevel="0" collapsed="false">
      <c r="A13" s="3"/>
    </row>
    <row r="14" customFormat="false" ht="15" hidden="false" customHeight="false" outlineLevel="0" collapsed="false">
      <c r="A14" s="3"/>
    </row>
    <row r="15" customFormat="false" ht="15" hidden="false" customHeight="false" outlineLevel="0" collapsed="false">
      <c r="A15" s="3"/>
    </row>
    <row r="16" customFormat="false" ht="15" hidden="false" customHeight="false" outlineLevel="0" collapsed="false">
      <c r="A16" s="3"/>
    </row>
    <row r="17" customFormat="false" ht="15" hidden="false" customHeight="false" outlineLevel="0" collapsed="false">
      <c r="A17" s="3"/>
    </row>
    <row r="18" customFormat="false" ht="15" hidden="false" customHeight="false" outlineLevel="0" collapsed="false">
      <c r="A18" s="3"/>
    </row>
    <row r="19" customFormat="false" ht="15" hidden="false" customHeight="false" outlineLevel="0" collapsed="false">
      <c r="A19" s="3"/>
    </row>
    <row r="20" customFormat="false" ht="15" hidden="false" customHeight="false" outlineLevel="0" collapsed="false">
      <c r="A20" s="3"/>
    </row>
    <row r="21" customFormat="false" ht="15" hidden="false" customHeight="false" outlineLevel="0" collapsed="false">
      <c r="A21" s="3"/>
    </row>
    <row r="22" customFormat="false" ht="15" hidden="false" customHeight="false" outlineLevel="0" collapsed="false">
      <c r="A22" s="3"/>
    </row>
    <row r="23" customFormat="false" ht="15" hidden="false" customHeight="false" outlineLevel="0" collapsed="false">
      <c r="A23" s="3"/>
    </row>
    <row r="24" customFormat="false" ht="15" hidden="false" customHeight="false" outlineLevel="0" collapsed="false">
      <c r="A24" s="3"/>
    </row>
    <row r="25" customFormat="false" ht="15" hidden="false" customHeight="false" outlineLevel="0" collapsed="false">
      <c r="A25" s="3"/>
    </row>
    <row r="26" customFormat="false" ht="15" hidden="false" customHeight="false" outlineLevel="0" collapsed="false">
      <c r="A26" s="3"/>
    </row>
    <row r="27" customFormat="false" ht="15" hidden="false" customHeight="false" outlineLevel="0" collapsed="false">
      <c r="A27" s="3"/>
    </row>
    <row r="28" customFormat="false" ht="15" hidden="false" customHeight="false" outlineLevel="0" collapsed="false">
      <c r="A28" s="3"/>
    </row>
    <row r="29" customFormat="false" ht="15" hidden="false" customHeight="false" outlineLevel="0" collapsed="false">
      <c r="A29" s="3"/>
    </row>
    <row r="30" customFormat="false" ht="15" hidden="false" customHeight="false" outlineLevel="0" collapsed="false">
      <c r="A30" s="3"/>
    </row>
    <row r="31" customFormat="false" ht="15" hidden="false" customHeight="false" outlineLevel="0" collapsed="false">
      <c r="A31" s="3"/>
    </row>
    <row r="32" customFormat="false" ht="15" hidden="false" customHeight="false" outlineLevel="0" collapsed="false">
      <c r="A32" s="3"/>
    </row>
    <row r="33" customFormat="false" ht="15" hidden="false" customHeight="false" outlineLevel="0" collapsed="false">
      <c r="A33" s="3"/>
    </row>
    <row r="34" customFormat="false" ht="15" hidden="false" customHeight="false" outlineLevel="0" collapsed="false">
      <c r="A34" s="3"/>
    </row>
    <row r="35" customFormat="false" ht="15" hidden="false" customHeight="false" outlineLevel="0" collapsed="false">
      <c r="A35" s="3"/>
    </row>
    <row r="36" customFormat="false" ht="15" hidden="false" customHeight="false" outlineLevel="0" collapsed="false">
      <c r="A36" s="3"/>
    </row>
    <row r="37" customFormat="false" ht="15" hidden="false" customHeight="false" outlineLevel="0" collapsed="false">
      <c r="A37" s="3"/>
    </row>
    <row r="38" customFormat="false" ht="15" hidden="false" customHeight="false" outlineLevel="0" collapsed="false">
      <c r="A38" s="3"/>
    </row>
    <row r="39" customFormat="false" ht="15" hidden="false" customHeight="false" outlineLevel="0" collapsed="false">
      <c r="A39" s="3"/>
    </row>
    <row r="40" customFormat="false" ht="15" hidden="false" customHeight="false" outlineLevel="0" collapsed="false">
      <c r="A40" s="3"/>
    </row>
    <row r="42" customFormat="false" ht="45" hidden="false" customHeight="true" outlineLevel="0" collapsed="false">
      <c r="A42" s="4" t="s">
        <v>3</v>
      </c>
    </row>
  </sheetData>
  <mergeCells count="1">
    <mergeCell ref="A4:A4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4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0"/>
    <col collapsed="false" customWidth="true" hidden="false" outlineLevel="0" max="2" min="2" style="0" width="6"/>
    <col collapsed="false" customWidth="true" hidden="false" outlineLevel="0" max="6" min="3" style="0" width="16"/>
    <col collapsed="false" customWidth="true" hidden="false" outlineLevel="0" max="7" min="7" style="0" width="3"/>
    <col collapsed="false" customWidth="true" hidden="false" outlineLevel="0" max="8" min="8" style="0" width="58"/>
  </cols>
  <sheetData>
    <row r="1" customFormat="false" ht="17.35" hidden="false" customHeight="false" outlineLevel="0" collapsed="false">
      <c r="A1" s="1" t="s">
        <v>4</v>
      </c>
    </row>
    <row r="2" customFormat="false" ht="15" hidden="false" customHeight="false" outlineLevel="0" collapsed="false">
      <c r="A2" s="2" t="s">
        <v>5</v>
      </c>
    </row>
    <row r="4" customFormat="false" ht="15" hidden="false" customHeight="false" outlineLevel="0" collapsed="false">
      <c r="A4" s="5" t="s">
        <v>6</v>
      </c>
      <c r="H4" s="5" t="s">
        <v>7</v>
      </c>
    </row>
    <row r="5" customFormat="false" ht="15" hidden="false" customHeight="true" outlineLevel="0" collapsed="false">
      <c r="A5" s="6" t="s">
        <v>8</v>
      </c>
      <c r="C5" s="7" t="n">
        <v>1</v>
      </c>
      <c r="H5" s="3" t="s">
        <v>9</v>
      </c>
    </row>
    <row r="6" customFormat="false" ht="15" hidden="false" customHeight="false" outlineLevel="0" collapsed="false">
      <c r="A6" s="6" t="s">
        <v>10</v>
      </c>
      <c r="C6" s="7" t="n">
        <v>0.2</v>
      </c>
      <c r="H6" s="3"/>
    </row>
    <row r="7" customFormat="false" ht="15" hidden="false" customHeight="false" outlineLevel="0" collapsed="false">
      <c r="A7" s="6" t="s">
        <v>11</v>
      </c>
      <c r="C7" s="7" t="n">
        <v>0.8</v>
      </c>
      <c r="H7" s="3"/>
    </row>
    <row r="8" customFormat="false" ht="15" hidden="false" customHeight="false" outlineLevel="0" collapsed="false">
      <c r="H8" s="3"/>
    </row>
    <row r="9" customFormat="false" ht="15" hidden="false" customHeight="false" outlineLevel="0" collapsed="false">
      <c r="A9" s="5" t="s">
        <v>12</v>
      </c>
      <c r="H9" s="3"/>
    </row>
    <row r="10" customFormat="false" ht="15" hidden="false" customHeight="false" outlineLevel="0" collapsed="false">
      <c r="A10" s="6" t="s">
        <v>13</v>
      </c>
      <c r="C10" s="8" t="s">
        <v>14</v>
      </c>
      <c r="H10" s="3"/>
    </row>
    <row r="11" customFormat="false" ht="15" hidden="false" customHeight="false" outlineLevel="0" collapsed="false">
      <c r="A11" s="6" t="s">
        <v>15</v>
      </c>
      <c r="C11" s="9" t="n">
        <v>40</v>
      </c>
      <c r="H11" s="3"/>
    </row>
    <row r="12" customFormat="false" ht="27.75" hidden="false" customHeight="true" outlineLevel="0" collapsed="false">
      <c r="A12" s="10" t="s">
        <v>16</v>
      </c>
      <c r="B12" s="11"/>
      <c r="C12" s="11" t="s">
        <v>17</v>
      </c>
      <c r="D12" s="11" t="s">
        <v>18</v>
      </c>
      <c r="E12" s="11" t="s">
        <v>19</v>
      </c>
      <c r="F12" s="11" t="s">
        <v>20</v>
      </c>
      <c r="H12" s="3"/>
    </row>
    <row r="13" customFormat="false" ht="15" hidden="false" customHeight="false" outlineLevel="0" collapsed="false">
      <c r="A13" s="6" t="s">
        <v>21</v>
      </c>
      <c r="C13" s="7" t="n">
        <v>0.65</v>
      </c>
      <c r="D13" s="12" t="n">
        <f aca="false">C13*$C$11</f>
        <v>26</v>
      </c>
      <c r="E13" s="13" t="n">
        <f aca="false">$C6</f>
        <v>0.2</v>
      </c>
      <c r="F13" s="12" t="n">
        <f aca="false">D13*E13</f>
        <v>5.2</v>
      </c>
      <c r="H13" s="3"/>
    </row>
    <row r="14" customFormat="false" ht="15" hidden="false" customHeight="false" outlineLevel="0" collapsed="false">
      <c r="A14" s="14" t="s">
        <v>22</v>
      </c>
      <c r="C14" s="15" t="n">
        <v>0.35</v>
      </c>
      <c r="D14" s="16" t="n">
        <f aca="false">C14*$C$11</f>
        <v>14</v>
      </c>
      <c r="E14" s="17" t="n">
        <f aca="false">$C7</f>
        <v>0.8</v>
      </c>
      <c r="F14" s="16" t="n">
        <f aca="false">D14*E14</f>
        <v>11.2</v>
      </c>
      <c r="H14" s="3"/>
    </row>
    <row r="15" customFormat="false" ht="15" hidden="false" customHeight="false" outlineLevel="0" collapsed="false">
      <c r="A15" s="18" t="s">
        <v>23</v>
      </c>
      <c r="C15" s="19" t="n">
        <f aca="false">SUM(C13:C14)</f>
        <v>1</v>
      </c>
      <c r="D15" s="20" t="n">
        <f aca="false">SUM(D13:D14)</f>
        <v>40</v>
      </c>
      <c r="F15" s="20" t="n">
        <f aca="false">SUM(F13:F14)</f>
        <v>16.4</v>
      </c>
      <c r="H15" s="3"/>
    </row>
    <row r="16" customFormat="false" ht="15" hidden="false" customHeight="false" outlineLevel="0" collapsed="false">
      <c r="A16" s="6" t="s">
        <v>24</v>
      </c>
      <c r="C16" s="21" t="str">
        <f aca="false">IF(ABS(C15-1)&lt;0.001,"yes","NO")</f>
        <v>yes</v>
      </c>
      <c r="H16" s="3"/>
    </row>
    <row r="17" customFormat="false" ht="15" hidden="false" customHeight="false" outlineLevel="0" collapsed="false">
      <c r="A17" s="22" t="s">
        <v>25</v>
      </c>
      <c r="C17" s="23" t="n">
        <f aca="false">F15/D15</f>
        <v>0.41</v>
      </c>
      <c r="H17" s="3"/>
    </row>
    <row r="18" customFormat="false" ht="15" hidden="false" customHeight="false" outlineLevel="0" collapsed="false">
      <c r="H18" s="3"/>
    </row>
    <row r="19" customFormat="false" ht="15" hidden="false" customHeight="false" outlineLevel="0" collapsed="false">
      <c r="A19" s="5" t="s">
        <v>26</v>
      </c>
      <c r="H19" s="3"/>
    </row>
    <row r="20" customFormat="false" ht="27.75" hidden="false" customHeight="true" outlineLevel="0" collapsed="false">
      <c r="A20" s="10" t="s">
        <v>27</v>
      </c>
      <c r="B20" s="11"/>
      <c r="C20" s="11" t="s">
        <v>28</v>
      </c>
      <c r="D20" s="11" t="s">
        <v>29</v>
      </c>
      <c r="E20" s="11" t="s">
        <v>30</v>
      </c>
      <c r="H20" s="3"/>
    </row>
    <row r="21" customFormat="false" ht="15" hidden="false" customHeight="false" outlineLevel="0" collapsed="false">
      <c r="A21" s="6" t="s">
        <v>31</v>
      </c>
      <c r="C21" s="7" t="n">
        <v>0.1</v>
      </c>
      <c r="D21" s="24" t="n">
        <v>1</v>
      </c>
      <c r="E21" s="12" t="n">
        <f aca="false">C21*D21*$D$15</f>
        <v>4</v>
      </c>
      <c r="H21" s="3"/>
    </row>
    <row r="22" customFormat="false" ht="15" hidden="false" customHeight="false" outlineLevel="0" collapsed="false">
      <c r="A22" s="14" t="s">
        <v>32</v>
      </c>
      <c r="C22" s="15" t="n">
        <v>0.05</v>
      </c>
      <c r="D22" s="25" t="n">
        <v>0</v>
      </c>
      <c r="E22" s="16" t="n">
        <f aca="false">C22*D22*$D$15</f>
        <v>0</v>
      </c>
      <c r="H22" s="3"/>
    </row>
    <row r="23" customFormat="false" ht="15" hidden="false" customHeight="false" outlineLevel="0" collapsed="false">
      <c r="A23" s="6" t="s">
        <v>33</v>
      </c>
      <c r="C23" s="7" t="n">
        <v>0.05</v>
      </c>
      <c r="D23" s="24" t="n">
        <v>1</v>
      </c>
      <c r="E23" s="12" t="n">
        <f aca="false">C23*D23*$D$15</f>
        <v>2</v>
      </c>
      <c r="H23" s="3"/>
    </row>
    <row r="24" customFormat="false" ht="15" hidden="false" customHeight="false" outlineLevel="0" collapsed="false">
      <c r="A24" s="14" t="s">
        <v>34</v>
      </c>
      <c r="C24" s="15" t="n">
        <v>0</v>
      </c>
      <c r="D24" s="25" t="n">
        <v>0</v>
      </c>
      <c r="E24" s="16" t="n">
        <f aca="false">C24*D24*$D$15</f>
        <v>0</v>
      </c>
      <c r="H24" s="3"/>
    </row>
    <row r="25" customFormat="false" ht="15" hidden="false" customHeight="false" outlineLevel="0" collapsed="false">
      <c r="A25" s="22" t="s">
        <v>35</v>
      </c>
      <c r="C25" s="26" t="n">
        <f aca="false">SUMPRODUCT(C21:C24,D21:D24)</f>
        <v>0.15</v>
      </c>
      <c r="H25" s="3"/>
    </row>
    <row r="26" customFormat="false" ht="15" hidden="false" customHeight="false" outlineLevel="0" collapsed="false">
      <c r="A26" s="22" t="s">
        <v>36</v>
      </c>
      <c r="C26" s="27" t="n">
        <f aca="false">SUM(E21:E24)</f>
        <v>6</v>
      </c>
      <c r="H26" s="3"/>
    </row>
    <row r="27" customFormat="false" ht="15" hidden="false" customHeight="false" outlineLevel="0" collapsed="false">
      <c r="A27" s="6" t="s">
        <v>37</v>
      </c>
      <c r="C27" s="21" t="str">
        <f aca="false">IF(AND(D21=1,D22=1),"CHECK — these two are normally alternatives, not cumulative","consistent")</f>
        <v>consistent</v>
      </c>
      <c r="H27" s="3"/>
    </row>
    <row r="28" customFormat="false" ht="15" hidden="false" customHeight="false" outlineLevel="0" collapsed="false">
      <c r="H28" s="3"/>
    </row>
    <row r="29" customFormat="false" ht="15" hidden="false" customHeight="false" outlineLevel="0" collapsed="false">
      <c r="A29" s="5" t="s">
        <v>38</v>
      </c>
      <c r="H29" s="3"/>
    </row>
    <row r="30" customFormat="false" ht="15" hidden="false" customHeight="false" outlineLevel="0" collapsed="false">
      <c r="A30" s="6" t="s">
        <v>39</v>
      </c>
      <c r="C30" s="28" t="n">
        <f aca="false">C17</f>
        <v>0.41</v>
      </c>
      <c r="H30" s="3"/>
    </row>
    <row r="31" customFormat="false" ht="15" hidden="false" customHeight="false" outlineLevel="0" collapsed="false">
      <c r="A31" s="6" t="s">
        <v>40</v>
      </c>
      <c r="C31" s="28" t="n">
        <f aca="false">C25</f>
        <v>0.15</v>
      </c>
      <c r="H31" s="3"/>
    </row>
    <row r="32" customFormat="false" ht="15" hidden="false" customHeight="false" outlineLevel="0" collapsed="false">
      <c r="A32" s="6" t="s">
        <v>41</v>
      </c>
      <c r="C32" s="28" t="n">
        <f aca="false">C30+C31</f>
        <v>0.56</v>
      </c>
      <c r="H32" s="3"/>
    </row>
    <row r="33" customFormat="false" ht="15" hidden="false" customHeight="false" outlineLevel="0" collapsed="false">
      <c r="A33" s="6" t="s">
        <v>42</v>
      </c>
      <c r="C33" s="29" t="n">
        <v>1</v>
      </c>
      <c r="H33" s="3"/>
    </row>
    <row r="34" customFormat="false" ht="15" hidden="false" customHeight="false" outlineLevel="0" collapsed="false">
      <c r="A34" s="22" t="s">
        <v>43</v>
      </c>
      <c r="C34" s="23" t="n">
        <f aca="false">MIN(C32,C33)</f>
        <v>0.56</v>
      </c>
      <c r="H34" s="3"/>
    </row>
    <row r="35" customFormat="false" ht="15" hidden="false" customHeight="false" outlineLevel="0" collapsed="false">
      <c r="A35" s="22" t="s">
        <v>20</v>
      </c>
      <c r="C35" s="27" t="n">
        <f aca="false">C34*D15</f>
        <v>22.4</v>
      </c>
      <c r="H35" s="3"/>
    </row>
    <row r="36" customFormat="false" ht="15" hidden="false" customHeight="false" outlineLevel="0" collapsed="false">
      <c r="A36" s="30" t="s">
        <v>44</v>
      </c>
      <c r="C36" s="20" t="n">
        <f aca="false">D15-C35</f>
        <v>17.6</v>
      </c>
      <c r="H36" s="3"/>
    </row>
    <row r="37" customFormat="false" ht="15" hidden="false" customHeight="false" outlineLevel="0" collapsed="false">
      <c r="A37" s="22" t="s">
        <v>45</v>
      </c>
      <c r="C37" s="23" t="n">
        <f aca="false">C36/D15</f>
        <v>0.44</v>
      </c>
      <c r="H37" s="3"/>
    </row>
    <row r="38" customFormat="false" ht="15" hidden="false" customHeight="false" outlineLevel="0" collapsed="false">
      <c r="A38" s="6" t="s">
        <v>46</v>
      </c>
      <c r="C38" s="12" t="n">
        <f aca="false">D15*C5</f>
        <v>40</v>
      </c>
      <c r="H38" s="3"/>
    </row>
    <row r="39" customFormat="false" ht="15" hidden="false" customHeight="false" outlineLevel="0" collapsed="false">
      <c r="A39" s="22" t="s">
        <v>47</v>
      </c>
      <c r="C39" s="27" t="n">
        <f aca="false">C38-C35</f>
        <v>17.6</v>
      </c>
      <c r="H39" s="3"/>
    </row>
    <row r="40" customFormat="false" ht="15" hidden="false" customHeight="false" outlineLevel="0" collapsed="false">
      <c r="H40" s="3"/>
    </row>
    <row r="41" customFormat="false" ht="15" hidden="false" customHeight="false" outlineLevel="0" collapsed="false">
      <c r="A41" s="5" t="s">
        <v>48</v>
      </c>
      <c r="H41" s="3"/>
    </row>
    <row r="42" customFormat="false" ht="15" hidden="false" customHeight="false" outlineLevel="0" collapsed="false">
      <c r="A42" s="6" t="s">
        <v>49</v>
      </c>
      <c r="C42" s="8" t="s">
        <v>50</v>
      </c>
      <c r="H42" s="3"/>
    </row>
    <row r="43" customFormat="false" ht="15" hidden="false" customHeight="false" outlineLevel="0" collapsed="false">
      <c r="A43" s="22" t="s">
        <v>51</v>
      </c>
      <c r="C43" s="31" t="str">
        <f aca="false">IF(LOWER(C10)="development","yes — a legal prerequisite","not applicable to research actions")</f>
        <v>yes — a legal prerequisite</v>
      </c>
      <c r="H43" s="3"/>
    </row>
    <row r="44" customFormat="false" ht="15" hidden="false" customHeight="false" outlineLevel="0" collapsed="false">
      <c r="A44" s="22" t="s">
        <v>52</v>
      </c>
      <c r="C44" s="31" t="str">
        <f aca="false">IF(AND(LOWER(C10)="development",LOWER(C42)&lt;&gt;"secured"),"ineligible — not weak, ineligible","eligible on this test")</f>
        <v>eligible on this test</v>
      </c>
      <c r="H44" s="3"/>
    </row>
    <row r="45" customFormat="false" ht="15" hidden="false" customHeight="false" outlineLevel="0" collapsed="false">
      <c r="A45" s="6" t="s">
        <v>53</v>
      </c>
      <c r="C45" s="32" t="s">
        <v>54</v>
      </c>
      <c r="H45" s="3"/>
    </row>
    <row r="46" customFormat="false" ht="15" hidden="false" customHeight="false" outlineLevel="0" collapsed="false">
      <c r="A46" s="6" t="s">
        <v>55</v>
      </c>
      <c r="C46" s="32" t="s">
        <v>54</v>
      </c>
      <c r="H46" s="3"/>
    </row>
    <row r="47" customFormat="false" ht="15" hidden="false" customHeight="false" outlineLevel="0" collapsed="false">
      <c r="A47" s="6" t="s">
        <v>56</v>
      </c>
      <c r="C47" s="2" t="s">
        <v>57</v>
      </c>
    </row>
  </sheetData>
  <mergeCells count="1">
    <mergeCell ref="H5:H4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5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0"/>
    <col collapsed="false" customWidth="true" hidden="false" outlineLevel="0" max="2" min="2" style="0" width="6"/>
    <col collapsed="false" customWidth="true" hidden="false" outlineLevel="0" max="6" min="3" style="0" width="15"/>
    <col collapsed="false" customWidth="true" hidden="false" outlineLevel="0" max="7" min="7" style="0" width="3"/>
    <col collapsed="false" customWidth="true" hidden="false" outlineLevel="0" max="8" min="8" style="0" width="58"/>
  </cols>
  <sheetData>
    <row r="1" customFormat="false" ht="17.35" hidden="false" customHeight="false" outlineLevel="0" collapsed="false">
      <c r="A1" s="1" t="s">
        <v>58</v>
      </c>
    </row>
    <row r="2" customFormat="false" ht="15" hidden="false" customHeight="false" outlineLevel="0" collapsed="false">
      <c r="A2" s="2" t="s">
        <v>59</v>
      </c>
    </row>
    <row r="4" customFormat="false" ht="15" hidden="false" customHeight="false" outlineLevel="0" collapsed="false">
      <c r="A4" s="5" t="s">
        <v>60</v>
      </c>
      <c r="H4" s="5" t="s">
        <v>61</v>
      </c>
    </row>
    <row r="5" customFormat="false" ht="15" hidden="false" customHeight="true" outlineLevel="0" collapsed="false">
      <c r="A5" s="6" t="s">
        <v>15</v>
      </c>
      <c r="C5" s="33" t="n">
        <f aca="false">'Funding rates'!D15</f>
        <v>40</v>
      </c>
      <c r="H5" s="3" t="s">
        <v>62</v>
      </c>
    </row>
    <row r="6" customFormat="false" ht="15" hidden="false" customHeight="false" outlineLevel="0" collapsed="false">
      <c r="A6" s="6" t="s">
        <v>20</v>
      </c>
      <c r="C6" s="33" t="n">
        <f aca="false">'Funding rates'!C35</f>
        <v>22.4</v>
      </c>
      <c r="H6" s="3"/>
    </row>
    <row r="7" customFormat="false" ht="15" hidden="false" customHeight="false" outlineLevel="0" collapsed="false">
      <c r="A7" s="22" t="s">
        <v>44</v>
      </c>
      <c r="C7" s="27" t="n">
        <f aca="false">'Funding rates'!C36</f>
        <v>17.6</v>
      </c>
      <c r="H7" s="3"/>
    </row>
    <row r="8" customFormat="false" ht="15" hidden="false" customHeight="false" outlineLevel="0" collapsed="false">
      <c r="A8" s="6" t="s">
        <v>63</v>
      </c>
      <c r="C8" s="24" t="n">
        <v>36</v>
      </c>
      <c r="H8" s="3"/>
    </row>
    <row r="9" customFormat="false" ht="15" hidden="false" customHeight="false" outlineLevel="0" collapsed="false">
      <c r="A9" s="6" t="s">
        <v>64</v>
      </c>
      <c r="C9" s="24" t="n">
        <v>7</v>
      </c>
      <c r="H9" s="3"/>
    </row>
    <row r="10" customFormat="false" ht="15" hidden="false" customHeight="false" outlineLevel="0" collapsed="false">
      <c r="A10" s="6" t="s">
        <v>65</v>
      </c>
      <c r="C10" s="7" t="n">
        <v>0.12</v>
      </c>
      <c r="H10" s="3"/>
    </row>
    <row r="11" customFormat="false" ht="15" hidden="false" customHeight="false" outlineLevel="0" collapsed="false">
      <c r="H11" s="3"/>
    </row>
    <row r="12" customFormat="false" ht="15" hidden="false" customHeight="false" outlineLevel="0" collapsed="false">
      <c r="A12" s="5" t="s">
        <v>66</v>
      </c>
      <c r="H12" s="3"/>
    </row>
    <row r="13" customFormat="false" ht="15" hidden="false" customHeight="false" outlineLevel="0" collapsed="false">
      <c r="A13" s="22" t="s">
        <v>67</v>
      </c>
      <c r="C13" s="27" t="n">
        <f aca="false">C5*C10</f>
        <v>4.8</v>
      </c>
      <c r="H13" s="3"/>
    </row>
    <row r="14" customFormat="false" ht="15" hidden="false" customHeight="false" outlineLevel="0" collapsed="false">
      <c r="A14" s="6" t="s">
        <v>68</v>
      </c>
      <c r="C14" s="12" t="n">
        <f aca="false">C6*C10</f>
        <v>2.688</v>
      </c>
      <c r="H14" s="3"/>
    </row>
    <row r="15" customFormat="false" ht="15" hidden="false" customHeight="false" outlineLevel="0" collapsed="false">
      <c r="A15" s="22" t="s">
        <v>69</v>
      </c>
      <c r="C15" s="27" t="n">
        <f aca="false">C13-C14</f>
        <v>2.112</v>
      </c>
      <c r="H15" s="3"/>
    </row>
    <row r="16" customFormat="false" ht="15" hidden="false" customHeight="false" outlineLevel="0" collapsed="false">
      <c r="A16" s="6" t="s">
        <v>70</v>
      </c>
      <c r="C16" s="12" t="n">
        <f aca="false">C15/C8</f>
        <v>0.0586666666666667</v>
      </c>
      <c r="H16" s="3"/>
    </row>
    <row r="17" customFormat="false" ht="15" hidden="false" customHeight="false" outlineLevel="0" collapsed="false">
      <c r="A17" s="22" t="s">
        <v>71</v>
      </c>
      <c r="C17" s="27" t="n">
        <f aca="false">C15/(C8/12)</f>
        <v>0.704</v>
      </c>
      <c r="H17" s="3"/>
    </row>
    <row r="18" customFormat="false" ht="15" hidden="false" customHeight="false" outlineLevel="0" collapsed="false">
      <c r="A18" s="6" t="s">
        <v>72</v>
      </c>
      <c r="C18" s="12" t="n">
        <f aca="false">C7/C9</f>
        <v>2.51428571428571</v>
      </c>
      <c r="H18" s="3"/>
    </row>
    <row r="19" customFormat="false" ht="15" hidden="false" customHeight="false" outlineLevel="0" collapsed="false">
      <c r="H19" s="3"/>
    </row>
    <row r="20" customFormat="false" ht="15" hidden="false" customHeight="false" outlineLevel="0" collapsed="false">
      <c r="A20" s="5" t="s">
        <v>73</v>
      </c>
      <c r="H20" s="3"/>
    </row>
    <row r="21" customFormat="false" ht="27.75" hidden="false" customHeight="true" outlineLevel="0" collapsed="false">
      <c r="A21" s="10" t="s">
        <v>74</v>
      </c>
      <c r="B21" s="11"/>
      <c r="C21" s="11" t="s">
        <v>75</v>
      </c>
      <c r="D21" s="11" t="s">
        <v>76</v>
      </c>
      <c r="E21" s="11" t="s">
        <v>77</v>
      </c>
      <c r="F21" s="11" t="s">
        <v>78</v>
      </c>
      <c r="H21" s="3"/>
    </row>
    <row r="22" customFormat="false" ht="15" hidden="false" customHeight="false" outlineLevel="0" collapsed="false">
      <c r="A22" s="14" t="s">
        <v>79</v>
      </c>
      <c r="C22" s="15" t="n">
        <v>0.55</v>
      </c>
      <c r="D22" s="16" t="n">
        <f aca="false">C22*$C$15</f>
        <v>1.1616</v>
      </c>
      <c r="E22" s="25" t="n">
        <v>1</v>
      </c>
      <c r="F22" s="34"/>
      <c r="H22" s="3"/>
    </row>
    <row r="23" customFormat="false" ht="15" hidden="false" customHeight="false" outlineLevel="0" collapsed="false">
      <c r="A23" s="6" t="s">
        <v>80</v>
      </c>
      <c r="C23" s="7" t="n">
        <v>0.35</v>
      </c>
      <c r="D23" s="12" t="n">
        <f aca="false">C23*$C$15</f>
        <v>0.7392</v>
      </c>
      <c r="E23" s="24" t="n">
        <v>0</v>
      </c>
      <c r="F23" s="35"/>
      <c r="H23" s="3"/>
    </row>
    <row r="24" customFormat="false" ht="15" hidden="false" customHeight="false" outlineLevel="0" collapsed="false">
      <c r="A24" s="14" t="s">
        <v>81</v>
      </c>
      <c r="C24" s="15" t="n">
        <v>0.1</v>
      </c>
      <c r="D24" s="16" t="n">
        <f aca="false">C24*$C$15</f>
        <v>0.2112</v>
      </c>
      <c r="E24" s="25" t="n">
        <v>0</v>
      </c>
      <c r="F24" s="34"/>
      <c r="H24" s="3"/>
    </row>
    <row r="25" customFormat="false" ht="15" hidden="false" customHeight="false" outlineLevel="0" collapsed="false">
      <c r="A25" s="31" t="s">
        <v>23</v>
      </c>
      <c r="C25" s="26" t="n">
        <f aca="false">SUM(C22:C24)</f>
        <v>1</v>
      </c>
      <c r="D25" s="27" t="n">
        <f aca="false">SUM(D22:D24)</f>
        <v>2.112</v>
      </c>
      <c r="H25" s="3"/>
    </row>
    <row r="26" customFormat="false" ht="15" hidden="false" customHeight="false" outlineLevel="0" collapsed="false">
      <c r="A26" s="31" t="s">
        <v>82</v>
      </c>
      <c r="D26" s="27" t="n">
        <f aca="false">SUMPRODUCT(D22:D24,E22:E24)</f>
        <v>1.1616</v>
      </c>
      <c r="H26" s="3"/>
    </row>
    <row r="27" customFormat="false" ht="15" hidden="false" customHeight="false" outlineLevel="0" collapsed="false">
      <c r="A27" s="31" t="s">
        <v>83</v>
      </c>
      <c r="D27" s="27" t="n">
        <f aca="false">D25-D26</f>
        <v>0.9504</v>
      </c>
      <c r="H27" s="3"/>
    </row>
    <row r="28" customFormat="false" ht="15" hidden="false" customHeight="false" outlineLevel="0" collapsed="false">
      <c r="A28" s="31" t="s">
        <v>84</v>
      </c>
      <c r="D28" s="31" t="str">
        <f aca="false">IF(D27&lt;=0,"yes","NO — "&amp;TEXT(D27,"0.0")&amp;" m unsecured")</f>
        <v>NO — 1.0 m unsecured</v>
      </c>
      <c r="H28" s="3"/>
    </row>
    <row r="29" customFormat="false" ht="15" hidden="false" customHeight="false" outlineLevel="0" collapsed="false">
      <c r="H29" s="3"/>
    </row>
    <row r="30" customFormat="false" ht="15" hidden="false" customHeight="false" outlineLevel="0" collapsed="false">
      <c r="A30" s="5" t="s">
        <v>85</v>
      </c>
      <c r="H30" s="3"/>
    </row>
    <row r="31" customFormat="false" ht="15" hidden="false" customHeight="false" outlineLevel="0" collapsed="false">
      <c r="A31" s="6" t="s">
        <v>86</v>
      </c>
      <c r="C31" s="12" t="n">
        <f aca="false">C15</f>
        <v>2.112</v>
      </c>
      <c r="H31" s="3"/>
    </row>
    <row r="32" customFormat="false" ht="15" hidden="false" customHeight="false" outlineLevel="0" collapsed="false">
      <c r="A32" s="6" t="s">
        <v>87</v>
      </c>
      <c r="C32" s="36" t="n">
        <v>250</v>
      </c>
      <c r="H32" s="3"/>
    </row>
    <row r="33" customFormat="false" ht="15" hidden="false" customHeight="false" outlineLevel="0" collapsed="false">
      <c r="A33" s="6" t="s">
        <v>88</v>
      </c>
      <c r="C33" s="7" t="n">
        <v>0.55</v>
      </c>
      <c r="H33" s="3"/>
    </row>
    <row r="34" customFormat="false" ht="15" hidden="false" customHeight="false" outlineLevel="0" collapsed="false">
      <c r="A34" s="6" t="s">
        <v>89</v>
      </c>
      <c r="C34" s="7" t="n">
        <v>0.12</v>
      </c>
      <c r="H34" s="3"/>
    </row>
    <row r="35" customFormat="false" ht="15" hidden="false" customHeight="false" outlineLevel="0" collapsed="false">
      <c r="A35" s="22" t="s">
        <v>90</v>
      </c>
      <c r="C35" s="27" t="n">
        <f aca="false">C32*C33*C34</f>
        <v>16.5</v>
      </c>
      <c r="H35" s="3"/>
    </row>
    <row r="36" customFormat="false" ht="15" hidden="false" customHeight="false" outlineLevel="0" collapsed="false">
      <c r="A36" s="6" t="s">
        <v>91</v>
      </c>
      <c r="C36" s="7" t="n">
        <v>0.12</v>
      </c>
      <c r="H36" s="3"/>
    </row>
    <row r="37" customFormat="false" ht="15" hidden="false" customHeight="false" outlineLevel="0" collapsed="false">
      <c r="A37" s="22" t="s">
        <v>92</v>
      </c>
      <c r="C37" s="27" t="n">
        <f aca="false">C35*C36</f>
        <v>1.98</v>
      </c>
      <c r="H37" s="3"/>
    </row>
    <row r="38" customFormat="false" ht="15" hidden="false" customHeight="false" outlineLevel="0" collapsed="false">
      <c r="A38" s="22" t="s">
        <v>93</v>
      </c>
      <c r="C38" s="37" t="n">
        <f aca="false">C37/C31</f>
        <v>0.9375</v>
      </c>
      <c r="H38" s="3"/>
    </row>
    <row r="39" customFormat="false" ht="15" hidden="false" customHeight="false" outlineLevel="0" collapsed="false">
      <c r="A39" s="22" t="s">
        <v>94</v>
      </c>
      <c r="C39" s="31" t="str">
        <f aca="false">IF(C38&gt;=1,"the matched spend is recovered by the expected margin","the matched spend is not recovered by margin alone")</f>
        <v>the matched spend is not recovered by margin alone</v>
      </c>
      <c r="H39" s="3"/>
    </row>
    <row r="40" customFormat="false" ht="15" hidden="false" customHeight="false" outlineLevel="0" collapsed="false">
      <c r="A40" s="6" t="s">
        <v>95</v>
      </c>
      <c r="C40" s="2" t="s">
        <v>96</v>
      </c>
      <c r="H40" s="3"/>
    </row>
    <row r="41" customFormat="false" ht="15" hidden="false" customHeight="false" outlineLevel="0" collapsed="false">
      <c r="A41" s="22" t="s">
        <v>97</v>
      </c>
      <c r="C41" s="26" t="n">
        <f aca="false">C31/(C32*C34*C36)</f>
        <v>0.586666666666667</v>
      </c>
      <c r="H41" s="3"/>
    </row>
    <row r="42" customFormat="false" ht="15" hidden="false" customHeight="false" outlineLevel="0" collapsed="false">
      <c r="A42" s="22" t="s">
        <v>98</v>
      </c>
      <c r="C42" s="31" t="str">
        <f aca="false">IF(C41&gt;1,"no — the case cannot be made on margin at all",IF(C41&lt;=C33,"yes — below the probability assumed","it needs a higher probability than assumed"))</f>
        <v>it needs a higher probability than assumed</v>
      </c>
      <c r="H42" s="3"/>
    </row>
    <row r="43" customFormat="false" ht="15" hidden="false" customHeight="false" outlineLevel="0" collapsed="false">
      <c r="H43" s="3"/>
    </row>
    <row r="44" customFormat="false" ht="15" hidden="false" customHeight="false" outlineLevel="0" collapsed="false">
      <c r="A44" s="5" t="s">
        <v>99</v>
      </c>
      <c r="H44" s="3"/>
    </row>
    <row r="45" customFormat="false" ht="15" hidden="false" customHeight="false" outlineLevel="0" collapsed="false">
      <c r="A45" s="6" t="s">
        <v>100</v>
      </c>
      <c r="C45" s="8" t="s">
        <v>101</v>
      </c>
      <c r="H45" s="3"/>
    </row>
    <row r="46" customFormat="false" ht="15" hidden="false" customHeight="false" outlineLevel="0" collapsed="false">
      <c r="A46" s="6" t="s">
        <v>102</v>
      </c>
      <c r="C46" s="21" t="str">
        <f aca="false">IF(LOWER(C45)="lump sum","completion of defined work packages","reimbursement of audited actual costs")</f>
        <v>completion of defined work packages</v>
      </c>
      <c r="H46" s="3"/>
    </row>
    <row r="47" customFormat="false" ht="15" hidden="false" customHeight="false" outlineLevel="0" collapsed="false">
      <c r="A47" s="6" t="s">
        <v>103</v>
      </c>
      <c r="C47" s="21" t="str">
        <f aca="false">IF(LOWER(C45)="lump sum","at proposal stage, in the work-package breakdown — and it is effectively final","during implementation, against actuals")</f>
        <v>at proposal stage, in the work-package breakdown — and it is effectively final</v>
      </c>
    </row>
    <row r="48" customFormat="false" ht="15" hidden="false" customHeight="false" outlineLevel="0" collapsed="false">
      <c r="A48" s="22" t="s">
        <v>104</v>
      </c>
      <c r="C48" s="31" t="str">
        <f aca="false">IF(LOWER(C45)="lump sum","you will deliver it at a loss","recoverable, if the costs are eligible")</f>
        <v>you will deliver it at a loss</v>
      </c>
    </row>
    <row r="49" customFormat="false" ht="15" hidden="false" customHeight="false" outlineLevel="0" collapsed="false">
      <c r="A49" s="6" t="s">
        <v>105</v>
      </c>
      <c r="C49" s="7" t="n">
        <v>0.08</v>
      </c>
    </row>
    <row r="50" customFormat="false" ht="15" hidden="false" customHeight="false" outlineLevel="0" collapsed="false">
      <c r="A50" s="6" t="s">
        <v>106</v>
      </c>
      <c r="C50" s="12" t="n">
        <f aca="false">C13*C49</f>
        <v>0.384</v>
      </c>
    </row>
  </sheetData>
  <mergeCells count="1">
    <mergeCell ref="H5:H4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8"/>
    <col collapsed="false" customWidth="true" hidden="false" outlineLevel="0" max="2" min="2" style="0" width="6"/>
    <col collapsed="false" customWidth="true" hidden="false" outlineLevel="0" max="6" min="3" style="0" width="15"/>
    <col collapsed="false" customWidth="true" hidden="false" outlineLevel="0" max="7" min="7" style="0" width="3"/>
    <col collapsed="false" customWidth="true" hidden="false" outlineLevel="0" max="8" min="8" style="0" width="58"/>
  </cols>
  <sheetData>
    <row r="1" customFormat="false" ht="17.35" hidden="false" customHeight="false" outlineLevel="0" collapsed="false">
      <c r="A1" s="1" t="s">
        <v>107</v>
      </c>
    </row>
    <row r="2" customFormat="false" ht="15" hidden="false" customHeight="false" outlineLevel="0" collapsed="false">
      <c r="A2" s="2" t="s">
        <v>108</v>
      </c>
    </row>
    <row r="4" customFormat="false" ht="15" hidden="false" customHeight="false" outlineLevel="0" collapsed="false">
      <c r="A4" s="5" t="s">
        <v>109</v>
      </c>
      <c r="H4" s="5" t="s">
        <v>110</v>
      </c>
    </row>
    <row r="5" customFormat="false" ht="15" hidden="false" customHeight="true" outlineLevel="0" collapsed="false">
      <c r="A5" s="6" t="s">
        <v>111</v>
      </c>
      <c r="C5" s="9" t="n">
        <v>1.5</v>
      </c>
      <c r="H5" s="3" t="s">
        <v>112</v>
      </c>
    </row>
    <row r="6" customFormat="false" ht="15" hidden="false" customHeight="false" outlineLevel="0" collapsed="false">
      <c r="A6" s="6" t="s">
        <v>113</v>
      </c>
      <c r="C6" s="38" t="n">
        <v>1.2</v>
      </c>
      <c r="H6" s="3"/>
    </row>
    <row r="7" customFormat="false" ht="15" hidden="false" customHeight="false" outlineLevel="0" collapsed="false">
      <c r="A7" s="6" t="s">
        <v>114</v>
      </c>
      <c r="C7" s="38" t="n">
        <v>0.3</v>
      </c>
      <c r="H7" s="3"/>
    </row>
    <row r="8" customFormat="false" ht="15" hidden="false" customHeight="false" outlineLevel="0" collapsed="false">
      <c r="A8" s="22" t="s">
        <v>115</v>
      </c>
      <c r="C8" s="27" t="n">
        <f aca="false">C6+C7</f>
        <v>1.5</v>
      </c>
      <c r="H8" s="3"/>
    </row>
    <row r="9" customFormat="false" ht="15" hidden="false" customHeight="false" outlineLevel="0" collapsed="false">
      <c r="A9" s="6" t="s">
        <v>116</v>
      </c>
      <c r="C9" s="2" t="s">
        <v>117</v>
      </c>
      <c r="H9" s="3"/>
    </row>
    <row r="10" customFormat="false" ht="15" hidden="false" customHeight="false" outlineLevel="0" collapsed="false">
      <c r="H10" s="3"/>
    </row>
    <row r="11" customFormat="false" ht="15" hidden="false" customHeight="false" outlineLevel="0" collapsed="false">
      <c r="A11" s="5" t="s">
        <v>118</v>
      </c>
      <c r="H11" s="3"/>
    </row>
    <row r="12" customFormat="false" ht="27.75" hidden="false" customHeight="true" outlineLevel="0" collapsed="false">
      <c r="A12" s="10" t="s">
        <v>119</v>
      </c>
      <c r="B12" s="11"/>
      <c r="C12" s="11" t="s">
        <v>120</v>
      </c>
      <c r="D12" s="11" t="s">
        <v>121</v>
      </c>
      <c r="E12" s="11" t="s">
        <v>122</v>
      </c>
      <c r="F12" s="11" t="s">
        <v>123</v>
      </c>
      <c r="H12" s="3"/>
    </row>
    <row r="13" customFormat="false" ht="15" hidden="false" customHeight="false" outlineLevel="0" collapsed="false">
      <c r="A13" s="6" t="s">
        <v>124</v>
      </c>
      <c r="C13" s="7" t="n">
        <v>0.15</v>
      </c>
      <c r="D13" s="39" t="n">
        <f aca="false">C13*$C$5*1000</f>
        <v>225</v>
      </c>
      <c r="E13" s="7" t="n">
        <v>0.15</v>
      </c>
      <c r="F13" s="7" t="n">
        <v>0.25</v>
      </c>
      <c r="H13" s="3"/>
    </row>
    <row r="14" customFormat="false" ht="15" hidden="false" customHeight="false" outlineLevel="0" collapsed="false">
      <c r="A14" s="14" t="s">
        <v>125</v>
      </c>
      <c r="C14" s="15" t="n">
        <v>0.3</v>
      </c>
      <c r="D14" s="40" t="n">
        <f aca="false">C14*$C$5*1000</f>
        <v>450</v>
      </c>
      <c r="E14" s="15" t="n">
        <v>0.35</v>
      </c>
      <c r="F14" s="15" t="n">
        <v>0.5</v>
      </c>
      <c r="H14" s="3"/>
    </row>
    <row r="15" customFormat="false" ht="15" hidden="false" customHeight="false" outlineLevel="0" collapsed="false">
      <c r="A15" s="6" t="s">
        <v>126</v>
      </c>
      <c r="C15" s="7" t="n">
        <v>0.25</v>
      </c>
      <c r="D15" s="39" t="n">
        <f aca="false">C15*$C$5*1000</f>
        <v>375</v>
      </c>
      <c r="E15" s="7" t="n">
        <v>1</v>
      </c>
      <c r="F15" s="7" t="n">
        <v>1</v>
      </c>
      <c r="H15" s="3"/>
    </row>
    <row r="16" customFormat="false" ht="15" hidden="false" customHeight="false" outlineLevel="0" collapsed="false">
      <c r="A16" s="5" t="s">
        <v>127</v>
      </c>
      <c r="H16" s="3"/>
    </row>
    <row r="17" customFormat="false" ht="15" hidden="false" customHeight="false" outlineLevel="0" collapsed="false">
      <c r="A17" s="6" t="s">
        <v>128</v>
      </c>
      <c r="C17" s="41" t="s">
        <v>129</v>
      </c>
      <c r="H17" s="3"/>
    </row>
    <row r="18" customFormat="false" ht="15" hidden="false" customHeight="false" outlineLevel="0" collapsed="false">
      <c r="A18" s="6" t="s">
        <v>130</v>
      </c>
      <c r="C18" s="41" t="s">
        <v>131</v>
      </c>
      <c r="H18" s="3"/>
    </row>
    <row r="19" customFormat="false" ht="15" hidden="false" customHeight="false" outlineLevel="0" collapsed="false">
      <c r="A19" s="6" t="s">
        <v>132</v>
      </c>
      <c r="C19" s="41" t="s">
        <v>133</v>
      </c>
      <c r="H19" s="3"/>
    </row>
    <row r="20" customFormat="false" ht="15" hidden="false" customHeight="false" outlineLevel="0" collapsed="false">
      <c r="H20" s="3"/>
    </row>
    <row r="21" customFormat="false" ht="15" hidden="false" customHeight="false" outlineLevel="0" collapsed="false">
      <c r="A21" s="5" t="s">
        <v>134</v>
      </c>
      <c r="H21" s="3"/>
    </row>
    <row r="22" customFormat="false" ht="15" hidden="false" customHeight="false" outlineLevel="0" collapsed="false">
      <c r="A22" s="6" t="s">
        <v>135</v>
      </c>
      <c r="C22" s="36" t="n">
        <v>60</v>
      </c>
      <c r="H22" s="3"/>
    </row>
    <row r="23" customFormat="false" ht="15" hidden="false" customHeight="false" outlineLevel="0" collapsed="false">
      <c r="A23" s="6" t="s">
        <v>119</v>
      </c>
      <c r="C23" s="8" t="s">
        <v>136</v>
      </c>
      <c r="H23" s="3"/>
    </row>
    <row r="24" customFormat="false" ht="15" hidden="false" customHeight="false" outlineLevel="0" collapsed="false">
      <c r="A24" s="6" t="s">
        <v>137</v>
      </c>
      <c r="C24" s="13" t="n">
        <f aca="false">IF(LOWER(C23)="common procurement",E13,IF(LOWER(C23)="industrial reinforcement",E14,E15))</f>
        <v>0.35</v>
      </c>
      <c r="H24" s="3"/>
    </row>
    <row r="25" customFormat="false" ht="15" hidden="false" customHeight="false" outlineLevel="0" collapsed="false">
      <c r="A25" s="6" t="s">
        <v>138</v>
      </c>
      <c r="C25" s="13" t="n">
        <f aca="false">IF(LOWER(C23)="common procurement",F13,IF(LOWER(C23)="industrial reinforcement",F14,F15))</f>
        <v>0.5</v>
      </c>
      <c r="H25" s="3"/>
    </row>
    <row r="26" customFormat="false" ht="15" hidden="false" customHeight="false" outlineLevel="0" collapsed="false">
      <c r="A26" s="22" t="s">
        <v>139</v>
      </c>
      <c r="C26" s="27" t="n">
        <f aca="false">C22*C24</f>
        <v>21</v>
      </c>
      <c r="H26" s="3"/>
    </row>
    <row r="27" customFormat="false" ht="15" hidden="false" customHeight="false" outlineLevel="0" collapsed="false">
      <c r="A27" s="22" t="s">
        <v>140</v>
      </c>
      <c r="C27" s="27" t="n">
        <f aca="false">C22*C25</f>
        <v>30</v>
      </c>
      <c r="H27" s="3"/>
    </row>
    <row r="28" customFormat="false" ht="15" hidden="false" customHeight="false" outlineLevel="0" collapsed="false">
      <c r="A28" s="22" t="s">
        <v>141</v>
      </c>
      <c r="C28" s="27" t="n">
        <f aca="false">C27-C26</f>
        <v>9</v>
      </c>
      <c r="H28" s="3"/>
    </row>
    <row r="29" customFormat="false" ht="15" hidden="false" customHeight="false" outlineLevel="0" collapsed="false">
      <c r="A29" s="22" t="s">
        <v>142</v>
      </c>
      <c r="C29" s="26" t="n">
        <f aca="false">C28/C22</f>
        <v>0.15</v>
      </c>
      <c r="H29" s="3"/>
    </row>
    <row r="30" customFormat="false" ht="15" hidden="false" customHeight="false" outlineLevel="0" collapsed="false">
      <c r="A30" s="6" t="s">
        <v>143</v>
      </c>
      <c r="C30" s="12" t="n">
        <f aca="false">C22-C26</f>
        <v>39</v>
      </c>
      <c r="H30" s="3"/>
    </row>
    <row r="31" customFormat="false" ht="15" hidden="false" customHeight="false" outlineLevel="0" collapsed="false">
      <c r="A31" s="6" t="s">
        <v>144</v>
      </c>
      <c r="C31" s="12" t="n">
        <f aca="false">C22-C27</f>
        <v>30</v>
      </c>
      <c r="H31" s="3"/>
    </row>
    <row r="32" customFormat="false" ht="15" hidden="false" customHeight="false" outlineLevel="0" collapsed="false">
      <c r="A32" s="22" t="s">
        <v>145</v>
      </c>
      <c r="C32" s="26" t="n">
        <f aca="false">1-C31/C30</f>
        <v>0.230769230769231</v>
      </c>
      <c r="H32" s="3"/>
    </row>
    <row r="33" customFormat="false" ht="15" hidden="false" customHeight="false" outlineLevel="0" collapsed="false">
      <c r="H33" s="3"/>
    </row>
    <row r="34" customFormat="false" ht="15" hidden="false" customHeight="false" outlineLevel="0" collapsed="false">
      <c r="A34" s="5" t="s">
        <v>146</v>
      </c>
      <c r="H34" s="3"/>
    </row>
    <row r="35" customFormat="false" ht="15" hidden="false" customHeight="false" outlineLevel="0" collapsed="false">
      <c r="A35" s="6" t="s">
        <v>147</v>
      </c>
      <c r="C35" s="36" t="n">
        <v>165</v>
      </c>
      <c r="H35" s="3"/>
    </row>
    <row r="36" customFormat="false" ht="15" hidden="false" customHeight="false" outlineLevel="0" collapsed="false">
      <c r="A36" s="6" t="s">
        <v>148</v>
      </c>
      <c r="C36" s="36" t="n">
        <v>470</v>
      </c>
      <c r="H36" s="3"/>
    </row>
    <row r="37" customFormat="false" ht="15" hidden="false" customHeight="false" outlineLevel="0" collapsed="false">
      <c r="A37" s="22" t="s">
        <v>149</v>
      </c>
      <c r="C37" s="23" t="n">
        <f aca="false">C35/C36</f>
        <v>0.351063829787234</v>
      </c>
      <c r="H37" s="3"/>
    </row>
    <row r="38" customFormat="false" ht="15" hidden="false" customHeight="false" outlineLevel="0" collapsed="false">
      <c r="A38" s="22" t="s">
        <v>150</v>
      </c>
      <c r="C38" s="31" t="str">
        <f aca="false">IF(ABS(C37-0.15)&lt;0.02,"common procurement, base",IF(ABS(C37-0.25)&lt;0.02,"common procurement, higher",IF(ABS(C37-0.35)&lt;0.02,"industrial reinforcement, base",IF(ABS(C37-0.5)&lt;0.02,"industrial reinforcement, higher",IF(C37&gt;0.9,"projects of common interest","no clean match — check the call")))))</f>
        <v>industrial reinforcement, base</v>
      </c>
      <c r="H38" s="3"/>
    </row>
    <row r="39" customFormat="false" ht="15" hidden="false" customHeight="false" outlineLevel="0" collapsed="false">
      <c r="A39" s="22" t="s">
        <v>151</v>
      </c>
      <c r="C39" s="42" t="n">
        <f aca="false">C36-C35</f>
        <v>305</v>
      </c>
      <c r="H39" s="3"/>
    </row>
    <row r="40" customFormat="false" ht="15" hidden="false" customHeight="false" outlineLevel="0" collapsed="false">
      <c r="H40" s="3"/>
    </row>
    <row r="41" customFormat="false" ht="15" hidden="false" customHeight="false" outlineLevel="0" collapsed="false">
      <c r="H41" s="3"/>
    </row>
    <row r="42" customFormat="false" ht="15" hidden="false" customHeight="false" outlineLevel="0" collapsed="false">
      <c r="H42" s="3"/>
    </row>
    <row r="43" customFormat="false" ht="15" hidden="false" customHeight="false" outlineLevel="0" collapsed="false">
      <c r="H43" s="3"/>
    </row>
    <row r="44" customFormat="false" ht="15" hidden="false" customHeight="false" outlineLevel="0" collapsed="false">
      <c r="H44" s="3"/>
    </row>
  </sheetData>
  <mergeCells count="1">
    <mergeCell ref="H5:H4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4"/>
    <col collapsed="false" customWidth="true" hidden="false" outlineLevel="0" max="2" min="2" style="0" width="6"/>
    <col collapsed="false" customWidth="true" hidden="false" outlineLevel="0" max="6" min="3" style="0" width="14"/>
    <col collapsed="false" customWidth="true" hidden="false" outlineLevel="0" max="7" min="7" style="0" width="16"/>
    <col collapsed="false" customWidth="true" hidden="false" outlineLevel="0" max="8" min="8" style="0" width="3"/>
    <col collapsed="false" customWidth="true" hidden="false" outlineLevel="0" max="9" min="9" style="0" width="58"/>
  </cols>
  <sheetData>
    <row r="1" customFormat="false" ht="17.35" hidden="false" customHeight="false" outlineLevel="0" collapsed="false">
      <c r="A1" s="1" t="s">
        <v>152</v>
      </c>
    </row>
    <row r="2" customFormat="false" ht="15" hidden="false" customHeight="false" outlineLevel="0" collapsed="false">
      <c r="A2" s="2" t="s">
        <v>153</v>
      </c>
    </row>
    <row r="4" customFormat="false" ht="15" hidden="false" customHeight="false" outlineLevel="0" collapsed="false">
      <c r="A4" s="5" t="s">
        <v>154</v>
      </c>
      <c r="I4" s="5" t="s">
        <v>155</v>
      </c>
    </row>
    <row r="5" customFormat="false" ht="15" hidden="false" customHeight="true" outlineLevel="0" collapsed="false">
      <c r="A5" s="6" t="s">
        <v>156</v>
      </c>
      <c r="C5" s="36" t="n">
        <v>27</v>
      </c>
      <c r="I5" s="3" t="s">
        <v>157</v>
      </c>
    </row>
    <row r="6" customFormat="false" ht="15" hidden="false" customHeight="false" outlineLevel="0" collapsed="false">
      <c r="A6" s="6" t="s">
        <v>158</v>
      </c>
      <c r="C6" s="9" t="n">
        <v>3</v>
      </c>
      <c r="I6" s="3"/>
    </row>
    <row r="7" customFormat="false" ht="15" hidden="false" customHeight="false" outlineLevel="0" collapsed="false">
      <c r="A7" s="6" t="s">
        <v>159</v>
      </c>
      <c r="C7" s="29" t="n">
        <v>1</v>
      </c>
      <c r="I7" s="3"/>
    </row>
    <row r="8" customFormat="false" ht="15" hidden="false" customHeight="false" outlineLevel="0" collapsed="false">
      <c r="A8" s="6" t="s">
        <v>160</v>
      </c>
      <c r="C8" s="43" t="n">
        <v>4</v>
      </c>
      <c r="I8" s="3"/>
    </row>
    <row r="9" customFormat="false" ht="15" hidden="false" customHeight="false" outlineLevel="0" collapsed="false">
      <c r="A9" s="6" t="s">
        <v>161</v>
      </c>
      <c r="C9" s="43" t="n">
        <v>12</v>
      </c>
      <c r="I9" s="3"/>
    </row>
    <row r="10" customFormat="false" ht="15" hidden="false" customHeight="false" outlineLevel="0" collapsed="false">
      <c r="A10" s="6" t="s">
        <v>162</v>
      </c>
      <c r="C10" s="43" t="n">
        <v>24</v>
      </c>
      <c r="I10" s="3"/>
    </row>
    <row r="11" customFormat="false" ht="15" hidden="false" customHeight="false" outlineLevel="0" collapsed="false">
      <c r="A11" s="6" t="s">
        <v>163</v>
      </c>
      <c r="C11" s="43" t="n">
        <v>50</v>
      </c>
      <c r="I11" s="3"/>
    </row>
    <row r="12" customFormat="false" ht="15" hidden="false" customHeight="false" outlineLevel="0" collapsed="false">
      <c r="A12" s="22" t="s">
        <v>164</v>
      </c>
      <c r="C12" s="44" t="n">
        <f aca="false">C5/C6</f>
        <v>9</v>
      </c>
      <c r="I12" s="3"/>
    </row>
    <row r="13" customFormat="false" ht="15" hidden="false" customHeight="false" outlineLevel="0" collapsed="false">
      <c r="A13" s="6" t="s">
        <v>165</v>
      </c>
      <c r="C13" s="12" t="n">
        <f aca="false">C11/C6</f>
        <v>16.6666666666667</v>
      </c>
      <c r="I13" s="3"/>
    </row>
    <row r="14" customFormat="false" ht="15" hidden="false" customHeight="false" outlineLevel="0" collapsed="false">
      <c r="I14" s="3"/>
    </row>
    <row r="15" customFormat="false" ht="15" hidden="false" customHeight="false" outlineLevel="0" collapsed="false">
      <c r="A15" s="5" t="s">
        <v>166</v>
      </c>
      <c r="I15" s="3"/>
    </row>
    <row r="16" customFormat="false" ht="27.75" hidden="false" customHeight="true" outlineLevel="0" collapsed="false">
      <c r="A16" s="10" t="s">
        <v>167</v>
      </c>
      <c r="B16" s="11"/>
      <c r="C16" s="11" t="s">
        <v>168</v>
      </c>
      <c r="D16" s="11" t="s">
        <v>169</v>
      </c>
      <c r="E16" s="11" t="s">
        <v>170</v>
      </c>
      <c r="F16" s="11" t="s">
        <v>171</v>
      </c>
      <c r="G16" s="11" t="s">
        <v>172</v>
      </c>
      <c r="I16" s="3"/>
    </row>
    <row r="17" customFormat="false" ht="15" hidden="false" customHeight="false" outlineLevel="0" collapsed="false">
      <c r="A17" s="6" t="s">
        <v>173</v>
      </c>
      <c r="C17" s="24" t="n">
        <v>2</v>
      </c>
      <c r="D17" s="43" t="n">
        <v>5</v>
      </c>
      <c r="E17" s="9" t="n">
        <v>4.2</v>
      </c>
      <c r="F17" s="12" t="n">
        <f aca="false">C17*E17</f>
        <v>8.4</v>
      </c>
      <c r="G17" s="9" t="n">
        <v>4</v>
      </c>
      <c r="I17" s="3"/>
    </row>
    <row r="18" customFormat="false" ht="15" hidden="false" customHeight="false" outlineLevel="0" collapsed="false">
      <c r="A18" s="14" t="s">
        <v>174</v>
      </c>
      <c r="C18" s="25" t="n">
        <v>2</v>
      </c>
      <c r="D18" s="25" t="n">
        <v>5</v>
      </c>
      <c r="E18" s="45" t="n">
        <v>3.8</v>
      </c>
      <c r="F18" s="16" t="n">
        <f aca="false">C18*E18</f>
        <v>7.6</v>
      </c>
      <c r="G18" s="46"/>
      <c r="I18" s="3"/>
    </row>
    <row r="19" customFormat="false" ht="15" hidden="false" customHeight="false" outlineLevel="0" collapsed="false">
      <c r="A19" s="6" t="s">
        <v>175</v>
      </c>
      <c r="C19" s="24" t="n">
        <v>1</v>
      </c>
      <c r="D19" s="43" t="n">
        <v>5</v>
      </c>
      <c r="E19" s="9" t="n">
        <v>4.5</v>
      </c>
      <c r="F19" s="12" t="n">
        <f aca="false">C19*E19</f>
        <v>4.5</v>
      </c>
      <c r="I19" s="3"/>
    </row>
    <row r="20" customFormat="false" ht="15" hidden="false" customHeight="false" outlineLevel="0" collapsed="false">
      <c r="A20" s="18" t="s">
        <v>23</v>
      </c>
      <c r="C20" s="47" t="n">
        <f aca="false">SUM(C17:C19)</f>
        <v>5</v>
      </c>
      <c r="D20" s="20" t="n">
        <f aca="false">SUMPRODUCT(C17:C19,D17:D19)</f>
        <v>25</v>
      </c>
      <c r="F20" s="20" t="n">
        <f aca="false">SUM(F17:F19)</f>
        <v>20.5</v>
      </c>
      <c r="I20" s="3"/>
    </row>
    <row r="21" customFormat="false" ht="15" hidden="false" customHeight="false" outlineLevel="0" collapsed="false">
      <c r="A21" s="22" t="s">
        <v>176</v>
      </c>
      <c r="C21" s="27" t="n">
        <f aca="false">D20</f>
        <v>25</v>
      </c>
      <c r="I21" s="3"/>
    </row>
    <row r="22" customFormat="false" ht="15" hidden="false" customHeight="false" outlineLevel="0" collapsed="false">
      <c r="A22" s="22" t="s">
        <v>177</v>
      </c>
      <c r="C22" s="31" t="str">
        <f aca="false">IF(ABS(C21-25)&lt;0.001,"yes — weights of 2, 2 and 1 on a five-point scale give 25","no")</f>
        <v>yes — weights of 2, 2 and 1 on a five-point scale give 25</v>
      </c>
      <c r="I22" s="3"/>
    </row>
    <row r="23" customFormat="false" ht="15" hidden="false" customHeight="false" outlineLevel="0" collapsed="false">
      <c r="A23" s="6" t="s">
        <v>178</v>
      </c>
      <c r="C23" s="9" t="n">
        <v>18</v>
      </c>
      <c r="I23" s="3"/>
    </row>
    <row r="24" customFormat="false" ht="15" hidden="false" customHeight="false" outlineLevel="0" collapsed="false">
      <c r="A24" s="6" t="s">
        <v>179</v>
      </c>
      <c r="C24" s="13" t="n">
        <f aca="false">C23/C21</f>
        <v>0.72</v>
      </c>
      <c r="I24" s="3"/>
    </row>
    <row r="25" customFormat="false" ht="15" hidden="false" customHeight="false" outlineLevel="0" collapsed="false">
      <c r="A25" s="22" t="s">
        <v>180</v>
      </c>
      <c r="C25" s="27" t="n">
        <f aca="false">F20</f>
        <v>20.5</v>
      </c>
      <c r="I25" s="3"/>
    </row>
    <row r="26" customFormat="false" ht="15" hidden="false" customHeight="false" outlineLevel="0" collapsed="false">
      <c r="A26" s="22" t="s">
        <v>181</v>
      </c>
      <c r="C26" s="27" t="n">
        <f aca="false">C25-C23</f>
        <v>2.5</v>
      </c>
      <c r="I26" s="3"/>
    </row>
    <row r="27" customFormat="false" ht="15" hidden="false" customHeight="false" outlineLevel="0" collapsed="false">
      <c r="A27" s="22" t="s">
        <v>182</v>
      </c>
      <c r="C27" s="31" t="str">
        <f aca="false">IF(C25&gt;=C23,"yes","no")</f>
        <v>yes</v>
      </c>
      <c r="I27" s="3"/>
    </row>
    <row r="28" customFormat="false" ht="15" hidden="false" customHeight="false" outlineLevel="0" collapsed="false">
      <c r="A28" s="6" t="s">
        <v>183</v>
      </c>
      <c r="C28" s="48" t="n">
        <f aca="false">COUNT(G17:G19)</f>
        <v>1</v>
      </c>
      <c r="I28" s="3"/>
    </row>
    <row r="29" customFormat="false" ht="15" hidden="false" customHeight="false" outlineLevel="0" collapsed="false">
      <c r="A29" s="22" t="s">
        <v>184</v>
      </c>
      <c r="C29" s="44" t="n">
        <f aca="false">SUMPRODUCT((G17:G19&lt;&gt;"")*(E17:E19&lt;N(G17:G19)))</f>
        <v>0</v>
      </c>
      <c r="I29" s="3"/>
    </row>
    <row r="30" customFormat="false" ht="15" hidden="false" customHeight="false" outlineLevel="0" collapsed="false">
      <c r="A30" s="22" t="s">
        <v>185</v>
      </c>
      <c r="C30" s="31" t="str">
        <f aca="false">IF(C25&lt;C23,"rejected — below the overall pass mark",IF(C29&gt;0,"REJECTED — clears the overall mark and fails a criterion threshold","passes both tests"))</f>
        <v>passes both tests</v>
      </c>
      <c r="I30" s="3"/>
    </row>
    <row r="31" customFormat="false" ht="15" hidden="false" customHeight="false" outlineLevel="0" collapsed="false">
      <c r="I31" s="3"/>
    </row>
    <row r="32" customFormat="false" ht="15" hidden="false" customHeight="false" outlineLevel="0" collapsed="false">
      <c r="A32" s="5" t="s">
        <v>186</v>
      </c>
      <c r="I32" s="3"/>
    </row>
    <row r="33" customFormat="false" ht="27.75" hidden="false" customHeight="true" outlineLevel="0" collapsed="false">
      <c r="A33" s="10" t="s">
        <v>187</v>
      </c>
      <c r="B33" s="11"/>
      <c r="C33" s="11" t="s">
        <v>173</v>
      </c>
      <c r="D33" s="11" t="s">
        <v>174</v>
      </c>
      <c r="E33" s="11" t="s">
        <v>188</v>
      </c>
      <c r="F33" s="11" t="s">
        <v>189</v>
      </c>
      <c r="G33" s="11" t="s">
        <v>185</v>
      </c>
      <c r="I33" s="3"/>
    </row>
    <row r="34" customFormat="false" ht="15" hidden="false" customHeight="false" outlineLevel="0" collapsed="false">
      <c r="A34" s="14" t="s">
        <v>190</v>
      </c>
      <c r="C34" s="45" t="n">
        <v>4.2</v>
      </c>
      <c r="D34" s="45" t="n">
        <v>3.8</v>
      </c>
      <c r="E34" s="45" t="n">
        <v>4.5</v>
      </c>
      <c r="F34" s="16" t="n">
        <f aca="false">$C$17*C34+$C$18*D34+$C$19*E34</f>
        <v>20.5</v>
      </c>
      <c r="G34" s="49" t="str">
        <f aca="false">IF(F34&lt;$C$23,"below the overall mark",IF(C34&lt;$G$17,"REJECTED on Excellence","passes"))</f>
        <v>passes</v>
      </c>
      <c r="I34" s="3"/>
    </row>
    <row r="35" customFormat="false" ht="15" hidden="false" customHeight="false" outlineLevel="0" collapsed="false">
      <c r="A35" s="6" t="s">
        <v>191</v>
      </c>
      <c r="C35" s="38" t="n">
        <v>3.8</v>
      </c>
      <c r="D35" s="38" t="n">
        <v>4.6</v>
      </c>
      <c r="E35" s="38" t="n">
        <v>4.8</v>
      </c>
      <c r="F35" s="12" t="n">
        <f aca="false">$C$17*C35+$C$18*D35+$C$19*E35</f>
        <v>21.6</v>
      </c>
      <c r="G35" s="31" t="str">
        <f aca="false">IF(F35&lt;$C$23,"below the overall mark",IF(C35&lt;$G$17,"REJECTED on Excellence","passes"))</f>
        <v>REJECTED on Excellence</v>
      </c>
      <c r="I35" s="3"/>
    </row>
    <row r="36" customFormat="false" ht="15" hidden="false" customHeight="false" outlineLevel="0" collapsed="false">
      <c r="A36" s="14" t="s">
        <v>192</v>
      </c>
      <c r="C36" s="45" t="n">
        <v>4.6</v>
      </c>
      <c r="D36" s="45" t="n">
        <v>2.6</v>
      </c>
      <c r="E36" s="45" t="n">
        <v>2.8</v>
      </c>
      <c r="F36" s="16" t="n">
        <f aca="false">$C$17*C36+$C$18*D36+$C$19*E36</f>
        <v>17.2</v>
      </c>
      <c r="G36" s="49" t="str">
        <f aca="false">IF(F36&lt;$C$23,"below the overall mark",IF(C36&lt;$G$17,"REJECTED on Excellence","passes"))</f>
        <v>below the overall mark</v>
      </c>
      <c r="I36" s="3"/>
    </row>
    <row r="37" customFormat="false" ht="15" hidden="false" customHeight="false" outlineLevel="0" collapsed="false">
      <c r="A37" s="6" t="s">
        <v>193</v>
      </c>
      <c r="C37" s="38" t="n">
        <v>4</v>
      </c>
      <c r="D37" s="38" t="n">
        <v>3.5</v>
      </c>
      <c r="E37" s="38" t="n">
        <v>3</v>
      </c>
      <c r="F37" s="12" t="n">
        <f aca="false">$C$17*C37+$C$18*D37+$C$19*E37</f>
        <v>18</v>
      </c>
      <c r="G37" s="31" t="str">
        <f aca="false">IF(F37&lt;$C$23,"below the overall mark",IF(C37&lt;$G$17,"REJECTED on Excellence","passes"))</f>
        <v>passes</v>
      </c>
      <c r="I37" s="3"/>
    </row>
    <row r="38" customFormat="false" ht="15" hidden="false" customHeight="false" outlineLevel="0" collapsed="false">
      <c r="I38" s="3"/>
    </row>
    <row r="39" customFormat="false" ht="15" hidden="false" customHeight="false" outlineLevel="0" collapsed="false">
      <c r="A39" s="22" t="s">
        <v>194</v>
      </c>
      <c r="C39" s="44" t="n">
        <f aca="false">COUNTIF(F34:F37,"&gt;="&amp;C23)</f>
        <v>3</v>
      </c>
      <c r="I39" s="3"/>
    </row>
    <row r="40" customFormat="false" ht="15" hidden="false" customHeight="false" outlineLevel="0" collapsed="false">
      <c r="A40" s="22" t="s">
        <v>195</v>
      </c>
      <c r="C40" s="44" t="n">
        <f aca="false">COUNTIF(G34:G37,"REJECTED on Excellence")</f>
        <v>1</v>
      </c>
      <c r="I40" s="3"/>
    </row>
    <row r="41" customFormat="false" ht="15" hidden="false" customHeight="false" outlineLevel="0" collapsed="false">
      <c r="A41" s="22" t="s">
        <v>196</v>
      </c>
      <c r="C41" s="31" t="s">
        <v>197</v>
      </c>
      <c r="I41" s="3"/>
    </row>
    <row r="42" customFormat="false" ht="15" hidden="false" customHeight="false" outlineLevel="0" collapsed="false">
      <c r="A42" s="6" t="s">
        <v>198</v>
      </c>
      <c r="C42" s="12" t="n">
        <f aca="false">MAX(0,$G$17-C35)</f>
        <v>0.2</v>
      </c>
      <c r="I42" s="3"/>
    </row>
    <row r="43" customFormat="false" ht="15" hidden="false" customHeight="false" outlineLevel="0" collapsed="false">
      <c r="I43" s="3"/>
    </row>
    <row r="44" customFormat="false" ht="15" hidden="false" customHeight="false" outlineLevel="0" collapsed="false">
      <c r="I44" s="3"/>
    </row>
    <row r="45" customFormat="false" ht="15" hidden="false" customHeight="false" outlineLevel="0" collapsed="false">
      <c r="I45" s="3"/>
    </row>
    <row r="46" customFormat="false" ht="15" hidden="false" customHeight="false" outlineLevel="0" collapsed="false">
      <c r="I46" s="3"/>
    </row>
  </sheetData>
  <mergeCells count="1">
    <mergeCell ref="I5:I4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4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0"/>
    <col collapsed="false" customWidth="true" hidden="false" outlineLevel="0" max="2" min="2" style="0" width="44"/>
    <col collapsed="false" customWidth="true" hidden="false" outlineLevel="0" max="5" min="3" style="0" width="18"/>
    <col collapsed="false" customWidth="true" hidden="false" outlineLevel="0" max="6" min="6" style="0" width="3"/>
    <col collapsed="false" customWidth="true" hidden="false" outlineLevel="0" max="7" min="7" style="0" width="58"/>
  </cols>
  <sheetData>
    <row r="1" customFormat="false" ht="17.35" hidden="false" customHeight="false" outlineLevel="0" collapsed="false">
      <c r="A1" s="1" t="s">
        <v>199</v>
      </c>
    </row>
    <row r="2" customFormat="false" ht="15" hidden="false" customHeight="false" outlineLevel="0" collapsed="false">
      <c r="A2" s="2" t="s">
        <v>200</v>
      </c>
    </row>
    <row r="4" customFormat="false" ht="27.75" hidden="false" customHeight="true" outlineLevel="0" collapsed="false">
      <c r="A4" s="10" t="s">
        <v>201</v>
      </c>
      <c r="B4" s="11" t="s">
        <v>202</v>
      </c>
      <c r="C4" s="11" t="s">
        <v>203</v>
      </c>
      <c r="D4" s="11" t="s">
        <v>204</v>
      </c>
      <c r="E4" s="11" t="s">
        <v>205</v>
      </c>
      <c r="G4" s="5" t="s">
        <v>206</v>
      </c>
    </row>
    <row r="5" customFormat="false" ht="15" hidden="false" customHeight="true" outlineLevel="0" collapsed="false">
      <c r="A5" s="21" t="s">
        <v>207</v>
      </c>
      <c r="B5" s="21" t="s">
        <v>208</v>
      </c>
      <c r="C5" s="50" t="n">
        <v>432000</v>
      </c>
      <c r="D5" s="51"/>
      <c r="E5" s="21" t="str">
        <f aca="false">IF(D5="","",IF(D5&gt;=C5,"yes — the directive applies","no — national rules"))</f>
        <v/>
      </c>
      <c r="G5" s="3" t="s">
        <v>209</v>
      </c>
    </row>
    <row r="6" customFormat="false" ht="15" hidden="false" customHeight="false" outlineLevel="0" collapsed="false">
      <c r="A6" s="52" t="s">
        <v>207</v>
      </c>
      <c r="B6" s="52" t="s">
        <v>210</v>
      </c>
      <c r="C6" s="53" t="n">
        <v>5404000</v>
      </c>
      <c r="D6" s="54"/>
      <c r="E6" s="52" t="str">
        <f aca="false">IF(D6="","",IF(D6&gt;=C6,"yes — the directive applies","no — national rules"))</f>
        <v/>
      </c>
      <c r="G6" s="3"/>
    </row>
    <row r="7" customFormat="false" ht="15" hidden="false" customHeight="false" outlineLevel="0" collapsed="false">
      <c r="A7" s="21" t="s">
        <v>211</v>
      </c>
      <c r="B7" s="21" t="s">
        <v>212</v>
      </c>
      <c r="C7" s="50" t="n">
        <v>140000</v>
      </c>
      <c r="D7" s="51"/>
      <c r="E7" s="21" t="str">
        <f aca="false">IF(D7="","",IF(D7&gt;=C7,"yes — the directive applies","no — national rules"))</f>
        <v/>
      </c>
      <c r="G7" s="3"/>
    </row>
    <row r="8" customFormat="false" ht="15" hidden="false" customHeight="false" outlineLevel="0" collapsed="false">
      <c r="A8" s="52" t="s">
        <v>211</v>
      </c>
      <c r="B8" s="52" t="s">
        <v>213</v>
      </c>
      <c r="C8" s="53" t="n">
        <v>216000</v>
      </c>
      <c r="D8" s="54"/>
      <c r="E8" s="52" t="str">
        <f aca="false">IF(D8="","",IF(D8&gt;=C8,"yes — the directive applies","no — national rules"))</f>
        <v/>
      </c>
      <c r="G8" s="3"/>
    </row>
    <row r="9" customFormat="false" ht="15" hidden="false" customHeight="false" outlineLevel="0" collapsed="false">
      <c r="A9" s="21" t="s">
        <v>211</v>
      </c>
      <c r="B9" s="21" t="s">
        <v>214</v>
      </c>
      <c r="C9" s="50" t="n">
        <v>750000</v>
      </c>
      <c r="D9" s="51"/>
      <c r="E9" s="21" t="str">
        <f aca="false">IF(D9="","",IF(D9&gt;=C9,"yes — the directive applies","no — national rules"))</f>
        <v/>
      </c>
      <c r="G9" s="3"/>
    </row>
    <row r="10" customFormat="false" ht="15" hidden="false" customHeight="false" outlineLevel="0" collapsed="false">
      <c r="A10" s="52" t="s">
        <v>211</v>
      </c>
      <c r="B10" s="52" t="s">
        <v>210</v>
      </c>
      <c r="C10" s="53" t="n">
        <v>5404000</v>
      </c>
      <c r="D10" s="54"/>
      <c r="E10" s="52" t="str">
        <f aca="false">IF(D10="","",IF(D10&gt;=C10,"yes — the directive applies","no — national rules"))</f>
        <v/>
      </c>
      <c r="G10" s="3"/>
    </row>
    <row r="11" customFormat="false" ht="15" hidden="false" customHeight="false" outlineLevel="0" collapsed="false">
      <c r="G11" s="3"/>
    </row>
    <row r="12" customFormat="false" ht="15" hidden="false" customHeight="false" outlineLevel="0" collapsed="false">
      <c r="A12" s="31" t="s">
        <v>215</v>
      </c>
      <c r="C12" s="31" t="str">
        <f aca="false">IF(C6=C10,"identical","different")</f>
        <v>identical</v>
      </c>
      <c r="G12" s="3"/>
    </row>
    <row r="13" customFormat="false" ht="15" hidden="false" customHeight="false" outlineLevel="0" collapsed="false">
      <c r="A13" s="31" t="s">
        <v>216</v>
      </c>
      <c r="C13" s="37" t="n">
        <f aca="false">C5/C7</f>
        <v>3.08571428571429</v>
      </c>
      <c r="G13" s="3"/>
    </row>
    <row r="14" customFormat="false" ht="15" hidden="false" customHeight="false" outlineLevel="0" collapsed="false">
      <c r="G14" s="3"/>
    </row>
    <row r="15" customFormat="false" ht="15" hidden="false" customHeight="false" outlineLevel="0" collapsed="false">
      <c r="A15" s="5" t="s">
        <v>217</v>
      </c>
      <c r="G15" s="3"/>
    </row>
    <row r="16" customFormat="false" ht="15" hidden="false" customHeight="false" outlineLevel="0" collapsed="false">
      <c r="A16" s="6" t="s">
        <v>218</v>
      </c>
      <c r="C16" s="2" t="s">
        <v>219</v>
      </c>
      <c r="G16" s="3"/>
    </row>
    <row r="17" customFormat="false" ht="15" hidden="false" customHeight="false" outlineLevel="0" collapsed="false">
      <c r="A17" s="6" t="s">
        <v>220</v>
      </c>
      <c r="C17" s="2" t="s">
        <v>221</v>
      </c>
      <c r="G17" s="3"/>
    </row>
    <row r="18" customFormat="false" ht="15" hidden="false" customHeight="false" outlineLevel="0" collapsed="false">
      <c r="G18" s="3"/>
    </row>
    <row r="19" customFormat="false" ht="15" hidden="false" customHeight="false" outlineLevel="0" collapsed="false">
      <c r="A19" s="5" t="s">
        <v>222</v>
      </c>
      <c r="G19" s="3"/>
    </row>
    <row r="20" customFormat="false" ht="15" hidden="false" customHeight="false" outlineLevel="0" collapsed="false">
      <c r="A20" s="6" t="s">
        <v>223</v>
      </c>
      <c r="C20" s="41" t="s">
        <v>224</v>
      </c>
      <c r="G20" s="3"/>
    </row>
    <row r="21" customFormat="false" ht="15" hidden="false" customHeight="false" outlineLevel="0" collapsed="false">
      <c r="A21" s="6" t="s">
        <v>225</v>
      </c>
      <c r="C21" s="39" t="n">
        <f aca="false">C7</f>
        <v>140000</v>
      </c>
      <c r="G21" s="3"/>
    </row>
    <row r="22" customFormat="false" ht="15" hidden="false" customHeight="false" outlineLevel="0" collapsed="false">
      <c r="A22" s="6" t="s">
        <v>226</v>
      </c>
      <c r="C22" s="39" t="n">
        <f aca="false">C5</f>
        <v>432000</v>
      </c>
      <c r="G22" s="3"/>
    </row>
    <row r="23" customFormat="false" ht="15" hidden="false" customHeight="false" outlineLevel="0" collapsed="false">
      <c r="A23" s="22" t="s">
        <v>227</v>
      </c>
      <c r="C23" s="26" t="n">
        <f aca="false">1-C21/C22</f>
        <v>0.675925925925926</v>
      </c>
      <c r="G23" s="3"/>
    </row>
    <row r="24" customFormat="false" ht="15" hidden="false" customHeight="false" outlineLevel="0" collapsed="false">
      <c r="A24" s="6" t="s">
        <v>228</v>
      </c>
      <c r="C24" s="2" t="s">
        <v>229</v>
      </c>
      <c r="G24" s="3"/>
    </row>
    <row r="25" customFormat="false" ht="15" hidden="false" customHeight="false" outlineLevel="0" collapsed="false">
      <c r="G25" s="3"/>
    </row>
    <row r="26" customFormat="false" ht="15" hidden="false" customHeight="false" outlineLevel="0" collapsed="false">
      <c r="A26" s="5" t="s">
        <v>230</v>
      </c>
      <c r="G26" s="3"/>
    </row>
    <row r="27" customFormat="false" ht="15" hidden="false" customHeight="false" outlineLevel="0" collapsed="false">
      <c r="A27" s="6" t="s">
        <v>231</v>
      </c>
      <c r="C27" s="41" t="s">
        <v>232</v>
      </c>
      <c r="G27" s="3"/>
    </row>
    <row r="28" customFormat="false" ht="15" hidden="false" customHeight="false" outlineLevel="0" collapsed="false">
      <c r="A28" s="6" t="s">
        <v>233</v>
      </c>
      <c r="C28" s="2" t="s">
        <v>234</v>
      </c>
      <c r="G28" s="3"/>
    </row>
    <row r="29" customFormat="false" ht="15" hidden="false" customHeight="false" outlineLevel="0" collapsed="false">
      <c r="A29" s="6" t="s">
        <v>235</v>
      </c>
      <c r="C29" s="43" t="n">
        <v>5</v>
      </c>
      <c r="G29" s="3"/>
    </row>
    <row r="30" customFormat="false" ht="15" hidden="false" customHeight="false" outlineLevel="0" collapsed="false">
      <c r="A30" s="6" t="s">
        <v>236</v>
      </c>
      <c r="C30" s="41" t="s">
        <v>237</v>
      </c>
      <c r="G30" s="3"/>
    </row>
    <row r="31" customFormat="false" ht="15" hidden="false" customHeight="false" outlineLevel="0" collapsed="false">
      <c r="G31" s="3"/>
    </row>
    <row r="32" customFormat="false" ht="15" hidden="false" customHeight="false" outlineLevel="0" collapsed="false">
      <c r="G32" s="3"/>
    </row>
    <row r="33" customFormat="false" ht="15" hidden="false" customHeight="false" outlineLevel="0" collapsed="false">
      <c r="G33" s="3"/>
    </row>
    <row r="34" customFormat="false" ht="15" hidden="false" customHeight="false" outlineLevel="0" collapsed="false">
      <c r="G34" s="3"/>
    </row>
    <row r="35" customFormat="false" ht="15" hidden="false" customHeight="false" outlineLevel="0" collapsed="false">
      <c r="G35" s="3"/>
    </row>
    <row r="36" customFormat="false" ht="15" hidden="false" customHeight="false" outlineLevel="0" collapsed="false">
      <c r="G36" s="3"/>
    </row>
    <row r="37" customFormat="false" ht="15" hidden="false" customHeight="false" outlineLevel="0" collapsed="false">
      <c r="G37" s="3"/>
    </row>
    <row r="38" customFormat="false" ht="15" hidden="false" customHeight="false" outlineLevel="0" collapsed="false">
      <c r="G38" s="3"/>
    </row>
    <row r="39" customFormat="false" ht="15" hidden="false" customHeight="false" outlineLevel="0" collapsed="false">
      <c r="G39" s="3"/>
    </row>
    <row r="40" customFormat="false" ht="15" hidden="false" customHeight="false" outlineLevel="0" collapsed="false">
      <c r="G40" s="3"/>
    </row>
  </sheetData>
  <mergeCells count="1">
    <mergeCell ref="G5:G4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
    <col collapsed="false" customWidth="true" hidden="false" outlineLevel="0" max="2" min="2" style="0" width="64"/>
    <col collapsed="false" customWidth="true" hidden="false" outlineLevel="0" max="3" min="3" style="0" width="16"/>
    <col collapsed="false" customWidth="true" hidden="false" outlineLevel="0" max="4" min="4" style="0" width="34"/>
    <col collapsed="false" customWidth="true" hidden="false" outlineLevel="0" max="5" min="5" style="0" width="3"/>
    <col collapsed="false" customWidth="true" hidden="false" outlineLevel="0" max="6" min="6" style="0" width="56"/>
  </cols>
  <sheetData>
    <row r="1" customFormat="false" ht="17.35" hidden="false" customHeight="false" outlineLevel="0" collapsed="false">
      <c r="A1" s="1" t="s">
        <v>238</v>
      </c>
    </row>
    <row r="2" customFormat="false" ht="15" hidden="false" customHeight="false" outlineLevel="0" collapsed="false">
      <c r="A2" s="2" t="s">
        <v>239</v>
      </c>
    </row>
    <row r="4" customFormat="false" ht="27.75" hidden="false" customHeight="true" outlineLevel="0" collapsed="false">
      <c r="A4" s="10"/>
      <c r="B4" s="11" t="s">
        <v>240</v>
      </c>
      <c r="C4" s="11" t="s">
        <v>241</v>
      </c>
      <c r="D4" s="11" t="s">
        <v>242</v>
      </c>
      <c r="F4" s="5" t="s">
        <v>243</v>
      </c>
    </row>
    <row r="5" customFormat="false" ht="37.5" hidden="false" customHeight="true" outlineLevel="0" collapsed="false">
      <c r="A5" s="55" t="s">
        <v>244</v>
      </c>
      <c r="B5" s="56" t="s">
        <v>245</v>
      </c>
      <c r="C5" s="57"/>
      <c r="D5" s="57"/>
      <c r="F5" s="3" t="s">
        <v>246</v>
      </c>
    </row>
    <row r="6" customFormat="false" ht="37.5" hidden="false" customHeight="true" outlineLevel="0" collapsed="false">
      <c r="A6" s="58" t="s">
        <v>247</v>
      </c>
      <c r="B6" s="59" t="s">
        <v>248</v>
      </c>
      <c r="C6" s="60"/>
      <c r="D6" s="60"/>
      <c r="F6" s="3"/>
    </row>
    <row r="7" customFormat="false" ht="37.5" hidden="false" customHeight="true" outlineLevel="0" collapsed="false">
      <c r="A7" s="55" t="s">
        <v>249</v>
      </c>
      <c r="B7" s="56" t="s">
        <v>250</v>
      </c>
      <c r="C7" s="57"/>
      <c r="D7" s="57"/>
      <c r="F7" s="3"/>
    </row>
    <row r="8" customFormat="false" ht="37.5" hidden="false" customHeight="true" outlineLevel="0" collapsed="false">
      <c r="A8" s="58" t="s">
        <v>251</v>
      </c>
      <c r="B8" s="59" t="s">
        <v>252</v>
      </c>
      <c r="C8" s="60"/>
      <c r="D8" s="60"/>
      <c r="F8" s="3"/>
    </row>
    <row r="9" customFormat="false" ht="37.5" hidden="false" customHeight="true" outlineLevel="0" collapsed="false">
      <c r="A9" s="55" t="s">
        <v>253</v>
      </c>
      <c r="B9" s="56" t="s">
        <v>254</v>
      </c>
      <c r="C9" s="57"/>
      <c r="D9" s="57"/>
      <c r="F9" s="3"/>
    </row>
    <row r="10" customFormat="false" ht="37.5" hidden="false" customHeight="true" outlineLevel="0" collapsed="false">
      <c r="A10" s="58" t="s">
        <v>255</v>
      </c>
      <c r="B10" s="59" t="s">
        <v>256</v>
      </c>
      <c r="C10" s="60"/>
      <c r="D10" s="60"/>
      <c r="F10" s="3"/>
    </row>
    <row r="11" customFormat="false" ht="37.5" hidden="false" customHeight="true" outlineLevel="0" collapsed="false">
      <c r="A11" s="55" t="s">
        <v>257</v>
      </c>
      <c r="B11" s="56" t="s">
        <v>258</v>
      </c>
      <c r="C11" s="57"/>
      <c r="D11" s="57"/>
      <c r="F11" s="3"/>
    </row>
    <row r="12" customFormat="false" ht="15" hidden="false" customHeight="false" outlineLevel="0" collapsed="false">
      <c r="F12" s="3"/>
    </row>
    <row r="13" customFormat="false" ht="15" hidden="false" customHeight="false" outlineLevel="0" collapsed="false">
      <c r="B13" s="31" t="s">
        <v>259</v>
      </c>
      <c r="C13" s="44" t="n">
        <f aca="false">COUNTIF(C5:C11,"yes")</f>
        <v>0</v>
      </c>
      <c r="F13" s="3"/>
    </row>
    <row r="14" customFormat="false" ht="15" hidden="false" customHeight="false" outlineLevel="0" collapsed="false">
      <c r="B14" s="31" t="s">
        <v>260</v>
      </c>
      <c r="C14" s="44" t="n">
        <f aca="false">7-COUNTIF(C5:C11,"yes")-COUNTIF(C5:C11,"not applicable")</f>
        <v>7</v>
      </c>
      <c r="F14" s="3"/>
    </row>
    <row r="15" customFormat="false" ht="15" hidden="false" customHeight="false" outlineLevel="0" collapsed="false">
      <c r="B15" s="31" t="s">
        <v>261</v>
      </c>
      <c r="C15" s="31" t="str">
        <f aca="false">IF(C14=0,"on these seven, yes","no — "&amp;TEXT(C14,"0")&amp;" open")</f>
        <v>no — 7 open</v>
      </c>
      <c r="F15" s="3"/>
    </row>
    <row r="16" customFormat="false" ht="15" hidden="false" customHeight="false" outlineLevel="0" collapsed="false">
      <c r="F16" s="3"/>
    </row>
    <row r="17" customFormat="false" ht="15" hidden="false" customHeight="false" outlineLevel="0" collapsed="false">
      <c r="B17" s="5" t="s">
        <v>262</v>
      </c>
      <c r="F17" s="3"/>
    </row>
    <row r="18" customFormat="false" ht="15" hidden="false" customHeight="false" outlineLevel="0" collapsed="false">
      <c r="B18" s="6" t="s">
        <v>263</v>
      </c>
      <c r="C18" s="32" t="s">
        <v>264</v>
      </c>
      <c r="F18" s="3"/>
    </row>
    <row r="19" customFormat="false" ht="15" hidden="false" customHeight="false" outlineLevel="0" collapsed="false">
      <c r="B19" s="6" t="s">
        <v>265</v>
      </c>
      <c r="C19" s="32" t="s">
        <v>266</v>
      </c>
      <c r="F19" s="3"/>
    </row>
    <row r="20" customFormat="false" ht="15" hidden="false" customHeight="false" outlineLevel="0" collapsed="false">
      <c r="B20" s="6" t="s">
        <v>267</v>
      </c>
      <c r="C20" s="32" t="s">
        <v>268</v>
      </c>
      <c r="F20" s="3"/>
    </row>
    <row r="21" customFormat="false" ht="15" hidden="false" customHeight="false" outlineLevel="0" collapsed="false">
      <c r="B21" s="6" t="s">
        <v>269</v>
      </c>
      <c r="C21" s="32" t="s">
        <v>270</v>
      </c>
      <c r="F21" s="3"/>
    </row>
    <row r="22" customFormat="false" ht="15" hidden="false" customHeight="false" outlineLevel="0" collapsed="false">
      <c r="F22" s="3"/>
    </row>
    <row r="23" customFormat="false" ht="15" hidden="false" customHeight="false" outlineLevel="0" collapsed="false">
      <c r="F23" s="3"/>
    </row>
    <row r="24" customFormat="false" ht="15" hidden="false" customHeight="false" outlineLevel="0" collapsed="false">
      <c r="F24" s="3"/>
    </row>
    <row r="25" customFormat="false" ht="15" hidden="false" customHeight="false" outlineLevel="0" collapsed="false">
      <c r="F25" s="3"/>
    </row>
    <row r="26" customFormat="false" ht="15" hidden="false" customHeight="false" outlineLevel="0" collapsed="false">
      <c r="F26" s="3"/>
    </row>
    <row r="27" customFormat="false" ht="15" hidden="false" customHeight="false" outlineLevel="0" collapsed="false">
      <c r="F27" s="3"/>
    </row>
    <row r="28" customFormat="false" ht="15" hidden="false" customHeight="false" outlineLevel="0" collapsed="false">
      <c r="F28" s="3"/>
    </row>
    <row r="29" customFormat="false" ht="15" hidden="false" customHeight="false" outlineLevel="0" collapsed="false">
      <c r="F29" s="3"/>
    </row>
    <row r="30" customFormat="false" ht="15" hidden="false" customHeight="false" outlineLevel="0" collapsed="false">
      <c r="F30" s="3"/>
    </row>
    <row r="31" customFormat="false" ht="15" hidden="false" customHeight="false" outlineLevel="0" collapsed="false">
      <c r="F31" s="3"/>
    </row>
    <row r="32" customFormat="false" ht="15" hidden="false" customHeight="false" outlineLevel="0" collapsed="false">
      <c r="F32" s="3"/>
    </row>
    <row r="33" customFormat="false" ht="15" hidden="false" customHeight="false" outlineLevel="0" collapsed="false">
      <c r="F33" s="3"/>
    </row>
    <row r="34" customFormat="false" ht="15" hidden="false" customHeight="false" outlineLevel="0" collapsed="false">
      <c r="F34" s="3"/>
    </row>
    <row r="35" customFormat="false" ht="15" hidden="false" customHeight="false" outlineLevel="0" collapsed="false">
      <c r="F35" s="3"/>
    </row>
    <row r="36" customFormat="false" ht="15" hidden="false" customHeight="false" outlineLevel="0" collapsed="false">
      <c r="F36" s="3"/>
    </row>
  </sheetData>
  <mergeCells count="1">
    <mergeCell ref="F5:F36"/>
  </mergeCells>
  <dataValidations count="1">
    <dataValidation allowBlank="true" errorStyle="stop" operator="between" showDropDown="false" showErrorMessage="false" showInputMessage="false" sqref="C5:C11" type="list">
      <formula1>"no,yes,not applicable"</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13"/>
    <col collapsed="false" customWidth="true" hidden="false" outlineLevel="0" max="2" min="2" style="0" width="56"/>
    <col collapsed="false" customWidth="true" hidden="false" outlineLevel="0" max="4" min="3" style="0" width="16"/>
    <col collapsed="false" customWidth="true" hidden="false" outlineLevel="0" max="6" min="5" style="0" width="13"/>
    <col collapsed="false" customWidth="true" hidden="false" outlineLevel="0" max="7" min="7" style="0" width="3"/>
    <col collapsed="false" customWidth="true" hidden="false" outlineLevel="0" max="8" min="8" style="0" width="46"/>
  </cols>
  <sheetData>
    <row r="1" customFormat="false" ht="17.35" hidden="false" customHeight="false" outlineLevel="0" collapsed="false">
      <c r="A1" s="1" t="s">
        <v>271</v>
      </c>
    </row>
    <row r="2" customFormat="false" ht="15" hidden="false" customHeight="false" outlineLevel="0" collapsed="false">
      <c r="A2" s="2" t="s">
        <v>272</v>
      </c>
    </row>
    <row r="4" customFormat="false" ht="27.75" hidden="false" customHeight="true" outlineLevel="0" collapsed="false">
      <c r="A4" s="10" t="s">
        <v>74</v>
      </c>
      <c r="B4" s="11" t="s">
        <v>273</v>
      </c>
      <c r="C4" s="11" t="s">
        <v>274</v>
      </c>
      <c r="D4" s="11" t="s">
        <v>275</v>
      </c>
      <c r="E4" s="11" t="s">
        <v>276</v>
      </c>
      <c r="F4" s="11" t="s">
        <v>277</v>
      </c>
      <c r="H4" s="5" t="s">
        <v>278</v>
      </c>
    </row>
    <row r="5" customFormat="false" ht="15" hidden="false" customHeight="true" outlineLevel="0" collapsed="false">
      <c r="A5" s="61" t="s">
        <v>279</v>
      </c>
      <c r="B5" s="62" t="s">
        <v>280</v>
      </c>
      <c r="C5" s="63" t="n">
        <v>1</v>
      </c>
      <c r="D5" s="64" t="n">
        <f aca="false">'Funding rates'!C5</f>
        <v>1</v>
      </c>
      <c r="E5" s="65" t="n">
        <f aca="false">D5-C5</f>
        <v>0</v>
      </c>
      <c r="F5" s="66" t="str">
        <f aca="false">IF(ABS(E5)&lt;=0.0005,"reproduced",IF(ABS(E5)&lt;=0.0005*5,"rounding","CHECK"))</f>
        <v>reproduced</v>
      </c>
      <c r="H5" s="3" t="s">
        <v>281</v>
      </c>
    </row>
    <row r="6" customFormat="false" ht="15" hidden="false" customHeight="false" outlineLevel="0" collapsed="false">
      <c r="A6" s="67" t="s">
        <v>279</v>
      </c>
      <c r="B6" s="68" t="s">
        <v>282</v>
      </c>
      <c r="C6" s="69" t="n">
        <v>0.2</v>
      </c>
      <c r="D6" s="70" t="n">
        <f aca="false">'Funding rates'!C6</f>
        <v>0.2</v>
      </c>
      <c r="E6" s="71" t="n">
        <f aca="false">D6-C6</f>
        <v>0</v>
      </c>
      <c r="F6" s="72" t="str">
        <f aca="false">IF(ABS(E6)&lt;=0.0005,"reproduced",IF(ABS(E6)&lt;=0.0005*5,"rounding","CHECK"))</f>
        <v>reproduced</v>
      </c>
      <c r="H6" s="3"/>
    </row>
    <row r="7" customFormat="false" ht="15" hidden="false" customHeight="false" outlineLevel="0" collapsed="false">
      <c r="A7" s="61" t="s">
        <v>279</v>
      </c>
      <c r="B7" s="62" t="s">
        <v>283</v>
      </c>
      <c r="C7" s="63" t="n">
        <v>0.8</v>
      </c>
      <c r="D7" s="64" t="n">
        <f aca="false">'Funding rates'!C7</f>
        <v>0.8</v>
      </c>
      <c r="E7" s="65" t="n">
        <f aca="false">D7-C7</f>
        <v>0</v>
      </c>
      <c r="F7" s="66" t="str">
        <f aca="false">IF(ABS(E7)&lt;=0.0005,"reproduced",IF(ABS(E7)&lt;=0.0005*5,"rounding","CHECK"))</f>
        <v>reproduced</v>
      </c>
      <c r="H7" s="3"/>
    </row>
    <row r="8" customFormat="false" ht="15" hidden="false" customHeight="false" outlineLevel="0" collapsed="false">
      <c r="A8" s="67" t="s">
        <v>279</v>
      </c>
      <c r="B8" s="68" t="s">
        <v>284</v>
      </c>
      <c r="C8" s="69" t="n">
        <v>0.1</v>
      </c>
      <c r="D8" s="70" t="n">
        <f aca="false">'Funding rates'!C21</f>
        <v>0.1</v>
      </c>
      <c r="E8" s="71" t="n">
        <f aca="false">D8-C8</f>
        <v>0</v>
      </c>
      <c r="F8" s="72" t="str">
        <f aca="false">IF(ABS(E8)&lt;=0.0005,"reproduced",IF(ABS(E8)&lt;=0.0005*5,"rounding","CHECK"))</f>
        <v>reproduced</v>
      </c>
      <c r="H8" s="3"/>
    </row>
    <row r="9" customFormat="false" ht="15" hidden="false" customHeight="false" outlineLevel="0" collapsed="false">
      <c r="A9" s="61" t="s">
        <v>279</v>
      </c>
      <c r="B9" s="62" t="s">
        <v>285</v>
      </c>
      <c r="C9" s="63" t="n">
        <v>0.05</v>
      </c>
      <c r="D9" s="64" t="n">
        <f aca="false">'Funding rates'!C22</f>
        <v>0.05</v>
      </c>
      <c r="E9" s="65" t="n">
        <f aca="false">D9-C9</f>
        <v>0</v>
      </c>
      <c r="F9" s="66" t="str">
        <f aca="false">IF(ABS(E9)&lt;=0.0005,"reproduced",IF(ABS(E9)&lt;=0.0005*5,"rounding","CHECK"))</f>
        <v>reproduced</v>
      </c>
      <c r="H9" s="3"/>
    </row>
    <row r="10" customFormat="false" ht="15" hidden="false" customHeight="false" outlineLevel="0" collapsed="false">
      <c r="A10" s="67" t="s">
        <v>279</v>
      </c>
      <c r="B10" s="68" t="s">
        <v>286</v>
      </c>
      <c r="C10" s="69" t="n">
        <v>0.05</v>
      </c>
      <c r="D10" s="70" t="n">
        <f aca="false">'Funding rates'!C23</f>
        <v>0.05</v>
      </c>
      <c r="E10" s="71" t="n">
        <f aca="false">D10-C10</f>
        <v>0</v>
      </c>
      <c r="F10" s="72" t="str">
        <f aca="false">IF(ABS(E10)&lt;=0.0005,"reproduced",IF(ABS(E10)&lt;=0.0005*5,"rounding","CHECK"))</f>
        <v>reproduced</v>
      </c>
      <c r="H10" s="3"/>
    </row>
    <row r="11" customFormat="false" ht="15" hidden="false" customHeight="false" outlineLevel="0" collapsed="false">
      <c r="A11" s="61" t="s">
        <v>279</v>
      </c>
      <c r="B11" s="62" t="s">
        <v>287</v>
      </c>
      <c r="C11" s="63" t="n">
        <v>1</v>
      </c>
      <c r="D11" s="64" t="n">
        <f aca="false">'Funding rates'!C15</f>
        <v>1</v>
      </c>
      <c r="E11" s="65" t="n">
        <f aca="false">D11-C11</f>
        <v>0</v>
      </c>
      <c r="F11" s="66" t="str">
        <f aca="false">IF(ABS(E11)&lt;=0.0001,"reproduced",IF(ABS(E11)&lt;=0.0001*5,"rounding","CHECK"))</f>
        <v>reproduced</v>
      </c>
      <c r="H11" s="3"/>
    </row>
    <row r="12" customFormat="false" ht="15" hidden="false" customHeight="false" outlineLevel="0" collapsed="false">
      <c r="A12" s="67" t="s">
        <v>279</v>
      </c>
      <c r="B12" s="68" t="s">
        <v>288</v>
      </c>
      <c r="C12" s="73" t="n">
        <v>1</v>
      </c>
      <c r="D12" s="74" t="n">
        <f aca="false">IF('Funding rates'!C36&gt;0,1,0)</f>
        <v>1</v>
      </c>
      <c r="E12" s="75" t="n">
        <f aca="false">D12-C12</f>
        <v>0</v>
      </c>
      <c r="F12" s="72" t="str">
        <f aca="false">IF(ABS(E12)&lt;=0.0001,"reproduced",IF(ABS(E12)&lt;=0.0001*5,"rounding","CHECK"))</f>
        <v>reproduced</v>
      </c>
      <c r="H12" s="3"/>
    </row>
    <row r="13" customFormat="false" ht="15" hidden="false" customHeight="false" outlineLevel="0" collapsed="false">
      <c r="A13" s="61" t="s">
        <v>279</v>
      </c>
      <c r="B13" s="62" t="s">
        <v>289</v>
      </c>
      <c r="C13" s="76" t="n">
        <v>1</v>
      </c>
      <c r="D13" s="77" t="n">
        <f aca="false">IF(LEFT('Funding rates'!C43,3)="yes",1,0)</f>
        <v>1</v>
      </c>
      <c r="E13" s="78" t="n">
        <f aca="false">D13-C13</f>
        <v>0</v>
      </c>
      <c r="F13" s="66" t="str">
        <f aca="false">IF(ABS(E13)&lt;=0.0001,"reproduced",IF(ABS(E13)&lt;=0.0001*5,"rounding","CHECK"))</f>
        <v>reproduced</v>
      </c>
      <c r="H13" s="3"/>
    </row>
    <row r="14" customFormat="false" ht="15" hidden="false" customHeight="false" outlineLevel="0" collapsed="false">
      <c r="A14" s="67" t="s">
        <v>290</v>
      </c>
      <c r="B14" s="68" t="s">
        <v>291</v>
      </c>
      <c r="C14" s="79" t="n">
        <v>1.5</v>
      </c>
      <c r="D14" s="80" t="n">
        <f aca="false">'EDIP windows'!C8</f>
        <v>1.5</v>
      </c>
      <c r="E14" s="81" t="n">
        <f aca="false">D14-C14</f>
        <v>0</v>
      </c>
      <c r="F14" s="72" t="str">
        <f aca="false">IF(ABS(E14)&lt;=0.0005,"reproduced",IF(ABS(E14)&lt;=0.0005*5,"rounding","CHECK"))</f>
        <v>reproduced</v>
      </c>
      <c r="H14" s="3"/>
    </row>
    <row r="15" customFormat="false" ht="15" hidden="false" customHeight="false" outlineLevel="0" collapsed="false">
      <c r="A15" s="61" t="s">
        <v>279</v>
      </c>
      <c r="B15" s="62" t="s">
        <v>292</v>
      </c>
      <c r="C15" s="63" t="n">
        <v>0.25</v>
      </c>
      <c r="D15" s="64" t="n">
        <f aca="false">'EDIP windows'!F13</f>
        <v>0.25</v>
      </c>
      <c r="E15" s="65" t="n">
        <f aca="false">D15-C15</f>
        <v>0</v>
      </c>
      <c r="F15" s="66" t="str">
        <f aca="false">IF(ABS(E15)&lt;=0.0005,"reproduced",IF(ABS(E15)&lt;=0.0005*5,"rounding","CHECK"))</f>
        <v>reproduced</v>
      </c>
      <c r="H15" s="3"/>
    </row>
    <row r="16" customFormat="false" ht="15" hidden="false" customHeight="false" outlineLevel="0" collapsed="false">
      <c r="A16" s="67" t="s">
        <v>279</v>
      </c>
      <c r="B16" s="68" t="s">
        <v>293</v>
      </c>
      <c r="C16" s="69" t="n">
        <v>0.5</v>
      </c>
      <c r="D16" s="70" t="n">
        <f aca="false">'EDIP windows'!F14</f>
        <v>0.5</v>
      </c>
      <c r="E16" s="71" t="n">
        <f aca="false">D16-C16</f>
        <v>0</v>
      </c>
      <c r="F16" s="72" t="str">
        <f aca="false">IF(ABS(E16)&lt;=0.0005,"reproduced",IF(ABS(E16)&lt;=0.0005*5,"rounding","CHECK"))</f>
        <v>reproduced</v>
      </c>
      <c r="H16" s="3"/>
    </row>
    <row r="17" customFormat="false" ht="15" hidden="false" customHeight="false" outlineLevel="0" collapsed="false">
      <c r="A17" s="61" t="s">
        <v>279</v>
      </c>
      <c r="B17" s="62" t="s">
        <v>294</v>
      </c>
      <c r="C17" s="63" t="n">
        <v>1</v>
      </c>
      <c r="D17" s="64" t="n">
        <f aca="false">'EDIP windows'!F15</f>
        <v>1</v>
      </c>
      <c r="E17" s="65" t="n">
        <f aca="false">D17-C17</f>
        <v>0</v>
      </c>
      <c r="F17" s="66" t="str">
        <f aca="false">IF(ABS(E17)&lt;=0.0005,"reproduced",IF(ABS(E17)&lt;=0.0005*5,"rounding","CHECK"))</f>
        <v>reproduced</v>
      </c>
      <c r="H17" s="3"/>
    </row>
    <row r="18" customFormat="false" ht="15" hidden="false" customHeight="false" outlineLevel="0" collapsed="false">
      <c r="A18" s="67" t="s">
        <v>279</v>
      </c>
      <c r="B18" s="68" t="s">
        <v>295</v>
      </c>
      <c r="C18" s="69" t="n">
        <v>0.3</v>
      </c>
      <c r="D18" s="70" t="n">
        <f aca="false">'EDIP windows'!C14</f>
        <v>0.3</v>
      </c>
      <c r="E18" s="71" t="n">
        <f aca="false">D18-C18</f>
        <v>0</v>
      </c>
      <c r="F18" s="72" t="str">
        <f aca="false">IF(ABS(E18)&lt;=0.0005,"reproduced",IF(ABS(E18)&lt;=0.0005*5,"rounding","CHECK"))</f>
        <v>reproduced</v>
      </c>
      <c r="H18" s="3"/>
    </row>
    <row r="19" customFormat="false" ht="15" hidden="false" customHeight="false" outlineLevel="0" collapsed="false">
      <c r="A19" s="61" t="s">
        <v>296</v>
      </c>
      <c r="B19" s="62" t="s">
        <v>297</v>
      </c>
      <c r="C19" s="82" t="n">
        <v>9</v>
      </c>
      <c r="D19" s="83" t="n">
        <f aca="false">'EDIP windows'!C28</f>
        <v>9</v>
      </c>
      <c r="E19" s="84" t="n">
        <f aca="false">D19-C19</f>
        <v>0</v>
      </c>
      <c r="F19" s="66" t="str">
        <f aca="false">IF(ABS(E19)&lt;=0.05,"reproduced",IF(ABS(E19)&lt;=0.05*5,"rounding","CHECK"))</f>
        <v>reproduced</v>
      </c>
      <c r="H19" s="3"/>
    </row>
    <row r="20" customFormat="false" ht="15" hidden="false" customHeight="false" outlineLevel="0" collapsed="false">
      <c r="A20" s="67" t="s">
        <v>296</v>
      </c>
      <c r="B20" s="68" t="s">
        <v>298</v>
      </c>
      <c r="C20" s="73" t="n">
        <v>1</v>
      </c>
      <c r="D20" s="74" t="n">
        <f aca="false">IF('EDIP windows'!C38="industrial reinforcement, base",1,0)</f>
        <v>1</v>
      </c>
      <c r="E20" s="75" t="n">
        <f aca="false">D20-C20</f>
        <v>0</v>
      </c>
      <c r="F20" s="72" t="str">
        <f aca="false">IF(ABS(E20)&lt;=0.0001,"reproduced",IF(ABS(E20)&lt;=0.0001*5,"rounding","CHECK"))</f>
        <v>reproduced</v>
      </c>
      <c r="H20" s="3"/>
    </row>
    <row r="21" customFormat="false" ht="15" hidden="false" customHeight="false" outlineLevel="0" collapsed="false">
      <c r="A21" s="61" t="s">
        <v>279</v>
      </c>
      <c r="B21" s="62" t="s">
        <v>299</v>
      </c>
      <c r="C21" s="82" t="n">
        <v>25</v>
      </c>
      <c r="D21" s="83" t="n">
        <f aca="false">Scoring!C21</f>
        <v>25</v>
      </c>
      <c r="E21" s="84" t="n">
        <f aca="false">D21-C21</f>
        <v>0</v>
      </c>
      <c r="F21" s="66" t="str">
        <f aca="false">IF(ABS(E21)&lt;=0.005,"reproduced",IF(ABS(E21)&lt;=0.005*5,"rounding","CHECK"))</f>
        <v>reproduced</v>
      </c>
      <c r="H21" s="3"/>
    </row>
    <row r="22" customFormat="false" ht="15" hidden="false" customHeight="false" outlineLevel="0" collapsed="false">
      <c r="A22" s="67" t="s">
        <v>279</v>
      </c>
      <c r="B22" s="68" t="s">
        <v>300</v>
      </c>
      <c r="C22" s="69" t="n">
        <v>0.72</v>
      </c>
      <c r="D22" s="70" t="n">
        <f aca="false">Scoring!C24</f>
        <v>0.72</v>
      </c>
      <c r="E22" s="71" t="n">
        <f aca="false">D22-C22</f>
        <v>0</v>
      </c>
      <c r="F22" s="72" t="str">
        <f aca="false">IF(ABS(E22)&lt;=0.0005,"reproduced",IF(ABS(E22)&lt;=0.0005*5,"rounding","CHECK"))</f>
        <v>reproduced</v>
      </c>
      <c r="H22" s="3"/>
    </row>
    <row r="23" customFormat="false" ht="15" hidden="false" customHeight="false" outlineLevel="0" collapsed="false">
      <c r="A23" s="61" t="s">
        <v>279</v>
      </c>
      <c r="B23" s="62" t="s">
        <v>301</v>
      </c>
      <c r="C23" s="76" t="n">
        <v>1</v>
      </c>
      <c r="D23" s="77" t="n">
        <f aca="false">IF(Scoring!G35="REJECTED on Excellence",1,0)</f>
        <v>1</v>
      </c>
      <c r="E23" s="78" t="n">
        <f aca="false">D23-C23</f>
        <v>0</v>
      </c>
      <c r="F23" s="66" t="str">
        <f aca="false">IF(ABS(E23)&lt;=0.0001,"reproduced",IF(ABS(E23)&lt;=0.0001*5,"rounding","CHECK"))</f>
        <v>reproduced</v>
      </c>
      <c r="H23" s="3"/>
    </row>
    <row r="24" customFormat="false" ht="15" hidden="false" customHeight="false" outlineLevel="0" collapsed="false">
      <c r="A24" s="67" t="s">
        <v>279</v>
      </c>
      <c r="B24" s="68" t="s">
        <v>302</v>
      </c>
      <c r="C24" s="73" t="n">
        <v>1</v>
      </c>
      <c r="D24" s="74" t="n">
        <f aca="false">Scoring!C40</f>
        <v>1</v>
      </c>
      <c r="E24" s="75" t="n">
        <f aca="false">D24-C24</f>
        <v>0</v>
      </c>
      <c r="F24" s="72" t="str">
        <f aca="false">IF(ABS(E24)&lt;=0.0001,"reproduced",IF(ABS(E24)&lt;=0.0001*5,"rounding","CHECK"))</f>
        <v>reproduced</v>
      </c>
      <c r="H24" s="3"/>
    </row>
    <row r="25" customFormat="false" ht="15" hidden="false" customHeight="false" outlineLevel="0" collapsed="false">
      <c r="A25" s="61" t="s">
        <v>296</v>
      </c>
      <c r="B25" s="62" t="s">
        <v>303</v>
      </c>
      <c r="C25" s="76" t="n">
        <v>9</v>
      </c>
      <c r="D25" s="77" t="n">
        <f aca="false">Scoring!C12</f>
        <v>9</v>
      </c>
      <c r="E25" s="78" t="n">
        <f aca="false">D25-C25</f>
        <v>0</v>
      </c>
      <c r="F25" s="66" t="str">
        <f aca="false">IF(ABS(E25)&lt;=0.0001,"reproduced",IF(ABS(E25)&lt;=0.0001*5,"rounding","CHECK"))</f>
        <v>reproduced</v>
      </c>
      <c r="H25" s="3"/>
    </row>
    <row r="26" customFormat="false" ht="15" hidden="false" customHeight="false" outlineLevel="0" collapsed="false">
      <c r="A26" s="67" t="s">
        <v>279</v>
      </c>
      <c r="B26" s="68" t="s">
        <v>304</v>
      </c>
      <c r="C26" s="73" t="n">
        <v>50</v>
      </c>
      <c r="D26" s="74" t="n">
        <f aca="false">Scoring!C11</f>
        <v>50</v>
      </c>
      <c r="E26" s="75" t="n">
        <f aca="false">D26-C26</f>
        <v>0</v>
      </c>
      <c r="F26" s="72" t="str">
        <f aca="false">IF(ABS(E26)&lt;=0.0001,"reproduced",IF(ABS(E26)&lt;=0.0001*5,"rounding","CHECK"))</f>
        <v>reproduced</v>
      </c>
      <c r="H26" s="3"/>
    </row>
    <row r="27" customFormat="false" ht="15" hidden="false" customHeight="false" outlineLevel="0" collapsed="false">
      <c r="A27" s="61" t="s">
        <v>305</v>
      </c>
      <c r="B27" s="62" t="s">
        <v>306</v>
      </c>
      <c r="C27" s="85" t="n">
        <v>3.086</v>
      </c>
      <c r="D27" s="86" t="n">
        <f aca="false">Thresholds!C13</f>
        <v>3.08571428571429</v>
      </c>
      <c r="E27" s="87" t="n">
        <f aca="false">D27-C27</f>
        <v>-0.000285714285714001</v>
      </c>
      <c r="F27" s="66" t="str">
        <f aca="false">IF(ABS(E27)&lt;=0.005,"reproduced",IF(ABS(E27)&lt;=0.005*5,"rounding","CHECK"))</f>
        <v>reproduced</v>
      </c>
    </row>
    <row r="28" customFormat="false" ht="15" hidden="false" customHeight="false" outlineLevel="0" collapsed="false">
      <c r="A28" s="67" t="s">
        <v>305</v>
      </c>
      <c r="B28" s="68" t="s">
        <v>307</v>
      </c>
      <c r="C28" s="73" t="n">
        <v>1</v>
      </c>
      <c r="D28" s="74" t="n">
        <f aca="false">IF(Thresholds!C12="identical",1,0)</f>
        <v>1</v>
      </c>
      <c r="E28" s="75" t="n">
        <f aca="false">D28-C28</f>
        <v>0</v>
      </c>
      <c r="F28" s="72" t="str">
        <f aca="false">IF(ABS(E28)&lt;=0.0001,"reproduced",IF(ABS(E28)&lt;=0.0001*5,"rounding","CHECK"))</f>
        <v>reproduced</v>
      </c>
    </row>
    <row r="29" customFormat="false" ht="15" hidden="false" customHeight="false" outlineLevel="0" collapsed="false">
      <c r="A29" s="61" t="s">
        <v>305</v>
      </c>
      <c r="B29" s="62" t="s">
        <v>308</v>
      </c>
      <c r="C29" s="63" t="n">
        <v>0.676</v>
      </c>
      <c r="D29" s="64" t="n">
        <f aca="false">Thresholds!C23</f>
        <v>0.675925925925926</v>
      </c>
      <c r="E29" s="65" t="n">
        <f aca="false">D29-C29</f>
        <v>-7.40740740741153E-005</v>
      </c>
      <c r="F29" s="66" t="str">
        <f aca="false">IF(ABS(E29)&lt;=0.005,"reproduced",IF(ABS(E29)&lt;=0.005*5,"rounding","CHECK"))</f>
        <v>reproduced</v>
      </c>
    </row>
    <row r="30" customFormat="false" ht="15" hidden="false" customHeight="false" outlineLevel="0" collapsed="false">
      <c r="A30" s="61" t="s">
        <v>279</v>
      </c>
      <c r="B30" s="62" t="s">
        <v>309</v>
      </c>
      <c r="C30" s="88" t="n">
        <v>18</v>
      </c>
      <c r="D30" s="89" t="n">
        <f aca="false">IF(Scoring!C37=Scoring!G17,Scoring!F37,0)</f>
        <v>18</v>
      </c>
      <c r="E30" s="90" t="n">
        <f aca="false">D30-C30</f>
        <v>0</v>
      </c>
      <c r="F30" s="66" t="str">
        <f aca="false">IF(ABS(E30)&lt;=0.0001,"reproduced",IF(ABS(E30)&lt;=0.0001*5,"rounding","CHECK"))</f>
        <v>reproduced</v>
      </c>
      <c r="G30" s="91" t="s">
        <v>310</v>
      </c>
    </row>
    <row r="31" customFormat="false" ht="15" hidden="false" customHeight="false" outlineLevel="0" collapsed="false">
      <c r="A31" s="21"/>
      <c r="C31" s="44"/>
    </row>
    <row r="32" customFormat="false" ht="15" hidden="false" customHeight="false" outlineLevel="0" collapsed="false">
      <c r="A32" s="21" t="s">
        <v>311</v>
      </c>
      <c r="C32" s="44" t="n">
        <f aca="false">COUNTIF(F5:F30,"reproduced")</f>
        <v>26</v>
      </c>
    </row>
    <row r="33" customFormat="false" ht="15" hidden="false" customHeight="false" outlineLevel="0" collapsed="false">
      <c r="A33" s="21" t="s">
        <v>312</v>
      </c>
      <c r="C33" s="44" t="n">
        <f aca="false">COUNTIF(F5:F30,"rounding")</f>
        <v>0</v>
      </c>
    </row>
    <row r="34" customFormat="false" ht="15" hidden="false" customHeight="false" outlineLevel="0" collapsed="false">
      <c r="A34" s="21" t="s">
        <v>313</v>
      </c>
      <c r="C34" s="44" t="n">
        <f aca="false">COUNTIF(F5:F30,"CHECK")</f>
        <v>0</v>
      </c>
    </row>
    <row r="36" customFormat="false" ht="15" hidden="false" customHeight="false" outlineLevel="0" collapsed="false">
      <c r="A36" s="31" t="s">
        <v>314</v>
      </c>
      <c r="C36" s="44" t="str">
        <f aca="false">IF(COUNTIF(F5:F30,"reproduced")=26,"ALL OK",COUNTIF(F5:F30,"reproduced")&amp;" / 26")</f>
        <v>ALL OK</v>
      </c>
    </row>
  </sheetData>
  <mergeCells count="1">
    <mergeCell ref="H5:H2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2026-08-20T07:57:34Z</dcterms:created>
  <dc:creator>openpyxl</dc:creator>
  <dc:description/>
  <dc:language>en-US</dc:language>
  <cp:lastModifiedBy/>
  <dcterms:modified xsi:type="dcterms:W3CDTF">2026-09-24T02:15:14Z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