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Deal" sheetId="3" state="visible" r:id="rId5"/>
    <sheet name="Earn-out" sheetId="4" state="visible" r:id="rId6"/>
    <sheet name="Intrinsic value" sheetId="5" state="visible" r:id="rId7"/>
    <sheet name="Synergies" sheetId="6" state="visible" r:id="rId8"/>
    <sheet name="Value created" sheetId="7" state="visible" r:id="rId9"/>
    <sheet name="Sensitivity" sheetId="8" state="visible" r:id="rId10"/>
    <sheet name="Checks" sheetId="9" state="visible" r:id="rId11"/>
  </sheets>
  <definedNames>
    <definedName function="false" hidden="false" name="Accr1" vbProcedure="false">Deal!$B$94</definedName>
    <definedName function="false" hidden="false" name="AEbit" vbProcedure="false">Deal!$B$52</definedName>
    <definedName function="false" hidden="false" name="AEPS" vbProcedure="false">Deal!$B$54</definedName>
    <definedName function="false" hidden="false" name="AEV" vbProcedure="false">Deal!$B$56</definedName>
    <definedName function="false" hidden="false" name="AInt" vbProcedure="false">Deal!$B$50</definedName>
    <definedName function="false" hidden="false" name="AIntPre" vbProcedure="false">Deal!$B$49</definedName>
    <definedName function="false" hidden="false" name="ALevPre" vbProcedure="false">Deal!$B$47</definedName>
    <definedName function="false" hidden="false" name="AMcap" vbProcedure="false">Deal!$B$55</definedName>
    <definedName function="false" hidden="false" name="AMult" vbProcedure="false">Deal!$B$57</definedName>
    <definedName function="false" hidden="false" name="ANI" vbProcedure="false">Deal!$B$53</definedName>
    <definedName function="false" hidden="false" name="ARatePre" vbProcedure="false">Deal!$B$48</definedName>
    <definedName function="false" hidden="false" name="A_DA" vbProcedure="false">Inputs!$B$19</definedName>
    <definedName function="false" hidden="false" name="A_Debt" vbProcedure="false">Inputs!$B$20</definedName>
    <definedName function="false" hidden="false" name="A_Ebitda" vbProcedure="false">Inputs!$B$18</definedName>
    <definedName function="false" hidden="false" name="A_Price" vbProcedure="false">Inputs!$B$22</definedName>
    <definedName function="false" hidden="false" name="A_Rev" vbProcedure="false">Inputs!$B$17</definedName>
    <definedName function="false" hidden="false" name="A_Shares" vbProcedure="false">Inputs!$B$21</definedName>
    <definedName function="false" hidden="false" name="BaseRate" vbProcedure="false">Inputs!$B$31</definedName>
    <definedName function="false" hidden="false" name="CashOut" vbProcedure="false">Deal!$B$18</definedName>
    <definedName function="false" hidden="false" name="CombEb" vbProcedure="false">Deal!$B$14</definedName>
    <definedName function="false" hidden="false" name="Converged" vbProcedure="false">Deal!$B$26</definedName>
    <definedName function="false" hidden="false" name="Cost1" vbProcedure="false">Deal!$B$89</definedName>
    <definedName function="false" hidden="false" name="CostY1" vbProcedure="false">Inputs!$B$46</definedName>
    <definedName function="false" hidden="false" name="CostY2" vbProcedure="false">Inputs!$B$47</definedName>
    <definedName function="false" hidden="false" name="CostY3" vbProcedure="false">Inputs!$B$48</definedName>
    <definedName function="false" hidden="false" name="DA1" vbProcedure="false">Deal!$B$90</definedName>
    <definedName function="false" hidden="false" name="DebtRate" vbProcedure="false">Deal!$B$27</definedName>
    <definedName function="false" hidden="false" name="DebtShare" vbProcedure="false">Inputs!$B$29</definedName>
    <definedName function="false" hidden="false" name="Dilut" vbProcedure="false">Deal!$B$43</definedName>
    <definedName function="false" hidden="false" name="DLamt" vbProcedure="false">Inputs!$B$60:$B$63</definedName>
    <definedName function="false" hidden="false" name="DLbear" vbProcedure="false">Deal!$B$9</definedName>
    <definedName function="false" hidden="false" name="DLcov" vbProcedure="false">Deal!$B$10</definedName>
    <definedName function="false" hidden="false" name="DLdiv" vbProcedure="false">Inputs!$B$62</definedName>
    <definedName function="false" hidden="false" name="DLlease" vbProcedure="false">Inputs!$B$63</definedName>
    <definedName function="false" hidden="false" name="DLlitig" vbProcedure="false">Inputs!$B$61</definedName>
    <definedName function="false" hidden="false" name="DLoff" vbProcedure="false">Deal!$B$8</definedName>
    <definedName function="false" hidden="false" name="DLpens" vbProcedure="false">Inputs!$B$60</definedName>
    <definedName function="false" hidden="false" name="DLtot" vbProcedure="false">Deal!$B$7</definedName>
    <definedName function="false" hidden="false" name="DL_BS" vbProcedure="false">Inputs!$C$60:$C$63</definedName>
    <definedName function="false" hidden="false" name="DL_CF" vbProcedure="false">Inputs!$E$60:$E$63</definedName>
    <definedName function="false" hidden="false" name="DL_IF" vbProcedure="false">Inputs!$D$60:$D$63</definedName>
    <definedName function="false" hidden="false" name="DTL" vbProcedure="false">Deal!$B$72</definedName>
    <definedName function="false" hidden="false" name="Eb1" vbProcedure="false">Deal!$B$88</definedName>
    <definedName function="false" hidden="false" name="EoFV" vbProcedure="false">Deal!$B$29</definedName>
    <definedName function="false" hidden="false" name="EoMax" vbProcedure="false">Inputs!$B$35</definedName>
    <definedName function="false" hidden="false" name="EoProb" vbProcedure="false">Inputs!$B$36</definedName>
    <definedName function="false" hidden="false" name="EoYear" vbProcedure="false">Inputs!$B$37</definedName>
    <definedName function="false" hidden="false" name="EPS1" vbProcedure="false">Deal!$B$93</definedName>
    <definedName function="false" hidden="false" name="EPS2" vbProcedure="false">Deal!$B$100</definedName>
    <definedName function="false" hidden="false" name="EqRaise" vbProcedure="false">Deal!$B$20</definedName>
    <definedName function="false" hidden="false" name="EVh" vbProcedure="false">Deal!$B$15</definedName>
    <definedName function="false" hidden="false" name="Excess" vbProcedure="false">Deal!$B$70</definedName>
    <definedName function="false" hidden="false" name="Grow" vbProcedure="false">Inputs!$B$53</definedName>
    <definedName function="false" hidden="false" name="Gwill" vbProcedure="false">Deal!$B$73</definedName>
    <definedName function="false" hidden="false" name="Int1" vbProcedure="false">Deal!$B$91</definedName>
    <definedName function="false" hidden="false" name="Int2" vbProcedure="false">Deal!$B$98</definedName>
    <definedName function="false" hidden="false" name="Intang" vbProcedure="false">Deal!$B$71</definedName>
    <definedName function="false" hidden="false" name="IntangSh" vbProcedure="false">Inputs!$B$54</definedName>
    <definedName function="false" hidden="false" name="Intrin" vbProcedure="false">Deal!$B$63</definedName>
    <definedName function="false" hidden="false" name="IssPrice" vbProcedure="false">Deal!$B$40</definedName>
    <definedName function="false" hidden="false" name="IssueDisc" vbProcedure="false">Inputs!$B$30</definedName>
    <definedName function="false" hidden="false" name="LadMar" vbProcedure="false">Inputs!$C$69:$C$73</definedName>
    <definedName function="false" hidden="false" name="LadRung" vbProcedure="false">Inputs!$B$70:$B$73</definedName>
    <definedName function="false" hidden="false" name="LadThr" vbProcedure="false">Inputs!$B$69:$B$73</definedName>
    <definedName function="false" hidden="false" name="Lev" vbProcedure="false">Deal!$B$30</definedName>
    <definedName function="false" hidden="false" name="Marg" vbProcedure="false">Deal!$B$28</definedName>
    <definedName function="false" hidden="false" name="Mult" vbProcedure="false">Inputs!$B$26</definedName>
    <definedName function="false" hidden="false" name="NetAss" vbProcedure="false">Deal!$B$69</definedName>
    <definedName function="false" hidden="false" name="NewDebt" vbProcedure="false">Deal!$B$19</definedName>
    <definedName function="false" hidden="false" name="NewSh" vbProcedure="false">Deal!$B$41</definedName>
    <definedName function="false" hidden="false" name="OutExp" vbProcedure="false">Deal!$B$35</definedName>
    <definedName function="false" hidden="false" name="OutMax" vbProcedure="false">Deal!$B$36</definedName>
    <definedName function="false" hidden="false" name="PBT1" vbProcedure="false">Deal!$B$92</definedName>
    <definedName function="false" hidden="false" name="PBT2" vbProcedure="false">Deal!$B$99</definedName>
    <definedName function="false" hidden="false" name="Pdl" vbProcedure="false">Deal!$B$17</definedName>
    <definedName function="false" hidden="false" name="Peq" vbProcedure="false">Deal!$B$16</definedName>
    <definedName function="false" hidden="false" name="Pfv" vbProcedure="false">Deal!$B$34</definedName>
    <definedName function="false" hidden="false" name="PpaAm" vbProcedure="false">Deal!$B$74</definedName>
    <definedName function="false" hidden="false" name="PpaLife" vbProcedure="false">Inputs!$B$55</definedName>
    <definedName function="false" hidden="false" name="Prem" vbProcedure="false">Deal!$B$64</definedName>
    <definedName function="false" hidden="false" name="PremPc" vbProcedure="false">Deal!$B$65</definedName>
    <definedName function="false" hidden="false" name="Ramp1" vbProcedure="false">Inputs!$B$42</definedName>
    <definedName function="false" hidden="false" name="Ramp2" vbProcedure="false">Inputs!$B$43</definedName>
    <definedName function="false" hidden="false" name="Ramp3" vbProcedure="false">Inputs!$B$44</definedName>
    <definedName function="false" hidden="false" name="Repric" vbProcedure="false">Deal!$B$51</definedName>
    <definedName function="false" hidden="false" name="ShAfter" vbProcedure="false">Deal!$B$42</definedName>
    <definedName function="false" hidden="false" name="Shortf" vbProcedure="false">Deal!$B$83</definedName>
    <definedName function="false" hidden="false" name="SynCoef" vbProcedure="false">Deal!$B$78</definedName>
    <definedName function="false" hidden="false" name="SynCost" vbProcedure="false">Inputs!$B$45</definedName>
    <definedName function="false" hidden="false" name="SynCPV" vbProcedure="false">Deal!$B$79</definedName>
    <definedName function="false" hidden="false" name="SynPV3" vbProcedure="false">Deal!$B$80</definedName>
    <definedName function="false" hidden="false" name="SynRR" vbProcedure="false">Inputs!$B$41</definedName>
    <definedName function="false" hidden="false" name="SynTerm" vbProcedure="false">Deal!$B$81</definedName>
    <definedName function="false" hidden="false" name="SynVal" vbProcedure="false">Deal!$B$82</definedName>
    <definedName function="false" hidden="false" name="Tax" vbProcedure="false">Inputs!$B$27</definedName>
    <definedName function="false" hidden="false" name="TEbit" vbProcedure="false">Deal!$B$61</definedName>
    <definedName function="false" hidden="false" name="TFcf" vbProcedure="false">Deal!$B$62</definedName>
    <definedName function="false" hidden="false" name="TxnCost" vbProcedure="false">Inputs!$B$28</definedName>
    <definedName function="false" hidden="false" name="T_BookEq" vbProcedure="false">Inputs!$B$13</definedName>
    <definedName function="false" hidden="false" name="T_Capex" vbProcedure="false">Inputs!$B$10</definedName>
    <definedName function="false" hidden="false" name="T_DA" vbProcedure="false">Inputs!$B$9</definedName>
    <definedName function="false" hidden="false" name="T_DWC" vbProcedure="false">Inputs!$B$11</definedName>
    <definedName function="false" hidden="false" name="T_Ebitda" vbProcedure="false">Inputs!$B$8</definedName>
    <definedName function="false" hidden="false" name="T_NetDebt" vbProcedure="false">Inputs!$B$12</definedName>
    <definedName function="false" hidden="false" name="T_Rev" vbProcedure="false">Inputs!$B$7</definedName>
    <definedName function="false" hidden="false" name="VCreat" vbProcedure="false">Deal!$B$84</definedName>
    <definedName function="false" hidden="false" name="Wacc" vbProcedure="false">Inputs!$B$52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<sst xmlns="http://schemas.openxmlformats.org/spreadsheetml/2006/main" count="390" uniqueCount="305">
  <si>
    <t xml:space="preserve">Mergers and Acquisitions - Value Created</t>
  </si>
  <si>
    <t xml:space="preserve">Companion workbook 3, by Julian R. Sterling</t>
  </si>
  <si>
    <t xml:space="preserve">What this workbook does</t>
  </si>
  <si>
    <t xml:space="preserve">It carries the deal from the earn-out to the value created: what the contingent consideration is worth, what the business is worth without the buyer, what the synergies are worth once the ramp and the bill are in them, how much synergy the deal actually needs, and where the board's 13,436,667 and this book's minus 17,530,855 part company.</t>
  </si>
  <si>
    <t xml:space="preserve">The first experiment to run</t>
  </si>
  <si>
    <t xml:space="preserve">On the Inputs sheet, set the synergy ramp to 100 / 100 / 100 and the cost to achieve to nothing. Value created goes from minus 17,530,855 to minus 6,581,407: still negative, because the fees and the earn-out are still deducted. Leave those two out as well, as the board paper does, and it is plus 9,967,680; the last 3,468,987 is the paper growing the run rate from today rather than from year four. Nobody had to be wrong: four conventions, all pointing the same way. (Revised 24 September 2026: the first version said the ramp and the cost alone brought it close to the board's figure.)</t>
  </si>
  <si>
    <t xml:space="preserve">The second</t>
  </si>
  <si>
    <t xml:space="preserve">Put the ramp back and raise the run-rate synergy until value created reaches zero. It takes 9,142,663 - 1.2698 times what was announced, and 4.9688 per cent of the target's revenue - on the same integration budget. Let the budget scale with the promise and it takes 9,345,119.</t>
  </si>
  <si>
    <t xml:space="preserve">The grid, and what half a point of cost of capital does</t>
  </si>
  <si>
    <t xml:space="preserve">The Sensitivity sheet prints the same two answers - value created, and the run-rate synergy the deal needs - at five costs of capital and five growth rates. Move the cost of capital from 9.25 to 8.75 per cent and value created goes from minus 17,530,855 to plus 835,569 without anybody changing anything about the business. Nobody in the room can tell you which of those twenty-five cells is the right one, and the board's paper prints a single figure.</t>
  </si>
  <si>
    <t xml:space="preserve">The line-by-line gap</t>
  </si>
  <si>
    <t xml:space="preserve">Thirty million of difference, and none of it is an error: 17,077,304 for taking the perpetuity today rather than from year four, minus 8,791,074 for the ramp years actually delivered, 6,132,205 of integration cost, 6,900,000 of fees and 9,649,087 of earn-out. The bottom line adds to the same 30,967,522 as the difference between the two answers, which is the check that the decomposition is complete.</t>
  </si>
  <si>
    <t xml:space="preserve">On the checks</t>
  </si>
  <si>
    <t xml:space="preserve">The Checks sheet reproduces by formula each figure printed in chapters 5 to 9 and 16. Column C is typed from the page; column D is computed here. If a check reads FAIL, the workbook is wrong, not the book.</t>
  </si>
  <si>
    <t xml:space="preserve">Inputs - the Auchendinny / Balmacara fact pattern</t>
  </si>
  <si>
    <t xml:space="preserve">Blue on pale yellow is an input, and you may edit it. Everything else in this file is a formula over these cells.</t>
  </si>
  <si>
    <t xml:space="preserve">The target, Balmacara</t>
  </si>
  <si>
    <t xml:space="preserve">Revenue</t>
  </si>
  <si>
    <t xml:space="preserve">EBITDA</t>
  </si>
  <si>
    <t xml:space="preserve">Depreciation and amortisation</t>
  </si>
  <si>
    <t xml:space="preserve">Capital expenditure</t>
  </si>
  <si>
    <t xml:space="preserve">Increase in working capital</t>
  </si>
  <si>
    <t xml:space="preserve">Net debt, assumed rather than refinanced</t>
  </si>
  <si>
    <t xml:space="preserve">Book equity</t>
  </si>
  <si>
    <t xml:space="preserve">The acquirer, Auchendinny</t>
  </si>
  <si>
    <t xml:space="preserve">Existing debt</t>
  </si>
  <si>
    <t xml:space="preserve">Shares in issue</t>
  </si>
  <si>
    <t xml:space="preserve">Share price at announcement</t>
  </si>
  <si>
    <t xml:space="preserve">The price, the tax and the funding</t>
  </si>
  <si>
    <t xml:space="preserve">Announced multiple of EBITDA</t>
  </si>
  <si>
    <t xml:space="preserve">Tax rate, both companies</t>
  </si>
  <si>
    <t xml:space="preserve">Transaction costs, expensed in year one</t>
  </si>
  <si>
    <t xml:space="preserve">Debt share of the funding</t>
  </si>
  <si>
    <t xml:space="preserve">Discount on the issue price</t>
  </si>
  <si>
    <t xml:space="preserve">Base rate, before the lender's margin</t>
  </si>
  <si>
    <t xml:space="preserve">The earn-out</t>
  </si>
  <si>
    <t xml:space="preserve">Maximum</t>
  </si>
  <si>
    <t xml:space="preserve">Probability</t>
  </si>
  <si>
    <t xml:space="preserve">Year of settlement</t>
  </si>
  <si>
    <t xml:space="preserve">The synergies</t>
  </si>
  <si>
    <t xml:space="preserve">Run rate</t>
  </si>
  <si>
    <t xml:space="preserve">Share of the run rate delivered in year 1</t>
  </si>
  <si>
    <t xml:space="preserve">Share of the run rate delivered in year 2</t>
  </si>
  <si>
    <t xml:space="preserve">Share of the run rate delivered in year 3</t>
  </si>
  <si>
    <t xml:space="preserve">Cost to achieve</t>
  </si>
  <si>
    <t xml:space="preserve">Share of the cost spent in year 1</t>
  </si>
  <si>
    <t xml:space="preserve">Share of the cost spent in year 2</t>
  </si>
  <si>
    <t xml:space="preserve">Share of the cost spent in year 3</t>
  </si>
  <si>
    <t xml:space="preserve">The valuation and the allocation</t>
  </si>
  <si>
    <t xml:space="preserve">Weighted average cost of capital</t>
  </si>
  <si>
    <t xml:space="preserve">Perpetual growth</t>
  </si>
  <si>
    <t xml:space="preserve">Identified intangibles, share of the excess</t>
  </si>
  <si>
    <t xml:space="preserve">Amortisation life, years</t>
  </si>
  <si>
    <t xml:space="preserve">The debt-like items, and the three questions that are asked separately</t>
  </si>
  <si>
    <t xml:space="preserve">item</t>
  </si>
  <si>
    <t xml:space="preserve">amount</t>
  </si>
  <si>
    <t xml:space="preserve">on the balance sheet</t>
  </si>
  <si>
    <t xml:space="preserve">bears interest after</t>
  </si>
  <si>
    <t xml:space="preserve">in the covenant</t>
  </si>
  <si>
    <t xml:space="preserve">Unfunded pension deficit</t>
  </si>
  <si>
    <t xml:space="preserve">Provided tax litigation</t>
  </si>
  <si>
    <t xml:space="preserve">Declared unpaid dividend</t>
  </si>
  <si>
    <t xml:space="preserve">Uncapitalised leases</t>
  </si>
  <si>
    <t xml:space="preserve">One is a switch, nought is not. The three answers are independent, and putting the leases back into the covenant and into the interest charge is the experiment of chapter 4.</t>
  </si>
  <si>
    <t xml:space="preserve">The lender's margin ladder</t>
  </si>
  <si>
    <t xml:space="preserve">leverage, times combined EBITDA</t>
  </si>
  <si>
    <t xml:space="preserve">at or above</t>
  </si>
  <si>
    <t xml:space="preserve">margin</t>
  </si>
  <si>
    <t xml:space="preserve">below 2.50</t>
  </si>
  <si>
    <t xml:space="preserve">2.50 to 3.00</t>
  </si>
  <si>
    <t xml:space="preserve">3.00 to 3.50</t>
  </si>
  <si>
    <t xml:space="preserve">3.50 to 4.00</t>
  </si>
  <si>
    <t xml:space="preserve">4.00 and above</t>
  </si>
  <si>
    <t xml:space="preserve">The lender does not quote a rate. It quotes a ladder, and the rate falls out of where the leverage lands on it.</t>
  </si>
  <si>
    <t xml:space="preserve">The deal, computed</t>
  </si>
  <si>
    <t xml:space="preserve">Every sheet in this workbook reads this one. Nothing here is typed in: it is all formula over Inputs.</t>
  </si>
  <si>
    <t xml:space="preserve">The debt-like items, answered three times</t>
  </si>
  <si>
    <t xml:space="preserve">Total, and the price falls by all of it</t>
  </si>
  <si>
    <t xml:space="preserve">Off balance sheet, so they raise the excess to allocate</t>
  </si>
  <si>
    <t xml:space="preserve">Bearing interest after the deal</t>
  </si>
  <si>
    <t xml:space="preserve">Inside the lender's covenant</t>
  </si>
  <si>
    <t xml:space="preserve">The price and the funding of completion</t>
  </si>
  <si>
    <t xml:space="preserve">Combined EBITDA</t>
  </si>
  <si>
    <t xml:space="preserve">Announced enterprise value</t>
  </si>
  <si>
    <t xml:space="preserve">Equity price, enterprise value less net debt</t>
  </si>
  <si>
    <t xml:space="preserve">Equity after the debt-like items</t>
  </si>
  <si>
    <t xml:space="preserve">Cash out at completion, fees included</t>
  </si>
  <si>
    <t xml:space="preserve">New debt</t>
  </si>
  <si>
    <t xml:space="preserve">Equity raised</t>
  </si>
  <si>
    <t xml:space="preserve">The fixed point: the rate depends on the leverage, the leverage on the earn-out, the earn-out on the rate</t>
  </si>
  <si>
    <t xml:space="preserve">Rate, iterated from the bottom of the ladder</t>
  </si>
  <si>
    <t xml:space="preserve">Eight passes. Where the two last cells agree, the ladder has a solution and that is the rate. Where they do not, the ladder refers to itself, and the model takes the prudent branch - the higher margin, which is what a lender will take - and says so.</t>
  </si>
  <si>
    <t xml:space="preserve">Does the ladder admit a solution?</t>
  </si>
  <si>
    <t xml:space="preserve">Rate on all of the group's debt after the deal</t>
  </si>
  <si>
    <t xml:space="preserve">of which the lender's margin</t>
  </si>
  <si>
    <t xml:space="preserve">Earn-out at fair value, discounted at the cost of debt</t>
  </si>
  <si>
    <t xml:space="preserve">Leverage after the deal, times combined EBITDA</t>
  </si>
  <si>
    <t xml:space="preserve">What the seller receives, and what is paid out</t>
  </si>
  <si>
    <t xml:space="preserve">What the seller receives, earn-out at fair value</t>
  </si>
  <si>
    <t xml:space="preserve">Total expected outlay</t>
  </si>
  <si>
    <t xml:space="preserve">Total outlay, full earn-out</t>
  </si>
  <si>
    <t xml:space="preserve">The shares</t>
  </si>
  <si>
    <t xml:space="preserve">Issue price</t>
  </si>
  <si>
    <t xml:space="preserve">Shares issued</t>
  </si>
  <si>
    <t xml:space="preserve">Shares in issue after the deal</t>
  </si>
  <si>
    <t xml:space="preserve">Dilution</t>
  </si>
  <si>
    <t xml:space="preserve">The acquirer on its own</t>
  </si>
  <si>
    <t xml:space="preserve">Standalone leverage</t>
  </si>
  <si>
    <t xml:space="preserve">Rate on the existing debt before the deal</t>
  </si>
  <si>
    <t xml:space="preserve">Interest before the deal</t>
  </si>
  <si>
    <t xml:space="preserve">Interest on the same debt after the deal</t>
  </si>
  <si>
    <t xml:space="preserve">Repricing of the existing debt, caused by the deal</t>
  </si>
  <si>
    <t xml:space="preserve">Operating profit</t>
  </si>
  <si>
    <t xml:space="preserve">Net income</t>
  </si>
  <si>
    <t xml:space="preserve">Earnings per share, standalone</t>
  </si>
  <si>
    <t xml:space="preserve">Market capitalisation</t>
  </si>
  <si>
    <t xml:space="preserve">Enterprise value</t>
  </si>
  <si>
    <t xml:space="preserve">Enterprise value, times EBITDA</t>
  </si>
  <si>
    <t xml:space="preserve">The target on a discounted cash flow, and the premium</t>
  </si>
  <si>
    <t xml:space="preserve">Normalised cash flow</t>
  </si>
  <si>
    <t xml:space="preserve">Intrinsic enterprise value</t>
  </si>
  <si>
    <t xml:space="preserve">Premium over it</t>
  </si>
  <si>
    <t xml:space="preserve">Premium, per cent</t>
  </si>
  <si>
    <t xml:space="preserve">The purchase price allocation</t>
  </si>
  <si>
    <t xml:space="preserve">Net assets acquired</t>
  </si>
  <si>
    <t xml:space="preserve">Excess to be allocated</t>
  </si>
  <si>
    <t xml:space="preserve">Identified intangibles</t>
  </si>
  <si>
    <t xml:space="preserve">Deferred tax liability on them</t>
  </si>
  <si>
    <t xml:space="preserve">Residual goodwill</t>
  </si>
  <si>
    <t xml:space="preserve">Annual amortisation of the intangibles</t>
  </si>
  <si>
    <t xml:space="preserve">The synergies, valued</t>
  </si>
  <si>
    <t xml:space="preserve">Value of one unit of run rate, ramp included</t>
  </si>
  <si>
    <t xml:space="preserve">Cost to achieve, after tax and discounted</t>
  </si>
  <si>
    <t xml:space="preserve">Value of the first three years, net of the cost</t>
  </si>
  <si>
    <t xml:space="preserve">Value of the perpetuity from year 4</t>
  </si>
  <si>
    <t xml:space="preserve">Value of the synergies</t>
  </si>
  <si>
    <t xml:space="preserve">Total to be covered: premium, fees and earn-out</t>
  </si>
  <si>
    <t xml:space="preserve">Value created</t>
  </si>
  <si>
    <t xml:space="preserve">Year one, combined</t>
  </si>
  <si>
    <t xml:space="preserve">EBITDA with the first year of synergies</t>
  </si>
  <si>
    <t xml:space="preserve">Integration cost of year one</t>
  </si>
  <si>
    <t xml:space="preserve">Depreciation, amortisation and the intangibles</t>
  </si>
  <si>
    <t xml:space="preserve">Interest, every line of it</t>
  </si>
  <si>
    <t xml:space="preserve">Profit before tax</t>
  </si>
  <si>
    <t xml:space="preserve">Earnings per share, combined</t>
  </si>
  <si>
    <t xml:space="preserve">Accretion, year one, statutory</t>
  </si>
  <si>
    <t xml:space="preserve">Year two, the first normal year</t>
  </si>
  <si>
    <t xml:space="preserve">Interest</t>
  </si>
  <si>
    <t xml:space="preserve">One instrument, three carrying amounts, and only one of them belongs in a price.</t>
  </si>
  <si>
    <t xml:space="preserve">The fair value, and the rate it is discounted at</t>
  </si>
  <si>
    <t xml:space="preserve">Probability the evaluator retains</t>
  </si>
  <si>
    <t xml:space="preserve">Expected nominal, probability applied</t>
  </si>
  <si>
    <t xml:space="preserve">Discount rate: the acquirer's cost of debt, not its cost of capital</t>
  </si>
  <si>
    <t xml:space="preserve">Fair value</t>
  </si>
  <si>
    <t xml:space="preserve">The leverage that priced that rate</t>
  </si>
  <si>
    <t xml:space="preserve">The probability has already taken the risk of non-achievement out. Discounting at the cost of capital would charge for it a second time.</t>
  </si>
  <si>
    <t xml:space="preserve">What is being counted, and what the earn-out is carried at</t>
  </si>
  <si>
    <t xml:space="preserve">what is being counted</t>
  </si>
  <si>
    <t xml:space="preserve">earn-out carried at</t>
  </si>
  <si>
    <t xml:space="preserve">not at all</t>
  </si>
  <si>
    <t xml:space="preserve">nominal expected</t>
  </si>
  <si>
    <t xml:space="preserve">Total outlay if the target hits its ceiling</t>
  </si>
  <si>
    <t xml:space="preserve">nominal maximum</t>
  </si>
  <si>
    <t xml:space="preserve">What the seller receives, for the entry multiple</t>
  </si>
  <si>
    <t xml:space="preserve">fair value</t>
  </si>
  <si>
    <t xml:space="preserve">An outlay is an outlay: the two outlay lines carry the earn-out at its nominal. The fair value has its place in the price and in the value, and nowhere else.</t>
  </si>
  <si>
    <t xml:space="preserve">From year 4, the earn-out arrives with three lines and it needs all three</t>
  </si>
  <si>
    <t xml:space="preserve">Interest, because it is served as debt</t>
  </si>
  <si>
    <t xml:space="preserve">Additional EBITDA, the outperformance that triggered it</t>
  </si>
  <si>
    <t xml:space="preserve">Additional depreciation, at the target's own ratio</t>
  </si>
  <si>
    <t xml:space="preserve">Net before tax</t>
  </si>
  <si>
    <t xml:space="preserve">In points of the acquirer's standalone earnings per share</t>
  </si>
  <si>
    <t xml:space="preserve">Charging the debt of one world against the EBITDA of another - or the reverse - would be the hybrid that chapter 2 refuses to quote.</t>
  </si>
  <si>
    <t xml:space="preserve">What the business is worth without you</t>
  </si>
  <si>
    <t xml:space="preserve">A discounted cash flow on the target, the premium it implies, and the same yardstick turned on the acquirer.</t>
  </si>
  <si>
    <t xml:space="preserve">The target's normalised cash flow</t>
  </si>
  <si>
    <t xml:space="preserve">Tax</t>
  </si>
  <si>
    <t xml:space="preserve">Operating profit after tax</t>
  </si>
  <si>
    <t xml:space="preserve">Add back depreciation and amortisation</t>
  </si>
  <si>
    <t xml:space="preserve">Less capital expenditure</t>
  </si>
  <si>
    <t xml:space="preserve">Less the increase in working capital</t>
  </si>
  <si>
    <t xml:space="preserve">Intrinsic enterprise value, at the cost of capital and the growth</t>
  </si>
  <si>
    <t xml:space="preserve">Premium the announced enterprise value pays over it</t>
  </si>
  <si>
    <t xml:space="preserve">The premium, per cent</t>
  </si>
  <si>
    <t xml:space="preserve">The same yardstick, turned on the acquirer</t>
  </si>
  <si>
    <t xml:space="preserve">After tax</t>
  </si>
  <si>
    <t xml:space="preserve">Less capital expenditure, at the target's ratio to revenue</t>
  </si>
  <si>
    <t xml:space="preserve">Less working capital, at the target's ratio to revenue</t>
  </si>
  <si>
    <t xml:space="preserve">Intrinsic enterprise value on the same basis</t>
  </si>
  <si>
    <t xml:space="preserve">Enterprise value the market puts on it</t>
  </si>
  <si>
    <t xml:space="preserve">The gap between the two yardsticks</t>
  </si>
  <si>
    <t xml:space="preserve">The book must say which yardstick governs, or 'it pays twelve times and buys nine' and 'the deal destroys value' contradict each other on the same page. The discounted cash flow governs, on both sides. The market multiple shows the currency, not the price.</t>
  </si>
  <si>
    <t xml:space="preserve">The synergies, with the ramp and the bill</t>
  </si>
  <si>
    <t xml:space="preserve">Seven point two million of run rate is not seven point two million of value, and the cost to achieve is not a footnote.</t>
  </si>
  <si>
    <t xml:space="preserve">year</t>
  </si>
  <si>
    <t xml:space="preserve">share of the run rate</t>
  </si>
  <si>
    <t xml:space="preserve">gross synergy</t>
  </si>
  <si>
    <t xml:space="preserve">cost to achieve</t>
  </si>
  <si>
    <t xml:space="preserve">net after tax</t>
  </si>
  <si>
    <t xml:space="preserve">discount factor</t>
  </si>
  <si>
    <t xml:space="preserve">present value</t>
  </si>
  <si>
    <t xml:space="preserve">Year 1</t>
  </si>
  <si>
    <t xml:space="preserve">Year 2</t>
  </si>
  <si>
    <t xml:space="preserve">Year 3</t>
  </si>
  <si>
    <t xml:space="preserve">Year 4</t>
  </si>
  <si>
    <t xml:space="preserve">Year 5</t>
  </si>
  <si>
    <t xml:space="preserve">Present value of the first three years, net of the cost to achieve</t>
  </si>
  <si>
    <t xml:space="preserve">Present value of the perpetuity from year 4</t>
  </si>
  <si>
    <t xml:space="preserve">Closed form less the sum of the flows, which must be nothing</t>
  </si>
  <si>
    <t xml:space="preserve">Two independent paths to the same number: the sum of the discounted flows, and the closed form that will be inverted on the next sheet to ask how much synergy the deal actually needs. Checking one against its own inverse would be a tautology; this is not.</t>
  </si>
  <si>
    <t xml:space="preserve">Value created, and the version in the paper</t>
  </si>
  <si>
    <t xml:space="preserve">Four lines, and then the same four lines as the board's paper draws them.</t>
  </si>
  <si>
    <t xml:space="preserve">The whole calculation</t>
  </si>
  <si>
    <t xml:space="preserve">Value of the synergies, with ramp and cost to achieve</t>
  </si>
  <si>
    <t xml:space="preserve">Less the premium</t>
  </si>
  <si>
    <t xml:space="preserve">Less transaction fees</t>
  </si>
  <si>
    <t xml:space="preserve">Less the earn-out at fair value</t>
  </si>
  <si>
    <t xml:space="preserve">How much synergy it actually takes</t>
  </si>
  <si>
    <t xml:space="preserve">basis</t>
  </si>
  <si>
    <t xml:space="preserve">required run rate</t>
  </si>
  <si>
    <t xml:space="preserve">times the announcement</t>
  </si>
  <si>
    <t xml:space="preserve">of target revenue</t>
  </si>
  <si>
    <t xml:space="preserve">Integration budget fixed</t>
  </si>
  <si>
    <t xml:space="preserve">Integration budget at the same ratio to synergy</t>
  </si>
  <si>
    <t xml:space="preserve">The required run rate put back through the flows, which must cover exactly the shortfall</t>
  </si>
  <si>
    <t xml:space="preserve">The first line assumes 1.27 times the synergy is delivered on exactly the same 9,400,000 of integration budget. That is the flattering multiple. The second lets the bill scale with the promise.</t>
  </si>
  <si>
    <t xml:space="preserve">The version in the board's paper, line by line</t>
  </si>
  <si>
    <t xml:space="preserve">Synergies at face value, no ramp, no cost to achieve</t>
  </si>
  <si>
    <t xml:space="preserve">Value created, as announced</t>
  </si>
  <si>
    <t xml:space="preserve">difference</t>
  </si>
  <si>
    <t xml:space="preserve">direction</t>
  </si>
  <si>
    <t xml:space="preserve">The perpetuity taken today rather than from year 4</t>
  </si>
  <si>
    <t xml:space="preserve">against the paper</t>
  </si>
  <si>
    <t xml:space="preserve">The ramp years, delivered and discounted</t>
  </si>
  <si>
    <t xml:space="preserve">for the paper</t>
  </si>
  <si>
    <t xml:space="preserve">Transaction fees</t>
  </si>
  <si>
    <t xml:space="preserve">Earn-out at fair value</t>
  </si>
  <si>
    <t xml:space="preserve">Total</t>
  </si>
  <si>
    <t xml:space="preserve">The same gap, taken as the difference between the two answers</t>
  </si>
  <si>
    <t xml:space="preserve">The symmetry this calculation does not have</t>
  </si>
  <si>
    <t xml:space="preserve">EBITDA the earn-out is paid on, at the entry multiple</t>
  </si>
  <si>
    <t xml:space="preserve">Its value, converted at the target's own rate and probability weighted</t>
  </si>
  <si>
    <t xml:space="preserve">Value created, earn-out made symmetrical</t>
  </si>
  <si>
    <t xml:space="preserve">The deal destroys value under both conventions. A book that objects to figures drawn one way only has to print both, and then say which one it keeps. It keeps the harder one.</t>
  </si>
  <si>
    <t xml:space="preserve">The two numbers that decide everything</t>
  </si>
  <si>
    <t xml:space="preserve">The same value created, and the same required synergy, at five costs of capital and five growth rates. Neither number is observable, and both decide the answer.</t>
  </si>
  <si>
    <t xml:space="preserve">Value created, the whole calculation</t>
  </si>
  <si>
    <t xml:space="preserve">cost of capital</t>
  </si>
  <si>
    <t xml:space="preserve">ramp, present value</t>
  </si>
  <si>
    <t xml:space="preserve">The run-rate synergy the deal needs, as a multiple of the one announced</t>
  </si>
  <si>
    <t xml:space="preserve">Move the cost of capital by half a point and the deal changes sign. Nobody in the room can tell you which of these twenty-five cells is the right one, and the board's paper prints a single figure.</t>
  </si>
  <si>
    <t xml:space="preserve">Checks</t>
  </si>
  <si>
    <t xml:space="preserve">Each line sets a figure printed in the book beside the figure this workbook computes.</t>
  </si>
  <si>
    <t xml:space="preserve">Revised 24 September 2026: the rows at the end, marked with the book's old figure in brackets, correct sentences of the book that the arithmetic does not support. The printed column carries the corrected figure.</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</si>
  <si>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</si>
  <si>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</si>
  <si>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</si>
  <si>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</si>
  <si>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</si>
  <si>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</si>
  <si>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</si>
  <si>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5</t>
  </si>
  <si>
    <t xml:space="preserve">Total expected outlay, earn-out at nominal expected</t>
  </si>
  <si>
    <t xml:space="preserve">Interest on the settled earn-out, from year 4</t>
  </si>
  <si>
    <t xml:space="preserve">Additional EBITDA it was paid for</t>
  </si>
  <si>
    <t xml:space="preserve">Additional depreciation that comes with it</t>
  </si>
  <si>
    <t xml:space="preserve">6</t>
  </si>
  <si>
    <t xml:space="preserve">Acquirer's capital expenditure at the target's ratio</t>
  </si>
  <si>
    <t xml:space="preserve">Acquirer's normalised cash flow</t>
  </si>
  <si>
    <t xml:space="preserve">Acquirer's intrinsic enterprise value</t>
  </si>
  <si>
    <t xml:space="preserve">7</t>
  </si>
  <si>
    <t xml:space="preserve">Gross synergy, year 1</t>
  </si>
  <si>
    <t xml:space="preserve">Net after tax, year 1</t>
  </si>
  <si>
    <t xml:space="preserve">Present value of the first three years</t>
  </si>
  <si>
    <t xml:space="preserve">Closed form against the sum of the flows</t>
  </si>
  <si>
    <t xml:space="preserve">8</t>
  </si>
  <si>
    <t xml:space="preserve">Total to be covered</t>
  </si>
  <si>
    <t xml:space="preserve">Required run rate, integration budget fixed</t>
  </si>
  <si>
    <t xml:space="preserve">Times the announced synergy</t>
  </si>
  <si>
    <t xml:space="preserve">Per cent of target revenue</t>
  </si>
  <si>
    <t xml:space="preserve">Required run rate, budget scaling with the synergy</t>
  </si>
  <si>
    <t xml:space="preserve">The required run rate put back through the flows</t>
  </si>
  <si>
    <t xml:space="preserve">9</t>
  </si>
  <si>
    <t xml:space="preserve">Synergies at face value, as the paper takes them</t>
  </si>
  <si>
    <t xml:space="preserve">Value created as announced</t>
  </si>
  <si>
    <t xml:space="preserve">The gap, added up line by line</t>
  </si>
  <si>
    <t xml:space="preserve">The gap, taken as the difference between the two answers</t>
  </si>
  <si>
    <t xml:space="preserve">Its value, made symmetrical</t>
  </si>
  <si>
    <t xml:space="preserve">16</t>
  </si>
  <si>
    <t xml:space="preserve">Value created at 8.25 per cent and 1.00 per cent growth</t>
  </si>
  <si>
    <t xml:space="preserve">Value created at 8.75 per cent and 1.75 per cent</t>
  </si>
  <si>
    <t xml:space="preserve">Value created at 9.25 per cent and 1.75 per cent, the case of the book</t>
  </si>
  <si>
    <t xml:space="preserve">Value created at 10.25 per cent and 1.00 per cent</t>
  </si>
  <si>
    <t xml:space="preserve">Required synergy at 9.25 per cent and 1.75 per cent</t>
  </si>
  <si>
    <t xml:space="preserve">Required synergy at 10.25 per cent and 2.50 per cent</t>
  </si>
  <si>
    <t xml:space="preserve">The expected earn-out discounted at the cost of capital (the book printed 8,627,565)</t>
  </si>
  <si>
    <t xml:space="preserve">The gap to the fair value (the book printed 1,021,522)</t>
  </si>
  <si>
    <t xml:space="preserve">Cost to achieve discounted but before tax: time alone leaves 87 per cent of the 9,400,000</t>
  </si>
  <si>
    <t xml:space="preserve">The board paper's coefficient: instant delivery and free integration together</t>
  </si>
  <si>
    <t xml:space="preserve">Cost of capital at which value created is nil, growth at 1.75 per cent (the book said a full point below 9.25)</t>
  </si>
  <si>
    <t xml:space="preserve">Growth at which value created is nil, cost of capital at 9.25 per cent (the book said above 2.50)</t>
  </si>
  <si>
    <t xml:space="preserve">Growth at which value created is nil, cost of capital at 9.75 per cent</t>
  </si>
  <si>
    <t xml:space="preserve">Checks that pass</t>
  </si>
  <si>
    <t xml:space="preserve">Checks that fail</t>
  </si>
  <si>
    <t xml:space="preserve">All checks</t>
  </si>
</sst>
</file>

<file path=xl/styles.xml><?xml version="1.0" encoding="utf-8"?>
<styleSheet xmlns="http://schemas.openxmlformats.org/spreadsheetml/2006/main">
  <numFmts count="13">
    <numFmt numFmtId="164" formatCode="General"/>
    <numFmt numFmtId="165" formatCode="#,##0;\-#,##0"/>
    <numFmt numFmtId="166" formatCode="#,##0"/>
    <numFmt numFmtId="167" formatCode="#,##0.00;\-#,##0.00"/>
    <numFmt numFmtId="168" formatCode="0.0000\x"/>
    <numFmt numFmtId="169" formatCode="0.00%;\-0.00%"/>
    <numFmt numFmtId="170" formatCode="0"/>
    <numFmt numFmtId="171" formatCode="0.0000"/>
    <numFmt numFmtId="172" formatCode="@"/>
    <numFmt numFmtId="173" formatCode="0.0000%;\-0.0000%"/>
    <numFmt numFmtId="174" formatCode="0.000000"/>
    <numFmt numFmtId="175" formatCode="0.0000&quot; pt&quot;"/>
    <numFmt numFmtId="176" formatCode="0.00000000"/>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i val="true"/>
      <sz val="9"/>
      <color rgb="FF5A6A70"/>
      <name val="Calibri"/>
      <family val="0"/>
      <charset val="1"/>
    </font>
    <font>
      <b val="true"/>
      <sz val="11"/>
      <color rgb="FF1A1A1A"/>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70" fontId="8" fillId="2" borderId="3"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72" fontId="11"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xf numFmtId="172" fontId="11"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60"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75" hidden="false" customHeight="true" outlineLevel="0" collapsed="false">
      <c r="A19" s="5" t="s">
        <v>9</v>
      </c>
    </row>
    <row r="21" customFormat="false" ht="15" hidden="false" customHeight="false" outlineLevel="0" collapsed="false">
      <c r="A21" s="4" t="s">
        <v>10</v>
      </c>
    </row>
    <row r="23" customFormat="false" ht="60" hidden="false" customHeight="true" outlineLevel="0" collapsed="false">
      <c r="A23" s="5" t="s">
        <v>11</v>
      </c>
    </row>
    <row r="25" customFormat="false" ht="15" hidden="false" customHeight="false" outlineLevel="0" collapsed="false">
      <c r="A25" s="4" t="s">
        <v>12</v>
      </c>
    </row>
    <row r="27" customFormat="false" ht="30" hidden="false" customHeight="true" outlineLevel="0" collapsed="false">
      <c r="A27" s="5"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18"/>
    <col collapsed="false" customWidth="true" hidden="false" outlineLevel="0" max="5" min="3" style="0" width="13"/>
  </cols>
  <sheetData>
    <row r="1" customFormat="false" ht="24" hidden="false" customHeight="true" outlineLevel="0" collapsed="false">
      <c r="A1" s="1" t="s">
        <v>14</v>
      </c>
    </row>
    <row r="2" customFormat="false" ht="15" hidden="false" customHeight="false" outlineLevel="0" collapsed="false">
      <c r="A2" s="2" t="s">
        <v>15</v>
      </c>
    </row>
    <row r="3" customFormat="false" ht="15" hidden="false" customHeight="false" outlineLevel="0" collapsed="false">
      <c r="A3" s="3"/>
      <c r="B3" s="3"/>
      <c r="C3" s="3"/>
      <c r="D3" s="3"/>
      <c r="E3" s="3"/>
    </row>
    <row r="5" customFormat="false" ht="15" hidden="false" customHeight="false" outlineLevel="0" collapsed="false">
      <c r="A5" s="4" t="s">
        <v>16</v>
      </c>
      <c r="B5" s="6"/>
      <c r="C5" s="6"/>
      <c r="D5" s="6"/>
      <c r="E5" s="6"/>
    </row>
    <row r="7" customFormat="false" ht="15" hidden="false" customHeight="false" outlineLevel="0" collapsed="false">
      <c r="A7" s="7" t="s">
        <v>17</v>
      </c>
      <c r="B7" s="8" t="n">
        <v>184000000</v>
      </c>
    </row>
    <row r="8" customFormat="false" ht="15" hidden="false" customHeight="false" outlineLevel="0" collapsed="false">
      <c r="A8" s="7" t="s">
        <v>18</v>
      </c>
      <c r="B8" s="8" t="n">
        <v>27600000</v>
      </c>
    </row>
    <row r="9" customFormat="false" ht="15" hidden="false" customHeight="false" outlineLevel="0" collapsed="false">
      <c r="A9" s="7" t="s">
        <v>19</v>
      </c>
      <c r="B9" s="8" t="n">
        <v>6400000</v>
      </c>
    </row>
    <row r="10" customFormat="false" ht="15" hidden="false" customHeight="false" outlineLevel="0" collapsed="false">
      <c r="A10" s="7" t="s">
        <v>20</v>
      </c>
      <c r="B10" s="8" t="n">
        <v>7600000</v>
      </c>
    </row>
    <row r="11" customFormat="false" ht="15" hidden="false" customHeight="false" outlineLevel="0" collapsed="false">
      <c r="A11" s="7" t="s">
        <v>21</v>
      </c>
      <c r="B11" s="8" t="n">
        <v>800000</v>
      </c>
    </row>
    <row r="12" customFormat="false" ht="15" hidden="false" customHeight="false" outlineLevel="0" collapsed="false">
      <c r="A12" s="7" t="s">
        <v>22</v>
      </c>
      <c r="B12" s="8" t="n">
        <v>38500000</v>
      </c>
    </row>
    <row r="13" customFormat="false" ht="15" hidden="false" customHeight="false" outlineLevel="0" collapsed="false">
      <c r="A13" s="7" t="s">
        <v>23</v>
      </c>
      <c r="B13" s="8" t="n">
        <v>46300000</v>
      </c>
    </row>
    <row r="15" customFormat="false" ht="15" hidden="false" customHeight="false" outlineLevel="0" collapsed="false">
      <c r="A15" s="4" t="s">
        <v>24</v>
      </c>
      <c r="B15" s="6"/>
      <c r="C15" s="6"/>
      <c r="D15" s="6"/>
      <c r="E15" s="6"/>
    </row>
    <row r="17" customFormat="false" ht="15" hidden="false" customHeight="false" outlineLevel="0" collapsed="false">
      <c r="A17" s="7" t="s">
        <v>17</v>
      </c>
      <c r="B17" s="8" t="n">
        <v>620000000</v>
      </c>
    </row>
    <row r="18" customFormat="false" ht="15" hidden="false" customHeight="false" outlineLevel="0" collapsed="false">
      <c r="A18" s="7" t="s">
        <v>18</v>
      </c>
      <c r="B18" s="8" t="n">
        <v>96000000</v>
      </c>
    </row>
    <row r="19" customFormat="false" ht="15" hidden="false" customHeight="false" outlineLevel="0" collapsed="false">
      <c r="A19" s="7" t="s">
        <v>19</v>
      </c>
      <c r="B19" s="8" t="n">
        <v>21000000</v>
      </c>
    </row>
    <row r="20" customFormat="false" ht="15" hidden="false" customHeight="false" outlineLevel="0" collapsed="false">
      <c r="A20" s="7" t="s">
        <v>25</v>
      </c>
      <c r="B20" s="8" t="n">
        <v>186700000</v>
      </c>
    </row>
    <row r="21" customFormat="false" ht="15" hidden="false" customHeight="false" outlineLevel="0" collapsed="false">
      <c r="A21" s="7" t="s">
        <v>26</v>
      </c>
      <c r="B21" s="9" t="n">
        <v>118000000</v>
      </c>
    </row>
    <row r="22" customFormat="false" ht="15" hidden="false" customHeight="false" outlineLevel="0" collapsed="false">
      <c r="A22" s="7" t="s">
        <v>27</v>
      </c>
      <c r="B22" s="10" t="n">
        <v>8.3</v>
      </c>
    </row>
    <row r="24" customFormat="false" ht="15" hidden="false" customHeight="false" outlineLevel="0" collapsed="false">
      <c r="A24" s="4" t="s">
        <v>28</v>
      </c>
      <c r="B24" s="6"/>
      <c r="C24" s="6"/>
      <c r="D24" s="6"/>
      <c r="E24" s="6"/>
    </row>
    <row r="26" customFormat="false" ht="15" hidden="false" customHeight="false" outlineLevel="0" collapsed="false">
      <c r="A26" s="7" t="s">
        <v>29</v>
      </c>
      <c r="B26" s="11" t="n">
        <v>9</v>
      </c>
    </row>
    <row r="27" customFormat="false" ht="15" hidden="false" customHeight="false" outlineLevel="0" collapsed="false">
      <c r="A27" s="7" t="s">
        <v>30</v>
      </c>
      <c r="B27" s="12" t="n">
        <v>0.25</v>
      </c>
    </row>
    <row r="28" customFormat="false" ht="15" hidden="false" customHeight="false" outlineLevel="0" collapsed="false">
      <c r="A28" s="7" t="s">
        <v>31</v>
      </c>
      <c r="B28" s="8" t="n">
        <v>6900000</v>
      </c>
    </row>
    <row r="29" customFormat="false" ht="15" hidden="false" customHeight="false" outlineLevel="0" collapsed="false">
      <c r="A29" s="7" t="s">
        <v>32</v>
      </c>
      <c r="B29" s="12" t="n">
        <v>0.6</v>
      </c>
    </row>
    <row r="30" customFormat="false" ht="15" hidden="false" customHeight="false" outlineLevel="0" collapsed="false">
      <c r="A30" s="7" t="s">
        <v>33</v>
      </c>
      <c r="B30" s="12" t="n">
        <v>0.045</v>
      </c>
    </row>
    <row r="31" customFormat="false" ht="15" hidden="false" customHeight="false" outlineLevel="0" collapsed="false">
      <c r="A31" s="7" t="s">
        <v>34</v>
      </c>
      <c r="B31" s="12" t="n">
        <v>0.04</v>
      </c>
    </row>
    <row r="33" customFormat="false" ht="15" hidden="false" customHeight="false" outlineLevel="0" collapsed="false">
      <c r="A33" s="4" t="s">
        <v>35</v>
      </c>
      <c r="B33" s="6"/>
      <c r="C33" s="6"/>
      <c r="D33" s="6"/>
      <c r="E33" s="6"/>
    </row>
    <row r="35" customFormat="false" ht="15" hidden="false" customHeight="false" outlineLevel="0" collapsed="false">
      <c r="A35" s="7" t="s">
        <v>36</v>
      </c>
      <c r="B35" s="8" t="n">
        <v>25000000</v>
      </c>
    </row>
    <row r="36" customFormat="false" ht="15" hidden="false" customHeight="false" outlineLevel="0" collapsed="false">
      <c r="A36" s="7" t="s">
        <v>37</v>
      </c>
      <c r="B36" s="12" t="n">
        <v>0.45</v>
      </c>
    </row>
    <row r="37" customFormat="false" ht="15" hidden="false" customHeight="false" outlineLevel="0" collapsed="false">
      <c r="A37" s="7" t="s">
        <v>38</v>
      </c>
      <c r="B37" s="13" t="n">
        <v>3</v>
      </c>
    </row>
    <row r="39" customFormat="false" ht="15" hidden="false" customHeight="false" outlineLevel="0" collapsed="false">
      <c r="A39" s="4" t="s">
        <v>39</v>
      </c>
      <c r="B39" s="6"/>
      <c r="C39" s="6"/>
      <c r="D39" s="6"/>
      <c r="E39" s="6"/>
    </row>
    <row r="41" customFormat="false" ht="15" hidden="false" customHeight="false" outlineLevel="0" collapsed="false">
      <c r="A41" s="7" t="s">
        <v>40</v>
      </c>
      <c r="B41" s="8" t="n">
        <v>7200000</v>
      </c>
    </row>
    <row r="42" customFormat="false" ht="15" hidden="false" customHeight="false" outlineLevel="0" collapsed="false">
      <c r="A42" s="7" t="s">
        <v>41</v>
      </c>
      <c r="B42" s="12" t="n">
        <v>0.3</v>
      </c>
    </row>
    <row r="43" customFormat="false" ht="15" hidden="false" customHeight="false" outlineLevel="0" collapsed="false">
      <c r="A43" s="7" t="s">
        <v>42</v>
      </c>
      <c r="B43" s="12" t="n">
        <v>0.7</v>
      </c>
    </row>
    <row r="44" customFormat="false" ht="15" hidden="false" customHeight="false" outlineLevel="0" collapsed="false">
      <c r="A44" s="7" t="s">
        <v>43</v>
      </c>
      <c r="B44" s="12" t="n">
        <v>1</v>
      </c>
    </row>
    <row r="45" customFormat="false" ht="15" hidden="false" customHeight="false" outlineLevel="0" collapsed="false">
      <c r="A45" s="7" t="s">
        <v>44</v>
      </c>
      <c r="B45" s="8" t="n">
        <v>9400000</v>
      </c>
    </row>
    <row r="46" customFormat="false" ht="15" hidden="false" customHeight="false" outlineLevel="0" collapsed="false">
      <c r="A46" s="7" t="s">
        <v>45</v>
      </c>
      <c r="B46" s="12" t="n">
        <v>0.55</v>
      </c>
    </row>
    <row r="47" customFormat="false" ht="15" hidden="false" customHeight="false" outlineLevel="0" collapsed="false">
      <c r="A47" s="7" t="s">
        <v>46</v>
      </c>
      <c r="B47" s="12" t="n">
        <v>0.3</v>
      </c>
    </row>
    <row r="48" customFormat="false" ht="15" hidden="false" customHeight="false" outlineLevel="0" collapsed="false">
      <c r="A48" s="7" t="s">
        <v>47</v>
      </c>
      <c r="B48" s="12" t="n">
        <v>0.15</v>
      </c>
    </row>
    <row r="50" customFormat="false" ht="15" hidden="false" customHeight="false" outlineLevel="0" collapsed="false">
      <c r="A50" s="4" t="s">
        <v>48</v>
      </c>
      <c r="B50" s="6"/>
      <c r="C50" s="6"/>
      <c r="D50" s="6"/>
      <c r="E50" s="6"/>
    </row>
    <row r="52" customFormat="false" ht="15" hidden="false" customHeight="false" outlineLevel="0" collapsed="false">
      <c r="A52" s="7" t="s">
        <v>49</v>
      </c>
      <c r="B52" s="12" t="n">
        <v>0.0925</v>
      </c>
    </row>
    <row r="53" customFormat="false" ht="15" hidden="false" customHeight="false" outlineLevel="0" collapsed="false">
      <c r="A53" s="7" t="s">
        <v>50</v>
      </c>
      <c r="B53" s="12" t="n">
        <v>0.0175</v>
      </c>
    </row>
    <row r="54" customFormat="false" ht="15" hidden="false" customHeight="false" outlineLevel="0" collapsed="false">
      <c r="A54" s="7" t="s">
        <v>51</v>
      </c>
      <c r="B54" s="12" t="n">
        <v>0.38</v>
      </c>
    </row>
    <row r="55" customFormat="false" ht="15" hidden="false" customHeight="false" outlineLevel="0" collapsed="false">
      <c r="A55" s="7" t="s">
        <v>52</v>
      </c>
      <c r="B55" s="13" t="n">
        <v>9</v>
      </c>
    </row>
    <row r="57" customFormat="false" ht="15" hidden="false" customHeight="false" outlineLevel="0" collapsed="false">
      <c r="A57" s="4" t="s">
        <v>53</v>
      </c>
      <c r="B57" s="6"/>
      <c r="C57" s="6"/>
      <c r="D57" s="6"/>
      <c r="E57" s="6"/>
    </row>
    <row r="59" customFormat="false" ht="30" hidden="false" customHeight="true" outlineLevel="0" collapsed="false">
      <c r="A59" s="14" t="s">
        <v>54</v>
      </c>
      <c r="B59" s="15" t="s">
        <v>55</v>
      </c>
      <c r="C59" s="15" t="s">
        <v>56</v>
      </c>
      <c r="D59" s="15" t="s">
        <v>57</v>
      </c>
      <c r="E59" s="15" t="s">
        <v>58</v>
      </c>
    </row>
    <row r="60" customFormat="false" ht="15" hidden="false" customHeight="false" outlineLevel="0" collapsed="false">
      <c r="A60" s="7" t="s">
        <v>59</v>
      </c>
      <c r="B60" s="8" t="n">
        <v>7200000</v>
      </c>
      <c r="C60" s="16" t="n">
        <v>0</v>
      </c>
      <c r="D60" s="16" t="n">
        <v>1</v>
      </c>
      <c r="E60" s="16" t="n">
        <v>1</v>
      </c>
    </row>
    <row r="61" customFormat="false" ht="15" hidden="false" customHeight="false" outlineLevel="0" collapsed="false">
      <c r="A61" s="7" t="s">
        <v>60</v>
      </c>
      <c r="B61" s="8" t="n">
        <v>2450000</v>
      </c>
      <c r="C61" s="16" t="n">
        <v>1</v>
      </c>
      <c r="D61" s="16" t="n">
        <v>0</v>
      </c>
      <c r="E61" s="16" t="n">
        <v>1</v>
      </c>
    </row>
    <row r="62" customFormat="false" ht="15" hidden="false" customHeight="false" outlineLevel="0" collapsed="false">
      <c r="A62" s="7" t="s">
        <v>61</v>
      </c>
      <c r="B62" s="8" t="n">
        <v>1800000</v>
      </c>
      <c r="C62" s="16" t="n">
        <v>1</v>
      </c>
      <c r="D62" s="16" t="n">
        <v>0</v>
      </c>
      <c r="E62" s="16" t="n">
        <v>1</v>
      </c>
    </row>
    <row r="63" customFormat="false" ht="15" hidden="false" customHeight="false" outlineLevel="0" collapsed="false">
      <c r="A63" s="7" t="s">
        <v>62</v>
      </c>
      <c r="B63" s="8" t="n">
        <v>4150000</v>
      </c>
      <c r="C63" s="16" t="n">
        <v>0</v>
      </c>
      <c r="D63" s="16" t="n">
        <v>0</v>
      </c>
      <c r="E63" s="16" t="n">
        <v>0</v>
      </c>
    </row>
    <row r="64" customFormat="false" ht="15" hidden="false" customHeight="false" outlineLevel="0" collapsed="false">
      <c r="A64" s="17" t="s">
        <v>63</v>
      </c>
    </row>
    <row r="66" customFormat="false" ht="15" hidden="false" customHeight="false" outlineLevel="0" collapsed="false">
      <c r="A66" s="4" t="s">
        <v>64</v>
      </c>
      <c r="B66" s="6"/>
      <c r="C66" s="6"/>
      <c r="D66" s="6"/>
      <c r="E66" s="6"/>
    </row>
    <row r="68" customFormat="false" ht="30" hidden="false" customHeight="true" outlineLevel="0" collapsed="false">
      <c r="A68" s="14" t="s">
        <v>65</v>
      </c>
      <c r="B68" s="15" t="s">
        <v>66</v>
      </c>
      <c r="C68" s="15" t="s">
        <v>67</v>
      </c>
    </row>
    <row r="69" customFormat="false" ht="15" hidden="false" customHeight="false" outlineLevel="0" collapsed="false">
      <c r="A69" s="7" t="s">
        <v>68</v>
      </c>
      <c r="B69" s="18" t="n">
        <v>0</v>
      </c>
      <c r="C69" s="12" t="n">
        <v>0.01</v>
      </c>
    </row>
    <row r="70" customFormat="false" ht="15" hidden="false" customHeight="false" outlineLevel="0" collapsed="false">
      <c r="A70" s="7" t="s">
        <v>69</v>
      </c>
      <c r="B70" s="18" t="n">
        <v>2.5</v>
      </c>
      <c r="C70" s="12" t="n">
        <v>0.0125</v>
      </c>
    </row>
    <row r="71" customFormat="false" ht="15" hidden="false" customHeight="false" outlineLevel="0" collapsed="false">
      <c r="A71" s="7" t="s">
        <v>70</v>
      </c>
      <c r="B71" s="18" t="n">
        <v>3</v>
      </c>
      <c r="C71" s="12" t="n">
        <v>0.02</v>
      </c>
    </row>
    <row r="72" customFormat="false" ht="15" hidden="false" customHeight="false" outlineLevel="0" collapsed="false">
      <c r="A72" s="7" t="s">
        <v>71</v>
      </c>
      <c r="B72" s="18" t="n">
        <v>3.5</v>
      </c>
      <c r="C72" s="12" t="n">
        <v>0.0325</v>
      </c>
    </row>
    <row r="73" customFormat="false" ht="15" hidden="false" customHeight="false" outlineLevel="0" collapsed="false">
      <c r="A73" s="7" t="s">
        <v>72</v>
      </c>
      <c r="B73" s="18" t="n">
        <v>4</v>
      </c>
      <c r="C73" s="12" t="n">
        <v>0.05</v>
      </c>
    </row>
    <row r="74" customFormat="false" ht="15" hidden="false" customHeight="false" outlineLevel="0" collapsed="false">
      <c r="A74" s="17" t="s">
        <v>73</v>
      </c>
    </row>
  </sheetData>
  <dataValidations count="12">
    <dataValidation allowBlank="false" errorStyle="stop" operator="between" showDropDown="false" showErrorMessage="false" showInputMessage="false" sqref="C60" type="list">
      <formula1>"1,0"</formula1>
      <formula2>0</formula2>
    </dataValidation>
    <dataValidation allowBlank="false" errorStyle="stop" operator="between" showDropDown="false" showErrorMessage="false" showInputMessage="false" sqref="D60" type="list">
      <formula1>"1,0"</formula1>
      <formula2>0</formula2>
    </dataValidation>
    <dataValidation allowBlank="false" errorStyle="stop" operator="between" showDropDown="false" showErrorMessage="false" showInputMessage="false" sqref="E60" type="list">
      <formula1>"1,0"</formula1>
      <formula2>0</formula2>
    </dataValidation>
    <dataValidation allowBlank="false" errorStyle="stop" operator="between" showDropDown="false" showErrorMessage="false" showInputMessage="false" sqref="C61" type="list">
      <formula1>"1,0"</formula1>
      <formula2>0</formula2>
    </dataValidation>
    <dataValidation allowBlank="false" errorStyle="stop" operator="between" showDropDown="false" showErrorMessage="false" showInputMessage="false" sqref="D61" type="list">
      <formula1>"1,0"</formula1>
      <formula2>0</formula2>
    </dataValidation>
    <dataValidation allowBlank="false" errorStyle="stop" operator="between" showDropDown="false" showErrorMessage="false" showInputMessage="false" sqref="E61" type="list">
      <formula1>"1,0"</formula1>
      <formula2>0</formula2>
    </dataValidation>
    <dataValidation allowBlank="false" errorStyle="stop" operator="between" showDropDown="false" showErrorMessage="false" showInputMessage="false" sqref="C62" type="list">
      <formula1>"1,0"</formula1>
      <formula2>0</formula2>
    </dataValidation>
    <dataValidation allowBlank="false" errorStyle="stop" operator="between" showDropDown="false" showErrorMessage="false" showInputMessage="false" sqref="D62" type="list">
      <formula1>"1,0"</formula1>
      <formula2>0</formula2>
    </dataValidation>
    <dataValidation allowBlank="false" errorStyle="stop" operator="between" showDropDown="false" showErrorMessage="false" showInputMessage="false" sqref="E62" type="list">
      <formula1>"1,0"</formula1>
      <formula2>0</formula2>
    </dataValidation>
    <dataValidation allowBlank="false" errorStyle="stop" operator="between" showDropDown="false" showErrorMessage="false" showInputMessage="false" sqref="C63" type="list">
      <formula1>"1,0"</formula1>
      <formula2>0</formula2>
    </dataValidation>
    <dataValidation allowBlank="false" errorStyle="stop" operator="between" showDropDown="false" showErrorMessage="false" showInputMessage="false" sqref="D63" type="list">
      <formula1>"1,0"</formula1>
      <formula2>0</formula2>
    </dataValidation>
    <dataValidation allowBlank="false" errorStyle="stop" operator="between" showDropDown="false" showErrorMessage="false" showInputMessage="false" sqref="E63" type="list">
      <formula1>"1,0"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20"/>
    <col collapsed="false" customWidth="true" hidden="false" outlineLevel="0" max="10" min="3" style="0" width="12"/>
  </cols>
  <sheetData>
    <row r="1" customFormat="false" ht="24" hidden="false" customHeight="true" outlineLevel="0" collapsed="false">
      <c r="A1" s="1" t="s">
        <v>74</v>
      </c>
    </row>
    <row r="2" customFormat="false" ht="15" hidden="false" customHeight="false" outlineLevel="0" collapsed="false">
      <c r="A2" s="2" t="s">
        <v>75</v>
      </c>
    </row>
    <row r="3" customFormat="false" ht="15" hidden="false" customHeight="false" outlineLevel="0" collapsed="false">
      <c r="A3" s="3"/>
      <c r="B3" s="3"/>
      <c r="C3" s="3"/>
      <c r="D3" s="3"/>
      <c r="E3" s="3"/>
      <c r="F3" s="3"/>
      <c r="G3" s="3"/>
      <c r="H3" s="3"/>
      <c r="I3" s="3"/>
      <c r="J3" s="3"/>
    </row>
    <row r="5" customFormat="false" ht="15" hidden="false" customHeight="false" outlineLevel="0" collapsed="false">
      <c r="A5" s="4" t="s">
        <v>76</v>
      </c>
      <c r="B5" s="6"/>
      <c r="C5" s="6"/>
      <c r="D5" s="6"/>
      <c r="E5" s="6"/>
      <c r="F5" s="6"/>
      <c r="G5" s="6"/>
      <c r="H5" s="6"/>
      <c r="I5" s="6"/>
      <c r="J5" s="6"/>
    </row>
    <row r="7" customFormat="false" ht="15" hidden="false" customHeight="false" outlineLevel="0" collapsed="false">
      <c r="A7" s="7" t="s">
        <v>77</v>
      </c>
      <c r="B7" s="19" t="n">
        <f aca="false">SUM(DLamt)</f>
        <v>15600000</v>
      </c>
    </row>
    <row r="8" customFormat="false" ht="15" hidden="false" customHeight="false" outlineLevel="0" collapsed="false">
      <c r="A8" s="7" t="s">
        <v>78</v>
      </c>
      <c r="B8" s="19" t="n">
        <f aca="false">SUMPRODUCT(DLamt,1-DL_BS)</f>
        <v>11350000</v>
      </c>
    </row>
    <row r="9" customFormat="false" ht="15" hidden="false" customHeight="false" outlineLevel="0" collapsed="false">
      <c r="A9" s="7" t="s">
        <v>79</v>
      </c>
      <c r="B9" s="19" t="n">
        <f aca="false">SUMPRODUCT(DLamt,DL_IF)</f>
        <v>7200000</v>
      </c>
    </row>
    <row r="10" customFormat="false" ht="15" hidden="false" customHeight="false" outlineLevel="0" collapsed="false">
      <c r="A10" s="7" t="s">
        <v>80</v>
      </c>
      <c r="B10" s="19" t="n">
        <f aca="false">SUMPRODUCT(DLamt,DL_CF)</f>
        <v>11450000</v>
      </c>
    </row>
    <row r="12" customFormat="false" ht="15" hidden="false" customHeight="false" outlineLevel="0" collapsed="false">
      <c r="A12" s="4" t="s">
        <v>81</v>
      </c>
      <c r="B12" s="6"/>
      <c r="C12" s="6"/>
      <c r="D12" s="6"/>
      <c r="E12" s="6"/>
      <c r="F12" s="6"/>
      <c r="G12" s="6"/>
      <c r="H12" s="6"/>
      <c r="I12" s="6"/>
      <c r="J12" s="6"/>
    </row>
    <row r="14" customFormat="false" ht="15" hidden="false" customHeight="false" outlineLevel="0" collapsed="false">
      <c r="A14" s="7" t="s">
        <v>82</v>
      </c>
      <c r="B14" s="19" t="n">
        <f aca="false">A_Ebitda+T_Ebitda</f>
        <v>123600000</v>
      </c>
    </row>
    <row r="15" customFormat="false" ht="15" hidden="false" customHeight="false" outlineLevel="0" collapsed="false">
      <c r="A15" s="7" t="s">
        <v>83</v>
      </c>
      <c r="B15" s="19" t="n">
        <f aca="false">Mult*T_Ebitda</f>
        <v>248400000</v>
      </c>
    </row>
    <row r="16" customFormat="false" ht="15" hidden="false" customHeight="false" outlineLevel="0" collapsed="false">
      <c r="A16" s="7" t="s">
        <v>84</v>
      </c>
      <c r="B16" s="19" t="n">
        <f aca="false">EVh-T_NetDebt</f>
        <v>209900000</v>
      </c>
    </row>
    <row r="17" customFormat="false" ht="15" hidden="false" customHeight="false" outlineLevel="0" collapsed="false">
      <c r="A17" s="7" t="s">
        <v>85</v>
      </c>
      <c r="B17" s="19" t="n">
        <f aca="false">Peq-DLtot</f>
        <v>194300000</v>
      </c>
    </row>
    <row r="18" customFormat="false" ht="15" hidden="false" customHeight="false" outlineLevel="0" collapsed="false">
      <c r="A18" s="7" t="s">
        <v>86</v>
      </c>
      <c r="B18" s="19" t="n">
        <f aca="false">Pdl+TxnCost</f>
        <v>201200000</v>
      </c>
    </row>
    <row r="19" customFormat="false" ht="15" hidden="false" customHeight="false" outlineLevel="0" collapsed="false">
      <c r="A19" s="7" t="s">
        <v>87</v>
      </c>
      <c r="B19" s="19" t="n">
        <f aca="false">CashOut*DebtShare</f>
        <v>120720000</v>
      </c>
    </row>
    <row r="20" customFormat="false" ht="15" hidden="false" customHeight="false" outlineLevel="0" collapsed="false">
      <c r="A20" s="7" t="s">
        <v>88</v>
      </c>
      <c r="B20" s="19" t="n">
        <f aca="false">CashOut-NewDebt</f>
        <v>80480000</v>
      </c>
    </row>
    <row r="22" customFormat="false" ht="15" hidden="false" customHeight="false" outlineLevel="0" collapsed="false">
      <c r="A22" s="4" t="s">
        <v>89</v>
      </c>
      <c r="B22" s="6"/>
      <c r="C22" s="6"/>
      <c r="D22" s="6"/>
      <c r="E22" s="6"/>
      <c r="F22" s="6"/>
      <c r="G22" s="6"/>
      <c r="H22" s="6"/>
      <c r="I22" s="6"/>
      <c r="J22" s="6"/>
    </row>
    <row r="24" customFormat="false" ht="15" hidden="false" customHeight="false" outlineLevel="0" collapsed="false">
      <c r="A24" s="7" t="s">
        <v>90</v>
      </c>
      <c r="B24" s="20" t="n">
        <f aca="false">BaseRate+LOOKUP(2,LadThr,LadMar)</f>
        <v>0.05</v>
      </c>
      <c r="C24" s="20" t="n">
        <f aca="false">BaseRate+LOOKUP((A_Debt+NewDebt+T_NetDebt+DLcov+EoMax*EoProb/(1+B24)^EoYear)/CombEb,LadThr,LadMar)</f>
        <v>0.0525</v>
      </c>
      <c r="D24" s="20" t="n">
        <f aca="false">BaseRate+LOOKUP((A_Debt+NewDebt+T_NetDebt+DLcov+EoMax*EoProb/(1+C24)^EoYear)/CombEb,LadThr,LadMar)</f>
        <v>0.0525</v>
      </c>
      <c r="E24" s="20" t="n">
        <f aca="false">BaseRate+LOOKUP((A_Debt+NewDebt+T_NetDebt+DLcov+EoMax*EoProb/(1+D24)^EoYear)/CombEb,LadThr,LadMar)</f>
        <v>0.0525</v>
      </c>
      <c r="F24" s="20" t="n">
        <f aca="false">BaseRate+LOOKUP((A_Debt+NewDebt+T_NetDebt+DLcov+EoMax*EoProb/(1+E24)^EoYear)/CombEb,LadThr,LadMar)</f>
        <v>0.0525</v>
      </c>
      <c r="G24" s="20" t="n">
        <f aca="false">BaseRate+LOOKUP((A_Debt+NewDebt+T_NetDebt+DLcov+EoMax*EoProb/(1+F24)^EoYear)/CombEb,LadThr,LadMar)</f>
        <v>0.0525</v>
      </c>
      <c r="H24" s="20" t="n">
        <f aca="false">BaseRate+LOOKUP((A_Debt+NewDebt+T_NetDebt+DLcov+EoMax*EoProb/(1+G24)^EoYear)/CombEb,LadThr,LadMar)</f>
        <v>0.0525</v>
      </c>
      <c r="I24" s="20" t="n">
        <f aca="false">BaseRate+LOOKUP((A_Debt+NewDebt+T_NetDebt+DLcov+EoMax*EoProb/(1+H24)^EoYear)/CombEb,LadThr,LadMar)</f>
        <v>0.0525</v>
      </c>
      <c r="J24" s="20" t="n">
        <f aca="false">BaseRate+LOOKUP((A_Debt+NewDebt+T_NetDebt+DLcov+EoMax*EoProb/(1+I24)^EoYear)/CombEb,LadThr,LadMar)</f>
        <v>0.0525</v>
      </c>
    </row>
    <row r="25" customFormat="false" ht="15" hidden="false" customHeight="false" outlineLevel="0" collapsed="false">
      <c r="A25" s="17" t="s">
        <v>91</v>
      </c>
    </row>
    <row r="26" customFormat="false" ht="15" hidden="false" customHeight="false" outlineLevel="0" collapsed="false">
      <c r="A26" s="7" t="s">
        <v>92</v>
      </c>
      <c r="B26" s="21" t="str">
        <f aca="false">IF(I24=J24,"yes","no")</f>
        <v>yes</v>
      </c>
    </row>
    <row r="27" customFormat="false" ht="15" hidden="false" customHeight="false" outlineLevel="0" collapsed="false">
      <c r="A27" s="7" t="s">
        <v>93</v>
      </c>
      <c r="B27" s="20" t="n">
        <f aca="false">MAX(I24,J24)</f>
        <v>0.0525</v>
      </c>
    </row>
    <row r="28" customFormat="false" ht="15" hidden="false" customHeight="false" outlineLevel="0" collapsed="false">
      <c r="A28" s="7" t="s">
        <v>94</v>
      </c>
      <c r="B28" s="20" t="n">
        <f aca="false">DebtRate-BaseRate</f>
        <v>0.0125</v>
      </c>
    </row>
    <row r="29" customFormat="false" ht="15" hidden="false" customHeight="false" outlineLevel="0" collapsed="false">
      <c r="A29" s="7" t="s">
        <v>95</v>
      </c>
      <c r="B29" s="22" t="n">
        <f aca="false">EoMax*EoProb/(1+DebtRate)^EoYear</f>
        <v>9649086.70523237</v>
      </c>
    </row>
    <row r="30" customFormat="false" ht="15" hidden="false" customHeight="false" outlineLevel="0" collapsed="false">
      <c r="A30" s="7" t="s">
        <v>96</v>
      </c>
      <c r="B30" s="23" t="n">
        <f aca="false">(A_Debt+NewDebt+T_NetDebt+DLcov+EoFV)/CombEb</f>
        <v>2.96941008661191</v>
      </c>
    </row>
    <row r="32" customFormat="false" ht="15" hidden="false" customHeight="false" outlineLevel="0" collapsed="false">
      <c r="A32" s="4" t="s">
        <v>97</v>
      </c>
      <c r="B32" s="6"/>
      <c r="C32" s="6"/>
      <c r="D32" s="6"/>
      <c r="E32" s="6"/>
      <c r="F32" s="6"/>
      <c r="G32" s="6"/>
      <c r="H32" s="6"/>
      <c r="I32" s="6"/>
      <c r="J32" s="6"/>
    </row>
    <row r="34" customFormat="false" ht="15" hidden="false" customHeight="false" outlineLevel="0" collapsed="false">
      <c r="A34" s="7" t="s">
        <v>98</v>
      </c>
      <c r="B34" s="19" t="n">
        <f aca="false">Pdl+EoFV</f>
        <v>203949086.705232</v>
      </c>
    </row>
    <row r="35" customFormat="false" ht="15" hidden="false" customHeight="false" outlineLevel="0" collapsed="false">
      <c r="A35" s="7" t="s">
        <v>99</v>
      </c>
      <c r="B35" s="19" t="n">
        <f aca="false">CashOut+EoMax*EoProb</f>
        <v>212450000</v>
      </c>
    </row>
    <row r="36" customFormat="false" ht="15" hidden="false" customHeight="false" outlineLevel="0" collapsed="false">
      <c r="A36" s="7" t="s">
        <v>100</v>
      </c>
      <c r="B36" s="19" t="n">
        <f aca="false">CashOut+EoMax</f>
        <v>226200000</v>
      </c>
    </row>
    <row r="38" customFormat="false" ht="15" hidden="false" customHeight="false" outlineLevel="0" collapsed="false">
      <c r="A38" s="4" t="s">
        <v>101</v>
      </c>
      <c r="B38" s="6"/>
      <c r="C38" s="6"/>
      <c r="D38" s="6"/>
      <c r="E38" s="6"/>
      <c r="F38" s="6"/>
      <c r="G38" s="6"/>
      <c r="H38" s="6"/>
      <c r="I38" s="6"/>
      <c r="J38" s="6"/>
    </row>
    <row r="40" customFormat="false" ht="15" hidden="false" customHeight="false" outlineLevel="0" collapsed="false">
      <c r="A40" s="7" t="s">
        <v>102</v>
      </c>
      <c r="B40" s="22" t="n">
        <f aca="false">A_Price*(1-IssueDisc)</f>
        <v>7.9265</v>
      </c>
    </row>
    <row r="41" customFormat="false" ht="15" hidden="false" customHeight="false" outlineLevel="0" collapsed="false">
      <c r="A41" s="7" t="s">
        <v>103</v>
      </c>
      <c r="B41" s="24" t="n">
        <f aca="false">EqRaise/IssPrice</f>
        <v>10153283.290229</v>
      </c>
    </row>
    <row r="42" customFormat="false" ht="15" hidden="false" customHeight="false" outlineLevel="0" collapsed="false">
      <c r="A42" s="7" t="s">
        <v>104</v>
      </c>
      <c r="B42" s="24" t="n">
        <f aca="false">A_Shares+NewSh</f>
        <v>128153283.290229</v>
      </c>
    </row>
    <row r="43" customFormat="false" ht="15" hidden="false" customHeight="false" outlineLevel="0" collapsed="false">
      <c r="A43" s="7" t="s">
        <v>105</v>
      </c>
      <c r="B43" s="25" t="n">
        <f aca="false">NewSh/ShAfter</f>
        <v>0.0792276485592243</v>
      </c>
    </row>
    <row r="45" customFormat="false" ht="15" hidden="false" customHeight="false" outlineLevel="0" collapsed="false">
      <c r="A45" s="4" t="s">
        <v>106</v>
      </c>
      <c r="B45" s="6"/>
      <c r="C45" s="6"/>
      <c r="D45" s="6"/>
      <c r="E45" s="6"/>
      <c r="F45" s="6"/>
      <c r="G45" s="6"/>
      <c r="H45" s="6"/>
      <c r="I45" s="6"/>
      <c r="J45" s="6"/>
    </row>
    <row r="47" customFormat="false" ht="15" hidden="false" customHeight="false" outlineLevel="0" collapsed="false">
      <c r="A47" s="7" t="s">
        <v>107</v>
      </c>
      <c r="B47" s="23" t="n">
        <f aca="false">A_Debt/A_Ebitda</f>
        <v>1.94479166666667</v>
      </c>
    </row>
    <row r="48" customFormat="false" ht="15" hidden="false" customHeight="false" outlineLevel="0" collapsed="false">
      <c r="A48" s="7" t="s">
        <v>108</v>
      </c>
      <c r="B48" s="20" t="n">
        <f aca="false">BaseRate+LOOKUP(ALevPre,LadThr,LadMar)</f>
        <v>0.05</v>
      </c>
    </row>
    <row r="49" customFormat="false" ht="15" hidden="false" customHeight="false" outlineLevel="0" collapsed="false">
      <c r="A49" s="7" t="s">
        <v>109</v>
      </c>
      <c r="B49" s="19" t="n">
        <f aca="false">A_Debt*ARatePre</f>
        <v>9335000</v>
      </c>
    </row>
    <row r="50" customFormat="false" ht="15" hidden="false" customHeight="false" outlineLevel="0" collapsed="false">
      <c r="A50" s="7" t="s">
        <v>110</v>
      </c>
      <c r="B50" s="19" t="n">
        <f aca="false">A_Debt*DebtRate</f>
        <v>9801750</v>
      </c>
    </row>
    <row r="51" customFormat="false" ht="15" hidden="false" customHeight="false" outlineLevel="0" collapsed="false">
      <c r="A51" s="7" t="s">
        <v>111</v>
      </c>
      <c r="B51" s="19" t="n">
        <f aca="false">AInt-AIntPre</f>
        <v>466750.000000002</v>
      </c>
    </row>
    <row r="52" customFormat="false" ht="15" hidden="false" customHeight="false" outlineLevel="0" collapsed="false">
      <c r="A52" s="7" t="s">
        <v>112</v>
      </c>
      <c r="B52" s="19" t="n">
        <f aca="false">A_Ebitda-A_DA</f>
        <v>75000000</v>
      </c>
    </row>
    <row r="53" customFormat="false" ht="15" hidden="false" customHeight="false" outlineLevel="0" collapsed="false">
      <c r="A53" s="7" t="s">
        <v>113</v>
      </c>
      <c r="B53" s="19" t="n">
        <f aca="false">(AEbit-AIntPre)*(1-Tax)</f>
        <v>49248750</v>
      </c>
    </row>
    <row r="54" customFormat="false" ht="15" hidden="false" customHeight="false" outlineLevel="0" collapsed="false">
      <c r="A54" s="7" t="s">
        <v>114</v>
      </c>
      <c r="B54" s="26" t="n">
        <f aca="false">ANI/A_Shares</f>
        <v>0.417362288135593</v>
      </c>
    </row>
    <row r="55" customFormat="false" ht="15" hidden="false" customHeight="false" outlineLevel="0" collapsed="false">
      <c r="A55" s="7" t="s">
        <v>115</v>
      </c>
      <c r="B55" s="19" t="n">
        <f aca="false">A_Price*A_Shares</f>
        <v>979400000</v>
      </c>
    </row>
    <row r="56" customFormat="false" ht="15" hidden="false" customHeight="false" outlineLevel="0" collapsed="false">
      <c r="A56" s="7" t="s">
        <v>116</v>
      </c>
      <c r="B56" s="19" t="n">
        <f aca="false">AMcap+A_Debt</f>
        <v>1166100000</v>
      </c>
    </row>
    <row r="57" customFormat="false" ht="15" hidden="false" customHeight="false" outlineLevel="0" collapsed="false">
      <c r="A57" s="7" t="s">
        <v>117</v>
      </c>
      <c r="B57" s="27" t="n">
        <f aca="false">AEV/A_Ebitda</f>
        <v>12.146875</v>
      </c>
    </row>
    <row r="59" customFormat="false" ht="15" hidden="false" customHeight="false" outlineLevel="0" collapsed="false">
      <c r="A59" s="4" t="s">
        <v>118</v>
      </c>
      <c r="B59" s="6"/>
      <c r="C59" s="6"/>
      <c r="D59" s="6"/>
      <c r="E59" s="6"/>
      <c r="F59" s="6"/>
      <c r="G59" s="6"/>
      <c r="H59" s="6"/>
      <c r="I59" s="6"/>
      <c r="J59" s="6"/>
    </row>
    <row r="61" customFormat="false" ht="15" hidden="false" customHeight="false" outlineLevel="0" collapsed="false">
      <c r="A61" s="7" t="s">
        <v>112</v>
      </c>
      <c r="B61" s="19" t="n">
        <f aca="false">T_Ebitda-T_DA</f>
        <v>21200000</v>
      </c>
    </row>
    <row r="62" customFormat="false" ht="15" hidden="false" customHeight="false" outlineLevel="0" collapsed="false">
      <c r="A62" s="7" t="s">
        <v>119</v>
      </c>
      <c r="B62" s="19" t="n">
        <f aca="false">TEbit*(1-Tax)+T_DA-T_Capex-T_DWC</f>
        <v>13900000</v>
      </c>
    </row>
    <row r="63" customFormat="false" ht="15" hidden="false" customHeight="false" outlineLevel="0" collapsed="false">
      <c r="A63" s="7" t="s">
        <v>120</v>
      </c>
      <c r="B63" s="19" t="n">
        <f aca="false">TFcf*(1+Grow)/(Wacc-Grow)</f>
        <v>188576666.666667</v>
      </c>
    </row>
    <row r="64" customFormat="false" ht="15" hidden="false" customHeight="false" outlineLevel="0" collapsed="false">
      <c r="A64" s="7" t="s">
        <v>121</v>
      </c>
      <c r="B64" s="19" t="n">
        <f aca="false">EVh-Intrin</f>
        <v>59823333.3333333</v>
      </c>
    </row>
    <row r="65" customFormat="false" ht="15" hidden="false" customHeight="false" outlineLevel="0" collapsed="false">
      <c r="A65" s="7" t="s">
        <v>122</v>
      </c>
      <c r="B65" s="25" t="n">
        <f aca="false">Prem/Intrin</f>
        <v>0.317236137380022</v>
      </c>
    </row>
    <row r="67" customFormat="false" ht="15" hidden="false" customHeight="false" outlineLevel="0" collapsed="false">
      <c r="A67" s="4" t="s">
        <v>123</v>
      </c>
      <c r="B67" s="6"/>
      <c r="C67" s="6"/>
      <c r="D67" s="6"/>
      <c r="E67" s="6"/>
      <c r="F67" s="6"/>
      <c r="G67" s="6"/>
      <c r="H67" s="6"/>
      <c r="I67" s="6"/>
      <c r="J67" s="6"/>
    </row>
    <row r="69" customFormat="false" ht="15" hidden="false" customHeight="false" outlineLevel="0" collapsed="false">
      <c r="A69" s="7" t="s">
        <v>124</v>
      </c>
      <c r="B69" s="19" t="n">
        <f aca="false">T_BookEq-DLoff</f>
        <v>34950000</v>
      </c>
    </row>
    <row r="70" customFormat="false" ht="15" hidden="false" customHeight="false" outlineLevel="0" collapsed="false">
      <c r="A70" s="7" t="s">
        <v>125</v>
      </c>
      <c r="B70" s="19" t="n">
        <f aca="false">Pfv-NetAss</f>
        <v>168999086.705232</v>
      </c>
    </row>
    <row r="71" customFormat="false" ht="15" hidden="false" customHeight="false" outlineLevel="0" collapsed="false">
      <c r="A71" s="7" t="s">
        <v>126</v>
      </c>
      <c r="B71" s="19" t="n">
        <f aca="false">Excess*IntangSh</f>
        <v>64219652.9479883</v>
      </c>
    </row>
    <row r="72" customFormat="false" ht="15" hidden="false" customHeight="false" outlineLevel="0" collapsed="false">
      <c r="A72" s="7" t="s">
        <v>127</v>
      </c>
      <c r="B72" s="19" t="n">
        <f aca="false">Tax*Intang</f>
        <v>16054913.2369971</v>
      </c>
    </row>
    <row r="73" customFormat="false" ht="15" hidden="false" customHeight="false" outlineLevel="0" collapsed="false">
      <c r="A73" s="7" t="s">
        <v>128</v>
      </c>
      <c r="B73" s="19" t="n">
        <f aca="false">Excess+DTL-Intang</f>
        <v>120834346.994241</v>
      </c>
    </row>
    <row r="74" customFormat="false" ht="15" hidden="false" customHeight="false" outlineLevel="0" collapsed="false">
      <c r="A74" s="7" t="s">
        <v>129</v>
      </c>
      <c r="B74" s="19" t="n">
        <f aca="false">Intang/PpaLife</f>
        <v>7135516.99422092</v>
      </c>
    </row>
    <row r="76" customFormat="false" ht="15" hidden="false" customHeight="false" outlineLevel="0" collapsed="false">
      <c r="A76" s="4" t="s">
        <v>130</v>
      </c>
      <c r="B76" s="6"/>
      <c r="C76" s="6"/>
      <c r="D76" s="6"/>
      <c r="E76" s="6"/>
      <c r="F76" s="6"/>
      <c r="G76" s="6"/>
      <c r="H76" s="6"/>
      <c r="I76" s="6"/>
      <c r="J76" s="6"/>
    </row>
    <row r="78" customFormat="false" ht="15" hidden="false" customHeight="false" outlineLevel="0" collapsed="false">
      <c r="A78" s="7" t="s">
        <v>131</v>
      </c>
      <c r="B78" s="26" t="n">
        <f aca="false">Ramp1*(1-Tax)/(1+Wacc)+Ramp2*(1-Tax)/(1+Wacc)^2+Ramp3*(1-Tax)/(1+Wacc)^3+(1-Tax)*(1+Grow)/(Wacc-Grow)/(1+Wacc)^3</f>
        <v>9.02413480722002</v>
      </c>
    </row>
    <row r="79" customFormat="false" ht="15" hidden="false" customHeight="false" outlineLevel="0" collapsed="false">
      <c r="A79" s="7" t="s">
        <v>132</v>
      </c>
      <c r="B79" s="19" t="n">
        <f aca="false">SynCost*((1-Tax)*(CostY1/(1+Wacc)+CostY2/(1+Wacc)^2+CostY3/(1+Wacc)^3))</f>
        <v>6132205.44631029</v>
      </c>
    </row>
    <row r="80" customFormat="false" ht="15" hidden="false" customHeight="false" outlineLevel="0" collapsed="false">
      <c r="A80" s="7" t="s">
        <v>133</v>
      </c>
      <c r="B80" s="19" t="n">
        <f aca="false">((SynRR*Ramp1-SynCost*CostY1)*(1-Tax))/(1+Wacc)+((SynRR*Ramp2-SynCost*CostY2)*(1-Tax))/(1+Wacc)^2+((SynRR*Ramp3-SynCost*CostY3)*(1-Tax))/(1+Wacc)^3</f>
        <v>2658868.9266099</v>
      </c>
    </row>
    <row r="81" customFormat="false" ht="15" hidden="false" customHeight="false" outlineLevel="0" collapsed="false">
      <c r="A81" s="7" t="s">
        <v>134</v>
      </c>
      <c r="B81" s="19" t="n">
        <f aca="false">(SynRR*(1-Tax)*(1+Grow)/(Wacc-Grow))/(1+Wacc)^3</f>
        <v>56182696.2390639</v>
      </c>
    </row>
    <row r="82" customFormat="false" ht="15" hidden="false" customHeight="false" outlineLevel="0" collapsed="false">
      <c r="A82" s="7" t="s">
        <v>135</v>
      </c>
      <c r="B82" s="19" t="n">
        <f aca="false">SynPV3+SynTerm</f>
        <v>58841565.1656738</v>
      </c>
    </row>
    <row r="83" customFormat="false" ht="15" hidden="false" customHeight="false" outlineLevel="0" collapsed="false">
      <c r="A83" s="7" t="s">
        <v>136</v>
      </c>
      <c r="B83" s="19" t="n">
        <f aca="false">Prem+TxnCost+EoFV</f>
        <v>76372420.0385657</v>
      </c>
    </row>
    <row r="84" customFormat="false" ht="15" hidden="false" customHeight="false" outlineLevel="0" collapsed="false">
      <c r="A84" s="7" t="s">
        <v>137</v>
      </c>
      <c r="B84" s="19" t="n">
        <f aca="false">SynVal-Shortf</f>
        <v>-17530854.8728918</v>
      </c>
    </row>
    <row r="86" customFormat="false" ht="15" hidden="false" customHeight="false" outlineLevel="0" collapsed="false">
      <c r="A86" s="4" t="s">
        <v>138</v>
      </c>
      <c r="B86" s="6"/>
      <c r="C86" s="6"/>
      <c r="D86" s="6"/>
      <c r="E86" s="6"/>
      <c r="F86" s="6"/>
      <c r="G86" s="6"/>
      <c r="H86" s="6"/>
      <c r="I86" s="6"/>
      <c r="J86" s="6"/>
    </row>
    <row r="88" customFormat="false" ht="15" hidden="false" customHeight="false" outlineLevel="0" collapsed="false">
      <c r="A88" s="7" t="s">
        <v>139</v>
      </c>
      <c r="B88" s="19" t="n">
        <f aca="false">A_Ebitda+T_Ebitda+SynRR*Ramp1</f>
        <v>125760000</v>
      </c>
    </row>
    <row r="89" customFormat="false" ht="15" hidden="false" customHeight="false" outlineLevel="0" collapsed="false">
      <c r="A89" s="7" t="s">
        <v>140</v>
      </c>
      <c r="B89" s="19" t="n">
        <f aca="false">SynCost*CostY1</f>
        <v>5170000</v>
      </c>
    </row>
    <row r="90" customFormat="false" ht="15" hidden="false" customHeight="false" outlineLevel="0" collapsed="false">
      <c r="A90" s="7" t="s">
        <v>141</v>
      </c>
      <c r="B90" s="19" t="n">
        <f aca="false">A_DA+T_DA+PpaAm</f>
        <v>34535516.9942209</v>
      </c>
    </row>
    <row r="91" customFormat="false" ht="15" hidden="false" customHeight="false" outlineLevel="0" collapsed="false">
      <c r="A91" s="7" t="s">
        <v>142</v>
      </c>
      <c r="B91" s="19" t="n">
        <f aca="false">AInt+(NewDebt+T_NetDebt+DLbear)*DebtRate+EoFV*DebtRate</f>
        <v>19045377.0520247</v>
      </c>
    </row>
    <row r="92" customFormat="false" ht="15" hidden="false" customHeight="false" outlineLevel="0" collapsed="false">
      <c r="A92" s="7" t="s">
        <v>143</v>
      </c>
      <c r="B92" s="19" t="n">
        <f aca="false">Eb1-Cost1-TxnCost-DA1-Int1</f>
        <v>60109105.9537544</v>
      </c>
    </row>
    <row r="93" customFormat="false" ht="15" hidden="false" customHeight="false" outlineLevel="0" collapsed="false">
      <c r="A93" s="7" t="s">
        <v>144</v>
      </c>
      <c r="B93" s="26" t="n">
        <f aca="false">PBT1*(1-Tax)/ShAfter</f>
        <v>0.351780526474838</v>
      </c>
    </row>
    <row r="94" customFormat="false" ht="15" hidden="false" customHeight="false" outlineLevel="0" collapsed="false">
      <c r="A94" s="7" t="s">
        <v>145</v>
      </c>
      <c r="B94" s="25" t="n">
        <f aca="false">EPS1/AEPS-1</f>
        <v>-0.157133894280954</v>
      </c>
    </row>
    <row r="96" customFormat="false" ht="15" hidden="false" customHeight="false" outlineLevel="0" collapsed="false">
      <c r="A96" s="4" t="s">
        <v>146</v>
      </c>
      <c r="B96" s="6"/>
      <c r="C96" s="6"/>
      <c r="D96" s="6"/>
      <c r="E96" s="6"/>
      <c r="F96" s="6"/>
      <c r="G96" s="6"/>
      <c r="H96" s="6"/>
      <c r="I96" s="6"/>
      <c r="J96" s="6"/>
    </row>
    <row r="98" customFormat="false" ht="15" hidden="false" customHeight="false" outlineLevel="0" collapsed="false">
      <c r="A98" s="7" t="s">
        <v>147</v>
      </c>
      <c r="B98" s="19" t="n">
        <f aca="false">AInt+(NewDebt+T_NetDebt+DLbear)*DebtRate+EoFV*(1+DebtRate)*DebtRate</f>
        <v>19071972.347256</v>
      </c>
    </row>
    <row r="99" customFormat="false" ht="15" hidden="false" customHeight="false" outlineLevel="0" collapsed="false">
      <c r="A99" s="7" t="s">
        <v>143</v>
      </c>
      <c r="B99" s="19" t="n">
        <f aca="false">A_Ebitda+T_Ebitda+SynRR*Ramp2-SynCost*CostY2-(A_DA+T_DA+PpaAm)-Int2</f>
        <v>72212510.6585231</v>
      </c>
    </row>
    <row r="100" customFormat="false" ht="15" hidden="false" customHeight="false" outlineLevel="0" collapsed="false">
      <c r="A100" s="7" t="s">
        <v>144</v>
      </c>
      <c r="B100" s="26" t="n">
        <f aca="false">PBT2*(1-Tax)/ShAfter</f>
        <v>0.422614088405659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20"/>
    <col collapsed="false" customWidth="true" hidden="false" outlineLevel="0" max="3" min="3" style="0" width="22"/>
    <col collapsed="false" customWidth="true" hidden="false" outlineLevel="0" max="4" min="4" style="0" width="20"/>
  </cols>
  <sheetData>
    <row r="1" customFormat="false" ht="24" hidden="false" customHeight="true" outlineLevel="0" collapsed="false">
      <c r="A1" s="1" t="s">
        <v>35</v>
      </c>
    </row>
    <row r="2" customFormat="false" ht="15" hidden="false" customHeight="false" outlineLevel="0" collapsed="false">
      <c r="A2" s="2" t="s">
        <v>148</v>
      </c>
    </row>
    <row r="3" customFormat="false" ht="15" hidden="false" customHeight="false" outlineLevel="0" collapsed="false">
      <c r="A3" s="3"/>
      <c r="B3" s="3"/>
      <c r="C3" s="3"/>
      <c r="D3" s="3"/>
    </row>
    <row r="5" customFormat="false" ht="15" hidden="false" customHeight="false" outlineLevel="0" collapsed="false">
      <c r="A5" s="4" t="s">
        <v>149</v>
      </c>
      <c r="B5" s="6"/>
      <c r="C5" s="6"/>
      <c r="D5" s="6"/>
    </row>
    <row r="7" customFormat="false" ht="15" hidden="false" customHeight="false" outlineLevel="0" collapsed="false">
      <c r="A7" s="7" t="s">
        <v>36</v>
      </c>
      <c r="B7" s="19" t="n">
        <f aca="false">EoMax</f>
        <v>25000000</v>
      </c>
    </row>
    <row r="8" customFormat="false" ht="15" hidden="false" customHeight="false" outlineLevel="0" collapsed="false">
      <c r="A8" s="7" t="s">
        <v>150</v>
      </c>
      <c r="B8" s="20" t="n">
        <f aca="false">EoProb</f>
        <v>0.45</v>
      </c>
    </row>
    <row r="9" customFormat="false" ht="15" hidden="false" customHeight="false" outlineLevel="0" collapsed="false">
      <c r="A9" s="7" t="s">
        <v>151</v>
      </c>
      <c r="B9" s="19" t="n">
        <f aca="false">EoMax*EoProb</f>
        <v>11250000</v>
      </c>
    </row>
    <row r="10" customFormat="false" ht="15" hidden="false" customHeight="false" outlineLevel="0" collapsed="false">
      <c r="A10" s="7" t="s">
        <v>152</v>
      </c>
      <c r="B10" s="20" t="n">
        <f aca="false">DebtRate</f>
        <v>0.0525</v>
      </c>
    </row>
    <row r="11" customFormat="false" ht="15" hidden="false" customHeight="false" outlineLevel="0" collapsed="false">
      <c r="A11" s="7" t="s">
        <v>153</v>
      </c>
      <c r="B11" s="22" t="n">
        <f aca="false">EoFV</f>
        <v>9649086.70523237</v>
      </c>
    </row>
    <row r="12" customFormat="false" ht="15" hidden="false" customHeight="false" outlineLevel="0" collapsed="false">
      <c r="A12" s="7" t="s">
        <v>154</v>
      </c>
      <c r="B12" s="23" t="n">
        <f aca="false">Lev</f>
        <v>2.96941008661191</v>
      </c>
    </row>
    <row r="13" customFormat="false" ht="15" hidden="false" customHeight="false" outlineLevel="0" collapsed="false">
      <c r="A13" s="17" t="s">
        <v>155</v>
      </c>
    </row>
    <row r="15" customFormat="false" ht="15" hidden="false" customHeight="false" outlineLevel="0" collapsed="false">
      <c r="A15" s="4" t="s">
        <v>156</v>
      </c>
      <c r="B15" s="6"/>
      <c r="C15" s="6"/>
      <c r="D15" s="6"/>
    </row>
    <row r="17" customFormat="false" ht="30" hidden="false" customHeight="true" outlineLevel="0" collapsed="false">
      <c r="A17" s="14" t="s">
        <v>157</v>
      </c>
      <c r="B17" s="15" t="s">
        <v>158</v>
      </c>
      <c r="C17" s="15" t="s">
        <v>55</v>
      </c>
    </row>
    <row r="18" customFormat="false" ht="15" hidden="false" customHeight="false" outlineLevel="0" collapsed="false">
      <c r="A18" s="7" t="s">
        <v>86</v>
      </c>
      <c r="B18" s="7" t="s">
        <v>159</v>
      </c>
      <c r="C18" s="19" t="n">
        <f aca="false">CashOut</f>
        <v>201200000</v>
      </c>
    </row>
    <row r="19" customFormat="false" ht="15" hidden="false" customHeight="false" outlineLevel="0" collapsed="false">
      <c r="A19" s="7" t="s">
        <v>99</v>
      </c>
      <c r="B19" s="7" t="s">
        <v>160</v>
      </c>
      <c r="C19" s="19" t="n">
        <f aca="false">OutExp</f>
        <v>212450000</v>
      </c>
    </row>
    <row r="20" customFormat="false" ht="15" hidden="false" customHeight="false" outlineLevel="0" collapsed="false">
      <c r="A20" s="7" t="s">
        <v>161</v>
      </c>
      <c r="B20" s="7" t="s">
        <v>162</v>
      </c>
      <c r="C20" s="19" t="n">
        <f aca="false">OutMax</f>
        <v>226200000</v>
      </c>
    </row>
    <row r="21" customFormat="false" ht="15" hidden="false" customHeight="false" outlineLevel="0" collapsed="false">
      <c r="A21" s="7" t="s">
        <v>163</v>
      </c>
      <c r="B21" s="7" t="s">
        <v>164</v>
      </c>
      <c r="C21" s="19" t="n">
        <f aca="false">Pfv</f>
        <v>203949086.705232</v>
      </c>
    </row>
    <row r="22" customFormat="false" ht="15" hidden="false" customHeight="false" outlineLevel="0" collapsed="false">
      <c r="A22" s="17" t="s">
        <v>165</v>
      </c>
    </row>
    <row r="24" customFormat="false" ht="15" hidden="false" customHeight="false" outlineLevel="0" collapsed="false">
      <c r="A24" s="4" t="s">
        <v>166</v>
      </c>
      <c r="B24" s="6"/>
      <c r="C24" s="6"/>
      <c r="D24" s="6"/>
    </row>
    <row r="26" customFormat="false" ht="15" hidden="false" customHeight="false" outlineLevel="0" collapsed="false">
      <c r="A26" s="7" t="s">
        <v>167</v>
      </c>
      <c r="B26" s="19" t="n">
        <f aca="false">EoMax*EoProb*DebtRate</f>
        <v>590625</v>
      </c>
    </row>
    <row r="27" customFormat="false" ht="15" hidden="false" customHeight="false" outlineLevel="0" collapsed="false">
      <c r="A27" s="7" t="s">
        <v>168</v>
      </c>
      <c r="B27" s="19" t="n">
        <f aca="false">EoMax/Mult*EoProb</f>
        <v>1250000</v>
      </c>
    </row>
    <row r="28" customFormat="false" ht="15" hidden="false" customHeight="false" outlineLevel="0" collapsed="false">
      <c r="A28" s="7" t="s">
        <v>169</v>
      </c>
      <c r="B28" s="19" t="n">
        <f aca="false">EoMax/Mult*EoProb*T_DA/T_Ebitda</f>
        <v>289855.072463768</v>
      </c>
    </row>
    <row r="29" customFormat="false" ht="15" hidden="false" customHeight="false" outlineLevel="0" collapsed="false">
      <c r="A29" s="7" t="s">
        <v>170</v>
      </c>
      <c r="B29" s="19" t="n">
        <f aca="false">EoMax/Mult*EoProb*(1-T_DA/T_Ebitda)-EoMax*EoProb*DebtRate</f>
        <v>369519.927536232</v>
      </c>
    </row>
    <row r="30" customFormat="false" ht="15" hidden="false" customHeight="false" outlineLevel="0" collapsed="false">
      <c r="A30" s="7" t="s">
        <v>171</v>
      </c>
      <c r="B30" s="28" t="n">
        <f aca="false">(EoMax/Mult*EoProb*(1-T_DA/T_Ebitda)-EoMax*EoProb*DebtRate)*(1-Tax)/ShAfter/AEPS*100</f>
        <v>0.518150814866004</v>
      </c>
    </row>
    <row r="31" customFormat="false" ht="15" hidden="false" customHeight="false" outlineLevel="0" collapsed="false">
      <c r="A31" s="17" t="s">
        <v>172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20"/>
  </cols>
  <sheetData>
    <row r="1" customFormat="false" ht="24" hidden="false" customHeight="true" outlineLevel="0" collapsed="false">
      <c r="A1" s="1" t="s">
        <v>173</v>
      </c>
    </row>
    <row r="2" customFormat="false" ht="15" hidden="false" customHeight="false" outlineLevel="0" collapsed="false">
      <c r="A2" s="2" t="s">
        <v>174</v>
      </c>
    </row>
    <row r="3" customFormat="false" ht="15" hidden="false" customHeight="false" outlineLevel="0" collapsed="false">
      <c r="A3" s="3"/>
      <c r="B3" s="3"/>
    </row>
    <row r="5" customFormat="false" ht="15" hidden="false" customHeight="false" outlineLevel="0" collapsed="false">
      <c r="A5" s="4" t="s">
        <v>175</v>
      </c>
      <c r="B5" s="6"/>
    </row>
    <row r="7" customFormat="false" ht="15" hidden="false" customHeight="false" outlineLevel="0" collapsed="false">
      <c r="A7" s="7" t="s">
        <v>112</v>
      </c>
      <c r="B7" s="19" t="n">
        <f aca="false">TEbit</f>
        <v>21200000</v>
      </c>
    </row>
    <row r="8" customFormat="false" ht="15" hidden="false" customHeight="false" outlineLevel="0" collapsed="false">
      <c r="A8" s="7" t="s">
        <v>176</v>
      </c>
      <c r="B8" s="19" t="n">
        <f aca="false">-TEbit*Tax</f>
        <v>-5300000</v>
      </c>
    </row>
    <row r="9" customFormat="false" ht="15" hidden="false" customHeight="false" outlineLevel="0" collapsed="false">
      <c r="A9" s="7" t="s">
        <v>177</v>
      </c>
      <c r="B9" s="19" t="n">
        <f aca="false">TEbit*(1-Tax)</f>
        <v>15900000</v>
      </c>
    </row>
    <row r="10" customFormat="false" ht="15" hidden="false" customHeight="false" outlineLevel="0" collapsed="false">
      <c r="A10" s="7" t="s">
        <v>178</v>
      </c>
      <c r="B10" s="19" t="n">
        <f aca="false">T_DA</f>
        <v>6400000</v>
      </c>
    </row>
    <row r="11" customFormat="false" ht="15" hidden="false" customHeight="false" outlineLevel="0" collapsed="false">
      <c r="A11" s="7" t="s">
        <v>179</v>
      </c>
      <c r="B11" s="19" t="n">
        <f aca="false">-T_Capex</f>
        <v>-7600000</v>
      </c>
    </row>
    <row r="12" customFormat="false" ht="15" hidden="false" customHeight="false" outlineLevel="0" collapsed="false">
      <c r="A12" s="7" t="s">
        <v>180</v>
      </c>
      <c r="B12" s="19" t="n">
        <f aca="false">-T_DWC</f>
        <v>-800000</v>
      </c>
    </row>
    <row r="13" customFormat="false" ht="15" hidden="false" customHeight="false" outlineLevel="0" collapsed="false">
      <c r="A13" s="7" t="s">
        <v>119</v>
      </c>
      <c r="B13" s="19" t="n">
        <f aca="false">TFcf</f>
        <v>13900000</v>
      </c>
    </row>
    <row r="14" customFormat="false" ht="15" hidden="false" customHeight="false" outlineLevel="0" collapsed="false">
      <c r="A14" s="7" t="s">
        <v>181</v>
      </c>
      <c r="B14" s="19" t="n">
        <f aca="false">Intrin</f>
        <v>188576666.666667</v>
      </c>
    </row>
    <row r="15" customFormat="false" ht="15" hidden="false" customHeight="false" outlineLevel="0" collapsed="false">
      <c r="A15" s="7" t="s">
        <v>182</v>
      </c>
      <c r="B15" s="19" t="n">
        <f aca="false">Prem</f>
        <v>59823333.3333333</v>
      </c>
    </row>
    <row r="16" customFormat="false" ht="15" hidden="false" customHeight="false" outlineLevel="0" collapsed="false">
      <c r="A16" s="7" t="s">
        <v>183</v>
      </c>
      <c r="B16" s="25" t="n">
        <f aca="false">PremPc</f>
        <v>0.317236137380022</v>
      </c>
    </row>
    <row r="18" customFormat="false" ht="15" hidden="false" customHeight="false" outlineLevel="0" collapsed="false">
      <c r="A18" s="4" t="s">
        <v>184</v>
      </c>
      <c r="B18" s="6"/>
    </row>
    <row r="20" customFormat="false" ht="15" hidden="false" customHeight="false" outlineLevel="0" collapsed="false">
      <c r="A20" s="7" t="s">
        <v>112</v>
      </c>
      <c r="B20" s="19" t="n">
        <f aca="false">AEbit</f>
        <v>75000000</v>
      </c>
    </row>
    <row r="21" customFormat="false" ht="15" hidden="false" customHeight="false" outlineLevel="0" collapsed="false">
      <c r="A21" s="7" t="s">
        <v>185</v>
      </c>
      <c r="B21" s="19" t="n">
        <f aca="false">AEbit*(1-Tax)</f>
        <v>56250000</v>
      </c>
    </row>
    <row r="22" customFormat="false" ht="15" hidden="false" customHeight="false" outlineLevel="0" collapsed="false">
      <c r="A22" s="7" t="s">
        <v>186</v>
      </c>
      <c r="B22" s="19" t="n">
        <f aca="false">-A_Rev*T_Capex/T_Rev</f>
        <v>-25608695.6521739</v>
      </c>
    </row>
    <row r="23" customFormat="false" ht="15" hidden="false" customHeight="false" outlineLevel="0" collapsed="false">
      <c r="A23" s="7" t="s">
        <v>187</v>
      </c>
      <c r="B23" s="19" t="n">
        <f aca="false">-A_Rev*T_DWC/T_Rev</f>
        <v>-2695652.17391304</v>
      </c>
    </row>
    <row r="24" customFormat="false" ht="15" hidden="false" customHeight="false" outlineLevel="0" collapsed="false">
      <c r="A24" s="7" t="s">
        <v>119</v>
      </c>
      <c r="B24" s="19" t="n">
        <f aca="false">AEbit*(1-Tax)+A_DA-A_Rev*T_Capex/T_Rev-A_Rev*T_DWC/T_Rev</f>
        <v>48945652.173913</v>
      </c>
    </row>
    <row r="25" customFormat="false" ht="15" hidden="false" customHeight="false" outlineLevel="0" collapsed="false">
      <c r="A25" s="7" t="s">
        <v>188</v>
      </c>
      <c r="B25" s="19" t="n">
        <f aca="false">(AEbit*(1-Tax)+A_DA-A_Rev*T_Capex/T_Rev-A_Rev*T_DWC/T_Rev)*(1+Grow)/(Wacc-Grow)</f>
        <v>664029347.826087</v>
      </c>
    </row>
    <row r="26" customFormat="false" ht="15" hidden="false" customHeight="false" outlineLevel="0" collapsed="false">
      <c r="A26" s="7" t="s">
        <v>189</v>
      </c>
      <c r="B26" s="19" t="n">
        <f aca="false">AEV</f>
        <v>1166100000</v>
      </c>
    </row>
    <row r="27" customFormat="false" ht="15" hidden="false" customHeight="false" outlineLevel="0" collapsed="false">
      <c r="A27" s="7" t="s">
        <v>190</v>
      </c>
      <c r="B27" s="19" t="n">
        <f aca="false">AEV-(AEbit*(1-Tax)+A_DA-A_Rev*T_Capex/T_Rev-A_Rev*T_DWC/T_Rev)*(1+Grow)/(Wacc-Grow)</f>
        <v>502070652.173913</v>
      </c>
    </row>
    <row r="28" customFormat="false" ht="15" hidden="false" customHeight="false" outlineLevel="0" collapsed="false">
      <c r="A28" s="17" t="s">
        <v>191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7" min="2" style="0" width="15"/>
  </cols>
  <sheetData>
    <row r="1" customFormat="false" ht="24" hidden="false" customHeight="true" outlineLevel="0" collapsed="false">
      <c r="A1" s="1" t="s">
        <v>192</v>
      </c>
    </row>
    <row r="2" customFormat="false" ht="15" hidden="false" customHeight="false" outlineLevel="0" collapsed="false">
      <c r="A2" s="2" t="s">
        <v>193</v>
      </c>
    </row>
    <row r="3" customFormat="false" ht="15" hidden="false" customHeight="false" outlineLevel="0" collapsed="false">
      <c r="A3" s="3"/>
      <c r="B3" s="3"/>
      <c r="C3" s="3"/>
      <c r="D3" s="3"/>
      <c r="E3" s="3"/>
      <c r="F3" s="3"/>
      <c r="G3" s="3"/>
    </row>
    <row r="5" customFormat="false" ht="30" hidden="false" customHeight="true" outlineLevel="0" collapsed="false">
      <c r="A5" s="14" t="s">
        <v>194</v>
      </c>
      <c r="B5" s="15" t="s">
        <v>195</v>
      </c>
      <c r="C5" s="15" t="s">
        <v>196</v>
      </c>
      <c r="D5" s="15" t="s">
        <v>197</v>
      </c>
      <c r="E5" s="15" t="s">
        <v>198</v>
      </c>
      <c r="F5" s="15" t="s">
        <v>199</v>
      </c>
      <c r="G5" s="15" t="s">
        <v>200</v>
      </c>
    </row>
    <row r="6" customFormat="false" ht="15" hidden="false" customHeight="false" outlineLevel="0" collapsed="false">
      <c r="A6" s="7" t="s">
        <v>201</v>
      </c>
      <c r="B6" s="20" t="n">
        <f aca="false">Ramp1</f>
        <v>0.3</v>
      </c>
      <c r="C6" s="19" t="n">
        <f aca="false">SynRR*B6</f>
        <v>2160000</v>
      </c>
      <c r="D6" s="19" t="n">
        <f aca="false">SynCost*CostY1</f>
        <v>5170000</v>
      </c>
      <c r="E6" s="19" t="n">
        <f aca="false">(C6-D6)*(1-Tax)</f>
        <v>-2257500</v>
      </c>
      <c r="F6" s="26" t="n">
        <f aca="false">1/(1+Wacc)^1</f>
        <v>0.91533180778032</v>
      </c>
      <c r="G6" s="19" t="n">
        <f aca="false">E6*F6</f>
        <v>-2066361.55606407</v>
      </c>
    </row>
    <row r="7" customFormat="false" ht="15" hidden="false" customHeight="false" outlineLevel="0" collapsed="false">
      <c r="A7" s="7" t="s">
        <v>202</v>
      </c>
      <c r="B7" s="20" t="n">
        <f aca="false">Ramp2</f>
        <v>0.7</v>
      </c>
      <c r="C7" s="19" t="n">
        <f aca="false">SynRR*B7</f>
        <v>5040000</v>
      </c>
      <c r="D7" s="19" t="n">
        <f aca="false">SynCost*CostY2</f>
        <v>2820000</v>
      </c>
      <c r="E7" s="19" t="n">
        <f aca="false">(C7-D7)*(1-Tax)</f>
        <v>1665000</v>
      </c>
      <c r="F7" s="26" t="n">
        <f aca="false">1/(1+Wacc)^2</f>
        <v>0.837832318334389</v>
      </c>
      <c r="G7" s="19" t="n">
        <f aca="false">E7*F7</f>
        <v>1394990.81002676</v>
      </c>
    </row>
    <row r="8" customFormat="false" ht="15" hidden="false" customHeight="false" outlineLevel="0" collapsed="false">
      <c r="A8" s="7" t="s">
        <v>203</v>
      </c>
      <c r="B8" s="20" t="n">
        <f aca="false">Ramp3</f>
        <v>1</v>
      </c>
      <c r="C8" s="19" t="n">
        <f aca="false">SynRR*B8</f>
        <v>7200000</v>
      </c>
      <c r="D8" s="19" t="n">
        <f aca="false">SynCost*CostY3</f>
        <v>1410000</v>
      </c>
      <c r="E8" s="19" t="n">
        <f aca="false">(C8-D8)*(1-Tax)</f>
        <v>4342500</v>
      </c>
      <c r="F8" s="26" t="n">
        <f aca="false">1/(1+Wacc)^3</f>
        <v>0.766894570557793</v>
      </c>
      <c r="G8" s="19" t="n">
        <f aca="false">E8*F8</f>
        <v>3330239.67264722</v>
      </c>
    </row>
    <row r="9" customFormat="false" ht="15" hidden="false" customHeight="false" outlineLevel="0" collapsed="false">
      <c r="A9" s="7" t="s">
        <v>204</v>
      </c>
      <c r="B9" s="20" t="n">
        <f aca="false">1</f>
        <v>1</v>
      </c>
      <c r="C9" s="19" t="n">
        <f aca="false">SynRR*B9</f>
        <v>7200000</v>
      </c>
      <c r="D9" s="19" t="n">
        <f aca="false">0</f>
        <v>0</v>
      </c>
      <c r="E9" s="19" t="n">
        <f aca="false">(C9-D9)*(1-Tax)</f>
        <v>5400000</v>
      </c>
      <c r="F9" s="26" t="n">
        <f aca="false">1/(1+Wacc)^4</f>
        <v>0.701962993645578</v>
      </c>
      <c r="G9" s="19" t="n">
        <f aca="false">E9*F9</f>
        <v>3790600.16568612</v>
      </c>
    </row>
    <row r="10" customFormat="false" ht="15" hidden="false" customHeight="false" outlineLevel="0" collapsed="false">
      <c r="A10" s="7" t="s">
        <v>205</v>
      </c>
      <c r="B10" s="20" t="n">
        <f aca="false">1</f>
        <v>1</v>
      </c>
      <c r="C10" s="19" t="n">
        <f aca="false">SynRR*B10</f>
        <v>7200000</v>
      </c>
      <c r="D10" s="19" t="n">
        <f aca="false">0</f>
        <v>0</v>
      </c>
      <c r="E10" s="19" t="n">
        <f aca="false">(C10-D10)*(1-Tax)</f>
        <v>5400000</v>
      </c>
      <c r="F10" s="26" t="n">
        <f aca="false">1/(1+Wacc)^5</f>
        <v>0.642529055968492</v>
      </c>
      <c r="G10" s="19" t="n">
        <f aca="false">E10*F10</f>
        <v>3469656.90222986</v>
      </c>
    </row>
    <row r="12" customFormat="false" ht="15" hidden="false" customHeight="false" outlineLevel="0" collapsed="false">
      <c r="A12" s="7" t="s">
        <v>206</v>
      </c>
      <c r="B12" s="19" t="n">
        <f aca="false">SUM(G6:G8)</f>
        <v>2658868.9266099</v>
      </c>
    </row>
    <row r="13" customFormat="false" ht="15" hidden="false" customHeight="false" outlineLevel="0" collapsed="false">
      <c r="A13" s="7" t="s">
        <v>207</v>
      </c>
      <c r="B13" s="19" t="n">
        <f aca="false">SynTerm</f>
        <v>56182696.2390639</v>
      </c>
    </row>
    <row r="14" customFormat="false" ht="15" hidden="false" customHeight="false" outlineLevel="0" collapsed="false">
      <c r="A14" s="7" t="s">
        <v>135</v>
      </c>
      <c r="B14" s="19" t="n">
        <f aca="false">SynVal</f>
        <v>58841565.1656738</v>
      </c>
    </row>
    <row r="15" customFormat="false" ht="15" hidden="false" customHeight="false" outlineLevel="0" collapsed="false">
      <c r="A15" s="7" t="s">
        <v>131</v>
      </c>
      <c r="B15" s="26" t="n">
        <f aca="false">SynCoef</f>
        <v>9.02413480722002</v>
      </c>
    </row>
    <row r="16" customFormat="false" ht="15" hidden="false" customHeight="false" outlineLevel="0" collapsed="false">
      <c r="A16" s="7" t="s">
        <v>132</v>
      </c>
      <c r="B16" s="19" t="n">
        <f aca="false">SynCPV</f>
        <v>6132205.44631029</v>
      </c>
    </row>
    <row r="17" customFormat="false" ht="15" hidden="false" customHeight="false" outlineLevel="0" collapsed="false">
      <c r="A17" s="7" t="s">
        <v>208</v>
      </c>
      <c r="B17" s="29" t="n">
        <f aca="false">SynCoef*SynRR-SynCPV-SynVal</f>
        <v>0</v>
      </c>
    </row>
    <row r="18" customFormat="false" ht="15" hidden="false" customHeight="false" outlineLevel="0" collapsed="false">
      <c r="A18" s="17" t="s">
        <v>209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20"/>
    <col collapsed="false" customWidth="true" hidden="false" outlineLevel="0" max="3" min="3" style="0" width="22"/>
  </cols>
  <sheetData>
    <row r="1" customFormat="false" ht="24" hidden="false" customHeight="true" outlineLevel="0" collapsed="false">
      <c r="A1" s="1" t="s">
        <v>210</v>
      </c>
    </row>
    <row r="2" customFormat="false" ht="15" hidden="false" customHeight="false" outlineLevel="0" collapsed="false">
      <c r="A2" s="2" t="s">
        <v>211</v>
      </c>
    </row>
    <row r="3" customFormat="false" ht="15" hidden="false" customHeight="false" outlineLevel="0" collapsed="false">
      <c r="A3" s="3"/>
      <c r="B3" s="3"/>
      <c r="C3" s="3"/>
    </row>
    <row r="5" customFormat="false" ht="15" hidden="false" customHeight="false" outlineLevel="0" collapsed="false">
      <c r="A5" s="4" t="s">
        <v>212</v>
      </c>
      <c r="B5" s="6"/>
      <c r="C5" s="6"/>
    </row>
    <row r="7" customFormat="false" ht="15" hidden="false" customHeight="false" outlineLevel="0" collapsed="false">
      <c r="A7" s="7" t="s">
        <v>213</v>
      </c>
      <c r="B7" s="19" t="n">
        <f aca="false">SynVal</f>
        <v>58841565.1656738</v>
      </c>
    </row>
    <row r="8" customFormat="false" ht="15" hidden="false" customHeight="false" outlineLevel="0" collapsed="false">
      <c r="A8" s="7" t="s">
        <v>214</v>
      </c>
      <c r="B8" s="19" t="n">
        <f aca="false">-Prem</f>
        <v>-59823333.3333333</v>
      </c>
    </row>
    <row r="9" customFormat="false" ht="15" hidden="false" customHeight="false" outlineLevel="0" collapsed="false">
      <c r="A9" s="7" t="s">
        <v>215</v>
      </c>
      <c r="B9" s="19" t="n">
        <f aca="false">-TxnCost</f>
        <v>-6900000</v>
      </c>
    </row>
    <row r="10" customFormat="false" ht="15" hidden="false" customHeight="false" outlineLevel="0" collapsed="false">
      <c r="A10" s="7" t="s">
        <v>216</v>
      </c>
      <c r="B10" s="19" t="n">
        <f aca="false">-EoFV</f>
        <v>-9649086.70523237</v>
      </c>
    </row>
    <row r="11" customFormat="false" ht="15" hidden="false" customHeight="false" outlineLevel="0" collapsed="false">
      <c r="A11" s="7" t="s">
        <v>137</v>
      </c>
      <c r="B11" s="19" t="n">
        <f aca="false">VCreat</f>
        <v>-17530854.8728918</v>
      </c>
    </row>
    <row r="12" customFormat="false" ht="15" hidden="false" customHeight="false" outlineLevel="0" collapsed="false">
      <c r="A12" s="7" t="s">
        <v>136</v>
      </c>
      <c r="B12" s="19" t="n">
        <f aca="false">Shortf</f>
        <v>76372420.0385657</v>
      </c>
    </row>
    <row r="14" customFormat="false" ht="15" hidden="false" customHeight="false" outlineLevel="0" collapsed="false">
      <c r="A14" s="4" t="s">
        <v>217</v>
      </c>
      <c r="B14" s="6"/>
      <c r="C14" s="6"/>
    </row>
    <row r="16" customFormat="false" ht="30" hidden="false" customHeight="true" outlineLevel="0" collapsed="false">
      <c r="A16" s="14" t="s">
        <v>218</v>
      </c>
      <c r="B16" s="15" t="s">
        <v>219</v>
      </c>
      <c r="C16" s="15" t="s">
        <v>220</v>
      </c>
      <c r="D16" s="15" t="s">
        <v>221</v>
      </c>
    </row>
    <row r="17" customFormat="false" ht="15" hidden="false" customHeight="false" outlineLevel="0" collapsed="false">
      <c r="A17" s="7" t="s">
        <v>222</v>
      </c>
      <c r="B17" s="19" t="n">
        <f aca="false">(Shortf+SynCPV)/SynCoef</f>
        <v>9142663.23003794</v>
      </c>
      <c r="C17" s="27" t="n">
        <f aca="false">B17/SynRR</f>
        <v>1.26981433750527</v>
      </c>
      <c r="D17" s="25" t="n">
        <f aca="false">B17/T_Rev</f>
        <v>0.0496883871197714</v>
      </c>
    </row>
    <row r="18" customFormat="false" ht="15" hidden="false" customHeight="false" outlineLevel="0" collapsed="false">
      <c r="A18" s="7" t="s">
        <v>223</v>
      </c>
      <c r="B18" s="19" t="n">
        <f aca="false">Shortf/(SynCoef-SynCPV/SynRR)</f>
        <v>9345118.92621196</v>
      </c>
      <c r="C18" s="27" t="n">
        <f aca="false">B18/SynRR</f>
        <v>1.29793318419611</v>
      </c>
      <c r="D18" s="25" t="n">
        <f aca="false">B18/T_Rev</f>
        <v>0.0507886898163693</v>
      </c>
    </row>
    <row r="19" customFormat="false" ht="15" hidden="false" customHeight="false" outlineLevel="0" collapsed="false">
      <c r="A19" s="7" t="s">
        <v>224</v>
      </c>
      <c r="B19" s="29" t="n">
        <f aca="false">(((Shortf+SynCPV)/SynCoef*Ramp1-SynCost*CostY1)*(1-Tax))/(1+Wacc)+(((Shortf+SynCPV)/SynCoef*Ramp2-SynCost*CostY2)*(1-Tax))/(1+Wacc)^2+(((Shortf+SynCPV)/SynCoef*Ramp3-SynCost*CostY3)*(1-Tax))/(1+Wacc)^3+(((Shortf+SynCPV)/SynCoef)*(1-Tax)*(1+Grow)/(Wacc-Grow))/(1+Wacc)^3-Shortf</f>
        <v>0</v>
      </c>
    </row>
    <row r="20" customFormat="false" ht="15" hidden="false" customHeight="false" outlineLevel="0" collapsed="false">
      <c r="A20" s="17" t="s">
        <v>225</v>
      </c>
    </row>
    <row r="22" customFormat="false" ht="15" hidden="false" customHeight="false" outlineLevel="0" collapsed="false">
      <c r="A22" s="4" t="s">
        <v>226</v>
      </c>
      <c r="B22" s="6"/>
      <c r="C22" s="6"/>
    </row>
    <row r="24" customFormat="false" ht="15" hidden="false" customHeight="false" outlineLevel="0" collapsed="false">
      <c r="A24" s="7" t="s">
        <v>227</v>
      </c>
      <c r="B24" s="19" t="n">
        <f aca="false">SynRR*(1-Tax)*(1+Grow)/(Wacc-Grow)</f>
        <v>73260000</v>
      </c>
    </row>
    <row r="25" customFormat="false" ht="15" hidden="false" customHeight="false" outlineLevel="0" collapsed="false">
      <c r="A25" s="7" t="s">
        <v>214</v>
      </c>
      <c r="B25" s="19" t="n">
        <f aca="false">-Prem</f>
        <v>-59823333.3333333</v>
      </c>
    </row>
    <row r="26" customFormat="false" ht="15" hidden="false" customHeight="false" outlineLevel="0" collapsed="false">
      <c r="A26" s="7" t="s">
        <v>228</v>
      </c>
      <c r="B26" s="19" t="n">
        <f aca="false">SynRR*(1-Tax)*(1+Grow)/(Wacc-Grow)-Prem</f>
        <v>13436666.6666667</v>
      </c>
    </row>
    <row r="28" customFormat="false" ht="30" hidden="false" customHeight="true" outlineLevel="0" collapsed="false">
      <c r="A28" s="14" t="s">
        <v>229</v>
      </c>
      <c r="B28" s="15" t="s">
        <v>55</v>
      </c>
      <c r="C28" s="15" t="s">
        <v>230</v>
      </c>
    </row>
    <row r="29" customFormat="false" ht="15" hidden="false" customHeight="false" outlineLevel="0" collapsed="false">
      <c r="A29" s="7" t="s">
        <v>231</v>
      </c>
      <c r="B29" s="19" t="n">
        <f aca="false">SynRR*(1-Tax)*(1+Grow)/(Wacc-Grow)-SynTerm</f>
        <v>17077303.7609361</v>
      </c>
      <c r="C29" s="7" t="s">
        <v>232</v>
      </c>
    </row>
    <row r="30" customFormat="false" ht="15" hidden="false" customHeight="false" outlineLevel="0" collapsed="false">
      <c r="A30" s="7" t="s">
        <v>233</v>
      </c>
      <c r="B30" s="19" t="n">
        <f aca="false">-(SynPV3+SynCPV)</f>
        <v>-8791074.3729202</v>
      </c>
      <c r="C30" s="7" t="s">
        <v>234</v>
      </c>
    </row>
    <row r="31" customFormat="false" ht="15" hidden="false" customHeight="false" outlineLevel="0" collapsed="false">
      <c r="A31" s="7" t="s">
        <v>132</v>
      </c>
      <c r="B31" s="19" t="n">
        <f aca="false">SynCPV</f>
        <v>6132205.44631029</v>
      </c>
      <c r="C31" s="7" t="s">
        <v>232</v>
      </c>
    </row>
    <row r="32" customFormat="false" ht="15" hidden="false" customHeight="false" outlineLevel="0" collapsed="false">
      <c r="A32" s="7" t="s">
        <v>235</v>
      </c>
      <c r="B32" s="19" t="n">
        <f aca="false">TxnCost</f>
        <v>6900000</v>
      </c>
      <c r="C32" s="7" t="s">
        <v>232</v>
      </c>
    </row>
    <row r="33" customFormat="false" ht="15" hidden="false" customHeight="false" outlineLevel="0" collapsed="false">
      <c r="A33" s="7" t="s">
        <v>236</v>
      </c>
      <c r="B33" s="19" t="n">
        <f aca="false">EoFV</f>
        <v>9649086.70523237</v>
      </c>
      <c r="C33" s="7" t="s">
        <v>232</v>
      </c>
    </row>
    <row r="34" customFormat="false" ht="15" hidden="false" customHeight="false" outlineLevel="0" collapsed="false">
      <c r="A34" s="30" t="s">
        <v>237</v>
      </c>
      <c r="B34" s="31" t="n">
        <f aca="false">SUM(B29:B33)</f>
        <v>30967521.5395585</v>
      </c>
    </row>
    <row r="35" customFormat="false" ht="15" hidden="false" customHeight="false" outlineLevel="0" collapsed="false">
      <c r="A35" s="7" t="s">
        <v>238</v>
      </c>
      <c r="B35" s="19" t="n">
        <f aca="false">(SynRR*(1-Tax)*(1+Grow)/(Wacc-Grow)-Prem)-VCreat</f>
        <v>30967521.5395585</v>
      </c>
    </row>
    <row r="37" customFormat="false" ht="15" hidden="false" customHeight="false" outlineLevel="0" collapsed="false">
      <c r="A37" s="4" t="s">
        <v>239</v>
      </c>
      <c r="B37" s="6"/>
      <c r="C37" s="6"/>
    </row>
    <row r="39" customFormat="false" ht="15" hidden="false" customHeight="false" outlineLevel="0" collapsed="false">
      <c r="A39" s="7" t="s">
        <v>240</v>
      </c>
      <c r="B39" s="19" t="n">
        <f aca="false">EoMax/Mult</f>
        <v>2777777.77777778</v>
      </c>
    </row>
    <row r="40" customFormat="false" ht="15" hidden="false" customHeight="false" outlineLevel="0" collapsed="false">
      <c r="A40" s="7" t="s">
        <v>241</v>
      </c>
      <c r="B40" s="19" t="n">
        <f aca="false">EoProb*(EoMax/Mult)*(TFcf/T_Ebitda)*(1+Grow)/(Wacc-Grow)/(1+Wacc)^EoYear</f>
        <v>6549747.3641555</v>
      </c>
    </row>
    <row r="41" customFormat="false" ht="15" hidden="false" customHeight="false" outlineLevel="0" collapsed="false">
      <c r="A41" s="7" t="s">
        <v>242</v>
      </c>
      <c r="B41" s="19" t="n">
        <f aca="false">VCreat+EoProb*(EoMax/Mult)*(TFcf/T_Ebitda)*(1+Grow)/(Wacc-Grow)/(1+Wacc)^EoYear</f>
        <v>-10981107.5087363</v>
      </c>
    </row>
    <row r="42" customFormat="false" ht="15" hidden="false" customHeight="false" outlineLevel="0" collapsed="false">
      <c r="A42" s="17" t="s">
        <v>243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0"/>
    <col collapsed="false" customWidth="true" hidden="false" outlineLevel="0" max="9" min="2" style="0" width="16"/>
  </cols>
  <sheetData>
    <row r="1" customFormat="false" ht="24" hidden="false" customHeight="true" outlineLevel="0" collapsed="false">
      <c r="A1" s="1" t="s">
        <v>244</v>
      </c>
    </row>
    <row r="2" customFormat="false" ht="15" hidden="false" customHeight="false" outlineLevel="0" collapsed="false">
      <c r="A2" s="2" t="s">
        <v>245</v>
      </c>
    </row>
    <row r="3" customFormat="false" ht="15" hidden="false" customHeight="false" outlineLevel="0" collapsed="false">
      <c r="A3" s="3"/>
      <c r="B3" s="3"/>
      <c r="C3" s="3"/>
      <c r="D3" s="3"/>
      <c r="E3" s="3"/>
      <c r="F3" s="3"/>
      <c r="G3" s="3"/>
      <c r="H3" s="3"/>
    </row>
    <row r="5" customFormat="false" ht="15" hidden="false" customHeight="false" outlineLevel="0" collapsed="false">
      <c r="A5" s="4" t="s">
        <v>246</v>
      </c>
      <c r="B5" s="6"/>
      <c r="C5" s="6"/>
      <c r="D5" s="6"/>
      <c r="E5" s="6"/>
      <c r="F5" s="6"/>
      <c r="G5" s="6"/>
      <c r="H5" s="6"/>
    </row>
    <row r="7" customFormat="false" ht="15" hidden="false" customHeight="false" outlineLevel="0" collapsed="false">
      <c r="A7" s="30" t="s">
        <v>247</v>
      </c>
      <c r="B7" s="12" t="n">
        <v>0.01</v>
      </c>
      <c r="C7" s="12" t="n">
        <v>0.015</v>
      </c>
      <c r="D7" s="12" t="n">
        <v>0.0175</v>
      </c>
      <c r="E7" s="12" t="n">
        <v>0.02</v>
      </c>
      <c r="F7" s="12" t="n">
        <v>0.025</v>
      </c>
      <c r="H7" s="7" t="s">
        <v>248</v>
      </c>
      <c r="I7" s="7" t="s">
        <v>197</v>
      </c>
    </row>
    <row r="8" customFormat="false" ht="15" hidden="false" customHeight="false" outlineLevel="0" collapsed="false">
      <c r="A8" s="12" t="n">
        <v>0.0825</v>
      </c>
      <c r="B8" s="19" t="n">
        <f aca="false">($H8+(1-Tax)*(1+B$7)/($A8-B$7)/(1+$A8)^3)*SynRR-$I8-(EVh-TFcf*(1+B$7)/($A8-B$7))-TxnCost-EoFV</f>
        <v>-9243599.47695201</v>
      </c>
      <c r="C8" s="19" t="n">
        <f aca="false">($H8+(1-Tax)*(1+C$7)/($A8-C$7)/(1+$A8)^3)*SynRR-$I8-(EVh-TFcf*(1+C$7)/($A8-C$7))-TxnCost-EoFV</f>
        <v>10838158.2260984</v>
      </c>
      <c r="D8" s="19" t="n">
        <f aca="false">($H8+(1-Tax)*(1+D$7)/($A8-D$7)/(1+$A8)^3)*SynRR-$I8-(EVh-TFcf*(1+D$7)/($A8-D$7))-TxnCost-EoFV</f>
        <v>22037600.0220305</v>
      </c>
      <c r="E8" s="19" t="n">
        <f aca="false">($H8+(1-Tax)*(1+E$7)/($A8-E$7)/(1+$A8)^3)*SynRR-$I8-(EVh-TFcf*(1+E$7)/($A8-E$7))-TxnCost-EoFV</f>
        <v>34132997.161637</v>
      </c>
      <c r="F8" s="19" t="n">
        <f aca="false">($H8+(1-Tax)*(1+F$7)/($A8-F$7)/(1+$A8)^3)*SynRR-$I8-(EVh-TFcf*(1+F$7)/($A8-F$7))-TxnCost-EoFV</f>
        <v>61479112.4337909</v>
      </c>
      <c r="H8" s="26" t="n">
        <f aca="false">Ramp1*(1-Tax)/(1+$A8)+Ramp2*(1-Tax)/(1+$A8)^2+Ramp3*(1-Tax)/(1+$A8)^3</f>
        <v>1.2471371838572</v>
      </c>
      <c r="I8" s="19" t="n">
        <f aca="false">SynCost*(1-Tax)*(CostY1/(1+$A8)+CostY2/(1+$A8)^2+CostY3/(1+$A8)^3)</f>
        <v>6220566.80597009</v>
      </c>
    </row>
    <row r="9" customFormat="false" ht="15" hidden="false" customHeight="false" outlineLevel="0" collapsed="false">
      <c r="A9" s="12" t="n">
        <v>0.0875</v>
      </c>
      <c r="B9" s="19" t="n">
        <f aca="false">($H9+(1-Tax)*(1+B$7)/($A9-B$7)/(1+$A9)^3)*SynRR-$I9-(EVh-TFcf*(1+B$7)/($A9-B$7))-TxnCost-EoFV</f>
        <v>-26374905.5015609</v>
      </c>
      <c r="C9" s="19" t="n">
        <f aca="false">($H9+(1-Tax)*(1+C$7)/($A9-C$7)/(1+$A9)^3)*SynRR-$I9-(EVh-TFcf*(1+C$7)/($A9-C$7))-TxnCost-EoFV</f>
        <v>-8860117.63447641</v>
      </c>
      <c r="D9" s="19" t="n">
        <f aca="false">($H9+(1-Tax)*(1+D$7)/($A9-D$7)/(1+$A9)^3)*SynRR-$I9-(EVh-TFcf*(1+D$7)/($A9-D$7))-TxnCost-EoFV</f>
        <v>835568.506231127</v>
      </c>
      <c r="E9" s="19" t="n">
        <f aca="false">($H9+(1-Tax)*(1+E$7)/($A9-E$7)/(1+$A9)^3)*SynRR-$I9-(EVh-TFcf*(1+E$7)/($A9-E$7))-TxnCost-EoFV</f>
        <v>11249453.6203243</v>
      </c>
      <c r="F9" s="19" t="n">
        <f aca="false">($H9+(1-Tax)*(1+F$7)/($A9-F$7)/(1+$A9)^3)*SynRR-$I9-(EVh-TFcf*(1+F$7)/($A9-F$7))-TxnCost-EoFV</f>
        <v>34576556.2758931</v>
      </c>
      <c r="H9" s="26" t="n">
        <f aca="false">Ramp1*(1-Tax)/(1+$A9)+Ramp2*(1-Tax)/(1+$A9)^2+Ramp3*(1-Tax)/(1+$A9)^3</f>
        <v>1.23395337606662</v>
      </c>
      <c r="I9" s="19" t="n">
        <f aca="false">SynCost*(1-Tax)*(CostY1/(1+$A9)+CostY2/(1+$A9)^2+CostY3/(1+$A9)^3)</f>
        <v>6176093.04741209</v>
      </c>
    </row>
    <row r="10" customFormat="false" ht="15" hidden="false" customHeight="false" outlineLevel="0" collapsed="false">
      <c r="A10" s="12" t="n">
        <v>0.0925</v>
      </c>
      <c r="B10" s="19" t="n">
        <f aca="false">($H10+(1-Tax)*(1+B$7)/($A10-B$7)/(1+$A10)^3)*SynRR-$I10-(EVh-TFcf*(1+B$7)/($A10-B$7))-TxnCost-EoFV</f>
        <v>-41421817.9262321</v>
      </c>
      <c r="C10" s="19" t="n">
        <f aca="false">($H10+(1-Tax)*(1+C$7)/($A10-C$7)/(1+$A10)^3)*SynRR-$I10-(EVh-TFcf*(1+C$7)/($A10-C$7))-TxnCost-EoFV</f>
        <v>-26008293.37569</v>
      </c>
      <c r="D10" s="19" t="n">
        <f aca="false">($H10+(1-Tax)*(1+D$7)/($A10-D$7)/(1+$A10)^3)*SynRR-$I10-(EVh-TFcf*(1+D$7)/($A10-D$7))-TxnCost-EoFV</f>
        <v>-17530854.8728918</v>
      </c>
      <c r="E10" s="19" t="n">
        <f aca="false">($H10+(1-Tax)*(1+E$7)/($A10-E$7)/(1+$A10)^3)*SynRR-$I10-(EVh-TFcf*(1+E$7)/($A10-E$7))-TxnCost-EoFV</f>
        <v>-8468765.43886624</v>
      </c>
      <c r="F10" s="19" t="n">
        <f aca="false">($H10+(1-Tax)*(1+F$7)/($A10-F$7)/(1+$A10)^3)*SynRR-$I10-(EVh-TFcf*(1+F$7)/($A10-F$7))-TxnCost-EoFV</f>
        <v>11669211.0811906</v>
      </c>
      <c r="H10" s="26" t="n">
        <f aca="false">Ramp1*(1-Tax)/(1+$A10)+Ramp2*(1-Tax)/(1+$A10)^2+Ramp3*(1-Tax)/(1+$A10)^3</f>
        <v>1.22098255179447</v>
      </c>
      <c r="I10" s="19" t="n">
        <f aca="false">SynCost*(1-Tax)*(CostY1/(1+$A10)+CostY2/(1+$A10)^2+CostY3/(1+$A10)^3)</f>
        <v>6132205.44631029</v>
      </c>
    </row>
    <row r="11" customFormat="false" ht="15" hidden="false" customHeight="false" outlineLevel="0" collapsed="false">
      <c r="A11" s="12" t="n">
        <v>0.0975</v>
      </c>
      <c r="B11" s="19" t="n">
        <f aca="false">($H11+(1-Tax)*(1+B$7)/($A11-B$7)/(1+$A11)^3)*SynRR-$I11-(EVh-TFcf*(1+B$7)/($A11-B$7))-TxnCost-EoFV</f>
        <v>-54741799.2159469</v>
      </c>
      <c r="C11" s="19" t="n">
        <f aca="false">($H11+(1-Tax)*(1+C$7)/($A11-C$7)/(1+$A11)^3)*SynRR-$I11-(EVh-TFcf*(1+C$7)/($A11-C$7))-TxnCost-EoFV</f>
        <v>-41070169.92954</v>
      </c>
      <c r="D11" s="19" t="n">
        <f aca="false">($H11+(1-Tax)*(1+D$7)/($A11-D$7)/(1+$A11)^3)*SynRR-$I11-(EVh-TFcf*(1+D$7)/($A11-D$7))-TxnCost-EoFV</f>
        <v>-33593497.6635362</v>
      </c>
      <c r="E11" s="19" t="n">
        <f aca="false">($H11+(1-Tax)*(1+E$7)/($A11-E$7)/(1+$A11)^3)*SynRR-$I11-(EVh-TFcf*(1+E$7)/($A11-E$7))-TxnCost-EoFV</f>
        <v>-25634459.444887</v>
      </c>
      <c r="F11" s="19" t="n">
        <f aca="false">($H11+(1-Tax)*(1+F$7)/($A11-F$7)/(1+$A11)^3)*SynRR-$I11-(EVh-TFcf*(1+F$7)/($A11-F$7))-TxnCost-EoFV</f>
        <v>-8069685.44510952</v>
      </c>
      <c r="H11" s="26" t="n">
        <f aca="false">Ramp1*(1-Tax)/(1+$A11)+Ramp2*(1-Tax)/(1+$A11)^2+Ramp3*(1-Tax)/(1+$A11)^3</f>
        <v>1.20822021339073</v>
      </c>
      <c r="I11" s="19" t="n">
        <f aca="false">SynCost*(1-Tax)*(CostY1/(1+$A11)+CostY2/(1+$A11)^2+CostY3/(1+$A11)^3)</f>
        <v>6088893.08855949</v>
      </c>
    </row>
    <row r="12" customFormat="false" ht="15" hidden="false" customHeight="false" outlineLevel="0" collapsed="false">
      <c r="A12" s="12" t="n">
        <v>0.1025</v>
      </c>
      <c r="B12" s="19" t="n">
        <f aca="false">($H12+(1-Tax)*(1+B$7)/($A12-B$7)/(1+$A12)^3)*SynRR-$I12-(EVh-TFcf*(1+B$7)/($A12-B$7))-TxnCost-EoFV</f>
        <v>-66615019.5750644</v>
      </c>
      <c r="C12" s="19" t="n">
        <f aca="false">($H12+(1-Tax)*(1+C$7)/($A12-C$7)/(1+$A12)^3)*SynRR-$I12-(EVh-TFcf*(1+C$7)/($A12-C$7))-TxnCost-EoFV</f>
        <v>-54403533.32711</v>
      </c>
      <c r="D12" s="19" t="n">
        <f aca="false">($H12+(1-Tax)*(1+D$7)/($A12-D$7)/(1+$A12)^3)*SynRR-$I12-(EVh-TFcf*(1+D$7)/($A12-D$7))-TxnCost-EoFV</f>
        <v>-47759048.1627819</v>
      </c>
      <c r="E12" s="19" t="n">
        <f aca="false">($H12+(1-Tax)*(1+E$7)/($A12-E$7)/(1+$A12)^3)*SynRR-$I12-(EVh-TFcf*(1+E$7)/($A12-E$7))-TxnCost-EoFV</f>
        <v>-40711866.9278884</v>
      </c>
      <c r="F12" s="19" t="n">
        <f aca="false">($H12+(1-Tax)*(1+F$7)/($A12-F$7)/(1+$A12)^3)*SynRR-$I12-(EVh-TFcf*(1+F$7)/($A12-F$7))-TxnCost-EoFV</f>
        <v>-25253533.8965092</v>
      </c>
      <c r="H12" s="26" t="n">
        <f aca="false">Ramp1*(1-Tax)/(1+$A12)+Ramp2*(1-Tax)/(1+$A12)^2+Ramp3*(1-Tax)/(1+$A12)^3</f>
        <v>1.19566197939627</v>
      </c>
      <c r="I12" s="19" t="n">
        <f aca="false">SynCost*(1-Tax)*(CostY1/(1+$A12)+CostY2/(1+$A12)^2+CostY3/(1+$A12)^3)</f>
        <v>6046145.31884915</v>
      </c>
    </row>
    <row r="14" customFormat="false" ht="15" hidden="false" customHeight="false" outlineLevel="0" collapsed="false">
      <c r="A14" s="4" t="s">
        <v>249</v>
      </c>
      <c r="B14" s="6"/>
      <c r="C14" s="6"/>
      <c r="D14" s="6"/>
      <c r="E14" s="6"/>
      <c r="F14" s="6"/>
      <c r="G14" s="6"/>
      <c r="H14" s="6"/>
    </row>
    <row r="16" customFormat="false" ht="15" hidden="false" customHeight="false" outlineLevel="0" collapsed="false">
      <c r="A16" s="30" t="s">
        <v>247</v>
      </c>
      <c r="B16" s="20" t="n">
        <f aca="false">B7</f>
        <v>0.01</v>
      </c>
      <c r="C16" s="20" t="n">
        <f aca="false">C7</f>
        <v>0.015</v>
      </c>
      <c r="D16" s="20" t="n">
        <f aca="false">D7</f>
        <v>0.0175</v>
      </c>
      <c r="E16" s="20" t="n">
        <f aca="false">E7</f>
        <v>0.02</v>
      </c>
      <c r="F16" s="20" t="n">
        <f aca="false">F7</f>
        <v>0.025</v>
      </c>
    </row>
    <row r="17" customFormat="false" ht="15" hidden="false" customHeight="false" outlineLevel="0" collapsed="false">
      <c r="A17" s="20" t="n">
        <f aca="false">$A8</f>
        <v>0.0825</v>
      </c>
      <c r="B17" s="27" t="n">
        <f aca="false">((EVh-TFcf*(1+B$16)/($A17-B$16))+TxnCost+EoFV+$I8)/($H8+(1-Tax)*(1+B$16)/($A17-B$16)/(1+$A17)^3)/SynRR</f>
        <v>1.13536858034876</v>
      </c>
      <c r="C17" s="27" t="n">
        <f aca="false">((EVh-TFcf*(1+C$16)/($A17-C$16))+TxnCost+EoFV+$I8)/($H8+(1-Tax)*(1+C$16)/($A17-C$16)/(1+$A17)^3)/SynRR</f>
        <v>0.851517834819033</v>
      </c>
      <c r="D17" s="27" t="n">
        <f aca="false">((EVh-TFcf*(1+D$16)/($A17-D$16))+TxnCost+EoFV+$I8)/($H8+(1-Tax)*(1+D$16)/($A17-D$16)/(1+$A17)^3)/SynRR</f>
        <v>0.708569795408074</v>
      </c>
      <c r="E17" s="27" t="n">
        <f aca="false">((EVh-TFcf*(1+E$16)/($A17-E$16))+TxnCost+EoFV+$I8)/($H8+(1-Tax)*(1+E$16)/($A17-E$16)/(1+$A17)^3)/SynRR</f>
        <v>0.564933412246348</v>
      </c>
      <c r="F17" s="27" t="n">
        <f aca="false">((EVh-TFcf*(1+F$16)/($A17-F$16))+TxnCost+EoFV+$I8)/($H8+(1-Tax)*(1+F$16)/($A17-F$16)/(1+$A17)^3)/SynRR</f>
        <v>0.275575630776329</v>
      </c>
    </row>
    <row r="18" customFormat="false" ht="15" hidden="false" customHeight="false" outlineLevel="0" collapsed="false">
      <c r="A18" s="20" t="n">
        <f aca="false">$A9</f>
        <v>0.0875</v>
      </c>
      <c r="B18" s="27" t="n">
        <f aca="false">((EVh-TFcf*(1+B$16)/($A18-B$16))+TxnCost+EoFV+$I9)/($H9+(1-Tax)*(1+B$16)/($A18-B$16)/(1+$A18)^3)/SynRR</f>
        <v>1.41468746733207</v>
      </c>
      <c r="C18" s="27" t="n">
        <f aca="false">((EVh-TFcf*(1+C$16)/($A18-C$16))+TxnCost+EoFV+$I9)/($H9+(1-Tax)*(1+C$16)/($A18-C$16)/(1+$A18)^3)/SynRR</f>
        <v>1.13094080397064</v>
      </c>
      <c r="D18" s="27" t="n">
        <f aca="false">((EVh-TFcf*(1+D$16)/($A18-D$16))+TxnCost+EoFV+$I9)/($H9+(1-Tax)*(1+D$16)/($A18-D$16)/(1+$A18)^3)/SynRR</f>
        <v>0.988048678583064</v>
      </c>
      <c r="E18" s="27" t="n">
        <f aca="false">((EVh-TFcf*(1+E$16)/($A18-E$16))+TxnCost+EoFV+$I9)/($H9+(1-Tax)*(1+E$16)/($A18-E$16)/(1+$A18)^3)/SynRR</f>
        <v>0.844470838705525</v>
      </c>
      <c r="F18" s="27" t="n">
        <f aca="false">((EVh-TFcf*(1+F$16)/($A18-F$16))+TxnCost+EoFV+$I9)/($H9+(1-Tax)*(1+F$16)/($A18-F$16)/(1+$A18)^3)/SynRR</f>
        <v>0.555238176528491</v>
      </c>
    </row>
    <row r="19" customFormat="false" ht="15" hidden="false" customHeight="false" outlineLevel="0" collapsed="false">
      <c r="A19" s="20" t="n">
        <f aca="false">$A10</f>
        <v>0.0925</v>
      </c>
      <c r="B19" s="27" t="n">
        <f aca="false">((EVh-TFcf*(1+B$16)/($A19-B$16))+TxnCost+EoFV+$I10)/($H10+(1-Tax)*(1+B$16)/($A19-B$16)/(1+$A19)^3)/SynRR</f>
        <v>1.69628463640488</v>
      </c>
      <c r="C19" s="27" t="n">
        <f aca="false">((EVh-TFcf*(1+C$16)/($A19-C$16))+TxnCost+EoFV+$I10)/($H10+(1-Tax)*(1+C$16)/($A19-C$16)/(1+$A19)^3)/SynRR</f>
        <v>1.41264771906003</v>
      </c>
      <c r="D19" s="27" t="n">
        <f aca="false">((EVh-TFcf*(1+D$16)/($A19-D$16))+TxnCost+EoFV+$I10)/($H10+(1-Tax)*(1+D$16)/($A19-D$16)/(1+$A19)^3)/SynRR</f>
        <v>1.26981433750527</v>
      </c>
      <c r="E19" s="27" t="n">
        <f aca="false">((EVh-TFcf*(1+E$16)/($A19-E$16))+TxnCost+EoFV+$I10)/($H10+(1-Tax)*(1+E$16)/($A19-E$16)/(1+$A19)^3)/SynRR</f>
        <v>1.12629786900048</v>
      </c>
      <c r="F19" s="27" t="n">
        <f aca="false">((EVh-TFcf*(1+F$16)/($A19-F$16))+TxnCost+EoFV+$I10)/($H10+(1-Tax)*(1+F$16)/($A19-F$16)/(1+$A19)^3)/SynRR</f>
        <v>0.83719597616449</v>
      </c>
    </row>
    <row r="20" customFormat="false" ht="15" hidden="false" customHeight="false" outlineLevel="0" collapsed="false">
      <c r="A20" s="20" t="n">
        <f aca="false">$A11</f>
        <v>0.0975</v>
      </c>
      <c r="B20" s="27" t="n">
        <f aca="false">((EVh-TFcf*(1+B$16)/($A20-B$16))+TxnCost+EoFV+$I11)/($H11+(1-Tax)*(1+B$16)/($A20-B$16)/(1+$A20)^3)/SynRR</f>
        <v>1.98014936759194</v>
      </c>
      <c r="C20" s="27" t="n">
        <f aca="false">((EVh-TFcf*(1+C$16)/($A20-C$16))+TxnCost+EoFV+$I11)/($H11+(1-Tax)*(1+C$16)/($A20-C$16)/(1+$A20)^3)/SynRR</f>
        <v>1.69662777025429</v>
      </c>
      <c r="D20" s="27" t="n">
        <f aca="false">((EVh-TFcf*(1+D$16)/($A20-D$16))+TxnCost+EoFV+$I11)/($H11+(1-Tax)*(1+D$16)/($A20-D$16)/(1+$A20)^3)/SynRR</f>
        <v>1.55385591705064</v>
      </c>
      <c r="E20" s="27" t="n">
        <f aca="false">((EVh-TFcf*(1+E$16)/($A20-E$16))+TxnCost+EoFV+$I11)/($H11+(1-Tax)*(1+E$16)/($A20-E$16)/(1+$A20)^3)/SynRR</f>
        <v>1.41040360247467</v>
      </c>
      <c r="F20" s="27" t="n">
        <f aca="false">((EVh-TFcf*(1+F$16)/($A20-F$16))+TxnCost+EoFV+$I11)/($H11+(1-Tax)*(1+F$16)/($A20-F$16)/(1+$A20)^3)/SynRR</f>
        <v>1.12143803723966</v>
      </c>
    </row>
    <row r="21" customFormat="false" ht="15" hidden="false" customHeight="false" outlineLevel="0" collapsed="false">
      <c r="A21" s="20" t="n">
        <f aca="false">$A12</f>
        <v>0.1025</v>
      </c>
      <c r="B21" s="27" t="n">
        <f aca="false">((EVh-TFcf*(1+B$16)/($A21-B$16))+TxnCost+EoFV+$I12)/($H12+(1-Tax)*(1+B$16)/($A21-B$16)/(1+$A21)^3)/SynRR</f>
        <v>2.26627095887438</v>
      </c>
      <c r="C21" s="27" t="n">
        <f aca="false">((EVh-TFcf*(1+C$16)/($A21-C$16))+TxnCost+EoFV+$I12)/($H12+(1-Tax)*(1+C$16)/($A21-C$16)/(1+$A21)^3)/SynRR</f>
        <v>1.98287016673052</v>
      </c>
      <c r="D21" s="27" t="n">
        <f aca="false">((EVh-TFcf*(1+D$16)/($A21-D$16))+TxnCost+EoFV+$I12)/($H12+(1-Tax)*(1+D$16)/($A21-D$16)/(1+$A21)^3)/SynRR</f>
        <v>1.840162581641</v>
      </c>
      <c r="E21" s="27" t="n">
        <f aca="false">((EVh-TFcf*(1+E$16)/($A21-E$16))+TxnCost+EoFV+$I12)/($H12+(1-Tax)*(1+E$16)/($A21-E$16)/(1+$A21)^3)/SynRR</f>
        <v>1.69677715855943</v>
      </c>
      <c r="F21" s="27" t="n">
        <f aca="false">((EVh-TFcf*(1+F$16)/($A21-F$16))+TxnCost+EoFV+$I12)/($H12+(1-Tax)*(1+F$16)/($A21-F$16)/(1+$A21)^3)/SynRR</f>
        <v>1.40795338849989</v>
      </c>
    </row>
    <row r="22" customFormat="false" ht="15" hidden="false" customHeight="false" outlineLevel="0" collapsed="false">
      <c r="A22" s="17" t="s">
        <v>250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2"/>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251</v>
      </c>
    </row>
    <row r="2" customFormat="false" ht="15" hidden="false" customHeight="false" outlineLevel="0" collapsed="false">
      <c r="A2" s="2" t="s">
        <v>252</v>
      </c>
    </row>
    <row r="3" customFormat="false" ht="15" hidden="false" customHeight="false" outlineLevel="0" collapsed="false">
      <c r="A3" s="3" t="s">
        <v>253</v>
      </c>
      <c r="B3" s="3"/>
      <c r="C3" s="3"/>
      <c r="D3" s="3"/>
      <c r="E3" s="3"/>
      <c r="F3" s="3"/>
    </row>
    <row r="5" customFormat="false" ht="15" hidden="false" customHeight="false" outlineLevel="0" collapsed="false">
      <c r="A5" s="17" t="s">
        <v>254</v>
      </c>
    </row>
    <row r="7" customFormat="false" ht="30" hidden="false" customHeight="true" outlineLevel="0" collapsed="false">
      <c r="A7" s="14" t="s">
        <v>255</v>
      </c>
      <c r="B7" s="15" t="s">
        <v>256</v>
      </c>
      <c r="C7" s="15" t="s">
        <v>257</v>
      </c>
      <c r="D7" s="15" t="s">
        <v>258</v>
      </c>
      <c r="E7" s="15" t="s">
        <v>259</v>
      </c>
      <c r="F7" s="15" t="s">
        <v>260</v>
      </c>
    </row>
    <row r="8" customFormat="false" ht="15" hidden="false" customHeight="false" outlineLevel="0" collapsed="false">
      <c r="A8" s="7" t="s">
        <v>261</v>
      </c>
      <c r="B8" s="7" t="s">
        <v>236</v>
      </c>
      <c r="C8" s="22" t="n">
        <v>9649086.71</v>
      </c>
      <c r="D8" s="22" t="n">
        <f aca="false">'Earn-out'!B11</f>
        <v>9649086.70523237</v>
      </c>
      <c r="E8" s="29" t="n">
        <f aca="false">D8-C8</f>
        <v>-0.00476763211190701</v>
      </c>
      <c r="F8" s="32" t="str">
        <f aca="false">IF(ABS(E8)&lt;=0.005,"PASS","FAIL")</f>
        <v>PASS</v>
      </c>
    </row>
    <row r="9" customFormat="false" ht="15" hidden="false" customHeight="false" outlineLevel="0" collapsed="false">
      <c r="A9" s="33" t="s">
        <v>261</v>
      </c>
      <c r="B9" s="33" t="s">
        <v>262</v>
      </c>
      <c r="C9" s="34" t="n">
        <v>212450000</v>
      </c>
      <c r="D9" s="34" t="n">
        <f aca="false">'Earn-out'!C19</f>
        <v>212450000</v>
      </c>
      <c r="E9" s="35" t="n">
        <f aca="false">D9-C9</f>
        <v>0</v>
      </c>
      <c r="F9" s="36" t="str">
        <f aca="false">IF(ABS(E9)&lt;=0.5,"PASS","FAIL")</f>
        <v>PASS</v>
      </c>
    </row>
    <row r="10" customFormat="false" ht="15" hidden="false" customHeight="false" outlineLevel="0" collapsed="false">
      <c r="A10" s="7" t="s">
        <v>261</v>
      </c>
      <c r="B10" s="7" t="s">
        <v>263</v>
      </c>
      <c r="C10" s="19" t="n">
        <v>590625</v>
      </c>
      <c r="D10" s="19" t="n">
        <f aca="false">'Earn-out'!B26</f>
        <v>590625</v>
      </c>
      <c r="E10" s="29" t="n">
        <f aca="false">D10-C10</f>
        <v>0</v>
      </c>
      <c r="F10" s="32" t="str">
        <f aca="false">IF(ABS(E10)&lt;=0.5,"PASS","FAIL")</f>
        <v>PASS</v>
      </c>
    </row>
    <row r="11" customFormat="false" ht="15" hidden="false" customHeight="false" outlineLevel="0" collapsed="false">
      <c r="A11" s="33" t="s">
        <v>261</v>
      </c>
      <c r="B11" s="33" t="s">
        <v>264</v>
      </c>
      <c r="C11" s="34" t="n">
        <v>1250000</v>
      </c>
      <c r="D11" s="34" t="n">
        <f aca="false">'Earn-out'!B27</f>
        <v>1250000</v>
      </c>
      <c r="E11" s="35" t="n">
        <f aca="false">D11-C11</f>
        <v>0</v>
      </c>
      <c r="F11" s="36" t="str">
        <f aca="false">IF(ABS(E11)&lt;=0.5,"PASS","FAIL")</f>
        <v>PASS</v>
      </c>
    </row>
    <row r="12" customFormat="false" ht="15" hidden="false" customHeight="false" outlineLevel="0" collapsed="false">
      <c r="A12" s="7" t="s">
        <v>261</v>
      </c>
      <c r="B12" s="7" t="s">
        <v>265</v>
      </c>
      <c r="C12" s="19" t="n">
        <v>289855</v>
      </c>
      <c r="D12" s="19" t="n">
        <f aca="false">'Earn-out'!B28</f>
        <v>289855.072463768</v>
      </c>
      <c r="E12" s="29" t="n">
        <f aca="false">D12-C12</f>
        <v>0.0724637681851164</v>
      </c>
      <c r="F12" s="32" t="str">
        <f aca="false">IF(ABS(E12)&lt;=0.5,"PASS","FAIL")</f>
        <v>PASS</v>
      </c>
    </row>
    <row r="13" customFormat="false" ht="15" hidden="false" customHeight="false" outlineLevel="0" collapsed="false">
      <c r="A13" s="33" t="s">
        <v>266</v>
      </c>
      <c r="B13" s="33" t="s">
        <v>119</v>
      </c>
      <c r="C13" s="34" t="n">
        <v>13900000</v>
      </c>
      <c r="D13" s="34" t="n">
        <f aca="false">'Intrinsic value'!B13</f>
        <v>13900000</v>
      </c>
      <c r="E13" s="35" t="n">
        <f aca="false">D13-C13</f>
        <v>0</v>
      </c>
      <c r="F13" s="36" t="str">
        <f aca="false">IF(ABS(E13)&lt;=0.5,"PASS","FAIL")</f>
        <v>PASS</v>
      </c>
    </row>
    <row r="14" customFormat="false" ht="15" hidden="false" customHeight="false" outlineLevel="0" collapsed="false">
      <c r="A14" s="7" t="s">
        <v>266</v>
      </c>
      <c r="B14" s="7" t="s">
        <v>120</v>
      </c>
      <c r="C14" s="19" t="n">
        <v>188576667</v>
      </c>
      <c r="D14" s="19" t="n">
        <f aca="false">'Intrinsic value'!B14</f>
        <v>188576666.666667</v>
      </c>
      <c r="E14" s="29" t="n">
        <f aca="false">D14-C14</f>
        <v>-0.333333313465118</v>
      </c>
      <c r="F14" s="32" t="str">
        <f aca="false">IF(ABS(E14)&lt;=0.5,"PASS","FAIL")</f>
        <v>PASS</v>
      </c>
    </row>
    <row r="15" customFormat="false" ht="15" hidden="false" customHeight="false" outlineLevel="0" collapsed="false">
      <c r="A15" s="33" t="s">
        <v>266</v>
      </c>
      <c r="B15" s="33" t="s">
        <v>121</v>
      </c>
      <c r="C15" s="34" t="n">
        <v>59823333</v>
      </c>
      <c r="D15" s="34" t="n">
        <f aca="false">'Intrinsic value'!B15</f>
        <v>59823333.3333333</v>
      </c>
      <c r="E15" s="35" t="n">
        <f aca="false">D15-C15</f>
        <v>0.333333313465118</v>
      </c>
      <c r="F15" s="36" t="str">
        <f aca="false">IF(ABS(E15)&lt;=0.5,"PASS","FAIL")</f>
        <v>PASS</v>
      </c>
    </row>
    <row r="16" customFormat="false" ht="15" hidden="false" customHeight="false" outlineLevel="0" collapsed="false">
      <c r="A16" s="7" t="s">
        <v>266</v>
      </c>
      <c r="B16" s="7" t="s">
        <v>183</v>
      </c>
      <c r="C16" s="25" t="n">
        <v>0.317236</v>
      </c>
      <c r="D16" s="25" t="n">
        <f aca="false">'Intrinsic value'!B16</f>
        <v>0.317236137380022</v>
      </c>
      <c r="E16" s="29" t="n">
        <f aca="false">D16-C16</f>
        <v>1.37380022136036E-007</v>
      </c>
      <c r="F16" s="32" t="str">
        <f aca="false">IF(ABS(E16)&lt;=0.0000005,"PASS","FAIL")</f>
        <v>PASS</v>
      </c>
    </row>
    <row r="17" customFormat="false" ht="15" hidden="false" customHeight="false" outlineLevel="0" collapsed="false">
      <c r="A17" s="33" t="s">
        <v>266</v>
      </c>
      <c r="B17" s="33" t="s">
        <v>267</v>
      </c>
      <c r="C17" s="34" t="n">
        <v>-25608696</v>
      </c>
      <c r="D17" s="34" t="n">
        <f aca="false">'Intrinsic value'!B22</f>
        <v>-25608695.6521739</v>
      </c>
      <c r="E17" s="35" t="n">
        <f aca="false">D17-C17</f>
        <v>0.347826085984707</v>
      </c>
      <c r="F17" s="36" t="str">
        <f aca="false">IF(ABS(E17)&lt;=0.5,"PASS","FAIL")</f>
        <v>PASS</v>
      </c>
    </row>
    <row r="18" customFormat="false" ht="15" hidden="false" customHeight="false" outlineLevel="0" collapsed="false">
      <c r="A18" s="7" t="s">
        <v>266</v>
      </c>
      <c r="B18" s="7" t="s">
        <v>268</v>
      </c>
      <c r="C18" s="19" t="n">
        <v>48945652</v>
      </c>
      <c r="D18" s="19" t="n">
        <f aca="false">'Intrinsic value'!B24</f>
        <v>48945652.173913</v>
      </c>
      <c r="E18" s="29" t="n">
        <f aca="false">D18-C18</f>
        <v>0.173913039267063</v>
      </c>
      <c r="F18" s="32" t="str">
        <f aca="false">IF(ABS(E18)&lt;=0.5,"PASS","FAIL")</f>
        <v>PASS</v>
      </c>
    </row>
    <row r="19" customFormat="false" ht="15" hidden="false" customHeight="false" outlineLevel="0" collapsed="false">
      <c r="A19" s="33" t="s">
        <v>266</v>
      </c>
      <c r="B19" s="33" t="s">
        <v>269</v>
      </c>
      <c r="C19" s="34" t="n">
        <v>664029348</v>
      </c>
      <c r="D19" s="34" t="n">
        <f aca="false">'Intrinsic value'!B25</f>
        <v>664029347.826087</v>
      </c>
      <c r="E19" s="35" t="n">
        <f aca="false">D19-C19</f>
        <v>-0.17391300201416</v>
      </c>
      <c r="F19" s="36" t="str">
        <f aca="false">IF(ABS(E19)&lt;=0.5,"PASS","FAIL")</f>
        <v>PASS</v>
      </c>
    </row>
    <row r="20" customFormat="false" ht="15" hidden="false" customHeight="false" outlineLevel="0" collapsed="false">
      <c r="A20" s="7" t="s">
        <v>266</v>
      </c>
      <c r="B20" s="7" t="s">
        <v>190</v>
      </c>
      <c r="C20" s="19" t="n">
        <v>502070652</v>
      </c>
      <c r="D20" s="19" t="n">
        <f aca="false">'Intrinsic value'!B27</f>
        <v>502070652.173913</v>
      </c>
      <c r="E20" s="29" t="n">
        <f aca="false">D20-C20</f>
        <v>0.17391300201416</v>
      </c>
      <c r="F20" s="32" t="str">
        <f aca="false">IF(ABS(E20)&lt;=0.5,"PASS","FAIL")</f>
        <v>PASS</v>
      </c>
    </row>
    <row r="21" customFormat="false" ht="15" hidden="false" customHeight="false" outlineLevel="0" collapsed="false">
      <c r="A21" s="33" t="s">
        <v>270</v>
      </c>
      <c r="B21" s="33" t="s">
        <v>271</v>
      </c>
      <c r="C21" s="34" t="n">
        <v>2160000</v>
      </c>
      <c r="D21" s="34" t="n">
        <f aca="false">Synergies!C6</f>
        <v>2160000</v>
      </c>
      <c r="E21" s="35" t="n">
        <f aca="false">D21-C21</f>
        <v>0</v>
      </c>
      <c r="F21" s="36" t="str">
        <f aca="false">IF(ABS(E21)&lt;=0.5,"PASS","FAIL")</f>
        <v>PASS</v>
      </c>
    </row>
    <row r="22" customFormat="false" ht="15" hidden="false" customHeight="false" outlineLevel="0" collapsed="false">
      <c r="A22" s="7" t="s">
        <v>270</v>
      </c>
      <c r="B22" s="7" t="s">
        <v>272</v>
      </c>
      <c r="C22" s="19" t="n">
        <v>-2257500</v>
      </c>
      <c r="D22" s="19" t="n">
        <f aca="false">Synergies!E6</f>
        <v>-2257500</v>
      </c>
      <c r="E22" s="29" t="n">
        <f aca="false">D22-C22</f>
        <v>0</v>
      </c>
      <c r="F22" s="32" t="str">
        <f aca="false">IF(ABS(E22)&lt;=0.5,"PASS","FAIL")</f>
        <v>PASS</v>
      </c>
    </row>
    <row r="23" customFormat="false" ht="15" hidden="false" customHeight="false" outlineLevel="0" collapsed="false">
      <c r="A23" s="33" t="s">
        <v>270</v>
      </c>
      <c r="B23" s="33" t="s">
        <v>273</v>
      </c>
      <c r="C23" s="34" t="n">
        <v>2658869</v>
      </c>
      <c r="D23" s="34" t="n">
        <f aca="false">Synergies!B12</f>
        <v>2658868.9266099</v>
      </c>
      <c r="E23" s="35" t="n">
        <f aca="false">D23-C23</f>
        <v>-0.0733900973573327</v>
      </c>
      <c r="F23" s="36" t="str">
        <f aca="false">IF(ABS(E23)&lt;=0.5,"PASS","FAIL")</f>
        <v>PASS</v>
      </c>
    </row>
    <row r="24" customFormat="false" ht="15" hidden="false" customHeight="false" outlineLevel="0" collapsed="false">
      <c r="A24" s="7" t="s">
        <v>270</v>
      </c>
      <c r="B24" s="7" t="s">
        <v>207</v>
      </c>
      <c r="C24" s="19" t="n">
        <v>56182696</v>
      </c>
      <c r="D24" s="19" t="n">
        <f aca="false">Synergies!B13</f>
        <v>56182696.2390639</v>
      </c>
      <c r="E24" s="29" t="n">
        <f aca="false">D24-C24</f>
        <v>0.239063940942287</v>
      </c>
      <c r="F24" s="32" t="str">
        <f aca="false">IF(ABS(E24)&lt;=0.5,"PASS","FAIL")</f>
        <v>PASS</v>
      </c>
    </row>
    <row r="25" customFormat="false" ht="15" hidden="false" customHeight="false" outlineLevel="0" collapsed="false">
      <c r="A25" s="33" t="s">
        <v>270</v>
      </c>
      <c r="B25" s="33" t="s">
        <v>135</v>
      </c>
      <c r="C25" s="34" t="n">
        <v>58841565</v>
      </c>
      <c r="D25" s="34" t="n">
        <f aca="false">Synergies!B14</f>
        <v>58841565.1656738</v>
      </c>
      <c r="E25" s="35" t="n">
        <f aca="false">D25-C25</f>
        <v>0.165673844516277</v>
      </c>
      <c r="F25" s="36" t="str">
        <f aca="false">IF(ABS(E25)&lt;=0.5,"PASS","FAIL")</f>
        <v>PASS</v>
      </c>
    </row>
    <row r="26" customFormat="false" ht="15" hidden="false" customHeight="false" outlineLevel="0" collapsed="false">
      <c r="A26" s="7" t="s">
        <v>270</v>
      </c>
      <c r="B26" s="7" t="s">
        <v>132</v>
      </c>
      <c r="C26" s="19" t="n">
        <v>6132205</v>
      </c>
      <c r="D26" s="19" t="n">
        <f aca="false">Synergies!B16</f>
        <v>6132205.44631029</v>
      </c>
      <c r="E26" s="29" t="n">
        <f aca="false">D26-C26</f>
        <v>0.446310291998088</v>
      </c>
      <c r="F26" s="32" t="str">
        <f aca="false">IF(ABS(E26)&lt;=0.5,"PASS","FAIL")</f>
        <v>PASS</v>
      </c>
    </row>
    <row r="27" customFormat="false" ht="15" hidden="false" customHeight="false" outlineLevel="0" collapsed="false">
      <c r="A27" s="33" t="s">
        <v>270</v>
      </c>
      <c r="B27" s="33" t="s">
        <v>274</v>
      </c>
      <c r="C27" s="35" t="n">
        <v>0</v>
      </c>
      <c r="D27" s="35" t="n">
        <f aca="false">Synergies!B17</f>
        <v>0</v>
      </c>
      <c r="E27" s="35" t="n">
        <f aca="false">D27-C27</f>
        <v>0</v>
      </c>
      <c r="F27" s="36" t="str">
        <f aca="false">IF(ABS(E27)&lt;=0.000001,"PASS","FAIL")</f>
        <v>PASS</v>
      </c>
    </row>
    <row r="28" customFormat="false" ht="15" hidden="false" customHeight="false" outlineLevel="0" collapsed="false">
      <c r="A28" s="7" t="s">
        <v>275</v>
      </c>
      <c r="B28" s="7" t="s">
        <v>276</v>
      </c>
      <c r="C28" s="19" t="n">
        <v>76372420</v>
      </c>
      <c r="D28" s="19" t="n">
        <f aca="false">'Value created'!B12</f>
        <v>76372420.0385657</v>
      </c>
      <c r="E28" s="29" t="n">
        <f aca="false">D28-C28</f>
        <v>0.0385656803846359</v>
      </c>
      <c r="F28" s="32" t="str">
        <f aca="false">IF(ABS(E28)&lt;=0.5,"PASS","FAIL")</f>
        <v>PASS</v>
      </c>
    </row>
    <row r="29" customFormat="false" ht="15" hidden="false" customHeight="false" outlineLevel="0" collapsed="false">
      <c r="A29" s="33" t="s">
        <v>275</v>
      </c>
      <c r="B29" s="33" t="s">
        <v>277</v>
      </c>
      <c r="C29" s="34" t="n">
        <v>9142663</v>
      </c>
      <c r="D29" s="34" t="n">
        <f aca="false">'Value created'!B17</f>
        <v>9142663.23003794</v>
      </c>
      <c r="E29" s="35" t="n">
        <f aca="false">D29-C29</f>
        <v>0.230037938803434</v>
      </c>
      <c r="F29" s="36" t="str">
        <f aca="false">IF(ABS(E29)&lt;=0.5,"PASS","FAIL")</f>
        <v>PASS</v>
      </c>
    </row>
    <row r="30" customFormat="false" ht="15" hidden="false" customHeight="false" outlineLevel="0" collapsed="false">
      <c r="A30" s="7" t="s">
        <v>275</v>
      </c>
      <c r="B30" s="7" t="s">
        <v>278</v>
      </c>
      <c r="C30" s="27" t="n">
        <v>1.2698</v>
      </c>
      <c r="D30" s="27" t="n">
        <f aca="false">'Value created'!C17</f>
        <v>1.26981433750527</v>
      </c>
      <c r="E30" s="29" t="n">
        <f aca="false">D30-C30</f>
        <v>1.43375052692463E-005</v>
      </c>
      <c r="F30" s="32" t="str">
        <f aca="false">IF(ABS(E30)&lt;=0.00005,"PASS","FAIL")</f>
        <v>PASS</v>
      </c>
    </row>
    <row r="31" customFormat="false" ht="15" hidden="false" customHeight="false" outlineLevel="0" collapsed="false">
      <c r="A31" s="33" t="s">
        <v>275</v>
      </c>
      <c r="B31" s="33" t="s">
        <v>279</v>
      </c>
      <c r="C31" s="37" t="n">
        <v>0.049688</v>
      </c>
      <c r="D31" s="37" t="n">
        <f aca="false">'Value created'!D17</f>
        <v>0.0496883871197714</v>
      </c>
      <c r="E31" s="35" t="n">
        <f aca="false">D31-C31</f>
        <v>3.87119771405597E-007</v>
      </c>
      <c r="F31" s="36" t="str">
        <f aca="false">IF(ABS(E31)&lt;=0.0000005,"PASS","FAIL")</f>
        <v>PASS</v>
      </c>
    </row>
    <row r="32" customFormat="false" ht="15" hidden="false" customHeight="false" outlineLevel="0" collapsed="false">
      <c r="A32" s="7" t="s">
        <v>275</v>
      </c>
      <c r="B32" s="7" t="s">
        <v>280</v>
      </c>
      <c r="C32" s="19" t="n">
        <v>9345119</v>
      </c>
      <c r="D32" s="19" t="n">
        <f aca="false">'Value created'!B18</f>
        <v>9345118.92621196</v>
      </c>
      <c r="E32" s="29" t="n">
        <f aca="false">D32-C32</f>
        <v>-0.0737880412489176</v>
      </c>
      <c r="F32" s="32" t="str">
        <f aca="false">IF(ABS(E32)&lt;=0.5,"PASS","FAIL")</f>
        <v>PASS</v>
      </c>
    </row>
    <row r="33" customFormat="false" ht="15" hidden="false" customHeight="false" outlineLevel="0" collapsed="false">
      <c r="A33" s="33" t="s">
        <v>275</v>
      </c>
      <c r="B33" s="33" t="s">
        <v>278</v>
      </c>
      <c r="C33" s="38" t="n">
        <v>1.2979</v>
      </c>
      <c r="D33" s="38" t="n">
        <f aca="false">'Value created'!C18</f>
        <v>1.29793318419611</v>
      </c>
      <c r="E33" s="35" t="n">
        <f aca="false">D33-C33</f>
        <v>3.31841961054291E-005</v>
      </c>
      <c r="F33" s="36" t="str">
        <f aca="false">IF(ABS(E33)&lt;=0.00005,"PASS","FAIL")</f>
        <v>PASS</v>
      </c>
    </row>
    <row r="34" customFormat="false" ht="15" hidden="false" customHeight="false" outlineLevel="0" collapsed="false">
      <c r="A34" s="7" t="s">
        <v>275</v>
      </c>
      <c r="B34" s="7" t="s">
        <v>281</v>
      </c>
      <c r="C34" s="29" t="n">
        <v>0</v>
      </c>
      <c r="D34" s="29" t="n">
        <f aca="false">'Value created'!B19</f>
        <v>0</v>
      </c>
      <c r="E34" s="29" t="n">
        <f aca="false">D34-C34</f>
        <v>0</v>
      </c>
      <c r="F34" s="32" t="str">
        <f aca="false">IF(ABS(E34)&lt;=0.000001,"PASS","FAIL")</f>
        <v>PASS</v>
      </c>
    </row>
    <row r="35" customFormat="false" ht="15" hidden="false" customHeight="false" outlineLevel="0" collapsed="false">
      <c r="A35" s="33" t="s">
        <v>282</v>
      </c>
      <c r="B35" s="33" t="s">
        <v>137</v>
      </c>
      <c r="C35" s="34" t="n">
        <v>-17530855</v>
      </c>
      <c r="D35" s="34" t="n">
        <f aca="false">'Value created'!B11</f>
        <v>-17530854.8728918</v>
      </c>
      <c r="E35" s="35" t="n">
        <f aca="false">D35-C35</f>
        <v>0.127108164131641</v>
      </c>
      <c r="F35" s="36" t="str">
        <f aca="false">IF(ABS(E35)&lt;=0.5,"PASS","FAIL")</f>
        <v>PASS</v>
      </c>
    </row>
    <row r="36" customFormat="false" ht="15" hidden="false" customHeight="false" outlineLevel="0" collapsed="false">
      <c r="A36" s="7" t="s">
        <v>282</v>
      </c>
      <c r="B36" s="7" t="s">
        <v>283</v>
      </c>
      <c r="C36" s="19" t="n">
        <v>73260000</v>
      </c>
      <c r="D36" s="19" t="n">
        <f aca="false">'Value created'!B24</f>
        <v>73260000</v>
      </c>
      <c r="E36" s="29" t="n">
        <f aca="false">D36-C36</f>
        <v>0</v>
      </c>
      <c r="F36" s="32" t="str">
        <f aca="false">IF(ABS(E36)&lt;=0.5,"PASS","FAIL")</f>
        <v>PASS</v>
      </c>
    </row>
    <row r="37" customFormat="false" ht="15" hidden="false" customHeight="false" outlineLevel="0" collapsed="false">
      <c r="A37" s="33" t="s">
        <v>282</v>
      </c>
      <c r="B37" s="33" t="s">
        <v>284</v>
      </c>
      <c r="C37" s="34" t="n">
        <v>13436667</v>
      </c>
      <c r="D37" s="34" t="n">
        <f aca="false">'Value created'!B26</f>
        <v>13436666.6666667</v>
      </c>
      <c r="E37" s="35" t="n">
        <f aca="false">D37-C37</f>
        <v>-0.333333313465118</v>
      </c>
      <c r="F37" s="36" t="str">
        <f aca="false">IF(ABS(E37)&lt;=0.5,"PASS","FAIL")</f>
        <v>PASS</v>
      </c>
    </row>
    <row r="38" customFormat="false" ht="15" hidden="false" customHeight="false" outlineLevel="0" collapsed="false">
      <c r="A38" s="7" t="s">
        <v>282</v>
      </c>
      <c r="B38" s="7" t="s">
        <v>231</v>
      </c>
      <c r="C38" s="19" t="n">
        <v>17077304</v>
      </c>
      <c r="D38" s="19" t="n">
        <f aca="false">'Value created'!B29</f>
        <v>17077303.7609361</v>
      </c>
      <c r="E38" s="29" t="n">
        <f aca="false">D38-C38</f>
        <v>-0.239063940942287</v>
      </c>
      <c r="F38" s="32" t="str">
        <f aca="false">IF(ABS(E38)&lt;=0.5,"PASS","FAIL")</f>
        <v>PASS</v>
      </c>
    </row>
    <row r="39" customFormat="false" ht="15" hidden="false" customHeight="false" outlineLevel="0" collapsed="false">
      <c r="A39" s="33" t="s">
        <v>282</v>
      </c>
      <c r="B39" s="33" t="s">
        <v>233</v>
      </c>
      <c r="C39" s="34" t="n">
        <v>-8791074</v>
      </c>
      <c r="D39" s="34" t="n">
        <f aca="false">'Value created'!B30</f>
        <v>-8791074.3729202</v>
      </c>
      <c r="E39" s="35" t="n">
        <f aca="false">D39-C39</f>
        <v>-0.372920194640756</v>
      </c>
      <c r="F39" s="36" t="str">
        <f aca="false">IF(ABS(E39)&lt;=0.5,"PASS","FAIL")</f>
        <v>PASS</v>
      </c>
    </row>
    <row r="40" customFormat="false" ht="15" hidden="false" customHeight="false" outlineLevel="0" collapsed="false">
      <c r="A40" s="7" t="s">
        <v>282</v>
      </c>
      <c r="B40" s="7" t="s">
        <v>285</v>
      </c>
      <c r="C40" s="19" t="n">
        <v>30967522</v>
      </c>
      <c r="D40" s="19" t="n">
        <f aca="false">'Value created'!B34</f>
        <v>30967521.5395585</v>
      </c>
      <c r="E40" s="29" t="n">
        <f aca="false">D40-C40</f>
        <v>-0.46044147759676</v>
      </c>
      <c r="F40" s="32" t="str">
        <f aca="false">IF(ABS(E40)&lt;=0.5,"PASS","FAIL")</f>
        <v>PASS</v>
      </c>
    </row>
    <row r="41" customFormat="false" ht="15" hidden="false" customHeight="false" outlineLevel="0" collapsed="false">
      <c r="A41" s="33" t="s">
        <v>282</v>
      </c>
      <c r="B41" s="33" t="s">
        <v>286</v>
      </c>
      <c r="C41" s="34" t="n">
        <v>30967522</v>
      </c>
      <c r="D41" s="34" t="n">
        <f aca="false">'Value created'!B35</f>
        <v>30967521.5395585</v>
      </c>
      <c r="E41" s="35" t="n">
        <f aca="false">D41-C41</f>
        <v>-0.46044147759676</v>
      </c>
      <c r="F41" s="36" t="str">
        <f aca="false">IF(ABS(E41)&lt;=0.5,"PASS","FAIL")</f>
        <v>PASS</v>
      </c>
    </row>
    <row r="42" customFormat="false" ht="15" hidden="false" customHeight="false" outlineLevel="0" collapsed="false">
      <c r="A42" s="7" t="s">
        <v>282</v>
      </c>
      <c r="B42" s="7" t="s">
        <v>287</v>
      </c>
      <c r="C42" s="19" t="n">
        <v>6549747</v>
      </c>
      <c r="D42" s="19" t="n">
        <f aca="false">'Value created'!B40</f>
        <v>6549747.3641555</v>
      </c>
      <c r="E42" s="29" t="n">
        <f aca="false">D42-C42</f>
        <v>0.364155502989888</v>
      </c>
      <c r="F42" s="32" t="str">
        <f aca="false">IF(ABS(E42)&lt;=0.5,"PASS","FAIL")</f>
        <v>PASS</v>
      </c>
    </row>
    <row r="43" customFormat="false" ht="15" hidden="false" customHeight="false" outlineLevel="0" collapsed="false">
      <c r="A43" s="33" t="s">
        <v>282</v>
      </c>
      <c r="B43" s="33" t="s">
        <v>242</v>
      </c>
      <c r="C43" s="34" t="n">
        <v>-10981108</v>
      </c>
      <c r="D43" s="34" t="n">
        <f aca="false">'Value created'!B41</f>
        <v>-10981107.5087363</v>
      </c>
      <c r="E43" s="35" t="n">
        <f aca="false">D43-C43</f>
        <v>0.49126366712153</v>
      </c>
      <c r="F43" s="36" t="str">
        <f aca="false">IF(ABS(E43)&lt;=0.5,"PASS","FAIL")</f>
        <v>PASS</v>
      </c>
    </row>
    <row r="44" customFormat="false" ht="15" hidden="false" customHeight="false" outlineLevel="0" collapsed="false">
      <c r="A44" s="7" t="s">
        <v>288</v>
      </c>
      <c r="B44" s="7" t="s">
        <v>289</v>
      </c>
      <c r="C44" s="19" t="n">
        <v>-9243599</v>
      </c>
      <c r="D44" s="19" t="n">
        <f aca="false">Sensitivity!B8</f>
        <v>-9243599.47695201</v>
      </c>
      <c r="E44" s="29" t="n">
        <f aca="false">D44-C44</f>
        <v>-0.476952010765672</v>
      </c>
      <c r="F44" s="32" t="str">
        <f aca="false">IF(ABS(E44)&lt;=0.5,"PASS","FAIL")</f>
        <v>PASS</v>
      </c>
    </row>
    <row r="45" customFormat="false" ht="15" hidden="false" customHeight="false" outlineLevel="0" collapsed="false">
      <c r="A45" s="33" t="s">
        <v>288</v>
      </c>
      <c r="B45" s="33" t="s">
        <v>290</v>
      </c>
      <c r="C45" s="34" t="n">
        <v>835569</v>
      </c>
      <c r="D45" s="34" t="n">
        <f aca="false">Sensitivity!D9</f>
        <v>835568.506231127</v>
      </c>
      <c r="E45" s="35" t="n">
        <f aca="false">D45-C45</f>
        <v>-0.493768872693181</v>
      </c>
      <c r="F45" s="36" t="str">
        <f aca="false">IF(ABS(E45)&lt;=0.5,"PASS","FAIL")</f>
        <v>PASS</v>
      </c>
    </row>
    <row r="46" customFormat="false" ht="15" hidden="false" customHeight="false" outlineLevel="0" collapsed="false">
      <c r="A46" s="7" t="s">
        <v>288</v>
      </c>
      <c r="B46" s="7" t="s">
        <v>291</v>
      </c>
      <c r="C46" s="19" t="n">
        <v>-17530855</v>
      </c>
      <c r="D46" s="19" t="n">
        <f aca="false">Sensitivity!D10</f>
        <v>-17530854.8728918</v>
      </c>
      <c r="E46" s="29" t="n">
        <f aca="false">D46-C46</f>
        <v>0.127108164131641</v>
      </c>
      <c r="F46" s="32" t="str">
        <f aca="false">IF(ABS(E46)&lt;=0.5,"PASS","FAIL")</f>
        <v>PASS</v>
      </c>
    </row>
    <row r="47" customFormat="false" ht="15" hidden="false" customHeight="false" outlineLevel="0" collapsed="false">
      <c r="A47" s="33" t="s">
        <v>288</v>
      </c>
      <c r="B47" s="33" t="s">
        <v>292</v>
      </c>
      <c r="C47" s="34" t="n">
        <v>-66615020</v>
      </c>
      <c r="D47" s="34" t="n">
        <f aca="false">Sensitivity!B12</f>
        <v>-66615019.5750644</v>
      </c>
      <c r="E47" s="35" t="n">
        <f aca="false">D47-C47</f>
        <v>0.424935601651669</v>
      </c>
      <c r="F47" s="36" t="str">
        <f aca="false">IF(ABS(E47)&lt;=0.5,"PASS","FAIL")</f>
        <v>PASS</v>
      </c>
    </row>
    <row r="48" customFormat="false" ht="15" hidden="false" customHeight="false" outlineLevel="0" collapsed="false">
      <c r="A48" s="7" t="s">
        <v>288</v>
      </c>
      <c r="B48" s="7" t="s">
        <v>293</v>
      </c>
      <c r="C48" s="27" t="n">
        <v>1.2698</v>
      </c>
      <c r="D48" s="27" t="n">
        <f aca="false">Sensitivity!D19</f>
        <v>1.26981433750527</v>
      </c>
      <c r="E48" s="29" t="n">
        <f aca="false">D48-C48</f>
        <v>1.43375052692463E-005</v>
      </c>
      <c r="F48" s="32" t="str">
        <f aca="false">IF(ABS(E48)&lt;=0.00005,"PASS","FAIL")</f>
        <v>PASS</v>
      </c>
    </row>
    <row r="49" customFormat="false" ht="15" hidden="false" customHeight="false" outlineLevel="0" collapsed="false">
      <c r="A49" s="33" t="s">
        <v>288</v>
      </c>
      <c r="B49" s="33" t="s">
        <v>294</v>
      </c>
      <c r="C49" s="38" t="n">
        <v>1.408</v>
      </c>
      <c r="D49" s="38" t="n">
        <f aca="false">Sensitivity!F21</f>
        <v>1.40795338849989</v>
      </c>
      <c r="E49" s="35" t="n">
        <f aca="false">D49-C49</f>
        <v>-4.66115001136469E-005</v>
      </c>
      <c r="F49" s="36" t="str">
        <f aca="false">IF(ABS(E49)&lt;=0.00005,"PASS","FAIL")</f>
        <v>PASS</v>
      </c>
    </row>
    <row r="50" customFormat="false" ht="15" hidden="false" customHeight="false" outlineLevel="0" collapsed="false">
      <c r="A50" s="33" t="s">
        <v>261</v>
      </c>
      <c r="B50" s="33" t="s">
        <v>295</v>
      </c>
      <c r="C50" s="39" t="n">
        <v>8627564</v>
      </c>
      <c r="D50" s="39" t="n">
        <f aca="false">EoMax*EoProb/(1+Wacc)^EoYear</f>
        <v>8627563.91877518</v>
      </c>
      <c r="E50" s="35" t="n">
        <f aca="false">D50-C50</f>
        <v>-0.0812248252332211</v>
      </c>
      <c r="F50" s="36" t="str">
        <f aca="false">IF(ABS(E50)&lt;=0.5,"PASS","FAIL")</f>
        <v>PASS</v>
      </c>
    </row>
    <row r="51" customFormat="false" ht="15" hidden="false" customHeight="false" outlineLevel="0" collapsed="false">
      <c r="A51" s="33" t="s">
        <v>261</v>
      </c>
      <c r="B51" s="33" t="s">
        <v>296</v>
      </c>
      <c r="C51" s="39" t="n">
        <v>1021523</v>
      </c>
      <c r="D51" s="39" t="n">
        <f aca="false">EoFV-EoMax*EoProb/(1+Wacc)^EoYear</f>
        <v>1021522.78645719</v>
      </c>
      <c r="E51" s="35" t="n">
        <f aca="false">D51-C51</f>
        <v>-0.213542805984616</v>
      </c>
      <c r="F51" s="36" t="str">
        <f aca="false">IF(ABS(E51)&lt;=0.5,"PASS","FAIL")</f>
        <v>PASS</v>
      </c>
    </row>
    <row r="52" customFormat="false" ht="15" hidden="false" customHeight="false" outlineLevel="0" collapsed="false">
      <c r="A52" s="33" t="s">
        <v>270</v>
      </c>
      <c r="B52" s="33" t="s">
        <v>297</v>
      </c>
      <c r="C52" s="39" t="n">
        <v>8176274</v>
      </c>
      <c r="D52" s="39" t="n">
        <f aca="false">SynCost*(CostY1/(1+Wacc)+CostY2/(1+Wacc)^2+CostY3/(1+Wacc)^3)</f>
        <v>8176273.92841372</v>
      </c>
      <c r="E52" s="35" t="n">
        <f aca="false">D52-C52</f>
        <v>-0.0715862773358822</v>
      </c>
      <c r="F52" s="36" t="str">
        <f aca="false">IF(ABS(E52)&lt;=0.5,"PASS","FAIL")</f>
        <v>PASS</v>
      </c>
    </row>
    <row r="53" customFormat="false" ht="15" hidden="false" customHeight="false" outlineLevel="0" collapsed="false">
      <c r="A53" s="33" t="s">
        <v>270</v>
      </c>
      <c r="B53" s="33" t="s">
        <v>298</v>
      </c>
      <c r="C53" s="40" t="n">
        <v>10.175</v>
      </c>
      <c r="D53" s="40" t="n">
        <f aca="false">(1-Tax)*(1+Grow)/(Wacc-Grow)</f>
        <v>10.175</v>
      </c>
      <c r="E53" s="35" t="n">
        <f aca="false">D53-C53</f>
        <v>0</v>
      </c>
      <c r="F53" s="36" t="str">
        <f aca="false">IF(ABS(E53)&lt;=0.0000005,"PASS","FAIL")</f>
        <v>PASS</v>
      </c>
    </row>
    <row r="54" customFormat="false" ht="15" hidden="false" customHeight="false" outlineLevel="0" collapsed="false">
      <c r="A54" s="33" t="s">
        <v>288</v>
      </c>
      <c r="B54" s="33" t="s">
        <v>299</v>
      </c>
      <c r="C54" s="41" t="n">
        <v>0.087713</v>
      </c>
      <c r="D54" s="41" t="n">
        <f aca="false">(C54-0.0001)-((Ramp1*(1-Tax)/(1+(C54-0.0001))+Ramp2*(1-Tax)/(1+(C54-0.0001))^2+Ramp3*(1-Tax)/(1+(C54-0.0001))^3+(1-Tax)*(1+Grow)/((C54-0.0001)-Grow)/(1+(C54-0.0001))^3)*SynRR-SynCost*(1-Tax)*(CostY1/(1+(C54-0.0001))+CostY2/(1+(C54-0.0001))^2+CostY3/(1+(C54-0.0001))^3)-(EVh-TFcf*(1+Grow)/((C54-0.0001)-Grow))-TxnCost-EoFV)*((C54+0.0001)-(C54-0.0001))/(((Ramp1*(1-Tax)/(1+(C54+0.0001))+Ramp2*(1-Tax)/(1+(C54+0.0001))^2+Ramp3*(1-Tax)/(1+(C54+0.0001))^3+(1-Tax)*(1+Grow)/((C54+0.0001)-Grow)/(1+(C54+0.0001))^3)*SynRR-SynCost*(1-Tax)*(CostY1/(1+(C54+0.0001))+CostY2/(1+(C54+0.0001))^2+CostY3/(1+(C54+0.0001))^3)-(EVh-TFcf*(1+Grow)/((C54+0.0001)-Grow))-TxnCost-EoFV)-((Ramp1*(1-Tax)/(1+(C54-0.0001))+Ramp2*(1-Tax)/(1+(C54-0.0001))^2+Ramp3*(1-Tax)/(1+(C54-0.0001))^3+(1-Tax)*(1+Grow)/((C54-0.0001)-Grow)/(1+(C54-0.0001))^3)*SynRR-SynCost*(1-Tax)*(CostY1/(1+(C54-0.0001))+CostY2/(1+(C54-0.0001))^2+CostY3/(1+(C54-0.0001))^3)-(EVh-TFcf*(1+Grow)/((C54-0.0001)-Grow))-TxnCost-EoFV))</f>
        <v>0.0877130477972314</v>
      </c>
      <c r="E54" s="35" t="n">
        <f aca="false">D54-C54</f>
        <v>4.7797231353397E-008</v>
      </c>
      <c r="F54" s="36" t="str">
        <f aca="false">IF(ABS(E54)&lt;=0.000005,"PASS","FAIL")</f>
        <v>PASS</v>
      </c>
    </row>
    <row r="55" customFormat="false" ht="15" hidden="false" customHeight="false" outlineLevel="0" collapsed="false">
      <c r="A55" s="33" t="s">
        <v>288</v>
      </c>
      <c r="B55" s="33" t="s">
        <v>300</v>
      </c>
      <c r="C55" s="41" t="n">
        <v>0.02219</v>
      </c>
      <c r="D55" s="41" t="n">
        <f aca="false">(C55-0.0001)-((Ramp1*(1-Tax)/(1+0.0925)+Ramp2*(1-Tax)/(1+0.0925)^2+Ramp3*(1-Tax)/(1+0.0925)^3+(1-Tax)*(1+(C55-0.0001))/(0.0925-(C55-0.0001))/(1+0.0925)^3)*SynRR-SynCost*(1-Tax)*(CostY1/(1+0.0925)+CostY2/(1+0.0925)^2+CostY3/(1+0.0925)^3)-(EVh-TFcf*(1+(C55-0.0001))/(0.0925-(C55-0.0001)))-TxnCost-EoFV)*((C55+0.0001)-(C55-0.0001))/(((Ramp1*(1-Tax)/(1+0.0925)+Ramp2*(1-Tax)/(1+0.0925)^2+Ramp3*(1-Tax)/(1+0.0925)^3+(1-Tax)*(1+(C55+0.0001))/(0.0925-(C55+0.0001))/(1+0.0925)^3)*SynRR-SynCost*(1-Tax)*(CostY1/(1+0.0925)+CostY2/(1+0.0925)^2+CostY3/(1+0.0925)^3)-(EVh-TFcf*(1+(C55+0.0001))/(0.0925-(C55+0.0001)))-TxnCost-EoFV)-((Ramp1*(1-Tax)/(1+0.0925)+Ramp2*(1-Tax)/(1+0.0925)^2+Ramp3*(1-Tax)/(1+0.0925)^3+(1-Tax)*(1+(C55-0.0001))/(0.0925-(C55-0.0001))/(1+0.0925)^3)*SynRR-SynCost*(1-Tax)*(CostY1/(1+0.0925)+CostY2/(1+0.0925)^2+CostY3/(1+0.0925)^3)-(EVh-TFcf*(1+(C55-0.0001))/(0.0925-(C55-0.0001)))-TxnCost-EoFV))</f>
        <v>0.0221900704575668</v>
      </c>
      <c r="E55" s="35" t="n">
        <f aca="false">D55-C55</f>
        <v>7.04575668329655E-008</v>
      </c>
      <c r="F55" s="36" t="str">
        <f aca="false">IF(ABS(E55)&lt;=0.000005,"PASS","FAIL")</f>
        <v>PASS</v>
      </c>
    </row>
    <row r="56" customFormat="false" ht="15" hidden="false" customHeight="false" outlineLevel="0" collapsed="false">
      <c r="A56" s="33" t="s">
        <v>288</v>
      </c>
      <c r="B56" s="33" t="s">
        <v>301</v>
      </c>
      <c r="C56" s="41" t="n">
        <v>0.027087</v>
      </c>
      <c r="D56" s="41" t="n">
        <f aca="false">(C56-0.0001)-((Ramp1*(1-Tax)/(1+0.0975)+Ramp2*(1-Tax)/(1+0.0975)^2+Ramp3*(1-Tax)/(1+0.0975)^3+(1-Tax)*(1+(C56-0.0001))/(0.0975-(C56-0.0001))/(1+0.0975)^3)*SynRR-SynCost*(1-Tax)*(CostY1/(1+0.0975)+CostY2/(1+0.0975)^2+CostY3/(1+0.0975)^3)-(EVh-TFcf*(1+(C56-0.0001))/(0.0975-(C56-0.0001)))-TxnCost-EoFV)*((C56+0.0001)-(C56-0.0001))/(((Ramp1*(1-Tax)/(1+0.0975)+Ramp2*(1-Tax)/(1+0.0975)^2+Ramp3*(1-Tax)/(1+0.0975)^3+(1-Tax)*(1+(C56+0.0001))/(0.0975-(C56+0.0001))/(1+0.0975)^3)*SynRR-SynCost*(1-Tax)*(CostY1/(1+0.0975)+CostY2/(1+0.0975)^2+CostY3/(1+0.0975)^3)-(EVh-TFcf*(1+(C56+0.0001))/(0.0975-(C56+0.0001)))-TxnCost-EoFV)-((Ramp1*(1-Tax)/(1+0.0975)+Ramp2*(1-Tax)/(1+0.0975)^2+Ramp3*(1-Tax)/(1+0.0975)^3+(1-Tax)*(1+(C56-0.0001))/(0.0975-(C56-0.0001))/(1+0.0975)^3)*SynRR-SynCost*(1-Tax)*(CostY1/(1+0.0975)+CostY2/(1+0.0975)^2+CostY3/(1+0.0975)^3)-(EVh-TFcf*(1+(C56-0.0001))/(0.0975-(C56-0.0001)))-TxnCost-EoFV))</f>
        <v>0.0270869174459396</v>
      </c>
      <c r="E56" s="35" t="n">
        <f aca="false">D56-C56</f>
        <v>-8.2554060421014E-008</v>
      </c>
      <c r="F56" s="36" t="str">
        <f aca="false">IF(ABS(E56)&lt;=0.000005,"PASS","FAIL")</f>
        <v>PASS</v>
      </c>
    </row>
    <row r="58" customFormat="false" ht="15" hidden="false" customHeight="false" outlineLevel="0" collapsed="false">
      <c r="B58" s="7" t="s">
        <v>302</v>
      </c>
      <c r="C58" s="7" t="n">
        <f aca="false">COUNTIF(F8:F56,"PASS")</f>
        <v>49</v>
      </c>
    </row>
    <row r="59" customFormat="false" ht="15" hidden="false" customHeight="false" outlineLevel="0" collapsed="false">
      <c r="B59" s="7" t="s">
        <v>303</v>
      </c>
      <c r="C59" s="7" t="n">
        <f aca="false">COUNTIF(F8:F56,"FAIL")</f>
        <v>0</v>
      </c>
    </row>
    <row r="60" customFormat="false" ht="15" hidden="false" customHeight="false" outlineLevel="0" collapsed="false">
      <c r="B60" s="7" t="s">
        <v>304</v>
      </c>
      <c r="C60" s="7" t="str">
        <f aca="false">IF(C58=49,"ALL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2026-08-29T23:24:52Z</dcterms:created>
  <dc:creator>openpyxl</dc:creator>
  <dc:description/>
  <dc:language>en-US</dc:language>
  <cp:lastModifiedBy/>
  <dcterms:modified xsi:type="dcterms:W3CDTF">2026-09-24T01:14:41Z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