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Deal" sheetId="3" state="visible" r:id="rId5"/>
    <sheet name="Seven prices" sheetId="4" state="visible" r:id="rId6"/>
    <sheet name="Debt-like" sheetId="5" state="visible" r:id="rId7"/>
    <sheet name="Checks" sheetId="6" state="visible" r:id="rId8"/>
  </sheets>
  <definedNames>
    <definedName function="false" hidden="false" name="Accr1" vbProcedure="false">Deal!$B$94</definedName>
    <definedName function="false" hidden="false" name="AEbit" vbProcedure="false">Deal!$B$52</definedName>
    <definedName function="false" hidden="false" name="AEPS" vbProcedure="false">Deal!$B$54</definedName>
    <definedName function="false" hidden="false" name="AEV" vbProcedure="false">Deal!$B$56</definedName>
    <definedName function="false" hidden="false" name="AInt" vbProcedure="false">Deal!$B$50</definedName>
    <definedName function="false" hidden="false" name="AIntPre" vbProcedure="false">Deal!$B$49</definedName>
    <definedName function="false" hidden="false" name="ALevPre" vbProcedure="false">Deal!$B$47</definedName>
    <definedName function="false" hidden="false" name="AMcap" vbProcedure="false">Deal!$B$55</definedName>
    <definedName function="false" hidden="false" name="AMult" vbProcedure="false">Deal!$B$57</definedName>
    <definedName function="false" hidden="false" name="ANI" vbProcedure="false">Deal!$B$53</definedName>
    <definedName function="false" hidden="false" name="ARatePre" vbProcedure="false">Deal!$B$48</definedName>
    <definedName function="false" hidden="false" name="A_DA" vbProcedure="false">Inputs!$B$19</definedName>
    <definedName function="false" hidden="false" name="A_Debt" vbProcedure="false">Inputs!$B$20</definedName>
    <definedName function="false" hidden="false" name="A_Ebitda" vbProcedure="false">Inputs!$B$18</definedName>
    <definedName function="false" hidden="false" name="A_Price" vbProcedure="false">Inputs!$B$22</definedName>
    <definedName function="false" hidden="false" name="A_Rev" vbProcedure="false">Inputs!$B$17</definedName>
    <definedName function="false" hidden="false" name="A_Shares" vbProcedure="false">Inputs!$B$21</definedName>
    <definedName function="false" hidden="false" name="BaseRate" vbProcedure="false">Inputs!$B$31</definedName>
    <definedName function="false" hidden="false" name="CashOut" vbProcedure="false">Deal!$B$18</definedName>
    <definedName function="false" hidden="false" name="CombEb" vbProcedure="false">Deal!$B$14</definedName>
    <definedName function="false" hidden="false" name="Converged" vbProcedure="false">Deal!$B$26</definedName>
    <definedName function="false" hidden="false" name="Cost1" vbProcedure="false">Deal!$B$89</definedName>
    <definedName function="false" hidden="false" name="CostY1" vbProcedure="false">Inputs!$B$46</definedName>
    <definedName function="false" hidden="false" name="CostY2" vbProcedure="false">Inputs!$B$47</definedName>
    <definedName function="false" hidden="false" name="CostY3" vbProcedure="false">Inputs!$B$48</definedName>
    <definedName function="false" hidden="false" name="DA1" vbProcedure="false">Deal!$B$90</definedName>
    <definedName function="false" hidden="false" name="DebtRate" vbProcedure="false">Deal!$B$27</definedName>
    <definedName function="false" hidden="false" name="DebtShare" vbProcedure="false">Inputs!$B$29</definedName>
    <definedName function="false" hidden="false" name="Dilut" vbProcedure="false">Deal!$B$43</definedName>
    <definedName function="false" hidden="false" name="DLamt" vbProcedure="false">Inputs!$B$60:$B$63</definedName>
    <definedName function="false" hidden="false" name="DLbear" vbProcedure="false">Deal!$B$9</definedName>
    <definedName function="false" hidden="false" name="DLcov" vbProcedure="false">Deal!$B$10</definedName>
    <definedName function="false" hidden="false" name="DLdiv" vbProcedure="false">Inputs!$B$62</definedName>
    <definedName function="false" hidden="false" name="DLlease" vbProcedure="false">Inputs!$B$63</definedName>
    <definedName function="false" hidden="false" name="DLlitig" vbProcedure="false">Inputs!$B$61</definedName>
    <definedName function="false" hidden="false" name="DLoff" vbProcedure="false">Deal!$B$8</definedName>
    <definedName function="false" hidden="false" name="DLpens" vbProcedure="false">Inputs!$B$60</definedName>
    <definedName function="false" hidden="false" name="DLtot" vbProcedure="false">Deal!$B$7</definedName>
    <definedName function="false" hidden="false" name="DL_BS" vbProcedure="false">Inputs!$C$60:$C$63</definedName>
    <definedName function="false" hidden="false" name="DL_CF" vbProcedure="false">Inputs!$E$60:$E$63</definedName>
    <definedName function="false" hidden="false" name="DL_IF" vbProcedure="false">Inputs!$D$60:$D$63</definedName>
    <definedName function="false" hidden="false" name="DTL" vbProcedure="false">Deal!$B$72</definedName>
    <definedName function="false" hidden="false" name="Eb1" vbProcedure="false">Deal!$B$88</definedName>
    <definedName function="false" hidden="false" name="EoFV" vbProcedure="false">Deal!$B$29</definedName>
    <definedName function="false" hidden="false" name="EoMax" vbProcedure="false">Inputs!$B$35</definedName>
    <definedName function="false" hidden="false" name="EoProb" vbProcedure="false">Inputs!$B$36</definedName>
    <definedName function="false" hidden="false" name="EoYear" vbProcedure="false">Inputs!$B$37</definedName>
    <definedName function="false" hidden="false" name="EPS1" vbProcedure="false">Deal!$B$93</definedName>
    <definedName function="false" hidden="false" name="EPS2" vbProcedure="false">Deal!$B$100</definedName>
    <definedName function="false" hidden="false" name="EqRaise" vbProcedure="false">Deal!$B$20</definedName>
    <definedName function="false" hidden="false" name="EVh" vbProcedure="false">Deal!$B$15</definedName>
    <definedName function="false" hidden="false" name="Excess" vbProcedure="false">Deal!$B$70</definedName>
    <definedName function="false" hidden="false" name="Grow" vbProcedure="false">Inputs!$B$53</definedName>
    <definedName function="false" hidden="false" name="Gwill" vbProcedure="false">Deal!$B$73</definedName>
    <definedName function="false" hidden="false" name="Int1" vbProcedure="false">Deal!$B$91</definedName>
    <definedName function="false" hidden="false" name="Int2" vbProcedure="false">Deal!$B$98</definedName>
    <definedName function="false" hidden="false" name="Intang" vbProcedure="false">Deal!$B$71</definedName>
    <definedName function="false" hidden="false" name="IntangSh" vbProcedure="false">Inputs!$B$54</definedName>
    <definedName function="false" hidden="false" name="Intrin" vbProcedure="false">Deal!$B$63</definedName>
    <definedName function="false" hidden="false" name="IssPrice" vbProcedure="false">Deal!$B$40</definedName>
    <definedName function="false" hidden="false" name="IssueDisc" vbProcedure="false">Inputs!$B$30</definedName>
    <definedName function="false" hidden="false" name="LadMar" vbProcedure="false">Inputs!$C$69:$C$73</definedName>
    <definedName function="false" hidden="false" name="LadRung" vbProcedure="false">Inputs!$B$70:$B$73</definedName>
    <definedName function="false" hidden="false" name="LadThr" vbProcedure="false">Inputs!$B$69:$B$73</definedName>
    <definedName function="false" hidden="false" name="Lev" vbProcedure="false">Deal!$B$30</definedName>
    <definedName function="false" hidden="false" name="Marg" vbProcedure="false">Deal!$B$28</definedName>
    <definedName function="false" hidden="false" name="Mult" vbProcedure="false">Inputs!$B$26</definedName>
    <definedName function="false" hidden="false" name="NetAss" vbProcedure="false">Deal!$B$69</definedName>
    <definedName function="false" hidden="false" name="NewDebt" vbProcedure="false">Deal!$B$19</definedName>
    <definedName function="false" hidden="false" name="NewSh" vbProcedure="false">Deal!$B$41</definedName>
    <definedName function="false" hidden="false" name="OutExp" vbProcedure="false">Deal!$B$35</definedName>
    <definedName function="false" hidden="false" name="OutMax" vbProcedure="false">Deal!$B$36</definedName>
    <definedName function="false" hidden="false" name="PBT1" vbProcedure="false">Deal!$B$92</definedName>
    <definedName function="false" hidden="false" name="PBT2" vbProcedure="false">Deal!$B$99</definedName>
    <definedName function="false" hidden="false" name="Pdl" vbProcedure="false">Deal!$B$17</definedName>
    <definedName function="false" hidden="false" name="Peq" vbProcedure="false">Deal!$B$16</definedName>
    <definedName function="false" hidden="false" name="Pfv" vbProcedure="false">Deal!$B$34</definedName>
    <definedName function="false" hidden="false" name="PpaAm" vbProcedure="false">Deal!$B$74</definedName>
    <definedName function="false" hidden="false" name="PpaLife" vbProcedure="false">Inputs!$B$55</definedName>
    <definedName function="false" hidden="false" name="Prem" vbProcedure="false">Deal!$B$64</definedName>
    <definedName function="false" hidden="false" name="PremPc" vbProcedure="false">Deal!$B$65</definedName>
    <definedName function="false" hidden="false" name="Ramp1" vbProcedure="false">Inputs!$B$42</definedName>
    <definedName function="false" hidden="false" name="Ramp2" vbProcedure="false">Inputs!$B$43</definedName>
    <definedName function="false" hidden="false" name="Ramp3" vbProcedure="false">Inputs!$B$44</definedName>
    <definedName function="false" hidden="false" name="Repric" vbProcedure="false">Deal!$B$51</definedName>
    <definedName function="false" hidden="false" name="ShAfter" vbProcedure="false">Deal!$B$42</definedName>
    <definedName function="false" hidden="false" name="Shortf" vbProcedure="false">Deal!$B$83</definedName>
    <definedName function="false" hidden="false" name="SynCoef" vbProcedure="false">Deal!$B$78</definedName>
    <definedName function="false" hidden="false" name="SynCost" vbProcedure="false">Inputs!$B$45</definedName>
    <definedName function="false" hidden="false" name="SynCPV" vbProcedure="false">Deal!$B$79</definedName>
    <definedName function="false" hidden="false" name="SynPV3" vbProcedure="false">Deal!$B$80</definedName>
    <definedName function="false" hidden="false" name="SynRR" vbProcedure="false">Inputs!$B$41</definedName>
    <definedName function="false" hidden="false" name="SynTerm" vbProcedure="false">Deal!$B$81</definedName>
    <definedName function="false" hidden="false" name="SynVal" vbProcedure="false">Deal!$B$82</definedName>
    <definedName function="false" hidden="false" name="Tax" vbProcedure="false">Inputs!$B$27</definedName>
    <definedName function="false" hidden="false" name="TEbit" vbProcedure="false">Deal!$B$61</definedName>
    <definedName function="false" hidden="false" name="TFcf" vbProcedure="false">Deal!$B$62</definedName>
    <definedName function="false" hidden="false" name="TxnCost" vbProcedure="false">Inputs!$B$28</definedName>
    <definedName function="false" hidden="false" name="T_BookEq" vbProcedure="false">Inputs!$B$13</definedName>
    <definedName function="false" hidden="false" name="T_Capex" vbProcedure="false">Inputs!$B$10</definedName>
    <definedName function="false" hidden="false" name="T_DA" vbProcedure="false">Inputs!$B$9</definedName>
    <definedName function="false" hidden="false" name="T_DWC" vbProcedure="false">Inputs!$B$11</definedName>
    <definedName function="false" hidden="false" name="T_Ebitda" vbProcedure="false">Inputs!$B$8</definedName>
    <definedName function="false" hidden="false" name="T_NetDebt" vbProcedure="false">Inputs!$B$12</definedName>
    <definedName function="false" hidden="false" name="T_Rev" vbProcedure="false">Inputs!$B$7</definedName>
    <definedName function="false" hidden="false" name="VCreat" vbProcedure="false">Deal!$B$84</definedName>
    <definedName function="false" hidden="false" name="Wacc" vbProcedure="false">Inputs!$B$52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<sst xmlns="http://schemas.openxmlformats.org/spreadsheetml/2006/main" count="333" uniqueCount="257">
  <si>
    <t xml:space="preserve">Mergers and Acquisitions - The Seven Prices</t>
  </si>
  <si>
    <t xml:space="preserve">Companion workbook 1, by Julian R. Sterling</t>
  </si>
  <si>
    <t xml:space="preserve">What this workbook does</t>
  </si>
  <si>
    <t xml:space="preserve">It prints the same acquisition seven ways, shows why three of the seven quote the same multiple, and puts the four debt-like items beside them with their three qualifications as switches you can move.</t>
  </si>
  <si>
    <t xml:space="preserve">The first experiment to run</t>
  </si>
  <si>
    <t xml:space="preserve">On the Inputs sheet, find the line 'Uncapitalised leases' and set its covenant switch and its interest switch from nought to one. The leverage goes from 2.9694 to 3.0013, the ladder reprices the whole group from 125 to 200 basis points, and year-one accretion goes from minus 15.7134 per cent to minus 19.8485. One line of a sale agreement, 4,150,000, worth 4.1351 points of the headline. Then put both switches back.</t>
  </si>
  <si>
    <t xml:space="preserve">The second</t>
  </si>
  <si>
    <t xml:space="preserve">Take the pension deficit out of the covenant instead. The leverage falls to 2.9112 and the accretion does not move at all: the leverage was already under the rung and it stays there. Three of the four qualifications are worth nothing; the fourth is worth four points. That asymmetry is the chapter.</t>
  </si>
  <si>
    <t xml:space="preserve">Why column F on the Seven prices sheet is zero three times</t>
  </si>
  <si>
    <t xml:space="preserve">Take the net debt off the numerator and add it back into the enterprise value and the multiple cannot move. Three of the seven lines are the same number wearing three hats. Only 9.0000 and 9.3496 are genuinely different, and 9.9058 is a hybrid of two worlds.</t>
  </si>
  <si>
    <t xml:space="preserve">On the checks</t>
  </si>
  <si>
    <t xml:space="preserve">The Checks sheet reproduces by formula each figure printed in chapters 1 to 4. Column C is typed from the page; column D is computed here. The checks describe the workbook as it was delivered: move a switch and some of them will go red, which is the point of a switch. Put it back and they go green again.</t>
  </si>
  <si>
    <t xml:space="preserve">Inputs - the Auchendinny / Balmacara fact pattern</t>
  </si>
  <si>
    <t xml:space="preserve">Blue on pale yellow is an input, and you may edit it. Everything else in this file is a formula over these cells.</t>
  </si>
  <si>
    <t xml:space="preserve">The target, Balmacara</t>
  </si>
  <si>
    <t xml:space="preserve">Revenue</t>
  </si>
  <si>
    <t xml:space="preserve">EBITDA</t>
  </si>
  <si>
    <t xml:space="preserve">Depreciation and amortisation</t>
  </si>
  <si>
    <t xml:space="preserve">Capital expenditure</t>
  </si>
  <si>
    <t xml:space="preserve">Increase in working capital</t>
  </si>
  <si>
    <t xml:space="preserve">Net debt, assumed rather than refinanced</t>
  </si>
  <si>
    <t xml:space="preserve">Book equity</t>
  </si>
  <si>
    <t xml:space="preserve">The acquirer, Auchendinny</t>
  </si>
  <si>
    <t xml:space="preserve">Existing debt</t>
  </si>
  <si>
    <t xml:space="preserve">Shares in issue</t>
  </si>
  <si>
    <t xml:space="preserve">Share price at announcement</t>
  </si>
  <si>
    <t xml:space="preserve">The price, the tax and the funding</t>
  </si>
  <si>
    <t xml:space="preserve">Announced multiple of EBITDA</t>
  </si>
  <si>
    <t xml:space="preserve">Tax rate, both companies</t>
  </si>
  <si>
    <t xml:space="preserve">Transaction costs, expensed in year one</t>
  </si>
  <si>
    <t xml:space="preserve">Debt share of the funding</t>
  </si>
  <si>
    <t xml:space="preserve">Discount on the issue price</t>
  </si>
  <si>
    <t xml:space="preserve">Base rate, before the lender's margin</t>
  </si>
  <si>
    <t xml:space="preserve">The earn-out</t>
  </si>
  <si>
    <t xml:space="preserve">Maximum</t>
  </si>
  <si>
    <t xml:space="preserve">Probability</t>
  </si>
  <si>
    <t xml:space="preserve">Year of settlement</t>
  </si>
  <si>
    <t xml:space="preserve">The synergies</t>
  </si>
  <si>
    <t xml:space="preserve">Run rate</t>
  </si>
  <si>
    <t xml:space="preserve">Share of the run rate delivered in year 1</t>
  </si>
  <si>
    <t xml:space="preserve">Share of the run rate delivered in year 2</t>
  </si>
  <si>
    <t xml:space="preserve">Share of the run rate delivered in year 3</t>
  </si>
  <si>
    <t xml:space="preserve">Cost to achieve</t>
  </si>
  <si>
    <t xml:space="preserve">Share of the cost spent in year 1</t>
  </si>
  <si>
    <t xml:space="preserve">Share of the cost spent in year 2</t>
  </si>
  <si>
    <t xml:space="preserve">Share of the cost spent in year 3</t>
  </si>
  <si>
    <t xml:space="preserve">The valuation and the allocation</t>
  </si>
  <si>
    <t xml:space="preserve">Weighted average cost of capital</t>
  </si>
  <si>
    <t xml:space="preserve">Perpetual growth</t>
  </si>
  <si>
    <t xml:space="preserve">Identified intangibles, share of the excess</t>
  </si>
  <si>
    <t xml:space="preserve">Amortisation life, years</t>
  </si>
  <si>
    <t xml:space="preserve">The debt-like items, and the three questions that are asked separately</t>
  </si>
  <si>
    <t xml:space="preserve">item</t>
  </si>
  <si>
    <t xml:space="preserve">amount</t>
  </si>
  <si>
    <t xml:space="preserve">on the balance sheet</t>
  </si>
  <si>
    <t xml:space="preserve">bears interest after</t>
  </si>
  <si>
    <t xml:space="preserve">in the covenant</t>
  </si>
  <si>
    <t xml:space="preserve">Unfunded pension deficit</t>
  </si>
  <si>
    <t xml:space="preserve">Provided tax litigation</t>
  </si>
  <si>
    <t xml:space="preserve">Declared unpaid dividend</t>
  </si>
  <si>
    <t xml:space="preserve">Uncapitalised leases</t>
  </si>
  <si>
    <t xml:space="preserve">One is a switch, nought is not. The three answers are independent, and putting the leases back into the covenant and into the interest charge is the experiment of chapter 4.</t>
  </si>
  <si>
    <t xml:space="preserve">The lender's margin ladder</t>
  </si>
  <si>
    <t xml:space="preserve">leverage, times combined EBITDA</t>
  </si>
  <si>
    <t xml:space="preserve">at or above</t>
  </si>
  <si>
    <t xml:space="preserve">margin</t>
  </si>
  <si>
    <t xml:space="preserve">below 2.50</t>
  </si>
  <si>
    <t xml:space="preserve">2.50 to 3.00</t>
  </si>
  <si>
    <t xml:space="preserve">3.00 to 3.50</t>
  </si>
  <si>
    <t xml:space="preserve">3.50 to 4.00</t>
  </si>
  <si>
    <t xml:space="preserve">4.00 and above</t>
  </si>
  <si>
    <t xml:space="preserve">The lender does not quote a rate. It quotes a ladder, and the rate falls out of where the leverage lands on it.</t>
  </si>
  <si>
    <t xml:space="preserve">The deal, computed</t>
  </si>
  <si>
    <t xml:space="preserve">Every sheet in this workbook reads this one. Nothing here is typed in: it is all formula over Inputs.</t>
  </si>
  <si>
    <t xml:space="preserve">The debt-like items, answered three times</t>
  </si>
  <si>
    <t xml:space="preserve">Total, and the price falls by all of it</t>
  </si>
  <si>
    <t xml:space="preserve">Off balance sheet, so they raise the excess to allocate</t>
  </si>
  <si>
    <t xml:space="preserve">Bearing interest after the deal</t>
  </si>
  <si>
    <t xml:space="preserve">Inside the lender's covenant</t>
  </si>
  <si>
    <t xml:space="preserve">The price and the funding of completion</t>
  </si>
  <si>
    <t xml:space="preserve">Combined EBITDA</t>
  </si>
  <si>
    <t xml:space="preserve">Announced enterprise value</t>
  </si>
  <si>
    <t xml:space="preserve">Equity price, enterprise value less net debt</t>
  </si>
  <si>
    <t xml:space="preserve">Equity after the debt-like items</t>
  </si>
  <si>
    <t xml:space="preserve">Cash out at completion, fees included</t>
  </si>
  <si>
    <t xml:space="preserve">New debt</t>
  </si>
  <si>
    <t xml:space="preserve">Equity raised</t>
  </si>
  <si>
    <t xml:space="preserve">The fixed point: the rate depends on the leverage, the leverage on the earn-out, the earn-out on the rate</t>
  </si>
  <si>
    <t xml:space="preserve">Rate, iterated from the bottom of the ladder</t>
  </si>
  <si>
    <t xml:space="preserve">Eight passes. Where the two last cells agree, the ladder has a solution and that is the rate. Where they do not, the ladder refers to itself, and the model takes the prudent branch - the higher margin, which is what a lender will take - and says so.</t>
  </si>
  <si>
    <t xml:space="preserve">Does the ladder admit a solution?</t>
  </si>
  <si>
    <t xml:space="preserve">Rate on all of the group's debt after the deal</t>
  </si>
  <si>
    <t xml:space="preserve">of which the lender's margin</t>
  </si>
  <si>
    <t xml:space="preserve">Earn-out at fair value, discounted at the cost of debt</t>
  </si>
  <si>
    <t xml:space="preserve">Leverage after the deal, times combined EBITDA</t>
  </si>
  <si>
    <t xml:space="preserve">What the seller receives, and what is paid out</t>
  </si>
  <si>
    <t xml:space="preserve">What the seller receives, earn-out at fair value</t>
  </si>
  <si>
    <t xml:space="preserve">Total expected outlay</t>
  </si>
  <si>
    <t xml:space="preserve">Total outlay, full earn-out</t>
  </si>
  <si>
    <t xml:space="preserve">The shares</t>
  </si>
  <si>
    <t xml:space="preserve">Issue price</t>
  </si>
  <si>
    <t xml:space="preserve">Shares issued</t>
  </si>
  <si>
    <t xml:space="preserve">Shares in issue after the deal</t>
  </si>
  <si>
    <t xml:space="preserve">Dilution</t>
  </si>
  <si>
    <t xml:space="preserve">The acquirer on its own</t>
  </si>
  <si>
    <t xml:space="preserve">Standalone leverage</t>
  </si>
  <si>
    <t xml:space="preserve">Rate on the existing debt before the deal</t>
  </si>
  <si>
    <t xml:space="preserve">Interest before the deal</t>
  </si>
  <si>
    <t xml:space="preserve">Interest on the same debt after the deal</t>
  </si>
  <si>
    <t xml:space="preserve">Repricing of the existing debt, caused by the deal</t>
  </si>
  <si>
    <t xml:space="preserve">Operating profit</t>
  </si>
  <si>
    <t xml:space="preserve">Net income</t>
  </si>
  <si>
    <t xml:space="preserve">Earnings per share, standalone</t>
  </si>
  <si>
    <t xml:space="preserve">Market capitalisation</t>
  </si>
  <si>
    <t xml:space="preserve">Enterprise value</t>
  </si>
  <si>
    <t xml:space="preserve">Enterprise value, times EBITDA</t>
  </si>
  <si>
    <t xml:space="preserve">The target on a discounted cash flow, and the premium</t>
  </si>
  <si>
    <t xml:space="preserve">Normalised cash flow</t>
  </si>
  <si>
    <t xml:space="preserve">Intrinsic enterprise value</t>
  </si>
  <si>
    <t xml:space="preserve">Premium over it</t>
  </si>
  <si>
    <t xml:space="preserve">Premium, per cent</t>
  </si>
  <si>
    <t xml:space="preserve">The purchase price allocation</t>
  </si>
  <si>
    <t xml:space="preserve">Net assets acquired</t>
  </si>
  <si>
    <t xml:space="preserve">Excess to be allocated</t>
  </si>
  <si>
    <t xml:space="preserve">Identified intangibles</t>
  </si>
  <si>
    <t xml:space="preserve">Deferred tax liability on them</t>
  </si>
  <si>
    <t xml:space="preserve">Residual goodwill</t>
  </si>
  <si>
    <t xml:space="preserve">Annual amortisation of the intangibles</t>
  </si>
  <si>
    <t xml:space="preserve">The synergies, valued</t>
  </si>
  <si>
    <t xml:space="preserve">Value of one unit of run rate, ramp included</t>
  </si>
  <si>
    <t xml:space="preserve">Cost to achieve, after tax and discounted</t>
  </si>
  <si>
    <t xml:space="preserve">Value of the first three years, net of the cost</t>
  </si>
  <si>
    <t xml:space="preserve">Value of the perpetuity from year 4</t>
  </si>
  <si>
    <t xml:space="preserve">Value of the synergies</t>
  </si>
  <si>
    <t xml:space="preserve">Total to be covered: premium, fees and earn-out</t>
  </si>
  <si>
    <t xml:space="preserve">Value created</t>
  </si>
  <si>
    <t xml:space="preserve">Year one, combined</t>
  </si>
  <si>
    <t xml:space="preserve">EBITDA with the first year of synergies</t>
  </si>
  <si>
    <t xml:space="preserve">Integration cost of year one</t>
  </si>
  <si>
    <t xml:space="preserve">Depreciation, amortisation and the intangibles</t>
  </si>
  <si>
    <t xml:space="preserve">Interest, every line of it</t>
  </si>
  <si>
    <t xml:space="preserve">Profit before tax</t>
  </si>
  <si>
    <t xml:space="preserve">Earnings per share, combined</t>
  </si>
  <si>
    <t xml:space="preserve">Accretion, year one, statutory</t>
  </si>
  <si>
    <t xml:space="preserve">Year two, the first normal year</t>
  </si>
  <si>
    <t xml:space="preserve">Interest</t>
  </si>
  <si>
    <t xml:space="preserve">Seven prices for one deal</t>
  </si>
  <si>
    <t xml:space="preserve">The same transaction, quoted seven ways. Three of them print the same multiple, and they print it by construction.</t>
  </si>
  <si>
    <t xml:space="preserve">what is quoted</t>
  </si>
  <si>
    <t xml:space="preserve">added back</t>
  </si>
  <si>
    <t xml:space="preserve">enterprise value</t>
  </si>
  <si>
    <t xml:space="preserve">times EBITDA</t>
  </si>
  <si>
    <t xml:space="preserve">against 9.0000</t>
  </si>
  <si>
    <t xml:space="preserve">Outlay at the full earn-out, before fees</t>
  </si>
  <si>
    <t xml:space="preserve">not meaningful</t>
  </si>
  <si>
    <t xml:space="preserve">The last three carry the acquirer's own fees, which no practitioner puts in the numerator of an entry multiple. They are outlays, not prices.</t>
  </si>
  <si>
    <t xml:space="preserve">The fifth line is the hybrid: a cash outlay from a world in which the target has outperformed, divided by the EBITDA of a world in which it has not. It is printed here so that it can be recognised, not so that it can be quoted.</t>
  </si>
  <si>
    <t xml:space="preserve">Why three of them are the same number</t>
  </si>
  <si>
    <t xml:space="preserve">Take the net debt off the numerator and put it back into the enterprise value, and the multiple does not move. Column F is that statement: it is zero on the first three lines, and it is zero by construction, not by coincidence.</t>
  </si>
  <si>
    <t xml:space="preserve">The announced multiple</t>
  </si>
  <si>
    <t xml:space="preserve">The honest entry multiple, earn-out at fair value</t>
  </si>
  <si>
    <t xml:space="preserve">Distance between the two multiples that are genuinely different</t>
  </si>
  <si>
    <t xml:space="preserve">The hybrid multiple, at the full earn-out</t>
  </si>
  <si>
    <t xml:space="preserve">What the acquirer's own shares are worth, times its EBITDA</t>
  </si>
  <si>
    <t xml:space="preserve">It pays 12.1469 times and buys 9.3496 times: the gap, in turns</t>
  </si>
  <si>
    <t xml:space="preserve">The acquirer's own debt, before and after</t>
  </si>
  <si>
    <t xml:space="preserve">Standalone leverage, times EBITDA</t>
  </si>
  <si>
    <t xml:space="preserve">Rate after the deal</t>
  </si>
  <si>
    <t xml:space="preserve">Interest after the deal</t>
  </si>
  <si>
    <t xml:space="preserve">Repricing, caused by the deal and by nothing else</t>
  </si>
  <si>
    <t xml:space="preserve">What counts as debt, and the three questions</t>
  </si>
  <si>
    <t xml:space="preserve">Each item is qualified three times, and the three answers are independent. The price falls by all four regardless.</t>
  </si>
  <si>
    <t xml:space="preserve">The three switches are on the Inputs sheet. One is a yes, nought is a no. Change one and watch the four totals above, and everything below, move apart.</t>
  </si>
  <si>
    <t xml:space="preserve">What the switches do, live</t>
  </si>
  <si>
    <t xml:space="preserve">Leverage after the deal</t>
  </si>
  <si>
    <t xml:space="preserve">Margin the ladder then prices</t>
  </si>
  <si>
    <t xml:space="preserve">Rate on all of the group's debt</t>
  </si>
  <si>
    <t xml:space="preserve">Earn-out at fair value, which the rate moves</t>
  </si>
  <si>
    <t xml:space="preserve">Year-one accretion</t>
  </si>
  <si>
    <t xml:space="preserve">The same year one, at six covenant perimeters, without touching the switches</t>
  </si>
  <si>
    <t xml:space="preserve">perimeter</t>
  </si>
  <si>
    <t xml:space="preserve">bearing interest</t>
  </si>
  <si>
    <t xml:space="preserve">pass 0</t>
  </si>
  <si>
    <t xml:space="preserve">pass 1</t>
  </si>
  <si>
    <t xml:space="preserve">pass 2</t>
  </si>
  <si>
    <t xml:space="preserve">pass 3</t>
  </si>
  <si>
    <t xml:space="preserve">pass 4</t>
  </si>
  <si>
    <t xml:space="preserve">pass 5</t>
  </si>
  <si>
    <t xml:space="preserve">pass 6</t>
  </si>
  <si>
    <t xml:space="preserve">pass 7</t>
  </si>
  <si>
    <t xml:space="preserve">rate</t>
  </si>
  <si>
    <t xml:space="preserve">earn-out</t>
  </si>
  <si>
    <t xml:space="preserve">leverage</t>
  </si>
  <si>
    <t xml:space="preserve">amortisation</t>
  </si>
  <si>
    <t xml:space="preserve">interest</t>
  </si>
  <si>
    <t xml:space="preserve">profit before tax</t>
  </si>
  <si>
    <t xml:space="preserve">earnings per share</t>
  </si>
  <si>
    <t xml:space="preserve">accretion</t>
  </si>
  <si>
    <t xml:space="preserve">The perimeter the model retains</t>
  </si>
  <si>
    <t xml:space="preserve">Without the unfunded pension deficit</t>
  </si>
  <si>
    <t xml:space="preserve">Without the provided tax litigation</t>
  </si>
  <si>
    <t xml:space="preserve">Without the declared unpaid dividend</t>
  </si>
  <si>
    <t xml:space="preserve">Leases put back into the covenant</t>
  </si>
  <si>
    <t xml:space="preserve">Leases in the covenant and bearing interest</t>
  </si>
  <si>
    <t xml:space="preserve">Passes 0 to 7 are the fixed point being solved in the open: the rate prices the leverage, the leverage carries the earn-out, and the earn-out is discounted at the rate. Where the last two passes disagree, the ladder has no solution and the high margin is taken.</t>
  </si>
  <si>
    <t xml:space="preserve">The lease, and what it is worth</t>
  </si>
  <si>
    <t xml:space="preserve">Interest the lease would bear, on rent already inside EBITDA</t>
  </si>
  <si>
    <t xml:space="preserve">That double charge, in points of year-one accretion</t>
  </si>
  <si>
    <t xml:space="preserve">Leverage with the lease in the covenant</t>
  </si>
  <si>
    <t xml:space="preserve">Accretion with the lease in the covenant</t>
  </si>
  <si>
    <t xml:space="preserve">Accretion with the lease in the covenant and bearing interest</t>
  </si>
  <si>
    <t xml:space="preserve">What one line of a sale agreement is worth, in points</t>
  </si>
  <si>
    <t xml:space="preserve">And if the target reported under IFRS instead</t>
  </si>
  <si>
    <t xml:space="preserve">Net assets acquired, the off-balance-sheet items now on it</t>
  </si>
  <si>
    <t xml:space="preserve">Amortisation of intangibles that would disappear</t>
  </si>
  <si>
    <t xml:space="preserve">Year-one accretion would improve by</t>
  </si>
  <si>
    <t xml:space="preserve">The mechanism is neutral: an off-balance-sheet item lowers the price and the net assets acquired by the same amount. What is not neutral is the excess, and therefore the amortisation.</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</si>
  <si>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</si>
  <si>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</si>
  <si>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</si>
  <si>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</si>
  <si>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</si>
  <si>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</si>
  <si>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</si>
  <si>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</si>
  <si>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</si>
  <si>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t>
  </si>
  <si>
    <t xml:space="preserve">Announced multiple</t>
  </si>
  <si>
    <t xml:space="preserve">Multiple at what the seller receives</t>
  </si>
  <si>
    <t xml:space="preserve">2</t>
  </si>
  <si>
    <t xml:space="preserve">Net debt and debt-like items added back</t>
  </si>
  <si>
    <t xml:space="preserve">Multiple on the equity price</t>
  </si>
  <si>
    <t xml:space="preserve">Its enterprise value</t>
  </si>
  <si>
    <t xml:space="preserve">The hybrid multiple, which must not be quoted</t>
  </si>
  <si>
    <t xml:space="preserve">Distance between the two multiples that differ</t>
  </si>
  <si>
    <t xml:space="preserve">The acquirer's own multiple</t>
  </si>
  <si>
    <t xml:space="preserve">It pays 12.1469 times and buys 9.3496 times</t>
  </si>
  <si>
    <t xml:space="preserve">The acquirer's standalone leverage</t>
  </si>
  <si>
    <t xml:space="preserve">Interest on the existing debt before the deal</t>
  </si>
  <si>
    <t xml:space="preserve">Repricing of the existing debt</t>
  </si>
  <si>
    <t xml:space="preserve">3</t>
  </si>
  <si>
    <t xml:space="preserve">Debt-like items, total</t>
  </si>
  <si>
    <t xml:space="preserve">Off balance sheet</t>
  </si>
  <si>
    <t xml:space="preserve">Year-one accretion at the perimeter retained</t>
  </si>
  <si>
    <t xml:space="preserve">Leverage without the pension deficit in the covenant</t>
  </si>
  <si>
    <t xml:space="preserve">Leverage without the tax litigation in the covenant</t>
  </si>
  <si>
    <t xml:space="preserve">Leverage without the unpaid dividend in the covenant</t>
  </si>
  <si>
    <t xml:space="preserve">Accretion, pension deficit out of the covenant, unchanged</t>
  </si>
  <si>
    <t xml:space="preserve">4</t>
  </si>
  <si>
    <t xml:space="preserve">Interest the lease would bear, charged twice</t>
  </si>
  <si>
    <t xml:space="preserve">That double charge, in points of accretion</t>
  </si>
  <si>
    <t xml:space="preserve">What that one qualification is worth, in points</t>
  </si>
  <si>
    <t xml:space="preserve">Amortisation that would disappear under IFRS</t>
  </si>
  <si>
    <t xml:space="preserve">Accretion would improve by, in points</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</si>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</sst>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0"/>
    <numFmt numFmtId="166" formatCode="#,##0"/>
    <numFmt numFmtId="167" formatCode="#,##0.00;\-#,##0.00"/>
    <numFmt numFmtId="168" formatCode="0.0000\x"/>
    <numFmt numFmtId="169" formatCode="0.00%;\-0.00%"/>
    <numFmt numFmtId="170" formatCode="0"/>
    <numFmt numFmtId="171" formatCode="0.0000"/>
    <numFmt numFmtId="172" formatCode="@"/>
    <numFmt numFmtId="173" formatCode="0.0000%;\-0.0000%"/>
    <numFmt numFmtId="174" formatCode="0.000000"/>
    <numFmt numFmtId="175" formatCode="0.0000&quot; pt&quot;"/>
    <numFmt numFmtId="176" formatCode="0.00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0"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 collapsed="false" customWidth="true" hidden="false" outlineLevel="0" max="5" min="3" style="0" width="13"/>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c r="E3" s="3"/>
    </row>
    <row r="5" customFormat="false" ht="15" hidden="false" customHeight="false" outlineLevel="0" collapsed="false">
      <c r="A5" s="4" t="s">
        <v>14</v>
      </c>
      <c r="B5" s="6"/>
      <c r="C5" s="6"/>
      <c r="D5" s="6"/>
      <c r="E5" s="6"/>
    </row>
    <row r="7" customFormat="false" ht="15" hidden="false" customHeight="false" outlineLevel="0" collapsed="false">
      <c r="A7" s="7" t="s">
        <v>15</v>
      </c>
      <c r="B7" s="8" t="n">
        <v>184000000</v>
      </c>
    </row>
    <row r="8" customFormat="false" ht="15" hidden="false" customHeight="false" outlineLevel="0" collapsed="false">
      <c r="A8" s="7" t="s">
        <v>16</v>
      </c>
      <c r="B8" s="8" t="n">
        <v>27600000</v>
      </c>
    </row>
    <row r="9" customFormat="false" ht="15" hidden="false" customHeight="false" outlineLevel="0" collapsed="false">
      <c r="A9" s="7" t="s">
        <v>17</v>
      </c>
      <c r="B9" s="8" t="n">
        <v>6400000</v>
      </c>
    </row>
    <row r="10" customFormat="false" ht="15" hidden="false" customHeight="false" outlineLevel="0" collapsed="false">
      <c r="A10" s="7" t="s">
        <v>18</v>
      </c>
      <c r="B10" s="8" t="n">
        <v>7600000</v>
      </c>
    </row>
    <row r="11" customFormat="false" ht="15" hidden="false" customHeight="false" outlineLevel="0" collapsed="false">
      <c r="A11" s="7" t="s">
        <v>19</v>
      </c>
      <c r="B11" s="8" t="n">
        <v>800000</v>
      </c>
    </row>
    <row r="12" customFormat="false" ht="15" hidden="false" customHeight="false" outlineLevel="0" collapsed="false">
      <c r="A12" s="7" t="s">
        <v>20</v>
      </c>
      <c r="B12" s="8" t="n">
        <v>38500000</v>
      </c>
    </row>
    <row r="13" customFormat="false" ht="15" hidden="false" customHeight="false" outlineLevel="0" collapsed="false">
      <c r="A13" s="7" t="s">
        <v>21</v>
      </c>
      <c r="B13" s="8" t="n">
        <v>46300000</v>
      </c>
    </row>
    <row r="15" customFormat="false" ht="15" hidden="false" customHeight="false" outlineLevel="0" collapsed="false">
      <c r="A15" s="4" t="s">
        <v>22</v>
      </c>
      <c r="B15" s="6"/>
      <c r="C15" s="6"/>
      <c r="D15" s="6"/>
      <c r="E15" s="6"/>
    </row>
    <row r="17" customFormat="false" ht="15" hidden="false" customHeight="false" outlineLevel="0" collapsed="false">
      <c r="A17" s="7" t="s">
        <v>15</v>
      </c>
      <c r="B17" s="8" t="n">
        <v>620000000</v>
      </c>
    </row>
    <row r="18" customFormat="false" ht="15" hidden="false" customHeight="false" outlineLevel="0" collapsed="false">
      <c r="A18" s="7" t="s">
        <v>16</v>
      </c>
      <c r="B18" s="8" t="n">
        <v>96000000</v>
      </c>
    </row>
    <row r="19" customFormat="false" ht="15" hidden="false" customHeight="false" outlineLevel="0" collapsed="false">
      <c r="A19" s="7" t="s">
        <v>17</v>
      </c>
      <c r="B19" s="8" t="n">
        <v>21000000</v>
      </c>
    </row>
    <row r="20" customFormat="false" ht="15" hidden="false" customHeight="false" outlineLevel="0" collapsed="false">
      <c r="A20" s="7" t="s">
        <v>23</v>
      </c>
      <c r="B20" s="8" t="n">
        <v>186700000</v>
      </c>
    </row>
    <row r="21" customFormat="false" ht="15" hidden="false" customHeight="false" outlineLevel="0" collapsed="false">
      <c r="A21" s="7" t="s">
        <v>24</v>
      </c>
      <c r="B21" s="9" t="n">
        <v>118000000</v>
      </c>
    </row>
    <row r="22" customFormat="false" ht="15" hidden="false" customHeight="false" outlineLevel="0" collapsed="false">
      <c r="A22" s="7" t="s">
        <v>25</v>
      </c>
      <c r="B22" s="10" t="n">
        <v>8.3</v>
      </c>
    </row>
    <row r="24" customFormat="false" ht="15" hidden="false" customHeight="false" outlineLevel="0" collapsed="false">
      <c r="A24" s="4" t="s">
        <v>26</v>
      </c>
      <c r="B24" s="6"/>
      <c r="C24" s="6"/>
      <c r="D24" s="6"/>
      <c r="E24" s="6"/>
    </row>
    <row r="26" customFormat="false" ht="15" hidden="false" customHeight="false" outlineLevel="0" collapsed="false">
      <c r="A26" s="7" t="s">
        <v>27</v>
      </c>
      <c r="B26" s="11" t="n">
        <v>9</v>
      </c>
    </row>
    <row r="27" customFormat="false" ht="15" hidden="false" customHeight="false" outlineLevel="0" collapsed="false">
      <c r="A27" s="7" t="s">
        <v>28</v>
      </c>
      <c r="B27" s="12" t="n">
        <v>0.25</v>
      </c>
    </row>
    <row r="28" customFormat="false" ht="15" hidden="false" customHeight="false" outlineLevel="0" collapsed="false">
      <c r="A28" s="7" t="s">
        <v>29</v>
      </c>
      <c r="B28" s="8" t="n">
        <v>6900000</v>
      </c>
    </row>
    <row r="29" customFormat="false" ht="15" hidden="false" customHeight="false" outlineLevel="0" collapsed="false">
      <c r="A29" s="7" t="s">
        <v>30</v>
      </c>
      <c r="B29" s="12" t="n">
        <v>0.6</v>
      </c>
    </row>
    <row r="30" customFormat="false" ht="15" hidden="false" customHeight="false" outlineLevel="0" collapsed="false">
      <c r="A30" s="7" t="s">
        <v>31</v>
      </c>
      <c r="B30" s="12" t="n">
        <v>0.045</v>
      </c>
    </row>
    <row r="31" customFormat="false" ht="15" hidden="false" customHeight="false" outlineLevel="0" collapsed="false">
      <c r="A31" s="7" t="s">
        <v>32</v>
      </c>
      <c r="B31" s="12" t="n">
        <v>0.04</v>
      </c>
    </row>
    <row r="33" customFormat="false" ht="15" hidden="false" customHeight="false" outlineLevel="0" collapsed="false">
      <c r="A33" s="4" t="s">
        <v>33</v>
      </c>
      <c r="B33" s="6"/>
      <c r="C33" s="6"/>
      <c r="D33" s="6"/>
      <c r="E33" s="6"/>
    </row>
    <row r="35" customFormat="false" ht="15" hidden="false" customHeight="false" outlineLevel="0" collapsed="false">
      <c r="A35" s="7" t="s">
        <v>34</v>
      </c>
      <c r="B35" s="8" t="n">
        <v>25000000</v>
      </c>
    </row>
    <row r="36" customFormat="false" ht="15" hidden="false" customHeight="false" outlineLevel="0" collapsed="false">
      <c r="A36" s="7" t="s">
        <v>35</v>
      </c>
      <c r="B36" s="12" t="n">
        <v>0.45</v>
      </c>
    </row>
    <row r="37" customFormat="false" ht="15" hidden="false" customHeight="false" outlineLevel="0" collapsed="false">
      <c r="A37" s="7" t="s">
        <v>36</v>
      </c>
      <c r="B37" s="13" t="n">
        <v>3</v>
      </c>
    </row>
    <row r="39" customFormat="false" ht="15" hidden="false" customHeight="false" outlineLevel="0" collapsed="false">
      <c r="A39" s="4" t="s">
        <v>37</v>
      </c>
      <c r="B39" s="6"/>
      <c r="C39" s="6"/>
      <c r="D39" s="6"/>
      <c r="E39" s="6"/>
    </row>
    <row r="41" customFormat="false" ht="15" hidden="false" customHeight="false" outlineLevel="0" collapsed="false">
      <c r="A41" s="7" t="s">
        <v>38</v>
      </c>
      <c r="B41" s="8" t="n">
        <v>7200000</v>
      </c>
    </row>
    <row r="42" customFormat="false" ht="15" hidden="false" customHeight="false" outlineLevel="0" collapsed="false">
      <c r="A42" s="7" t="s">
        <v>39</v>
      </c>
      <c r="B42" s="12" t="n">
        <v>0.3</v>
      </c>
    </row>
    <row r="43" customFormat="false" ht="15" hidden="false" customHeight="false" outlineLevel="0" collapsed="false">
      <c r="A43" s="7" t="s">
        <v>40</v>
      </c>
      <c r="B43" s="12" t="n">
        <v>0.7</v>
      </c>
    </row>
    <row r="44" customFormat="false" ht="15" hidden="false" customHeight="false" outlineLevel="0" collapsed="false">
      <c r="A44" s="7" t="s">
        <v>41</v>
      </c>
      <c r="B44" s="12" t="n">
        <v>1</v>
      </c>
    </row>
    <row r="45" customFormat="false" ht="15" hidden="false" customHeight="false" outlineLevel="0" collapsed="false">
      <c r="A45" s="7" t="s">
        <v>42</v>
      </c>
      <c r="B45" s="8" t="n">
        <v>9400000</v>
      </c>
    </row>
    <row r="46" customFormat="false" ht="15" hidden="false" customHeight="false" outlineLevel="0" collapsed="false">
      <c r="A46" s="7" t="s">
        <v>43</v>
      </c>
      <c r="B46" s="12" t="n">
        <v>0.55</v>
      </c>
    </row>
    <row r="47" customFormat="false" ht="15" hidden="false" customHeight="false" outlineLevel="0" collapsed="false">
      <c r="A47" s="7" t="s">
        <v>44</v>
      </c>
      <c r="B47" s="12" t="n">
        <v>0.3</v>
      </c>
    </row>
    <row r="48" customFormat="false" ht="15" hidden="false" customHeight="false" outlineLevel="0" collapsed="false">
      <c r="A48" s="7" t="s">
        <v>45</v>
      </c>
      <c r="B48" s="12" t="n">
        <v>0.15</v>
      </c>
    </row>
    <row r="50" customFormat="false" ht="15" hidden="false" customHeight="false" outlineLevel="0" collapsed="false">
      <c r="A50" s="4" t="s">
        <v>46</v>
      </c>
      <c r="B50" s="6"/>
      <c r="C50" s="6"/>
      <c r="D50" s="6"/>
      <c r="E50" s="6"/>
    </row>
    <row r="52" customFormat="false" ht="15" hidden="false" customHeight="false" outlineLevel="0" collapsed="false">
      <c r="A52" s="7" t="s">
        <v>47</v>
      </c>
      <c r="B52" s="12" t="n">
        <v>0.0925</v>
      </c>
    </row>
    <row r="53" customFormat="false" ht="15" hidden="false" customHeight="false" outlineLevel="0" collapsed="false">
      <c r="A53" s="7" t="s">
        <v>48</v>
      </c>
      <c r="B53" s="12" t="n">
        <v>0.0175</v>
      </c>
    </row>
    <row r="54" customFormat="false" ht="15" hidden="false" customHeight="false" outlineLevel="0" collapsed="false">
      <c r="A54" s="7" t="s">
        <v>49</v>
      </c>
      <c r="B54" s="12" t="n">
        <v>0.38</v>
      </c>
    </row>
    <row r="55" customFormat="false" ht="15" hidden="false" customHeight="false" outlineLevel="0" collapsed="false">
      <c r="A55" s="7" t="s">
        <v>50</v>
      </c>
      <c r="B55" s="13" t="n">
        <v>9</v>
      </c>
    </row>
    <row r="57" customFormat="false" ht="15" hidden="false" customHeight="false" outlineLevel="0" collapsed="false">
      <c r="A57" s="4" t="s">
        <v>51</v>
      </c>
      <c r="B57" s="6"/>
      <c r="C57" s="6"/>
      <c r="D57" s="6"/>
      <c r="E57" s="6"/>
    </row>
    <row r="59" customFormat="false" ht="30" hidden="false" customHeight="true" outlineLevel="0" collapsed="false">
      <c r="A59" s="14" t="s">
        <v>52</v>
      </c>
      <c r="B59" s="15" t="s">
        <v>53</v>
      </c>
      <c r="C59" s="15" t="s">
        <v>54</v>
      </c>
      <c r="D59" s="15" t="s">
        <v>55</v>
      </c>
      <c r="E59" s="15" t="s">
        <v>56</v>
      </c>
    </row>
    <row r="60" customFormat="false" ht="15" hidden="false" customHeight="false" outlineLevel="0" collapsed="false">
      <c r="A60" s="7" t="s">
        <v>57</v>
      </c>
      <c r="B60" s="8" t="n">
        <v>7200000</v>
      </c>
      <c r="C60" s="16" t="n">
        <v>0</v>
      </c>
      <c r="D60" s="16" t="n">
        <v>1</v>
      </c>
      <c r="E60" s="16" t="n">
        <v>1</v>
      </c>
    </row>
    <row r="61" customFormat="false" ht="15" hidden="false" customHeight="false" outlineLevel="0" collapsed="false">
      <c r="A61" s="7" t="s">
        <v>58</v>
      </c>
      <c r="B61" s="8" t="n">
        <v>2450000</v>
      </c>
      <c r="C61" s="16" t="n">
        <v>1</v>
      </c>
      <c r="D61" s="16" t="n">
        <v>0</v>
      </c>
      <c r="E61" s="16" t="n">
        <v>1</v>
      </c>
    </row>
    <row r="62" customFormat="false" ht="15" hidden="false" customHeight="false" outlineLevel="0" collapsed="false">
      <c r="A62" s="7" t="s">
        <v>59</v>
      </c>
      <c r="B62" s="8" t="n">
        <v>1800000</v>
      </c>
      <c r="C62" s="16" t="n">
        <v>1</v>
      </c>
      <c r="D62" s="16" t="n">
        <v>0</v>
      </c>
      <c r="E62" s="16" t="n">
        <v>1</v>
      </c>
    </row>
    <row r="63" customFormat="false" ht="15" hidden="false" customHeight="false" outlineLevel="0" collapsed="false">
      <c r="A63" s="7" t="s">
        <v>60</v>
      </c>
      <c r="B63" s="8" t="n">
        <v>4150000</v>
      </c>
      <c r="C63" s="16" t="n">
        <v>0</v>
      </c>
      <c r="D63" s="16" t="n">
        <v>0</v>
      </c>
      <c r="E63" s="16" t="n">
        <v>0</v>
      </c>
    </row>
    <row r="64" customFormat="false" ht="15" hidden="false" customHeight="false" outlineLevel="0" collapsed="false">
      <c r="A64" s="17" t="s">
        <v>61</v>
      </c>
    </row>
    <row r="66" customFormat="false" ht="15" hidden="false" customHeight="false" outlineLevel="0" collapsed="false">
      <c r="A66" s="4" t="s">
        <v>62</v>
      </c>
      <c r="B66" s="6"/>
      <c r="C66" s="6"/>
      <c r="D66" s="6"/>
      <c r="E66" s="6"/>
    </row>
    <row r="68" customFormat="false" ht="30" hidden="false" customHeight="true" outlineLevel="0" collapsed="false">
      <c r="A68" s="14" t="s">
        <v>63</v>
      </c>
      <c r="B68" s="15" t="s">
        <v>64</v>
      </c>
      <c r="C68" s="15" t="s">
        <v>65</v>
      </c>
    </row>
    <row r="69" customFormat="false" ht="15" hidden="false" customHeight="false" outlineLevel="0" collapsed="false">
      <c r="A69" s="7" t="s">
        <v>66</v>
      </c>
      <c r="B69" s="18" t="n">
        <v>0</v>
      </c>
      <c r="C69" s="12" t="n">
        <v>0.01</v>
      </c>
    </row>
    <row r="70" customFormat="false" ht="15" hidden="false" customHeight="false" outlineLevel="0" collapsed="false">
      <c r="A70" s="7" t="s">
        <v>67</v>
      </c>
      <c r="B70" s="18" t="n">
        <v>2.5</v>
      </c>
      <c r="C70" s="12" t="n">
        <v>0.0125</v>
      </c>
    </row>
    <row r="71" customFormat="false" ht="15" hidden="false" customHeight="false" outlineLevel="0" collapsed="false">
      <c r="A71" s="7" t="s">
        <v>68</v>
      </c>
      <c r="B71" s="18" t="n">
        <v>3</v>
      </c>
      <c r="C71" s="12" t="n">
        <v>0.02</v>
      </c>
    </row>
    <row r="72" customFormat="false" ht="15" hidden="false" customHeight="false" outlineLevel="0" collapsed="false">
      <c r="A72" s="7" t="s">
        <v>69</v>
      </c>
      <c r="B72" s="18" t="n">
        <v>3.5</v>
      </c>
      <c r="C72" s="12" t="n">
        <v>0.0325</v>
      </c>
    </row>
    <row r="73" customFormat="false" ht="15" hidden="false" customHeight="false" outlineLevel="0" collapsed="false">
      <c r="A73" s="7" t="s">
        <v>70</v>
      </c>
      <c r="B73" s="18" t="n">
        <v>4</v>
      </c>
      <c r="C73" s="12" t="n">
        <v>0.05</v>
      </c>
    </row>
    <row r="74" customFormat="false" ht="15" hidden="false" customHeight="false" outlineLevel="0" collapsed="false">
      <c r="A74" s="17" t="s">
        <v>71</v>
      </c>
    </row>
  </sheetData>
  <dataValidations count="12">
    <dataValidation allowBlank="false" errorStyle="stop" operator="between" showDropDown="false" showErrorMessage="false" showInputMessage="false" sqref="C60" type="list">
      <formula1>"1,0"</formula1>
      <formula2>0</formula2>
    </dataValidation>
    <dataValidation allowBlank="false" errorStyle="stop" operator="between" showDropDown="false" showErrorMessage="false" showInputMessage="false" sqref="D60" type="list">
      <formula1>"1,0"</formula1>
      <formula2>0</formula2>
    </dataValidation>
    <dataValidation allowBlank="false" errorStyle="stop" operator="between" showDropDown="false" showErrorMessage="false" showInputMessage="false" sqref="E60" type="list">
      <formula1>"1,0"</formula1>
      <formula2>0</formula2>
    </dataValidation>
    <dataValidation allowBlank="false" errorStyle="stop" operator="between" showDropDown="false" showErrorMessage="false" showInputMessage="false" sqref="C61" type="list">
      <formula1>"1,0"</formula1>
      <formula2>0</formula2>
    </dataValidation>
    <dataValidation allowBlank="false" errorStyle="stop" operator="between" showDropDown="false" showErrorMessage="false" showInputMessage="false" sqref="D61" type="list">
      <formula1>"1,0"</formula1>
      <formula2>0</formula2>
    </dataValidation>
    <dataValidation allowBlank="false" errorStyle="stop" operator="between" showDropDown="false" showErrorMessage="false" showInputMessage="false" sqref="E61" type="list">
      <formula1>"1,0"</formula1>
      <formula2>0</formula2>
    </dataValidation>
    <dataValidation allowBlank="false" errorStyle="stop" operator="between" showDropDown="false" showErrorMessage="false" showInputMessage="false" sqref="C62" type="list">
      <formula1>"1,0"</formula1>
      <formula2>0</formula2>
    </dataValidation>
    <dataValidation allowBlank="false" errorStyle="stop" operator="between" showDropDown="false" showErrorMessage="false" showInputMessage="false" sqref="D62" type="list">
      <formula1>"1,0"</formula1>
      <formula2>0</formula2>
    </dataValidation>
    <dataValidation allowBlank="false" errorStyle="stop" operator="between" showDropDown="false" showErrorMessage="false" showInputMessage="false" sqref="E62" type="list">
      <formula1>"1,0"</formula1>
      <formula2>0</formula2>
    </dataValidation>
    <dataValidation allowBlank="false" errorStyle="stop" operator="between" showDropDown="false" showErrorMessage="false" showInputMessage="false" sqref="C63" type="list">
      <formula1>"1,0"</formula1>
      <formula2>0</formula2>
    </dataValidation>
    <dataValidation allowBlank="false" errorStyle="stop" operator="between" showDropDown="false" showErrorMessage="false" showInputMessage="false" sqref="D63" type="list">
      <formula1>"1,0"</formula1>
      <formula2>0</formula2>
    </dataValidation>
    <dataValidation allowBlank="false" errorStyle="stop" operator="between" showDropDown="false" showErrorMessage="false" showInputMessage="false" sqref="E63"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10" min="3" style="0" width="12"/>
  </cols>
  <sheetData>
    <row r="1" customFormat="false" ht="24" hidden="false" customHeight="true" outlineLevel="0" collapsed="false">
      <c r="A1" s="1" t="s">
        <v>72</v>
      </c>
    </row>
    <row r="2" customFormat="false" ht="15" hidden="false" customHeight="false" outlineLevel="0" collapsed="false">
      <c r="A2" s="2" t="s">
        <v>73</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74</v>
      </c>
      <c r="B5" s="6"/>
      <c r="C5" s="6"/>
      <c r="D5" s="6"/>
      <c r="E5" s="6"/>
      <c r="F5" s="6"/>
      <c r="G5" s="6"/>
      <c r="H5" s="6"/>
      <c r="I5" s="6"/>
      <c r="J5" s="6"/>
    </row>
    <row r="7" customFormat="false" ht="15" hidden="false" customHeight="false" outlineLevel="0" collapsed="false">
      <c r="A7" s="7" t="s">
        <v>75</v>
      </c>
      <c r="B7" s="19" t="n">
        <f aca="false">SUM(DLamt)</f>
        <v>15600000</v>
      </c>
    </row>
    <row r="8" customFormat="false" ht="15" hidden="false" customHeight="false" outlineLevel="0" collapsed="false">
      <c r="A8" s="7" t="s">
        <v>76</v>
      </c>
      <c r="B8" s="19" t="n">
        <f aca="false">SUMPRODUCT(DLamt,1-DL_BS)</f>
        <v>11350000</v>
      </c>
    </row>
    <row r="9" customFormat="false" ht="15" hidden="false" customHeight="false" outlineLevel="0" collapsed="false">
      <c r="A9" s="7" t="s">
        <v>77</v>
      </c>
      <c r="B9" s="19" t="n">
        <f aca="false">SUMPRODUCT(DLamt,DL_IF)</f>
        <v>7200000</v>
      </c>
    </row>
    <row r="10" customFormat="false" ht="15" hidden="false" customHeight="false" outlineLevel="0" collapsed="false">
      <c r="A10" s="7" t="s">
        <v>78</v>
      </c>
      <c r="B10" s="19" t="n">
        <f aca="false">SUMPRODUCT(DLamt,DL_CF)</f>
        <v>11450000</v>
      </c>
    </row>
    <row r="12" customFormat="false" ht="15" hidden="false" customHeight="false" outlineLevel="0" collapsed="false">
      <c r="A12" s="4" t="s">
        <v>79</v>
      </c>
      <c r="B12" s="6"/>
      <c r="C12" s="6"/>
      <c r="D12" s="6"/>
      <c r="E12" s="6"/>
      <c r="F12" s="6"/>
      <c r="G12" s="6"/>
      <c r="H12" s="6"/>
      <c r="I12" s="6"/>
      <c r="J12" s="6"/>
    </row>
    <row r="14" customFormat="false" ht="15" hidden="false" customHeight="false" outlineLevel="0" collapsed="false">
      <c r="A14" s="7" t="s">
        <v>80</v>
      </c>
      <c r="B14" s="19" t="n">
        <f aca="false">A_Ebitda+T_Ebitda</f>
        <v>123600000</v>
      </c>
    </row>
    <row r="15" customFormat="false" ht="15" hidden="false" customHeight="false" outlineLevel="0" collapsed="false">
      <c r="A15" s="7" t="s">
        <v>81</v>
      </c>
      <c r="B15" s="19" t="n">
        <f aca="false">Mult*T_Ebitda</f>
        <v>248400000</v>
      </c>
    </row>
    <row r="16" customFormat="false" ht="15" hidden="false" customHeight="false" outlineLevel="0" collapsed="false">
      <c r="A16" s="7" t="s">
        <v>82</v>
      </c>
      <c r="B16" s="19" t="n">
        <f aca="false">EVh-T_NetDebt</f>
        <v>209900000</v>
      </c>
    </row>
    <row r="17" customFormat="false" ht="15" hidden="false" customHeight="false" outlineLevel="0" collapsed="false">
      <c r="A17" s="7" t="s">
        <v>83</v>
      </c>
      <c r="B17" s="19" t="n">
        <f aca="false">Peq-DLtot</f>
        <v>194300000</v>
      </c>
    </row>
    <row r="18" customFormat="false" ht="15" hidden="false" customHeight="false" outlineLevel="0" collapsed="false">
      <c r="A18" s="7" t="s">
        <v>84</v>
      </c>
      <c r="B18" s="19" t="n">
        <f aca="false">Pdl+TxnCost</f>
        <v>201200000</v>
      </c>
    </row>
    <row r="19" customFormat="false" ht="15" hidden="false" customHeight="false" outlineLevel="0" collapsed="false">
      <c r="A19" s="7" t="s">
        <v>85</v>
      </c>
      <c r="B19" s="19" t="n">
        <f aca="false">CashOut*DebtShare</f>
        <v>120720000</v>
      </c>
    </row>
    <row r="20" customFormat="false" ht="15" hidden="false" customHeight="false" outlineLevel="0" collapsed="false">
      <c r="A20" s="7" t="s">
        <v>86</v>
      </c>
      <c r="B20" s="19" t="n">
        <f aca="false">CashOut-NewDebt</f>
        <v>80480000</v>
      </c>
    </row>
    <row r="22" customFormat="false" ht="15" hidden="false" customHeight="false" outlineLevel="0" collapsed="false">
      <c r="A22" s="4" t="s">
        <v>87</v>
      </c>
      <c r="B22" s="6"/>
      <c r="C22" s="6"/>
      <c r="D22" s="6"/>
      <c r="E22" s="6"/>
      <c r="F22" s="6"/>
      <c r="G22" s="6"/>
      <c r="H22" s="6"/>
      <c r="I22" s="6"/>
      <c r="J22" s="6"/>
    </row>
    <row r="24" customFormat="false" ht="15" hidden="false" customHeight="false" outlineLevel="0" collapsed="false">
      <c r="A24" s="7" t="s">
        <v>88</v>
      </c>
      <c r="B24" s="20" t="n">
        <f aca="false">BaseRate+LOOKUP(2,LadThr,LadMar)</f>
        <v>0.05</v>
      </c>
      <c r="C24" s="20" t="n">
        <f aca="false">BaseRate+LOOKUP((A_Debt+NewDebt+T_NetDebt+DLcov+EoMax*EoProb/(1+B24)^EoYear)/CombEb,LadThr,LadMar)</f>
        <v>0.0525</v>
      </c>
      <c r="D24" s="20" t="n">
        <f aca="false">BaseRate+LOOKUP((A_Debt+NewDebt+T_NetDebt+DLcov+EoMax*EoProb/(1+C24)^EoYear)/CombEb,LadThr,LadMar)</f>
        <v>0.0525</v>
      </c>
      <c r="E24" s="20" t="n">
        <f aca="false">BaseRate+LOOKUP((A_Debt+NewDebt+T_NetDebt+DLcov+EoMax*EoProb/(1+D24)^EoYear)/CombEb,LadThr,LadMar)</f>
        <v>0.0525</v>
      </c>
      <c r="F24" s="20" t="n">
        <f aca="false">BaseRate+LOOKUP((A_Debt+NewDebt+T_NetDebt+DLcov+EoMax*EoProb/(1+E24)^EoYear)/CombEb,LadThr,LadMar)</f>
        <v>0.0525</v>
      </c>
      <c r="G24" s="20" t="n">
        <f aca="false">BaseRate+LOOKUP((A_Debt+NewDebt+T_NetDebt+DLcov+EoMax*EoProb/(1+F24)^EoYear)/CombEb,LadThr,LadMar)</f>
        <v>0.0525</v>
      </c>
      <c r="H24" s="20" t="n">
        <f aca="false">BaseRate+LOOKUP((A_Debt+NewDebt+T_NetDebt+DLcov+EoMax*EoProb/(1+G24)^EoYear)/CombEb,LadThr,LadMar)</f>
        <v>0.0525</v>
      </c>
      <c r="I24" s="20" t="n">
        <f aca="false">BaseRate+LOOKUP((A_Debt+NewDebt+T_NetDebt+DLcov+EoMax*EoProb/(1+H24)^EoYear)/CombEb,LadThr,LadMar)</f>
        <v>0.0525</v>
      </c>
      <c r="J24" s="20" t="n">
        <f aca="false">BaseRate+LOOKUP((A_Debt+NewDebt+T_NetDebt+DLcov+EoMax*EoProb/(1+I24)^EoYear)/CombEb,LadThr,LadMar)</f>
        <v>0.0525</v>
      </c>
    </row>
    <row r="25" customFormat="false" ht="15" hidden="false" customHeight="false" outlineLevel="0" collapsed="false">
      <c r="A25" s="17" t="s">
        <v>89</v>
      </c>
    </row>
    <row r="26" customFormat="false" ht="15" hidden="false" customHeight="false" outlineLevel="0" collapsed="false">
      <c r="A26" s="7" t="s">
        <v>90</v>
      </c>
      <c r="B26" s="21" t="str">
        <f aca="false">IF(I24=J24,"yes","no")</f>
        <v>yes</v>
      </c>
    </row>
    <row r="27" customFormat="false" ht="15" hidden="false" customHeight="false" outlineLevel="0" collapsed="false">
      <c r="A27" s="7" t="s">
        <v>91</v>
      </c>
      <c r="B27" s="20" t="n">
        <f aca="false">MAX(I24,J24)</f>
        <v>0.0525</v>
      </c>
    </row>
    <row r="28" customFormat="false" ht="15" hidden="false" customHeight="false" outlineLevel="0" collapsed="false">
      <c r="A28" s="7" t="s">
        <v>92</v>
      </c>
      <c r="B28" s="20" t="n">
        <f aca="false">DebtRate-BaseRate</f>
        <v>0.0125</v>
      </c>
    </row>
    <row r="29" customFormat="false" ht="15" hidden="false" customHeight="false" outlineLevel="0" collapsed="false">
      <c r="A29" s="7" t="s">
        <v>93</v>
      </c>
      <c r="B29" s="22" t="n">
        <f aca="false">EoMax*EoProb/(1+DebtRate)^EoYear</f>
        <v>9649086.70523237</v>
      </c>
    </row>
    <row r="30" customFormat="false" ht="15" hidden="false" customHeight="false" outlineLevel="0" collapsed="false">
      <c r="A30" s="7" t="s">
        <v>94</v>
      </c>
      <c r="B30" s="23" t="n">
        <f aca="false">(A_Debt+NewDebt+T_NetDebt+DLcov+EoFV)/CombEb</f>
        <v>2.96941008661191</v>
      </c>
    </row>
    <row r="32" customFormat="false" ht="15" hidden="false" customHeight="false" outlineLevel="0" collapsed="false">
      <c r="A32" s="4" t="s">
        <v>95</v>
      </c>
      <c r="B32" s="6"/>
      <c r="C32" s="6"/>
      <c r="D32" s="6"/>
      <c r="E32" s="6"/>
      <c r="F32" s="6"/>
      <c r="G32" s="6"/>
      <c r="H32" s="6"/>
      <c r="I32" s="6"/>
      <c r="J32" s="6"/>
    </row>
    <row r="34" customFormat="false" ht="15" hidden="false" customHeight="false" outlineLevel="0" collapsed="false">
      <c r="A34" s="7" t="s">
        <v>96</v>
      </c>
      <c r="B34" s="19" t="n">
        <f aca="false">Pdl+EoFV</f>
        <v>203949086.705232</v>
      </c>
    </row>
    <row r="35" customFormat="false" ht="15" hidden="false" customHeight="false" outlineLevel="0" collapsed="false">
      <c r="A35" s="7" t="s">
        <v>97</v>
      </c>
      <c r="B35" s="19" t="n">
        <f aca="false">CashOut+EoMax*EoProb</f>
        <v>212450000</v>
      </c>
    </row>
    <row r="36" customFormat="false" ht="15" hidden="false" customHeight="false" outlineLevel="0" collapsed="false">
      <c r="A36" s="7" t="s">
        <v>98</v>
      </c>
      <c r="B36" s="19" t="n">
        <f aca="false">CashOut+EoMax</f>
        <v>226200000</v>
      </c>
    </row>
    <row r="38" customFormat="false" ht="15" hidden="false" customHeight="false" outlineLevel="0" collapsed="false">
      <c r="A38" s="4" t="s">
        <v>99</v>
      </c>
      <c r="B38" s="6"/>
      <c r="C38" s="6"/>
      <c r="D38" s="6"/>
      <c r="E38" s="6"/>
      <c r="F38" s="6"/>
      <c r="G38" s="6"/>
      <c r="H38" s="6"/>
      <c r="I38" s="6"/>
      <c r="J38" s="6"/>
    </row>
    <row r="40" customFormat="false" ht="15" hidden="false" customHeight="false" outlineLevel="0" collapsed="false">
      <c r="A40" s="7" t="s">
        <v>100</v>
      </c>
      <c r="B40" s="22" t="n">
        <f aca="false">A_Price*(1-IssueDisc)</f>
        <v>7.9265</v>
      </c>
    </row>
    <row r="41" customFormat="false" ht="15" hidden="false" customHeight="false" outlineLevel="0" collapsed="false">
      <c r="A41" s="7" t="s">
        <v>101</v>
      </c>
      <c r="B41" s="24" t="n">
        <f aca="false">EqRaise/IssPrice</f>
        <v>10153283.290229</v>
      </c>
    </row>
    <row r="42" customFormat="false" ht="15" hidden="false" customHeight="false" outlineLevel="0" collapsed="false">
      <c r="A42" s="7" t="s">
        <v>102</v>
      </c>
      <c r="B42" s="24" t="n">
        <f aca="false">A_Shares+NewSh</f>
        <v>128153283.290229</v>
      </c>
    </row>
    <row r="43" customFormat="false" ht="15" hidden="false" customHeight="false" outlineLevel="0" collapsed="false">
      <c r="A43" s="7" t="s">
        <v>103</v>
      </c>
      <c r="B43" s="25" t="n">
        <f aca="false">NewSh/ShAfter</f>
        <v>0.0792276485592243</v>
      </c>
    </row>
    <row r="45" customFormat="false" ht="15" hidden="false" customHeight="false" outlineLevel="0" collapsed="false">
      <c r="A45" s="4" t="s">
        <v>104</v>
      </c>
      <c r="B45" s="6"/>
      <c r="C45" s="6"/>
      <c r="D45" s="6"/>
      <c r="E45" s="6"/>
      <c r="F45" s="6"/>
      <c r="G45" s="6"/>
      <c r="H45" s="6"/>
      <c r="I45" s="6"/>
      <c r="J45" s="6"/>
    </row>
    <row r="47" customFormat="false" ht="15" hidden="false" customHeight="false" outlineLevel="0" collapsed="false">
      <c r="A47" s="7" t="s">
        <v>105</v>
      </c>
      <c r="B47" s="23" t="n">
        <f aca="false">A_Debt/A_Ebitda</f>
        <v>1.94479166666667</v>
      </c>
    </row>
    <row r="48" customFormat="false" ht="15" hidden="false" customHeight="false" outlineLevel="0" collapsed="false">
      <c r="A48" s="7" t="s">
        <v>106</v>
      </c>
      <c r="B48" s="20" t="n">
        <f aca="false">BaseRate+LOOKUP(ALevPre,LadThr,LadMar)</f>
        <v>0.05</v>
      </c>
    </row>
    <row r="49" customFormat="false" ht="15" hidden="false" customHeight="false" outlineLevel="0" collapsed="false">
      <c r="A49" s="7" t="s">
        <v>107</v>
      </c>
      <c r="B49" s="19" t="n">
        <f aca="false">A_Debt*ARatePre</f>
        <v>9335000</v>
      </c>
    </row>
    <row r="50" customFormat="false" ht="15" hidden="false" customHeight="false" outlineLevel="0" collapsed="false">
      <c r="A50" s="7" t="s">
        <v>108</v>
      </c>
      <c r="B50" s="19" t="n">
        <f aca="false">A_Debt*DebtRate</f>
        <v>9801750</v>
      </c>
    </row>
    <row r="51" customFormat="false" ht="15" hidden="false" customHeight="false" outlineLevel="0" collapsed="false">
      <c r="A51" s="7" t="s">
        <v>109</v>
      </c>
      <c r="B51" s="19" t="n">
        <f aca="false">AInt-AIntPre</f>
        <v>466750.000000002</v>
      </c>
    </row>
    <row r="52" customFormat="false" ht="15" hidden="false" customHeight="false" outlineLevel="0" collapsed="false">
      <c r="A52" s="7" t="s">
        <v>110</v>
      </c>
      <c r="B52" s="19" t="n">
        <f aca="false">A_Ebitda-A_DA</f>
        <v>75000000</v>
      </c>
    </row>
    <row r="53" customFormat="false" ht="15" hidden="false" customHeight="false" outlineLevel="0" collapsed="false">
      <c r="A53" s="7" t="s">
        <v>111</v>
      </c>
      <c r="B53" s="19" t="n">
        <f aca="false">(AEbit-AIntPre)*(1-Tax)</f>
        <v>49248750</v>
      </c>
    </row>
    <row r="54" customFormat="false" ht="15" hidden="false" customHeight="false" outlineLevel="0" collapsed="false">
      <c r="A54" s="7" t="s">
        <v>112</v>
      </c>
      <c r="B54" s="26" t="n">
        <f aca="false">ANI/A_Shares</f>
        <v>0.417362288135593</v>
      </c>
    </row>
    <row r="55" customFormat="false" ht="15" hidden="false" customHeight="false" outlineLevel="0" collapsed="false">
      <c r="A55" s="7" t="s">
        <v>113</v>
      </c>
      <c r="B55" s="19" t="n">
        <f aca="false">A_Price*A_Shares</f>
        <v>979400000</v>
      </c>
    </row>
    <row r="56" customFormat="false" ht="15" hidden="false" customHeight="false" outlineLevel="0" collapsed="false">
      <c r="A56" s="7" t="s">
        <v>114</v>
      </c>
      <c r="B56" s="19" t="n">
        <f aca="false">AMcap+A_Debt</f>
        <v>1166100000</v>
      </c>
    </row>
    <row r="57" customFormat="false" ht="15" hidden="false" customHeight="false" outlineLevel="0" collapsed="false">
      <c r="A57" s="7" t="s">
        <v>115</v>
      </c>
      <c r="B57" s="27" t="n">
        <f aca="false">AEV/A_Ebitda</f>
        <v>12.146875</v>
      </c>
    </row>
    <row r="59" customFormat="false" ht="15" hidden="false" customHeight="false" outlineLevel="0" collapsed="false">
      <c r="A59" s="4" t="s">
        <v>116</v>
      </c>
      <c r="B59" s="6"/>
      <c r="C59" s="6"/>
      <c r="D59" s="6"/>
      <c r="E59" s="6"/>
      <c r="F59" s="6"/>
      <c r="G59" s="6"/>
      <c r="H59" s="6"/>
      <c r="I59" s="6"/>
      <c r="J59" s="6"/>
    </row>
    <row r="61" customFormat="false" ht="15" hidden="false" customHeight="false" outlineLevel="0" collapsed="false">
      <c r="A61" s="7" t="s">
        <v>110</v>
      </c>
      <c r="B61" s="19" t="n">
        <f aca="false">T_Ebitda-T_DA</f>
        <v>21200000</v>
      </c>
    </row>
    <row r="62" customFormat="false" ht="15" hidden="false" customHeight="false" outlineLevel="0" collapsed="false">
      <c r="A62" s="7" t="s">
        <v>117</v>
      </c>
      <c r="B62" s="19" t="n">
        <f aca="false">TEbit*(1-Tax)+T_DA-T_Capex-T_DWC</f>
        <v>13900000</v>
      </c>
    </row>
    <row r="63" customFormat="false" ht="15" hidden="false" customHeight="false" outlineLevel="0" collapsed="false">
      <c r="A63" s="7" t="s">
        <v>118</v>
      </c>
      <c r="B63" s="19" t="n">
        <f aca="false">TFcf*(1+Grow)/(Wacc-Grow)</f>
        <v>188576666.666667</v>
      </c>
    </row>
    <row r="64" customFormat="false" ht="15" hidden="false" customHeight="false" outlineLevel="0" collapsed="false">
      <c r="A64" s="7" t="s">
        <v>119</v>
      </c>
      <c r="B64" s="19" t="n">
        <f aca="false">EVh-Intrin</f>
        <v>59823333.3333333</v>
      </c>
    </row>
    <row r="65" customFormat="false" ht="15" hidden="false" customHeight="false" outlineLevel="0" collapsed="false">
      <c r="A65" s="7" t="s">
        <v>120</v>
      </c>
      <c r="B65" s="25" t="n">
        <f aca="false">Prem/Intrin</f>
        <v>0.317236137380022</v>
      </c>
    </row>
    <row r="67" customFormat="false" ht="15" hidden="false" customHeight="false" outlineLevel="0" collapsed="false">
      <c r="A67" s="4" t="s">
        <v>121</v>
      </c>
      <c r="B67" s="6"/>
      <c r="C67" s="6"/>
      <c r="D67" s="6"/>
      <c r="E67" s="6"/>
      <c r="F67" s="6"/>
      <c r="G67" s="6"/>
      <c r="H67" s="6"/>
      <c r="I67" s="6"/>
      <c r="J67" s="6"/>
    </row>
    <row r="69" customFormat="false" ht="15" hidden="false" customHeight="false" outlineLevel="0" collapsed="false">
      <c r="A69" s="7" t="s">
        <v>122</v>
      </c>
      <c r="B69" s="19" t="n">
        <f aca="false">T_BookEq-DLoff</f>
        <v>34950000</v>
      </c>
    </row>
    <row r="70" customFormat="false" ht="15" hidden="false" customHeight="false" outlineLevel="0" collapsed="false">
      <c r="A70" s="7" t="s">
        <v>123</v>
      </c>
      <c r="B70" s="19" t="n">
        <f aca="false">Pfv-NetAss</f>
        <v>168999086.705232</v>
      </c>
    </row>
    <row r="71" customFormat="false" ht="15" hidden="false" customHeight="false" outlineLevel="0" collapsed="false">
      <c r="A71" s="7" t="s">
        <v>124</v>
      </c>
      <c r="B71" s="19" t="n">
        <f aca="false">Excess*IntangSh</f>
        <v>64219652.9479883</v>
      </c>
    </row>
    <row r="72" customFormat="false" ht="15" hidden="false" customHeight="false" outlineLevel="0" collapsed="false">
      <c r="A72" s="7" t="s">
        <v>125</v>
      </c>
      <c r="B72" s="19" t="n">
        <f aca="false">Tax*Intang</f>
        <v>16054913.2369971</v>
      </c>
    </row>
    <row r="73" customFormat="false" ht="15" hidden="false" customHeight="false" outlineLevel="0" collapsed="false">
      <c r="A73" s="7" t="s">
        <v>126</v>
      </c>
      <c r="B73" s="19" t="n">
        <f aca="false">Excess+DTL-Intang</f>
        <v>120834346.994241</v>
      </c>
    </row>
    <row r="74" customFormat="false" ht="15" hidden="false" customHeight="false" outlineLevel="0" collapsed="false">
      <c r="A74" s="7" t="s">
        <v>127</v>
      </c>
      <c r="B74" s="19" t="n">
        <f aca="false">Intang/PpaLife</f>
        <v>7135516.99422092</v>
      </c>
    </row>
    <row r="76" customFormat="false" ht="15" hidden="false" customHeight="false" outlineLevel="0" collapsed="false">
      <c r="A76" s="4" t="s">
        <v>128</v>
      </c>
      <c r="B76" s="6"/>
      <c r="C76" s="6"/>
      <c r="D76" s="6"/>
      <c r="E76" s="6"/>
      <c r="F76" s="6"/>
      <c r="G76" s="6"/>
      <c r="H76" s="6"/>
      <c r="I76" s="6"/>
      <c r="J76" s="6"/>
    </row>
    <row r="78" customFormat="false" ht="15" hidden="false" customHeight="false" outlineLevel="0" collapsed="false">
      <c r="A78" s="7" t="s">
        <v>129</v>
      </c>
      <c r="B78" s="26" t="n">
        <f aca="false">Ramp1*(1-Tax)/(1+Wacc)+Ramp2*(1-Tax)/(1+Wacc)^2+Ramp3*(1-Tax)/(1+Wacc)^3+(1-Tax)*(1+Grow)/(Wacc-Grow)/(1+Wacc)^3</f>
        <v>9.02413480722002</v>
      </c>
    </row>
    <row r="79" customFormat="false" ht="15" hidden="false" customHeight="false" outlineLevel="0" collapsed="false">
      <c r="A79" s="7" t="s">
        <v>130</v>
      </c>
      <c r="B79" s="19" t="n">
        <f aca="false">SynCost*((1-Tax)*(CostY1/(1+Wacc)+CostY2/(1+Wacc)^2+CostY3/(1+Wacc)^3))</f>
        <v>6132205.44631029</v>
      </c>
    </row>
    <row r="80" customFormat="false" ht="15" hidden="false" customHeight="false" outlineLevel="0" collapsed="false">
      <c r="A80" s="7" t="s">
        <v>131</v>
      </c>
      <c r="B80" s="19" t="n">
        <f aca="false">((SynRR*Ramp1-SynCost*CostY1)*(1-Tax))/(1+Wacc)+((SynRR*Ramp2-SynCost*CostY2)*(1-Tax))/(1+Wacc)^2+((SynRR*Ramp3-SynCost*CostY3)*(1-Tax))/(1+Wacc)^3</f>
        <v>2658868.9266099</v>
      </c>
    </row>
    <row r="81" customFormat="false" ht="15" hidden="false" customHeight="false" outlineLevel="0" collapsed="false">
      <c r="A81" s="7" t="s">
        <v>132</v>
      </c>
      <c r="B81" s="19" t="n">
        <f aca="false">(SynRR*(1-Tax)*(1+Grow)/(Wacc-Grow))/(1+Wacc)^3</f>
        <v>56182696.2390639</v>
      </c>
    </row>
    <row r="82" customFormat="false" ht="15" hidden="false" customHeight="false" outlineLevel="0" collapsed="false">
      <c r="A82" s="7" t="s">
        <v>133</v>
      </c>
      <c r="B82" s="19" t="n">
        <f aca="false">SynPV3+SynTerm</f>
        <v>58841565.1656738</v>
      </c>
    </row>
    <row r="83" customFormat="false" ht="15" hidden="false" customHeight="false" outlineLevel="0" collapsed="false">
      <c r="A83" s="7" t="s">
        <v>134</v>
      </c>
      <c r="B83" s="19" t="n">
        <f aca="false">Prem+TxnCost+EoFV</f>
        <v>76372420.0385657</v>
      </c>
    </row>
    <row r="84" customFormat="false" ht="15" hidden="false" customHeight="false" outlineLevel="0" collapsed="false">
      <c r="A84" s="7" t="s">
        <v>135</v>
      </c>
      <c r="B84" s="19" t="n">
        <f aca="false">SynVal-Shortf</f>
        <v>-17530854.8728918</v>
      </c>
    </row>
    <row r="86" customFormat="false" ht="15" hidden="false" customHeight="false" outlineLevel="0" collapsed="false">
      <c r="A86" s="4" t="s">
        <v>136</v>
      </c>
      <c r="B86" s="6"/>
      <c r="C86" s="6"/>
      <c r="D86" s="6"/>
      <c r="E86" s="6"/>
      <c r="F86" s="6"/>
      <c r="G86" s="6"/>
      <c r="H86" s="6"/>
      <c r="I86" s="6"/>
      <c r="J86" s="6"/>
    </row>
    <row r="88" customFormat="false" ht="15" hidden="false" customHeight="false" outlineLevel="0" collapsed="false">
      <c r="A88" s="7" t="s">
        <v>137</v>
      </c>
      <c r="B88" s="19" t="n">
        <f aca="false">A_Ebitda+T_Ebitda+SynRR*Ramp1</f>
        <v>125760000</v>
      </c>
    </row>
    <row r="89" customFormat="false" ht="15" hidden="false" customHeight="false" outlineLevel="0" collapsed="false">
      <c r="A89" s="7" t="s">
        <v>138</v>
      </c>
      <c r="B89" s="19" t="n">
        <f aca="false">SynCost*CostY1</f>
        <v>5170000</v>
      </c>
    </row>
    <row r="90" customFormat="false" ht="15" hidden="false" customHeight="false" outlineLevel="0" collapsed="false">
      <c r="A90" s="7" t="s">
        <v>139</v>
      </c>
      <c r="B90" s="19" t="n">
        <f aca="false">A_DA+T_DA+PpaAm</f>
        <v>34535516.9942209</v>
      </c>
    </row>
    <row r="91" customFormat="false" ht="15" hidden="false" customHeight="false" outlineLevel="0" collapsed="false">
      <c r="A91" s="7" t="s">
        <v>140</v>
      </c>
      <c r="B91" s="19" t="n">
        <f aca="false">AInt+(NewDebt+T_NetDebt+DLbear)*DebtRate+EoFV*DebtRate</f>
        <v>19045377.0520247</v>
      </c>
    </row>
    <row r="92" customFormat="false" ht="15" hidden="false" customHeight="false" outlineLevel="0" collapsed="false">
      <c r="A92" s="7" t="s">
        <v>141</v>
      </c>
      <c r="B92" s="19" t="n">
        <f aca="false">Eb1-Cost1-TxnCost-DA1-Int1</f>
        <v>60109105.9537544</v>
      </c>
    </row>
    <row r="93" customFormat="false" ht="15" hidden="false" customHeight="false" outlineLevel="0" collapsed="false">
      <c r="A93" s="7" t="s">
        <v>142</v>
      </c>
      <c r="B93" s="26" t="n">
        <f aca="false">PBT1*(1-Tax)/ShAfter</f>
        <v>0.351780526474838</v>
      </c>
    </row>
    <row r="94" customFormat="false" ht="15" hidden="false" customHeight="false" outlineLevel="0" collapsed="false">
      <c r="A94" s="7" t="s">
        <v>143</v>
      </c>
      <c r="B94" s="25" t="n">
        <f aca="false">EPS1/AEPS-1</f>
        <v>-0.157133894280954</v>
      </c>
    </row>
    <row r="96" customFormat="false" ht="15" hidden="false" customHeight="false" outlineLevel="0" collapsed="false">
      <c r="A96" s="4" t="s">
        <v>144</v>
      </c>
      <c r="B96" s="6"/>
      <c r="C96" s="6"/>
      <c r="D96" s="6"/>
      <c r="E96" s="6"/>
      <c r="F96" s="6"/>
      <c r="G96" s="6"/>
      <c r="H96" s="6"/>
      <c r="I96" s="6"/>
      <c r="J96" s="6"/>
    </row>
    <row r="98" customFormat="false" ht="15" hidden="false" customHeight="false" outlineLevel="0" collapsed="false">
      <c r="A98" s="7" t="s">
        <v>145</v>
      </c>
      <c r="B98" s="19" t="n">
        <f aca="false">AInt+(NewDebt+T_NetDebt+DLbear)*DebtRate+EoFV*(1+DebtRate)*DebtRate</f>
        <v>19071972.347256</v>
      </c>
    </row>
    <row r="99" customFormat="false" ht="15" hidden="false" customHeight="false" outlineLevel="0" collapsed="false">
      <c r="A99" s="7" t="s">
        <v>141</v>
      </c>
      <c r="B99" s="19" t="n">
        <f aca="false">A_Ebitda+T_Ebitda+SynRR*Ramp2-SynCost*CostY2-(A_DA+T_DA+PpaAm)-Int2</f>
        <v>72212510.6585231</v>
      </c>
    </row>
    <row r="100" customFormat="false" ht="15" hidden="false" customHeight="false" outlineLevel="0" collapsed="false">
      <c r="A100" s="7" t="s">
        <v>142</v>
      </c>
      <c r="B100" s="26" t="n">
        <f aca="false">PBT2*(1-Tax)/ShAfter</f>
        <v>0.422614088405659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8"/>
    <col collapsed="false" customWidth="true" hidden="false" outlineLevel="0" max="4" min="4" style="0" width="20"/>
    <col collapsed="false" customWidth="true" hidden="false" outlineLevel="0" max="5" min="5" style="0" width="14"/>
    <col collapsed="false" customWidth="true" hidden="false" outlineLevel="0" max="6" min="6" style="0" width="16"/>
  </cols>
  <sheetData>
    <row r="1" customFormat="false" ht="24" hidden="false" customHeight="true" outlineLevel="0" collapsed="false">
      <c r="A1" s="1" t="s">
        <v>146</v>
      </c>
    </row>
    <row r="2" customFormat="false" ht="15" hidden="false" customHeight="false" outlineLevel="0" collapsed="false">
      <c r="A2" s="2" t="s">
        <v>147</v>
      </c>
    </row>
    <row r="3" customFormat="false" ht="15" hidden="false" customHeight="false" outlineLevel="0" collapsed="false">
      <c r="A3" s="3"/>
      <c r="B3" s="3"/>
      <c r="C3" s="3"/>
      <c r="D3" s="3"/>
      <c r="E3" s="3"/>
      <c r="F3" s="3"/>
    </row>
    <row r="5" customFormat="false" ht="30" hidden="false" customHeight="true" outlineLevel="0" collapsed="false">
      <c r="A5" s="14" t="s">
        <v>148</v>
      </c>
      <c r="B5" s="15" t="s">
        <v>53</v>
      </c>
      <c r="C5" s="15" t="s">
        <v>149</v>
      </c>
      <c r="D5" s="15" t="s">
        <v>150</v>
      </c>
      <c r="E5" s="15" t="s">
        <v>151</v>
      </c>
      <c r="F5" s="15" t="s">
        <v>152</v>
      </c>
    </row>
    <row r="6" customFormat="false" ht="15" hidden="false" customHeight="false" outlineLevel="0" collapsed="false">
      <c r="A6" s="7" t="s">
        <v>81</v>
      </c>
      <c r="B6" s="19" t="n">
        <f aca="false">EVh</f>
        <v>248400000</v>
      </c>
      <c r="C6" s="19" t="n">
        <f aca="false">0</f>
        <v>0</v>
      </c>
      <c r="D6" s="19" t="n">
        <f aca="false">B6+C6</f>
        <v>248400000</v>
      </c>
      <c r="E6" s="27" t="n">
        <f aca="false">D6/T_Ebitda</f>
        <v>9</v>
      </c>
      <c r="F6" s="27" t="n">
        <f aca="false">E6-$E$6</f>
        <v>0</v>
      </c>
    </row>
    <row r="7" customFormat="false" ht="15" hidden="false" customHeight="false" outlineLevel="0" collapsed="false">
      <c r="A7" s="7" t="s">
        <v>82</v>
      </c>
      <c r="B7" s="19" t="n">
        <f aca="false">Peq</f>
        <v>209900000</v>
      </c>
      <c r="C7" s="19" t="n">
        <f aca="false">T_NetDebt</f>
        <v>38500000</v>
      </c>
      <c r="D7" s="19" t="n">
        <f aca="false">B7+C7</f>
        <v>248400000</v>
      </c>
      <c r="E7" s="27" t="n">
        <f aca="false">D7/T_Ebitda</f>
        <v>9</v>
      </c>
      <c r="F7" s="27" t="n">
        <f aca="false">E7-$E$6</f>
        <v>0</v>
      </c>
    </row>
    <row r="8" customFormat="false" ht="15" hidden="false" customHeight="false" outlineLevel="0" collapsed="false">
      <c r="A8" s="7" t="s">
        <v>83</v>
      </c>
      <c r="B8" s="19" t="n">
        <f aca="false">Pdl</f>
        <v>194300000</v>
      </c>
      <c r="C8" s="19" t="n">
        <f aca="false">T_NetDebt+DLtot</f>
        <v>54100000</v>
      </c>
      <c r="D8" s="19" t="n">
        <f aca="false">B8+C8</f>
        <v>248400000</v>
      </c>
      <c r="E8" s="27" t="n">
        <f aca="false">D8/T_Ebitda</f>
        <v>9</v>
      </c>
      <c r="F8" s="27" t="n">
        <f aca="false">E8-$E$6</f>
        <v>0</v>
      </c>
    </row>
    <row r="9" customFormat="false" ht="15" hidden="false" customHeight="false" outlineLevel="0" collapsed="false">
      <c r="A9" s="7" t="s">
        <v>96</v>
      </c>
      <c r="B9" s="19" t="n">
        <f aca="false">Pfv</f>
        <v>203949086.705232</v>
      </c>
      <c r="C9" s="19" t="n">
        <f aca="false">T_NetDebt+DLtot</f>
        <v>54100000</v>
      </c>
      <c r="D9" s="19" t="n">
        <f aca="false">B9+C9</f>
        <v>258049086.705232</v>
      </c>
      <c r="E9" s="27" t="n">
        <f aca="false">D9/T_Ebitda</f>
        <v>9.34960459076929</v>
      </c>
      <c r="F9" s="27" t="n">
        <f aca="false">E9-$E$6</f>
        <v>0.349604590769289</v>
      </c>
    </row>
    <row r="10" customFormat="false" ht="15" hidden="false" customHeight="false" outlineLevel="0" collapsed="false">
      <c r="A10" s="7" t="s">
        <v>153</v>
      </c>
      <c r="B10" s="19" t="n">
        <f aca="false">Pdl+EoMax</f>
        <v>219300000</v>
      </c>
      <c r="C10" s="19" t="n">
        <f aca="false">T_NetDebt+DLtot</f>
        <v>54100000</v>
      </c>
      <c r="D10" s="19" t="n">
        <f aca="false">B10+C10</f>
        <v>273400000</v>
      </c>
      <c r="E10" s="27" t="n">
        <f aca="false">D10/T_Ebitda</f>
        <v>9.90579710144928</v>
      </c>
      <c r="F10" s="27" t="n">
        <f aca="false">E10-$E$6</f>
        <v>0.905797101449275</v>
      </c>
    </row>
    <row r="11" customFormat="false" ht="15" hidden="false" customHeight="false" outlineLevel="0" collapsed="false">
      <c r="A11" s="7" t="s">
        <v>84</v>
      </c>
      <c r="B11" s="19" t="n">
        <f aca="false">CashOut</f>
        <v>201200000</v>
      </c>
      <c r="E11" s="7" t="s">
        <v>154</v>
      </c>
    </row>
    <row r="12" customFormat="false" ht="15" hidden="false" customHeight="false" outlineLevel="0" collapsed="false">
      <c r="A12" s="7" t="s">
        <v>97</v>
      </c>
      <c r="B12" s="19" t="n">
        <f aca="false">OutExp</f>
        <v>212450000</v>
      </c>
      <c r="E12" s="7" t="s">
        <v>154</v>
      </c>
    </row>
    <row r="13" customFormat="false" ht="15" hidden="false" customHeight="false" outlineLevel="0" collapsed="false">
      <c r="A13" s="7" t="s">
        <v>98</v>
      </c>
      <c r="B13" s="19" t="n">
        <f aca="false">OutMax</f>
        <v>226200000</v>
      </c>
      <c r="E13" s="7" t="s">
        <v>154</v>
      </c>
    </row>
    <row r="14" customFormat="false" ht="15" hidden="false" customHeight="false" outlineLevel="0" collapsed="false">
      <c r="A14" s="17" t="s">
        <v>155</v>
      </c>
    </row>
    <row r="15" customFormat="false" ht="15" hidden="false" customHeight="false" outlineLevel="0" collapsed="false">
      <c r="A15" s="17" t="s">
        <v>156</v>
      </c>
    </row>
    <row r="17" customFormat="false" ht="15" hidden="false" customHeight="false" outlineLevel="0" collapsed="false">
      <c r="A17" s="4" t="s">
        <v>157</v>
      </c>
      <c r="B17" s="6"/>
      <c r="C17" s="6"/>
      <c r="D17" s="6"/>
      <c r="E17" s="6"/>
      <c r="F17" s="6"/>
    </row>
    <row r="19" customFormat="false" ht="15" hidden="false" customHeight="false" outlineLevel="0" collapsed="false">
      <c r="A19" s="17" t="s">
        <v>158</v>
      </c>
    </row>
    <row r="21" customFormat="false" ht="15" hidden="false" customHeight="false" outlineLevel="0" collapsed="false">
      <c r="A21" s="7" t="s">
        <v>159</v>
      </c>
      <c r="B21" s="27" t="n">
        <f aca="false">E6</f>
        <v>9</v>
      </c>
    </row>
    <row r="22" customFormat="false" ht="15" hidden="false" customHeight="false" outlineLevel="0" collapsed="false">
      <c r="A22" s="7" t="s">
        <v>160</v>
      </c>
      <c r="B22" s="27" t="n">
        <f aca="false">E9</f>
        <v>9.34960459076929</v>
      </c>
    </row>
    <row r="23" customFormat="false" ht="15" hidden="false" customHeight="false" outlineLevel="0" collapsed="false">
      <c r="A23" s="7" t="s">
        <v>161</v>
      </c>
      <c r="B23" s="27" t="n">
        <f aca="false">E9-E6</f>
        <v>0.349604590769289</v>
      </c>
    </row>
    <row r="24" customFormat="false" ht="15" hidden="false" customHeight="false" outlineLevel="0" collapsed="false">
      <c r="A24" s="7" t="s">
        <v>162</v>
      </c>
      <c r="B24" s="27" t="n">
        <f aca="false">E10</f>
        <v>9.90579710144928</v>
      </c>
    </row>
    <row r="25" customFormat="false" ht="15" hidden="false" customHeight="false" outlineLevel="0" collapsed="false">
      <c r="A25" s="7" t="s">
        <v>163</v>
      </c>
      <c r="B25" s="27" t="n">
        <f aca="false">AMult</f>
        <v>12.146875</v>
      </c>
    </row>
    <row r="26" customFormat="false" ht="15" hidden="false" customHeight="false" outlineLevel="0" collapsed="false">
      <c r="A26" s="7" t="s">
        <v>164</v>
      </c>
      <c r="B26" s="27" t="n">
        <f aca="false">AMult-E9</f>
        <v>2.79727040923071</v>
      </c>
    </row>
    <row r="28" customFormat="false" ht="15" hidden="false" customHeight="false" outlineLevel="0" collapsed="false">
      <c r="A28" s="4" t="s">
        <v>165</v>
      </c>
      <c r="B28" s="6"/>
      <c r="C28" s="6"/>
      <c r="D28" s="6"/>
      <c r="E28" s="6"/>
      <c r="F28" s="6"/>
    </row>
    <row r="30" customFormat="false" ht="15" hidden="false" customHeight="false" outlineLevel="0" collapsed="false">
      <c r="A30" s="7" t="s">
        <v>166</v>
      </c>
      <c r="B30" s="23" t="n">
        <f aca="false">ALevPre</f>
        <v>1.94479166666667</v>
      </c>
    </row>
    <row r="31" customFormat="false" ht="15" hidden="false" customHeight="false" outlineLevel="0" collapsed="false">
      <c r="A31" s="7" t="s">
        <v>106</v>
      </c>
      <c r="B31" s="20" t="n">
        <f aca="false">ARatePre</f>
        <v>0.05</v>
      </c>
    </row>
    <row r="32" customFormat="false" ht="15" hidden="false" customHeight="false" outlineLevel="0" collapsed="false">
      <c r="A32" s="7" t="s">
        <v>107</v>
      </c>
      <c r="B32" s="19" t="n">
        <f aca="false">AIntPre</f>
        <v>9335000</v>
      </c>
    </row>
    <row r="33" customFormat="false" ht="15" hidden="false" customHeight="false" outlineLevel="0" collapsed="false">
      <c r="A33" s="7" t="s">
        <v>167</v>
      </c>
      <c r="B33" s="20" t="n">
        <f aca="false">DebtRate</f>
        <v>0.0525</v>
      </c>
    </row>
    <row r="34" customFormat="false" ht="15" hidden="false" customHeight="false" outlineLevel="0" collapsed="false">
      <c r="A34" s="7" t="s">
        <v>168</v>
      </c>
      <c r="B34" s="19" t="n">
        <f aca="false">AInt</f>
        <v>9801750</v>
      </c>
    </row>
    <row r="35" customFormat="false" ht="15" hidden="false" customHeight="false" outlineLevel="0" collapsed="false">
      <c r="A35" s="7" t="s">
        <v>169</v>
      </c>
      <c r="B35" s="19" t="n">
        <f aca="false">Repric</f>
        <v>466750.000000002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19" min="4" style="0" width="11"/>
  </cols>
  <sheetData>
    <row r="1" customFormat="false" ht="24" hidden="false" customHeight="true" outlineLevel="0" collapsed="false">
      <c r="A1" s="1" t="s">
        <v>170</v>
      </c>
    </row>
    <row r="2" customFormat="false" ht="15" hidden="false" customHeight="false" outlineLevel="0" collapsed="false">
      <c r="A2" s="2" t="s">
        <v>171</v>
      </c>
    </row>
    <row r="3" customFormat="false" ht="15" hidden="false" customHeight="false" outlineLevel="0" collapsed="false">
      <c r="A3" s="3"/>
      <c r="B3" s="3"/>
      <c r="C3" s="3"/>
      <c r="D3" s="3"/>
      <c r="E3" s="3"/>
      <c r="F3" s="3"/>
      <c r="G3" s="3"/>
      <c r="H3" s="3"/>
    </row>
    <row r="5" customFormat="false" ht="30" hidden="false" customHeight="true" outlineLevel="0" collapsed="false">
      <c r="A5" s="14" t="s">
        <v>52</v>
      </c>
      <c r="B5" s="15" t="s">
        <v>53</v>
      </c>
      <c r="C5" s="15" t="s">
        <v>54</v>
      </c>
      <c r="D5" s="15" t="s">
        <v>55</v>
      </c>
      <c r="E5" s="15" t="s">
        <v>56</v>
      </c>
    </row>
    <row r="6" customFormat="false" ht="15" hidden="false" customHeight="false" outlineLevel="0" collapsed="false">
      <c r="A6" s="7" t="s">
        <v>57</v>
      </c>
      <c r="B6" s="19" t="n">
        <f aca="false">INDEX(DLamt,1)</f>
        <v>7200000</v>
      </c>
      <c r="C6" s="28" t="n">
        <f aca="false">INDEX(DL_BS,1)</f>
        <v>0</v>
      </c>
      <c r="D6" s="28" t="n">
        <f aca="false">INDEX(DL_IF,1)</f>
        <v>1</v>
      </c>
      <c r="E6" s="28" t="n">
        <f aca="false">INDEX(DL_CF,1)</f>
        <v>1</v>
      </c>
    </row>
    <row r="7" customFormat="false" ht="15" hidden="false" customHeight="false" outlineLevel="0" collapsed="false">
      <c r="A7" s="7" t="s">
        <v>58</v>
      </c>
      <c r="B7" s="19" t="n">
        <f aca="false">INDEX(DLamt,2)</f>
        <v>2450000</v>
      </c>
      <c r="C7" s="28" t="n">
        <f aca="false">INDEX(DL_BS,2)</f>
        <v>1</v>
      </c>
      <c r="D7" s="28" t="n">
        <f aca="false">INDEX(DL_IF,2)</f>
        <v>0</v>
      </c>
      <c r="E7" s="28" t="n">
        <f aca="false">INDEX(DL_CF,2)</f>
        <v>1</v>
      </c>
    </row>
    <row r="8" customFormat="false" ht="15" hidden="false" customHeight="false" outlineLevel="0" collapsed="false">
      <c r="A8" s="7" t="s">
        <v>59</v>
      </c>
      <c r="B8" s="19" t="n">
        <f aca="false">INDEX(DLamt,3)</f>
        <v>1800000</v>
      </c>
      <c r="C8" s="28" t="n">
        <f aca="false">INDEX(DL_BS,3)</f>
        <v>1</v>
      </c>
      <c r="D8" s="28" t="n">
        <f aca="false">INDEX(DL_IF,3)</f>
        <v>0</v>
      </c>
      <c r="E8" s="28" t="n">
        <f aca="false">INDEX(DL_CF,3)</f>
        <v>1</v>
      </c>
    </row>
    <row r="9" customFormat="false" ht="15" hidden="false" customHeight="false" outlineLevel="0" collapsed="false">
      <c r="A9" s="7" t="s">
        <v>60</v>
      </c>
      <c r="B9" s="19" t="n">
        <f aca="false">INDEX(DLamt,4)</f>
        <v>4150000</v>
      </c>
      <c r="C9" s="28" t="n">
        <f aca="false">INDEX(DL_BS,4)</f>
        <v>0</v>
      </c>
      <c r="D9" s="28" t="n">
        <f aca="false">INDEX(DL_IF,4)</f>
        <v>0</v>
      </c>
      <c r="E9" s="28" t="n">
        <f aca="false">INDEX(DL_CF,4)</f>
        <v>0</v>
      </c>
    </row>
    <row r="10" customFormat="false" ht="15" hidden="false" customHeight="false" outlineLevel="0" collapsed="false">
      <c r="A10" s="29" t="s">
        <v>75</v>
      </c>
      <c r="B10" s="30" t="n">
        <f aca="false">DLtot</f>
        <v>15600000</v>
      </c>
    </row>
    <row r="11" customFormat="false" ht="15" hidden="false" customHeight="false" outlineLevel="0" collapsed="false">
      <c r="A11" s="29" t="s">
        <v>76</v>
      </c>
      <c r="B11" s="30" t="n">
        <f aca="false">DLoff</f>
        <v>11350000</v>
      </c>
    </row>
    <row r="12" customFormat="false" ht="15" hidden="false" customHeight="false" outlineLevel="0" collapsed="false">
      <c r="A12" s="29" t="s">
        <v>77</v>
      </c>
      <c r="B12" s="30" t="n">
        <f aca="false">DLbear</f>
        <v>7200000</v>
      </c>
    </row>
    <row r="13" customFormat="false" ht="15" hidden="false" customHeight="false" outlineLevel="0" collapsed="false">
      <c r="A13" s="29" t="s">
        <v>78</v>
      </c>
      <c r="B13" s="30" t="n">
        <f aca="false">DLcov</f>
        <v>11450000</v>
      </c>
    </row>
    <row r="14" customFormat="false" ht="15" hidden="false" customHeight="false" outlineLevel="0" collapsed="false">
      <c r="A14" s="17" t="s">
        <v>172</v>
      </c>
    </row>
    <row r="16" customFormat="false" ht="15" hidden="false" customHeight="false" outlineLevel="0" collapsed="false">
      <c r="A16" s="4" t="s">
        <v>173</v>
      </c>
      <c r="B16" s="6"/>
      <c r="C16" s="6"/>
      <c r="D16" s="6"/>
      <c r="E16" s="6"/>
      <c r="F16" s="6"/>
      <c r="G16" s="6"/>
      <c r="H16" s="6"/>
    </row>
    <row r="18" customFormat="false" ht="15" hidden="false" customHeight="false" outlineLevel="0" collapsed="false">
      <c r="A18" s="7" t="s">
        <v>174</v>
      </c>
      <c r="B18" s="23" t="n">
        <f aca="false">Lev</f>
        <v>2.96941008661191</v>
      </c>
    </row>
    <row r="19" customFormat="false" ht="15" hidden="false" customHeight="false" outlineLevel="0" collapsed="false">
      <c r="A19" s="7" t="s">
        <v>175</v>
      </c>
      <c r="B19" s="20" t="n">
        <f aca="false">Marg</f>
        <v>0.0125</v>
      </c>
    </row>
    <row r="20" customFormat="false" ht="15" hidden="false" customHeight="false" outlineLevel="0" collapsed="false">
      <c r="A20" s="7" t="s">
        <v>176</v>
      </c>
      <c r="B20" s="20" t="n">
        <f aca="false">DebtRate</f>
        <v>0.0525</v>
      </c>
    </row>
    <row r="21" customFormat="false" ht="15" hidden="false" customHeight="false" outlineLevel="0" collapsed="false">
      <c r="A21" s="7" t="s">
        <v>177</v>
      </c>
      <c r="B21" s="22" t="n">
        <f aca="false">EoFV</f>
        <v>9649086.70523237</v>
      </c>
    </row>
    <row r="22" customFormat="false" ht="15" hidden="false" customHeight="false" outlineLevel="0" collapsed="false">
      <c r="A22" s="7" t="s">
        <v>178</v>
      </c>
      <c r="B22" s="25" t="n">
        <f aca="false">Accr1</f>
        <v>-0.157133894280954</v>
      </c>
    </row>
    <row r="24" customFormat="false" ht="15" hidden="false" customHeight="false" outlineLevel="0" collapsed="false">
      <c r="A24" s="4" t="s">
        <v>179</v>
      </c>
      <c r="B24" s="6"/>
      <c r="C24" s="6"/>
      <c r="D24" s="6"/>
      <c r="E24" s="6"/>
      <c r="F24" s="6"/>
      <c r="G24" s="6"/>
      <c r="H24" s="6"/>
    </row>
    <row r="26" customFormat="false" ht="43.5" hidden="false" customHeight="true" outlineLevel="0" collapsed="false">
      <c r="A26" s="14" t="s">
        <v>180</v>
      </c>
      <c r="B26" s="15" t="s">
        <v>56</v>
      </c>
      <c r="C26" s="15" t="s">
        <v>181</v>
      </c>
      <c r="D26" s="15" t="s">
        <v>182</v>
      </c>
      <c r="E26" s="15" t="s">
        <v>183</v>
      </c>
      <c r="F26" s="15" t="s">
        <v>184</v>
      </c>
      <c r="G26" s="15" t="s">
        <v>185</v>
      </c>
      <c r="H26" s="15" t="s">
        <v>186</v>
      </c>
      <c r="I26" s="15" t="s">
        <v>187</v>
      </c>
      <c r="J26" s="15" t="s">
        <v>188</v>
      </c>
      <c r="K26" s="15" t="s">
        <v>189</v>
      </c>
      <c r="L26" s="15" t="s">
        <v>190</v>
      </c>
      <c r="M26" s="15" t="s">
        <v>191</v>
      </c>
      <c r="N26" s="15" t="s">
        <v>192</v>
      </c>
      <c r="O26" s="15" t="s">
        <v>193</v>
      </c>
      <c r="P26" s="15" t="s">
        <v>194</v>
      </c>
      <c r="Q26" s="15" t="s">
        <v>195</v>
      </c>
      <c r="R26" s="15" t="s">
        <v>196</v>
      </c>
      <c r="S26" s="15" t="s">
        <v>197</v>
      </c>
    </row>
    <row r="27" customFormat="false" ht="15" hidden="false" customHeight="false" outlineLevel="0" collapsed="false">
      <c r="A27" s="7" t="s">
        <v>198</v>
      </c>
      <c r="B27" s="19" t="n">
        <f aca="false">DLpens+DLlitig+DLdiv</f>
        <v>11450000</v>
      </c>
      <c r="C27" s="19" t="n">
        <f aca="false">DLpens</f>
        <v>7200000</v>
      </c>
      <c r="D27" s="20" t="n">
        <f aca="false">BaseRate+LOOKUP(2,LadThr,LadMar)</f>
        <v>0.05</v>
      </c>
      <c r="E27" s="20" t="n">
        <f aca="false">BaseRate+LOOKUP((A_Debt+NewDebt+T_NetDebt+$B27+EoMax*EoProb/(1+D27)^EoYear)/CombEb,LadThr,LadMar)</f>
        <v>0.0525</v>
      </c>
      <c r="F27" s="20" t="n">
        <f aca="false">BaseRate+LOOKUP((A_Debt+NewDebt+T_NetDebt+$B27+EoMax*EoProb/(1+E27)^EoYear)/CombEb,LadThr,LadMar)</f>
        <v>0.0525</v>
      </c>
      <c r="G27" s="20" t="n">
        <f aca="false">BaseRate+LOOKUP((A_Debt+NewDebt+T_NetDebt+$B27+EoMax*EoProb/(1+F27)^EoYear)/CombEb,LadThr,LadMar)</f>
        <v>0.0525</v>
      </c>
      <c r="H27" s="20" t="n">
        <f aca="false">BaseRate+LOOKUP((A_Debt+NewDebt+T_NetDebt+$B27+EoMax*EoProb/(1+G27)^EoYear)/CombEb,LadThr,LadMar)</f>
        <v>0.0525</v>
      </c>
      <c r="I27" s="20" t="n">
        <f aca="false">BaseRate+LOOKUP((A_Debt+NewDebt+T_NetDebt+$B27+EoMax*EoProb/(1+H27)^EoYear)/CombEb,LadThr,LadMar)</f>
        <v>0.0525</v>
      </c>
      <c r="J27" s="20" t="n">
        <f aca="false">BaseRate+LOOKUP((A_Debt+NewDebt+T_NetDebt+$B27+EoMax*EoProb/(1+I27)^EoYear)/CombEb,LadThr,LadMar)</f>
        <v>0.0525</v>
      </c>
      <c r="K27" s="20" t="n">
        <f aca="false">BaseRate+LOOKUP((A_Debt+NewDebt+T_NetDebt+$B27+EoMax*EoProb/(1+J27)^EoYear)/CombEb,LadThr,LadMar)</f>
        <v>0.0525</v>
      </c>
      <c r="L27" s="20" t="n">
        <f aca="false">MAX(J27,K27)</f>
        <v>0.0525</v>
      </c>
      <c r="M27" s="19" t="n">
        <f aca="false">EoMax*EoProb/(1+L27)^EoYear</f>
        <v>9649086.70523237</v>
      </c>
      <c r="N27" s="23" t="n">
        <f aca="false">(A_Debt+NewDebt+T_NetDebt+B27+M27)/CombEb</f>
        <v>2.96941008661191</v>
      </c>
      <c r="O27" s="19" t="n">
        <f aca="false">(Pdl+M27-NetAss)*IntangSh/PpaLife</f>
        <v>7135516.99422092</v>
      </c>
      <c r="P27" s="19" t="n">
        <f aca="false">(A_Debt+NewDebt+T_NetDebt+C27)*L27+M27*L27</f>
        <v>19045377.0520247</v>
      </c>
      <c r="Q27" s="19" t="n">
        <f aca="false">Eb1-Cost1-TxnCost-(A_DA+T_DA+O27)-P27</f>
        <v>60109105.9537544</v>
      </c>
      <c r="R27" s="26" t="n">
        <f aca="false">Q27*(1-Tax)/ShAfter</f>
        <v>0.351780526474838</v>
      </c>
      <c r="S27" s="25" t="n">
        <f aca="false">R27/AEPS-1</f>
        <v>-0.157133894280954</v>
      </c>
    </row>
    <row r="28" customFormat="false" ht="15" hidden="false" customHeight="false" outlineLevel="0" collapsed="false">
      <c r="A28" s="7" t="s">
        <v>199</v>
      </c>
      <c r="B28" s="19" t="n">
        <f aca="false">DLlitig+DLdiv</f>
        <v>4250000</v>
      </c>
      <c r="C28" s="19" t="n">
        <f aca="false">DLpens</f>
        <v>7200000</v>
      </c>
      <c r="D28" s="20" t="n">
        <f aca="false">BaseRate+LOOKUP(2,LadThr,LadMar)</f>
        <v>0.05</v>
      </c>
      <c r="E28" s="20" t="n">
        <f aca="false">BaseRate+LOOKUP((A_Debt+NewDebt+T_NetDebt+$B28+EoMax*EoProb/(1+D28)^EoYear)/CombEb,LadThr,LadMar)</f>
        <v>0.0525</v>
      </c>
      <c r="F28" s="20" t="n">
        <f aca="false">BaseRate+LOOKUP((A_Debt+NewDebt+T_NetDebt+$B28+EoMax*EoProb/(1+E28)^EoYear)/CombEb,LadThr,LadMar)</f>
        <v>0.0525</v>
      </c>
      <c r="G28" s="20" t="n">
        <f aca="false">BaseRate+LOOKUP((A_Debt+NewDebt+T_NetDebt+$B28+EoMax*EoProb/(1+F28)^EoYear)/CombEb,LadThr,LadMar)</f>
        <v>0.0525</v>
      </c>
      <c r="H28" s="20" t="n">
        <f aca="false">BaseRate+LOOKUP((A_Debt+NewDebt+T_NetDebt+$B28+EoMax*EoProb/(1+G28)^EoYear)/CombEb,LadThr,LadMar)</f>
        <v>0.0525</v>
      </c>
      <c r="I28" s="20" t="n">
        <f aca="false">BaseRate+LOOKUP((A_Debt+NewDebt+T_NetDebt+$B28+EoMax*EoProb/(1+H28)^EoYear)/CombEb,LadThr,LadMar)</f>
        <v>0.0525</v>
      </c>
      <c r="J28" s="20" t="n">
        <f aca="false">BaseRate+LOOKUP((A_Debt+NewDebt+T_NetDebt+$B28+EoMax*EoProb/(1+I28)^EoYear)/CombEb,LadThr,LadMar)</f>
        <v>0.0525</v>
      </c>
      <c r="K28" s="20" t="n">
        <f aca="false">BaseRate+LOOKUP((A_Debt+NewDebt+T_NetDebt+$B28+EoMax*EoProb/(1+J28)^EoYear)/CombEb,LadThr,LadMar)</f>
        <v>0.0525</v>
      </c>
      <c r="L28" s="20" t="n">
        <f aca="false">MAX(J28,K28)</f>
        <v>0.0525</v>
      </c>
      <c r="M28" s="19" t="n">
        <f aca="false">EoMax*EoProb/(1+L28)^EoYear</f>
        <v>9649086.70523237</v>
      </c>
      <c r="N28" s="23" t="n">
        <f aca="false">(A_Debt+NewDebt+T_NetDebt+B28+M28)/CombEb</f>
        <v>2.91115765942745</v>
      </c>
      <c r="O28" s="19" t="n">
        <f aca="false">(Pdl+M28-NetAss)*IntangSh/PpaLife</f>
        <v>7135516.99422092</v>
      </c>
      <c r="P28" s="19" t="n">
        <f aca="false">(A_Debt+NewDebt+T_NetDebt+C28)*L28+M28*L28</f>
        <v>19045377.0520247</v>
      </c>
      <c r="Q28" s="19" t="n">
        <f aca="false">Eb1-Cost1-TxnCost-(A_DA+T_DA+O28)-P28</f>
        <v>60109105.9537544</v>
      </c>
      <c r="R28" s="26" t="n">
        <f aca="false">Q28*(1-Tax)/ShAfter</f>
        <v>0.351780526474838</v>
      </c>
      <c r="S28" s="25" t="n">
        <f aca="false">R28/AEPS-1</f>
        <v>-0.157133894280954</v>
      </c>
    </row>
    <row r="29" customFormat="false" ht="15" hidden="false" customHeight="false" outlineLevel="0" collapsed="false">
      <c r="A29" s="7" t="s">
        <v>200</v>
      </c>
      <c r="B29" s="19" t="n">
        <f aca="false">DLpens+DLdiv</f>
        <v>9000000</v>
      </c>
      <c r="C29" s="19" t="n">
        <f aca="false">DLpens</f>
        <v>7200000</v>
      </c>
      <c r="D29" s="20" t="n">
        <f aca="false">BaseRate+LOOKUP(2,LadThr,LadMar)</f>
        <v>0.05</v>
      </c>
      <c r="E29" s="20" t="n">
        <f aca="false">BaseRate+LOOKUP((A_Debt+NewDebt+T_NetDebt+$B29+EoMax*EoProb/(1+D29)^EoYear)/CombEb,LadThr,LadMar)</f>
        <v>0.0525</v>
      </c>
      <c r="F29" s="20" t="n">
        <f aca="false">BaseRate+LOOKUP((A_Debt+NewDebt+T_NetDebt+$B29+EoMax*EoProb/(1+E29)^EoYear)/CombEb,LadThr,LadMar)</f>
        <v>0.0525</v>
      </c>
      <c r="G29" s="20" t="n">
        <f aca="false">BaseRate+LOOKUP((A_Debt+NewDebt+T_NetDebt+$B29+EoMax*EoProb/(1+F29)^EoYear)/CombEb,LadThr,LadMar)</f>
        <v>0.0525</v>
      </c>
      <c r="H29" s="20" t="n">
        <f aca="false">BaseRate+LOOKUP((A_Debt+NewDebt+T_NetDebt+$B29+EoMax*EoProb/(1+G29)^EoYear)/CombEb,LadThr,LadMar)</f>
        <v>0.0525</v>
      </c>
      <c r="I29" s="20" t="n">
        <f aca="false">BaseRate+LOOKUP((A_Debt+NewDebt+T_NetDebt+$B29+EoMax*EoProb/(1+H29)^EoYear)/CombEb,LadThr,LadMar)</f>
        <v>0.0525</v>
      </c>
      <c r="J29" s="20" t="n">
        <f aca="false">BaseRate+LOOKUP((A_Debt+NewDebt+T_NetDebt+$B29+EoMax*EoProb/(1+I29)^EoYear)/CombEb,LadThr,LadMar)</f>
        <v>0.0525</v>
      </c>
      <c r="K29" s="20" t="n">
        <f aca="false">BaseRate+LOOKUP((A_Debt+NewDebt+T_NetDebt+$B29+EoMax*EoProb/(1+J29)^EoYear)/CombEb,LadThr,LadMar)</f>
        <v>0.0525</v>
      </c>
      <c r="L29" s="20" t="n">
        <f aca="false">MAX(J29,K29)</f>
        <v>0.0525</v>
      </c>
      <c r="M29" s="19" t="n">
        <f aca="false">EoMax*EoProb/(1+L29)^EoYear</f>
        <v>9649086.70523237</v>
      </c>
      <c r="N29" s="23" t="n">
        <f aca="false">(A_Debt+NewDebt+T_NetDebt+B29+M29)/CombEb</f>
        <v>2.94958808013942</v>
      </c>
      <c r="O29" s="19" t="n">
        <f aca="false">(Pdl+M29-NetAss)*IntangSh/PpaLife</f>
        <v>7135516.99422092</v>
      </c>
      <c r="P29" s="19" t="n">
        <f aca="false">(A_Debt+NewDebt+T_NetDebt+C29)*L29+M29*L29</f>
        <v>19045377.0520247</v>
      </c>
      <c r="Q29" s="19" t="n">
        <f aca="false">Eb1-Cost1-TxnCost-(A_DA+T_DA+O29)-P29</f>
        <v>60109105.9537544</v>
      </c>
      <c r="R29" s="26" t="n">
        <f aca="false">Q29*(1-Tax)/ShAfter</f>
        <v>0.351780526474838</v>
      </c>
      <c r="S29" s="25" t="n">
        <f aca="false">R29/AEPS-1</f>
        <v>-0.157133894280954</v>
      </c>
    </row>
    <row r="30" customFormat="false" ht="15" hidden="false" customHeight="false" outlineLevel="0" collapsed="false">
      <c r="A30" s="7" t="s">
        <v>201</v>
      </c>
      <c r="B30" s="19" t="n">
        <f aca="false">DLpens+DLlitig</f>
        <v>9650000</v>
      </c>
      <c r="C30" s="19" t="n">
        <f aca="false">DLpens</f>
        <v>7200000</v>
      </c>
      <c r="D30" s="20" t="n">
        <f aca="false">BaseRate+LOOKUP(2,LadThr,LadMar)</f>
        <v>0.05</v>
      </c>
      <c r="E30" s="20" t="n">
        <f aca="false">BaseRate+LOOKUP((A_Debt+NewDebt+T_NetDebt+$B30+EoMax*EoProb/(1+D30)^EoYear)/CombEb,LadThr,LadMar)</f>
        <v>0.0525</v>
      </c>
      <c r="F30" s="20" t="n">
        <f aca="false">BaseRate+LOOKUP((A_Debt+NewDebt+T_NetDebt+$B30+EoMax*EoProb/(1+E30)^EoYear)/CombEb,LadThr,LadMar)</f>
        <v>0.0525</v>
      </c>
      <c r="G30" s="20" t="n">
        <f aca="false">BaseRate+LOOKUP((A_Debt+NewDebt+T_NetDebt+$B30+EoMax*EoProb/(1+F30)^EoYear)/CombEb,LadThr,LadMar)</f>
        <v>0.0525</v>
      </c>
      <c r="H30" s="20" t="n">
        <f aca="false">BaseRate+LOOKUP((A_Debt+NewDebt+T_NetDebt+$B30+EoMax*EoProb/(1+G30)^EoYear)/CombEb,LadThr,LadMar)</f>
        <v>0.0525</v>
      </c>
      <c r="I30" s="20" t="n">
        <f aca="false">BaseRate+LOOKUP((A_Debt+NewDebt+T_NetDebt+$B30+EoMax*EoProb/(1+H30)^EoYear)/CombEb,LadThr,LadMar)</f>
        <v>0.0525</v>
      </c>
      <c r="J30" s="20" t="n">
        <f aca="false">BaseRate+LOOKUP((A_Debt+NewDebt+T_NetDebt+$B30+EoMax*EoProb/(1+I30)^EoYear)/CombEb,LadThr,LadMar)</f>
        <v>0.0525</v>
      </c>
      <c r="K30" s="20" t="n">
        <f aca="false">BaseRate+LOOKUP((A_Debt+NewDebt+T_NetDebt+$B30+EoMax*EoProb/(1+J30)^EoYear)/CombEb,LadThr,LadMar)</f>
        <v>0.0525</v>
      </c>
      <c r="L30" s="20" t="n">
        <f aca="false">MAX(J30,K30)</f>
        <v>0.0525</v>
      </c>
      <c r="M30" s="19" t="n">
        <f aca="false">EoMax*EoProb/(1+L30)^EoYear</f>
        <v>9649086.70523237</v>
      </c>
      <c r="N30" s="23" t="n">
        <f aca="false">(A_Debt+NewDebt+T_NetDebt+B30+M30)/CombEb</f>
        <v>2.9548469798158</v>
      </c>
      <c r="O30" s="19" t="n">
        <f aca="false">(Pdl+M30-NetAss)*IntangSh/PpaLife</f>
        <v>7135516.99422092</v>
      </c>
      <c r="P30" s="19" t="n">
        <f aca="false">(A_Debt+NewDebt+T_NetDebt+C30)*L30+M30*L30</f>
        <v>19045377.0520247</v>
      </c>
      <c r="Q30" s="19" t="n">
        <f aca="false">Eb1-Cost1-TxnCost-(A_DA+T_DA+O30)-P30</f>
        <v>60109105.9537544</v>
      </c>
      <c r="R30" s="26" t="n">
        <f aca="false">Q30*(1-Tax)/ShAfter</f>
        <v>0.351780526474838</v>
      </c>
      <c r="S30" s="25" t="n">
        <f aca="false">R30/AEPS-1</f>
        <v>-0.157133894280954</v>
      </c>
    </row>
    <row r="31" customFormat="false" ht="15" hidden="false" customHeight="false" outlineLevel="0" collapsed="false">
      <c r="A31" s="7" t="s">
        <v>202</v>
      </c>
      <c r="B31" s="19" t="n">
        <f aca="false">DLpens+DLlitig+DLdiv+DLlease</f>
        <v>15600000</v>
      </c>
      <c r="C31" s="19" t="n">
        <f aca="false">DLpens</f>
        <v>7200000</v>
      </c>
      <c r="D31" s="20" t="n">
        <f aca="false">BaseRate+LOOKUP(2,LadThr,LadMar)</f>
        <v>0.05</v>
      </c>
      <c r="E31" s="20" t="n">
        <f aca="false">BaseRate+LOOKUP((A_Debt+NewDebt+T_NetDebt+$B31+EoMax*EoProb/(1+D31)^EoYear)/CombEb,LadThr,LadMar)</f>
        <v>0.06</v>
      </c>
      <c r="F31" s="20" t="n">
        <f aca="false">BaseRate+LOOKUP((A_Debt+NewDebt+T_NetDebt+$B31+EoMax*EoProb/(1+E31)^EoYear)/CombEb,LadThr,LadMar)</f>
        <v>0.06</v>
      </c>
      <c r="G31" s="20" t="n">
        <f aca="false">BaseRate+LOOKUP((A_Debt+NewDebt+T_NetDebt+$B31+EoMax*EoProb/(1+F31)^EoYear)/CombEb,LadThr,LadMar)</f>
        <v>0.06</v>
      </c>
      <c r="H31" s="20" t="n">
        <f aca="false">BaseRate+LOOKUP((A_Debt+NewDebt+T_NetDebt+$B31+EoMax*EoProb/(1+G31)^EoYear)/CombEb,LadThr,LadMar)</f>
        <v>0.06</v>
      </c>
      <c r="I31" s="20" t="n">
        <f aca="false">BaseRate+LOOKUP((A_Debt+NewDebt+T_NetDebt+$B31+EoMax*EoProb/(1+H31)^EoYear)/CombEb,LadThr,LadMar)</f>
        <v>0.06</v>
      </c>
      <c r="J31" s="20" t="n">
        <f aca="false">BaseRate+LOOKUP((A_Debt+NewDebt+T_NetDebt+$B31+EoMax*EoProb/(1+I31)^EoYear)/CombEb,LadThr,LadMar)</f>
        <v>0.06</v>
      </c>
      <c r="K31" s="20" t="n">
        <f aca="false">BaseRate+LOOKUP((A_Debt+NewDebt+T_NetDebt+$B31+EoMax*EoProb/(1+J31)^EoYear)/CombEb,LadThr,LadMar)</f>
        <v>0.06</v>
      </c>
      <c r="L31" s="20" t="n">
        <f aca="false">MAX(J31,K31)</f>
        <v>0.06</v>
      </c>
      <c r="M31" s="19" t="n">
        <f aca="false">EoMax*EoProb/(1+L31)^EoYear</f>
        <v>9445716.93411339</v>
      </c>
      <c r="N31" s="23" t="n">
        <f aca="false">(A_Debt+NewDebt+T_NetDebt+B31+M31)/CombEb</f>
        <v>3.00134075189412</v>
      </c>
      <c r="O31" s="19" t="n">
        <f aca="false">(Pdl+M31-NetAss)*IntangSh/PpaLife</f>
        <v>7126930.27055145</v>
      </c>
      <c r="P31" s="19" t="n">
        <f aca="false">(A_Debt+NewDebt+T_NetDebt+C31)*L31+M31*L31</f>
        <v>21753943.0160468</v>
      </c>
      <c r="Q31" s="19" t="n">
        <f aca="false">Eb1-Cost1-TxnCost-(A_DA+T_DA+O31)-P31</f>
        <v>57409126.7134017</v>
      </c>
      <c r="R31" s="26" t="n">
        <f aca="false">Q31*(1-Tax)/ShAfter</f>
        <v>0.335979258038519</v>
      </c>
      <c r="S31" s="25" t="n">
        <f aca="false">R31/AEPS-1</f>
        <v>-0.194993731850143</v>
      </c>
    </row>
    <row r="32" customFormat="false" ht="15" hidden="false" customHeight="false" outlineLevel="0" collapsed="false">
      <c r="A32" s="7" t="s">
        <v>203</v>
      </c>
      <c r="B32" s="19" t="n">
        <f aca="false">DLpens+DLlitig+DLdiv+DLlease</f>
        <v>15600000</v>
      </c>
      <c r="C32" s="19" t="n">
        <f aca="false">DLpens+DLlease</f>
        <v>11350000</v>
      </c>
      <c r="D32" s="20" t="n">
        <f aca="false">BaseRate+LOOKUP(2,LadThr,LadMar)</f>
        <v>0.05</v>
      </c>
      <c r="E32" s="20" t="n">
        <f aca="false">BaseRate+LOOKUP((A_Debt+NewDebt+T_NetDebt+$B32+EoMax*EoProb/(1+D32)^EoYear)/CombEb,LadThr,LadMar)</f>
        <v>0.06</v>
      </c>
      <c r="F32" s="20" t="n">
        <f aca="false">BaseRate+LOOKUP((A_Debt+NewDebt+T_NetDebt+$B32+EoMax*EoProb/(1+E32)^EoYear)/CombEb,LadThr,LadMar)</f>
        <v>0.06</v>
      </c>
      <c r="G32" s="20" t="n">
        <f aca="false">BaseRate+LOOKUP((A_Debt+NewDebt+T_NetDebt+$B32+EoMax*EoProb/(1+F32)^EoYear)/CombEb,LadThr,LadMar)</f>
        <v>0.06</v>
      </c>
      <c r="H32" s="20" t="n">
        <f aca="false">BaseRate+LOOKUP((A_Debt+NewDebt+T_NetDebt+$B32+EoMax*EoProb/(1+G32)^EoYear)/CombEb,LadThr,LadMar)</f>
        <v>0.06</v>
      </c>
      <c r="I32" s="20" t="n">
        <f aca="false">BaseRate+LOOKUP((A_Debt+NewDebt+T_NetDebt+$B32+EoMax*EoProb/(1+H32)^EoYear)/CombEb,LadThr,LadMar)</f>
        <v>0.06</v>
      </c>
      <c r="J32" s="20" t="n">
        <f aca="false">BaseRate+LOOKUP((A_Debt+NewDebt+T_NetDebt+$B32+EoMax*EoProb/(1+I32)^EoYear)/CombEb,LadThr,LadMar)</f>
        <v>0.06</v>
      </c>
      <c r="K32" s="20" t="n">
        <f aca="false">BaseRate+LOOKUP((A_Debt+NewDebt+T_NetDebt+$B32+EoMax*EoProb/(1+J32)^EoYear)/CombEb,LadThr,LadMar)</f>
        <v>0.06</v>
      </c>
      <c r="L32" s="20" t="n">
        <f aca="false">MAX(J32,K32)</f>
        <v>0.06</v>
      </c>
      <c r="M32" s="19" t="n">
        <f aca="false">EoMax*EoProb/(1+L32)^EoYear</f>
        <v>9445716.93411339</v>
      </c>
      <c r="N32" s="23" t="n">
        <f aca="false">(A_Debt+NewDebt+T_NetDebt+B32+M32)/CombEb</f>
        <v>3.00134075189412</v>
      </c>
      <c r="O32" s="19" t="n">
        <f aca="false">(Pdl+M32-NetAss)*IntangSh/PpaLife</f>
        <v>7126930.27055145</v>
      </c>
      <c r="P32" s="19" t="n">
        <f aca="false">(A_Debt+NewDebt+T_NetDebt+C32)*L32+M32*L32</f>
        <v>22002943.0160468</v>
      </c>
      <c r="Q32" s="19" t="n">
        <f aca="false">Eb1-Cost1-TxnCost-(A_DA+T_DA+O32)-P32</f>
        <v>57160126.7134017</v>
      </c>
      <c r="R32" s="26" t="n">
        <f aca="false">Q32*(1-Tax)/ShAfter</f>
        <v>0.334522018745031</v>
      </c>
      <c r="S32" s="25" t="n">
        <f aca="false">R32/AEPS-1</f>
        <v>-0.198485277049393</v>
      </c>
    </row>
    <row r="33" customFormat="false" ht="15" hidden="false" customHeight="false" outlineLevel="0" collapsed="false">
      <c r="A33" s="17" t="s">
        <v>204</v>
      </c>
    </row>
    <row r="35" customFormat="false" ht="15" hidden="false" customHeight="false" outlineLevel="0" collapsed="false">
      <c r="A35" s="4" t="s">
        <v>205</v>
      </c>
      <c r="B35" s="6"/>
      <c r="C35" s="6"/>
      <c r="D35" s="6"/>
      <c r="E35" s="6"/>
      <c r="F35" s="6"/>
      <c r="G35" s="6"/>
      <c r="H35" s="6"/>
    </row>
    <row r="37" customFormat="false" ht="15" hidden="false" customHeight="false" outlineLevel="0" collapsed="false">
      <c r="A37" s="7" t="s">
        <v>206</v>
      </c>
      <c r="B37" s="19" t="n">
        <f aca="false">DLlease*DebtRate</f>
        <v>217875</v>
      </c>
    </row>
    <row r="38" customFormat="false" ht="15" hidden="false" customHeight="false" outlineLevel="0" collapsed="false">
      <c r="A38" s="7" t="s">
        <v>207</v>
      </c>
      <c r="B38" s="31" t="n">
        <f aca="false">DLlease*DebtRate*(1-Tax)/ShAfter/AEPS*100</f>
        <v>0.305510204934378</v>
      </c>
    </row>
    <row r="39" customFormat="false" ht="15" hidden="false" customHeight="false" outlineLevel="0" collapsed="false">
      <c r="A39" s="7" t="s">
        <v>208</v>
      </c>
      <c r="B39" s="23" t="n">
        <f aca="false">N31</f>
        <v>3.00134075189412</v>
      </c>
    </row>
    <row r="40" customFormat="false" ht="15" hidden="false" customHeight="false" outlineLevel="0" collapsed="false">
      <c r="A40" s="7" t="s">
        <v>209</v>
      </c>
      <c r="B40" s="25" t="n">
        <f aca="false">S31</f>
        <v>-0.194993731850143</v>
      </c>
    </row>
    <row r="41" customFormat="false" ht="15" hidden="false" customHeight="false" outlineLevel="0" collapsed="false">
      <c r="A41" s="7" t="s">
        <v>210</v>
      </c>
      <c r="B41" s="25" t="n">
        <f aca="false">S32</f>
        <v>-0.198485277049393</v>
      </c>
    </row>
    <row r="42" customFormat="false" ht="15" hidden="false" customHeight="false" outlineLevel="0" collapsed="false">
      <c r="A42" s="7" t="s">
        <v>211</v>
      </c>
      <c r="B42" s="31" t="n">
        <f aca="false">(S32-S27)*100</f>
        <v>-4.13513827684388</v>
      </c>
    </row>
    <row r="44" customFormat="false" ht="15" hidden="false" customHeight="false" outlineLevel="0" collapsed="false">
      <c r="A44" s="4" t="s">
        <v>212</v>
      </c>
      <c r="B44" s="6"/>
      <c r="C44" s="6"/>
      <c r="D44" s="6"/>
      <c r="E44" s="6"/>
      <c r="F44" s="6"/>
      <c r="G44" s="6"/>
      <c r="H44" s="6"/>
    </row>
    <row r="46" customFormat="false" ht="15" hidden="false" customHeight="false" outlineLevel="0" collapsed="false">
      <c r="A46" s="7" t="s">
        <v>213</v>
      </c>
      <c r="B46" s="19" t="n">
        <f aca="false">T_BookEq</f>
        <v>46300000</v>
      </c>
    </row>
    <row r="47" customFormat="false" ht="15" hidden="false" customHeight="false" outlineLevel="0" collapsed="false">
      <c r="A47" s="7" t="s">
        <v>214</v>
      </c>
      <c r="B47" s="19" t="n">
        <f aca="false">DLoff*IntangSh/PpaLife</f>
        <v>479222.222222222</v>
      </c>
    </row>
    <row r="48" customFormat="false" ht="15" hidden="false" customHeight="false" outlineLevel="0" collapsed="false">
      <c r="A48" s="7" t="s">
        <v>215</v>
      </c>
      <c r="B48" s="31" t="n">
        <f aca="false">DLoff*IntangSh/PpaLife*(1-Tax)/ShAfter/AEPS*100</f>
        <v>0.6719783330819</v>
      </c>
    </row>
    <row r="49" customFormat="false" ht="15" hidden="false" customHeight="false" outlineLevel="0" collapsed="false">
      <c r="A49" s="17" t="s">
        <v>216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217</v>
      </c>
    </row>
    <row r="2" customFormat="false" ht="15" hidden="false" customHeight="false" outlineLevel="0" collapsed="false">
      <c r="A2" s="2" t="s">
        <v>218</v>
      </c>
    </row>
    <row r="3" customFormat="false" ht="15" hidden="false" customHeight="false" outlineLevel="0" collapsed="false">
      <c r="A3" s="3"/>
      <c r="B3" s="3"/>
      <c r="C3" s="3"/>
      <c r="D3" s="3"/>
      <c r="E3" s="3"/>
      <c r="F3" s="3"/>
    </row>
    <row r="5" customFormat="false" ht="15" hidden="false" customHeight="false" outlineLevel="0" collapsed="false">
      <c r="A5" s="17" t="s">
        <v>219</v>
      </c>
    </row>
    <row r="7" customFormat="false" ht="30" hidden="false" customHeight="true" outlineLevel="0" collapsed="false">
      <c r="A7" s="14" t="s">
        <v>220</v>
      </c>
      <c r="B7" s="15" t="s">
        <v>221</v>
      </c>
      <c r="C7" s="15" t="s">
        <v>222</v>
      </c>
      <c r="D7" s="15" t="s">
        <v>223</v>
      </c>
      <c r="E7" s="15" t="s">
        <v>224</v>
      </c>
      <c r="F7" s="15" t="s">
        <v>225</v>
      </c>
    </row>
    <row r="8" customFormat="false" ht="15" hidden="false" customHeight="false" outlineLevel="0" collapsed="false">
      <c r="A8" s="7" t="s">
        <v>226</v>
      </c>
      <c r="B8" s="7" t="s">
        <v>81</v>
      </c>
      <c r="C8" s="19" t="n">
        <v>248400000</v>
      </c>
      <c r="D8" s="19" t="n">
        <f aca="false">'Seven prices'!B6</f>
        <v>248400000</v>
      </c>
      <c r="E8" s="32" t="n">
        <f aca="false">D8-C8</f>
        <v>0</v>
      </c>
      <c r="F8" s="33" t="str">
        <f aca="false">IF(ABS(E8)&lt;=0.5,"PASS","FAIL")</f>
        <v>PASS</v>
      </c>
    </row>
    <row r="9" customFormat="false" ht="15" hidden="false" customHeight="false" outlineLevel="0" collapsed="false">
      <c r="A9" s="34" t="s">
        <v>226</v>
      </c>
      <c r="B9" s="34" t="s">
        <v>82</v>
      </c>
      <c r="C9" s="35" t="n">
        <v>209900000</v>
      </c>
      <c r="D9" s="35" t="n">
        <f aca="false">'Seven prices'!B7</f>
        <v>209900000</v>
      </c>
      <c r="E9" s="36" t="n">
        <f aca="false">D9-C9</f>
        <v>0</v>
      </c>
      <c r="F9" s="37" t="str">
        <f aca="false">IF(ABS(E9)&lt;=0.5,"PASS","FAIL")</f>
        <v>PASS</v>
      </c>
    </row>
    <row r="10" customFormat="false" ht="15" hidden="false" customHeight="false" outlineLevel="0" collapsed="false">
      <c r="A10" s="7" t="s">
        <v>226</v>
      </c>
      <c r="B10" s="7" t="s">
        <v>83</v>
      </c>
      <c r="C10" s="19" t="n">
        <v>194300000</v>
      </c>
      <c r="D10" s="19" t="n">
        <f aca="false">'Seven prices'!B8</f>
        <v>194300000</v>
      </c>
      <c r="E10" s="32" t="n">
        <f aca="false">D10-C10</f>
        <v>0</v>
      </c>
      <c r="F10" s="33" t="str">
        <f aca="false">IF(ABS(E10)&lt;=0.5,"PASS","FAIL")</f>
        <v>PASS</v>
      </c>
    </row>
    <row r="11" customFormat="false" ht="15" hidden="false" customHeight="false" outlineLevel="0" collapsed="false">
      <c r="A11" s="34" t="s">
        <v>226</v>
      </c>
      <c r="B11" s="34" t="s">
        <v>96</v>
      </c>
      <c r="C11" s="35" t="n">
        <v>203949087</v>
      </c>
      <c r="D11" s="35" t="n">
        <f aca="false">'Seven prices'!B9</f>
        <v>203949086.705232</v>
      </c>
      <c r="E11" s="36" t="n">
        <f aca="false">D11-C11</f>
        <v>-0.294767618179321</v>
      </c>
      <c r="F11" s="37" t="str">
        <f aca="false">IF(ABS(E11)&lt;=0.5,"PASS","FAIL")</f>
        <v>PASS</v>
      </c>
    </row>
    <row r="12" customFormat="false" ht="15" hidden="false" customHeight="false" outlineLevel="0" collapsed="false">
      <c r="A12" s="7" t="s">
        <v>226</v>
      </c>
      <c r="B12" s="7" t="s">
        <v>84</v>
      </c>
      <c r="C12" s="19" t="n">
        <v>201200000</v>
      </c>
      <c r="D12" s="19" t="n">
        <f aca="false">'Seven prices'!B11</f>
        <v>201200000</v>
      </c>
      <c r="E12" s="32" t="n">
        <f aca="false">D12-C12</f>
        <v>0</v>
      </c>
      <c r="F12" s="33" t="str">
        <f aca="false">IF(ABS(E12)&lt;=0.5,"PASS","FAIL")</f>
        <v>PASS</v>
      </c>
    </row>
    <row r="13" customFormat="false" ht="15" hidden="false" customHeight="false" outlineLevel="0" collapsed="false">
      <c r="A13" s="34" t="s">
        <v>226</v>
      </c>
      <c r="B13" s="34" t="s">
        <v>97</v>
      </c>
      <c r="C13" s="35" t="n">
        <v>212450000</v>
      </c>
      <c r="D13" s="35" t="n">
        <f aca="false">'Seven prices'!B12</f>
        <v>212450000</v>
      </c>
      <c r="E13" s="36" t="n">
        <f aca="false">D13-C13</f>
        <v>0</v>
      </c>
      <c r="F13" s="37" t="str">
        <f aca="false">IF(ABS(E13)&lt;=0.5,"PASS","FAIL")</f>
        <v>PASS</v>
      </c>
    </row>
    <row r="14" customFormat="false" ht="15" hidden="false" customHeight="false" outlineLevel="0" collapsed="false">
      <c r="A14" s="7" t="s">
        <v>226</v>
      </c>
      <c r="B14" s="7" t="s">
        <v>227</v>
      </c>
      <c r="C14" s="27" t="n">
        <v>9</v>
      </c>
      <c r="D14" s="27" t="n">
        <f aca="false">'Seven prices'!E6</f>
        <v>9</v>
      </c>
      <c r="E14" s="32" t="n">
        <f aca="false">D14-C14</f>
        <v>0</v>
      </c>
      <c r="F14" s="33" t="str">
        <f aca="false">IF(ABS(E14)&lt;=0.00005,"PASS","FAIL")</f>
        <v>PASS</v>
      </c>
    </row>
    <row r="15" customFormat="false" ht="15" hidden="false" customHeight="false" outlineLevel="0" collapsed="false">
      <c r="A15" s="34" t="s">
        <v>226</v>
      </c>
      <c r="B15" s="34" t="s">
        <v>228</v>
      </c>
      <c r="C15" s="38" t="n">
        <v>9.3496</v>
      </c>
      <c r="D15" s="38" t="n">
        <f aca="false">'Seven prices'!E9</f>
        <v>9.34960459076929</v>
      </c>
      <c r="E15" s="36" t="n">
        <f aca="false">D15-C15</f>
        <v>4.59076928827074E-006</v>
      </c>
      <c r="F15" s="37" t="str">
        <f aca="false">IF(ABS(E15)&lt;=0.00005,"PASS","FAIL")</f>
        <v>PASS</v>
      </c>
    </row>
    <row r="16" customFormat="false" ht="15" hidden="false" customHeight="false" outlineLevel="0" collapsed="false">
      <c r="A16" s="7" t="s">
        <v>229</v>
      </c>
      <c r="B16" s="7" t="s">
        <v>230</v>
      </c>
      <c r="C16" s="19" t="n">
        <v>54100000</v>
      </c>
      <c r="D16" s="19" t="n">
        <f aca="false">'Seven prices'!C8</f>
        <v>54100000</v>
      </c>
      <c r="E16" s="32" t="n">
        <f aca="false">D16-C16</f>
        <v>0</v>
      </c>
      <c r="F16" s="33" t="str">
        <f aca="false">IF(ABS(E16)&lt;=0.5,"PASS","FAIL")</f>
        <v>PASS</v>
      </c>
    </row>
    <row r="17" customFormat="false" ht="15" hidden="false" customHeight="false" outlineLevel="0" collapsed="false">
      <c r="A17" s="34" t="s">
        <v>229</v>
      </c>
      <c r="B17" s="34" t="s">
        <v>231</v>
      </c>
      <c r="C17" s="38" t="n">
        <v>9</v>
      </c>
      <c r="D17" s="38" t="n">
        <f aca="false">'Seven prices'!E7</f>
        <v>9</v>
      </c>
      <c r="E17" s="36" t="n">
        <f aca="false">D17-C17</f>
        <v>0</v>
      </c>
      <c r="F17" s="37" t="str">
        <f aca="false">IF(ABS(E17)&lt;=0.00005,"PASS","FAIL")</f>
        <v>PASS</v>
      </c>
    </row>
    <row r="18" customFormat="false" ht="15" hidden="false" customHeight="false" outlineLevel="0" collapsed="false">
      <c r="A18" s="7" t="s">
        <v>229</v>
      </c>
      <c r="B18" s="7" t="s">
        <v>153</v>
      </c>
      <c r="C18" s="19" t="n">
        <v>219300000</v>
      </c>
      <c r="D18" s="19" t="n">
        <f aca="false">'Seven prices'!B10</f>
        <v>219300000</v>
      </c>
      <c r="E18" s="32" t="n">
        <f aca="false">D18-C18</f>
        <v>0</v>
      </c>
      <c r="F18" s="33" t="str">
        <f aca="false">IF(ABS(E18)&lt;=0.5,"PASS","FAIL")</f>
        <v>PASS</v>
      </c>
    </row>
    <row r="19" customFormat="false" ht="15" hidden="false" customHeight="false" outlineLevel="0" collapsed="false">
      <c r="A19" s="34" t="s">
        <v>229</v>
      </c>
      <c r="B19" s="34" t="s">
        <v>232</v>
      </c>
      <c r="C19" s="35" t="n">
        <v>273400000</v>
      </c>
      <c r="D19" s="35" t="n">
        <f aca="false">'Seven prices'!D10</f>
        <v>273400000</v>
      </c>
      <c r="E19" s="36" t="n">
        <f aca="false">D19-C19</f>
        <v>0</v>
      </c>
      <c r="F19" s="37" t="str">
        <f aca="false">IF(ABS(E19)&lt;=0.5,"PASS","FAIL")</f>
        <v>PASS</v>
      </c>
    </row>
    <row r="20" customFormat="false" ht="15" hidden="false" customHeight="false" outlineLevel="0" collapsed="false">
      <c r="A20" s="7" t="s">
        <v>229</v>
      </c>
      <c r="B20" s="7" t="s">
        <v>233</v>
      </c>
      <c r="C20" s="27" t="n">
        <v>9.9058</v>
      </c>
      <c r="D20" s="27" t="n">
        <f aca="false">'Seven prices'!E10</f>
        <v>9.90579710144928</v>
      </c>
      <c r="E20" s="32" t="n">
        <f aca="false">D20-C20</f>
        <v>-2.89855072388434E-006</v>
      </c>
      <c r="F20" s="33" t="str">
        <f aca="false">IF(ABS(E20)&lt;=0.00005,"PASS","FAIL")</f>
        <v>PASS</v>
      </c>
    </row>
    <row r="21" customFormat="false" ht="15" hidden="false" customHeight="false" outlineLevel="0" collapsed="false">
      <c r="A21" s="34" t="s">
        <v>229</v>
      </c>
      <c r="B21" s="34" t="s">
        <v>234</v>
      </c>
      <c r="C21" s="38" t="n">
        <v>0.3496</v>
      </c>
      <c r="D21" s="38" t="n">
        <f aca="false">'Seven prices'!B23</f>
        <v>0.349604590769289</v>
      </c>
      <c r="E21" s="36" t="n">
        <f aca="false">D21-C21</f>
        <v>4.59076928882585E-006</v>
      </c>
      <c r="F21" s="37" t="str">
        <f aca="false">IF(ABS(E21)&lt;=0.00005,"PASS","FAIL")</f>
        <v>PASS</v>
      </c>
    </row>
    <row r="22" customFormat="false" ht="15" hidden="false" customHeight="false" outlineLevel="0" collapsed="false">
      <c r="A22" s="7" t="s">
        <v>229</v>
      </c>
      <c r="B22" s="7" t="s">
        <v>235</v>
      </c>
      <c r="C22" s="27" t="n">
        <v>12.1469</v>
      </c>
      <c r="D22" s="27" t="n">
        <f aca="false">'Seven prices'!B25</f>
        <v>12.146875</v>
      </c>
      <c r="E22" s="32" t="n">
        <f aca="false">D22-C22</f>
        <v>-2.50000000008299E-005</v>
      </c>
      <c r="F22" s="33" t="str">
        <f aca="false">IF(ABS(E22)&lt;=0.00005,"PASS","FAIL")</f>
        <v>PASS</v>
      </c>
    </row>
    <row r="23" customFormat="false" ht="15" hidden="false" customHeight="false" outlineLevel="0" collapsed="false">
      <c r="A23" s="34" t="s">
        <v>229</v>
      </c>
      <c r="B23" s="34" t="s">
        <v>236</v>
      </c>
      <c r="C23" s="38" t="n">
        <v>2.7973</v>
      </c>
      <c r="D23" s="38" t="n">
        <f aca="false">'Seven prices'!B26</f>
        <v>2.79727040923071</v>
      </c>
      <c r="E23" s="36" t="n">
        <f aca="false">D23-C23</f>
        <v>-2.95907692891007E-005</v>
      </c>
      <c r="F23" s="37" t="str">
        <f aca="false">IF(ABS(E23)&lt;=0.00005,"PASS","FAIL")</f>
        <v>PASS</v>
      </c>
    </row>
    <row r="24" customFormat="false" ht="15" hidden="false" customHeight="false" outlineLevel="0" collapsed="false">
      <c r="A24" s="7" t="s">
        <v>229</v>
      </c>
      <c r="B24" s="7" t="s">
        <v>237</v>
      </c>
      <c r="C24" s="23" t="n">
        <v>1.9448</v>
      </c>
      <c r="D24" s="23" t="n">
        <f aca="false">'Seven prices'!B30</f>
        <v>1.94479166666667</v>
      </c>
      <c r="E24" s="32" t="n">
        <f aca="false">D24-C24</f>
        <v>-8.33333333338793E-006</v>
      </c>
      <c r="F24" s="33" t="str">
        <f aca="false">IF(ABS(E24)&lt;=0.00005,"PASS","FAIL")</f>
        <v>PASS</v>
      </c>
    </row>
    <row r="25" customFormat="false" ht="15" hidden="false" customHeight="false" outlineLevel="0" collapsed="false">
      <c r="A25" s="34" t="s">
        <v>229</v>
      </c>
      <c r="B25" s="34" t="s">
        <v>238</v>
      </c>
      <c r="C25" s="35" t="n">
        <v>9335000</v>
      </c>
      <c r="D25" s="35" t="n">
        <f aca="false">'Seven prices'!B32</f>
        <v>9335000</v>
      </c>
      <c r="E25" s="36" t="n">
        <f aca="false">D25-C25</f>
        <v>0</v>
      </c>
      <c r="F25" s="37" t="str">
        <f aca="false">IF(ABS(E25)&lt;=0.5,"PASS","FAIL")</f>
        <v>PASS</v>
      </c>
    </row>
    <row r="26" customFormat="false" ht="15" hidden="false" customHeight="false" outlineLevel="0" collapsed="false">
      <c r="A26" s="7" t="s">
        <v>229</v>
      </c>
      <c r="B26" s="7" t="s">
        <v>239</v>
      </c>
      <c r="C26" s="19" t="n">
        <v>466750</v>
      </c>
      <c r="D26" s="19" t="n">
        <f aca="false">'Seven prices'!B35</f>
        <v>466750.000000002</v>
      </c>
      <c r="E26" s="32" t="n">
        <f aca="false">D26-C26</f>
        <v>1.86264514923096E-009</v>
      </c>
      <c r="F26" s="33" t="str">
        <f aca="false">IF(ABS(E26)&lt;=0.5,"PASS","FAIL")</f>
        <v>PASS</v>
      </c>
    </row>
    <row r="27" customFormat="false" ht="15" hidden="false" customHeight="false" outlineLevel="0" collapsed="false">
      <c r="A27" s="34" t="s">
        <v>240</v>
      </c>
      <c r="B27" s="34" t="s">
        <v>241</v>
      </c>
      <c r="C27" s="35" t="n">
        <v>15600000</v>
      </c>
      <c r="D27" s="35" t="n">
        <f aca="false">'Debt-like'!B10</f>
        <v>15600000</v>
      </c>
      <c r="E27" s="36" t="n">
        <f aca="false">D27-C27</f>
        <v>0</v>
      </c>
      <c r="F27" s="37" t="str">
        <f aca="false">IF(ABS(E27)&lt;=0.5,"PASS","FAIL")</f>
        <v>PASS</v>
      </c>
    </row>
    <row r="28" customFormat="false" ht="15" hidden="false" customHeight="false" outlineLevel="0" collapsed="false">
      <c r="A28" s="7" t="s">
        <v>240</v>
      </c>
      <c r="B28" s="7" t="s">
        <v>242</v>
      </c>
      <c r="C28" s="19" t="n">
        <v>11350000</v>
      </c>
      <c r="D28" s="19" t="n">
        <f aca="false">'Debt-like'!B11</f>
        <v>11350000</v>
      </c>
      <c r="E28" s="32" t="n">
        <f aca="false">D28-C28</f>
        <v>0</v>
      </c>
      <c r="F28" s="33" t="str">
        <f aca="false">IF(ABS(E28)&lt;=0.5,"PASS","FAIL")</f>
        <v>PASS</v>
      </c>
    </row>
    <row r="29" customFormat="false" ht="15" hidden="false" customHeight="false" outlineLevel="0" collapsed="false">
      <c r="A29" s="34" t="s">
        <v>240</v>
      </c>
      <c r="B29" s="34" t="s">
        <v>77</v>
      </c>
      <c r="C29" s="35" t="n">
        <v>7200000</v>
      </c>
      <c r="D29" s="35" t="n">
        <f aca="false">'Debt-like'!B12</f>
        <v>7200000</v>
      </c>
      <c r="E29" s="36" t="n">
        <f aca="false">D29-C29</f>
        <v>0</v>
      </c>
      <c r="F29" s="37" t="str">
        <f aca="false">IF(ABS(E29)&lt;=0.5,"PASS","FAIL")</f>
        <v>PASS</v>
      </c>
    </row>
    <row r="30" customFormat="false" ht="15" hidden="false" customHeight="false" outlineLevel="0" collapsed="false">
      <c r="A30" s="7" t="s">
        <v>240</v>
      </c>
      <c r="B30" s="7" t="s">
        <v>78</v>
      </c>
      <c r="C30" s="19" t="n">
        <v>11450000</v>
      </c>
      <c r="D30" s="19" t="n">
        <f aca="false">'Debt-like'!B13</f>
        <v>11450000</v>
      </c>
      <c r="E30" s="32" t="n">
        <f aca="false">D30-C30</f>
        <v>0</v>
      </c>
      <c r="F30" s="33" t="str">
        <f aca="false">IF(ABS(E30)&lt;=0.5,"PASS","FAIL")</f>
        <v>PASS</v>
      </c>
    </row>
    <row r="31" customFormat="false" ht="15" hidden="false" customHeight="false" outlineLevel="0" collapsed="false">
      <c r="A31" s="34" t="s">
        <v>240</v>
      </c>
      <c r="B31" s="34" t="s">
        <v>243</v>
      </c>
      <c r="C31" s="39" t="n">
        <v>-0.157134</v>
      </c>
      <c r="D31" s="39" t="n">
        <f aca="false">'Debt-like'!S27</f>
        <v>-0.157133894280954</v>
      </c>
      <c r="E31" s="36" t="n">
        <f aca="false">D31-C31</f>
        <v>1.0571904573986E-007</v>
      </c>
      <c r="F31" s="37" t="str">
        <f aca="false">IF(ABS(E31)&lt;=0.0000005,"PASS","FAIL")</f>
        <v>PASS</v>
      </c>
    </row>
    <row r="32" customFormat="false" ht="15" hidden="false" customHeight="false" outlineLevel="0" collapsed="false">
      <c r="A32" s="7" t="s">
        <v>240</v>
      </c>
      <c r="B32" s="7" t="s">
        <v>244</v>
      </c>
      <c r="C32" s="23" t="n">
        <v>2.9112</v>
      </c>
      <c r="D32" s="23" t="n">
        <f aca="false">'Debt-like'!N28</f>
        <v>2.91115765942745</v>
      </c>
      <c r="E32" s="32" t="n">
        <f aca="false">D32-C32</f>
        <v>-4.23405725533677E-005</v>
      </c>
      <c r="F32" s="33" t="str">
        <f aca="false">IF(ABS(E32)&lt;=0.00005,"PASS","FAIL")</f>
        <v>PASS</v>
      </c>
    </row>
    <row r="33" customFormat="false" ht="15" hidden="false" customHeight="false" outlineLevel="0" collapsed="false">
      <c r="A33" s="34" t="s">
        <v>240</v>
      </c>
      <c r="B33" s="34" t="s">
        <v>245</v>
      </c>
      <c r="C33" s="40" t="n">
        <v>2.9496</v>
      </c>
      <c r="D33" s="40" t="n">
        <f aca="false">'Debt-like'!N29</f>
        <v>2.94958808013942</v>
      </c>
      <c r="E33" s="36" t="n">
        <f aca="false">D33-C33</f>
        <v>-1.19198605794679E-005</v>
      </c>
      <c r="F33" s="37" t="str">
        <f aca="false">IF(ABS(E33)&lt;=0.00005,"PASS","FAIL")</f>
        <v>PASS</v>
      </c>
    </row>
    <row r="34" customFormat="false" ht="15" hidden="false" customHeight="false" outlineLevel="0" collapsed="false">
      <c r="A34" s="7" t="s">
        <v>240</v>
      </c>
      <c r="B34" s="7" t="s">
        <v>246</v>
      </c>
      <c r="C34" s="23" t="n">
        <v>2.9548</v>
      </c>
      <c r="D34" s="23" t="n">
        <f aca="false">'Debt-like'!N30</f>
        <v>2.9548469798158</v>
      </c>
      <c r="E34" s="32" t="n">
        <f aca="false">D34-C34</f>
        <v>4.69798157958223E-005</v>
      </c>
      <c r="F34" s="33" t="str">
        <f aca="false">IF(ABS(E34)&lt;=0.00005,"PASS","FAIL")</f>
        <v>PASS</v>
      </c>
    </row>
    <row r="35" customFormat="false" ht="15" hidden="false" customHeight="false" outlineLevel="0" collapsed="false">
      <c r="A35" s="34" t="s">
        <v>240</v>
      </c>
      <c r="B35" s="34" t="s">
        <v>247</v>
      </c>
      <c r="C35" s="39" t="n">
        <v>-0.157134</v>
      </c>
      <c r="D35" s="39" t="n">
        <f aca="false">'Debt-like'!S28</f>
        <v>-0.157133894280954</v>
      </c>
      <c r="E35" s="36" t="n">
        <f aca="false">D35-C35</f>
        <v>1.0571904573986E-007</v>
      </c>
      <c r="F35" s="37" t="str">
        <f aca="false">IF(ABS(E35)&lt;=0.0000005,"PASS","FAIL")</f>
        <v>PASS</v>
      </c>
    </row>
    <row r="36" customFormat="false" ht="15" hidden="false" customHeight="false" outlineLevel="0" collapsed="false">
      <c r="A36" s="7" t="s">
        <v>248</v>
      </c>
      <c r="B36" s="7" t="s">
        <v>249</v>
      </c>
      <c r="C36" s="19" t="n">
        <v>217875</v>
      </c>
      <c r="D36" s="19" t="n">
        <f aca="false">'Debt-like'!B37</f>
        <v>217875</v>
      </c>
      <c r="E36" s="32" t="n">
        <f aca="false">D36-C36</f>
        <v>0</v>
      </c>
      <c r="F36" s="33" t="str">
        <f aca="false">IF(ABS(E36)&lt;=0.5,"PASS","FAIL")</f>
        <v>PASS</v>
      </c>
    </row>
    <row r="37" customFormat="false" ht="15" hidden="false" customHeight="false" outlineLevel="0" collapsed="false">
      <c r="A37" s="34" t="s">
        <v>248</v>
      </c>
      <c r="B37" s="34" t="s">
        <v>250</v>
      </c>
      <c r="C37" s="41" t="n">
        <v>0.3055</v>
      </c>
      <c r="D37" s="41" t="n">
        <f aca="false">'Debt-like'!B38</f>
        <v>0.305510204934378</v>
      </c>
      <c r="E37" s="36" t="n">
        <f aca="false">D37-C37</f>
        <v>1.0204934377589E-005</v>
      </c>
      <c r="F37" s="37" t="str">
        <f aca="false">IF(ABS(E37)&lt;=0.00005,"PASS","FAIL")</f>
        <v>PASS</v>
      </c>
    </row>
    <row r="38" customFormat="false" ht="15" hidden="false" customHeight="false" outlineLevel="0" collapsed="false">
      <c r="A38" s="7" t="s">
        <v>248</v>
      </c>
      <c r="B38" s="7" t="s">
        <v>208</v>
      </c>
      <c r="C38" s="23" t="n">
        <v>3.0013</v>
      </c>
      <c r="D38" s="23" t="n">
        <f aca="false">'Debt-like'!N31</f>
        <v>3.00134075189412</v>
      </c>
      <c r="E38" s="32" t="n">
        <f aca="false">D38-C38</f>
        <v>4.0751894121005E-005</v>
      </c>
      <c r="F38" s="33" t="str">
        <f aca="false">IF(ABS(E38)&lt;=0.00005,"PASS","FAIL")</f>
        <v>PASS</v>
      </c>
    </row>
    <row r="39" customFormat="false" ht="15" hidden="false" customHeight="false" outlineLevel="0" collapsed="false">
      <c r="A39" s="34" t="s">
        <v>248</v>
      </c>
      <c r="B39" s="34" t="s">
        <v>209</v>
      </c>
      <c r="C39" s="39" t="n">
        <v>-0.194994</v>
      </c>
      <c r="D39" s="39" t="n">
        <f aca="false">'Debt-like'!S31</f>
        <v>-0.194993731850143</v>
      </c>
      <c r="E39" s="36" t="n">
        <f aca="false">D39-C39</f>
        <v>2.68149856985644E-007</v>
      </c>
      <c r="F39" s="37" t="str">
        <f aca="false">IF(ABS(E39)&lt;=0.0000005,"PASS","FAIL")</f>
        <v>PASS</v>
      </c>
    </row>
    <row r="40" customFormat="false" ht="15" hidden="false" customHeight="false" outlineLevel="0" collapsed="false">
      <c r="A40" s="7" t="s">
        <v>248</v>
      </c>
      <c r="B40" s="7" t="s">
        <v>210</v>
      </c>
      <c r="C40" s="25" t="n">
        <v>-0.198485</v>
      </c>
      <c r="D40" s="25" t="n">
        <f aca="false">'Debt-like'!S32</f>
        <v>-0.198485277049393</v>
      </c>
      <c r="E40" s="32" t="n">
        <f aca="false">D40-C40</f>
        <v>-2.77049393010431E-007</v>
      </c>
      <c r="F40" s="33" t="str">
        <f aca="false">IF(ABS(E40)&lt;=0.0000005,"PASS","FAIL")</f>
        <v>PASS</v>
      </c>
    </row>
    <row r="41" customFormat="false" ht="15" hidden="false" customHeight="false" outlineLevel="0" collapsed="false">
      <c r="A41" s="34" t="s">
        <v>248</v>
      </c>
      <c r="B41" s="34" t="s">
        <v>251</v>
      </c>
      <c r="C41" s="41" t="n">
        <v>-4.1351</v>
      </c>
      <c r="D41" s="41" t="n">
        <f aca="false">'Debt-like'!B42</f>
        <v>-4.13513827684388</v>
      </c>
      <c r="E41" s="36" t="n">
        <f aca="false">D41-C41</f>
        <v>-3.82768438749181E-005</v>
      </c>
      <c r="F41" s="37" t="str">
        <f aca="false">IF(ABS(E41)&lt;=0.00005,"PASS","FAIL")</f>
        <v>PASS</v>
      </c>
    </row>
    <row r="42" customFormat="false" ht="15" hidden="false" customHeight="false" outlineLevel="0" collapsed="false">
      <c r="A42" s="7" t="s">
        <v>248</v>
      </c>
      <c r="B42" s="7" t="s">
        <v>252</v>
      </c>
      <c r="C42" s="19" t="n">
        <v>479222</v>
      </c>
      <c r="D42" s="19" t="n">
        <f aca="false">'Debt-like'!B47</f>
        <v>479222.222222222</v>
      </c>
      <c r="E42" s="32" t="n">
        <f aca="false">D42-C42</f>
        <v>0.222222222248092</v>
      </c>
      <c r="F42" s="33" t="str">
        <f aca="false">IF(ABS(E42)&lt;=0.5,"PASS","FAIL")</f>
        <v>PASS</v>
      </c>
    </row>
    <row r="43" customFormat="false" ht="15" hidden="false" customHeight="false" outlineLevel="0" collapsed="false">
      <c r="A43" s="34" t="s">
        <v>248</v>
      </c>
      <c r="B43" s="34" t="s">
        <v>253</v>
      </c>
      <c r="C43" s="41" t="n">
        <v>0.672</v>
      </c>
      <c r="D43" s="41" t="n">
        <f aca="false">'Debt-like'!B48</f>
        <v>0.6719783330819</v>
      </c>
      <c r="E43" s="36" t="n">
        <f aca="false">D43-C43</f>
        <v>-2.16669181002382E-005</v>
      </c>
      <c r="F43" s="37" t="str">
        <f aca="false">IF(ABS(E43)&lt;=0.00005,"PASS","FAIL")</f>
        <v>PASS</v>
      </c>
    </row>
    <row r="45" customFormat="false" ht="15" hidden="false" customHeight="false" outlineLevel="0" collapsed="false">
      <c r="B45" s="7" t="s">
        <v>254</v>
      </c>
      <c r="C45" s="28" t="n">
        <f aca="false">COUNTIF(F8:F43,"PASS")</f>
        <v>36</v>
      </c>
    </row>
    <row r="46" customFormat="false" ht="15" hidden="false" customHeight="false" outlineLevel="0" collapsed="false">
      <c r="B46" s="7" t="s">
        <v>255</v>
      </c>
      <c r="C46" s="28" t="n">
        <f aca="false">COUNTIF(F8:F43,"FAIL")</f>
        <v>0</v>
      </c>
    </row>
    <row r="47" customFormat="false" ht="15" hidden="false" customHeight="false" outlineLevel="0" collapsed="false">
      <c r="B47" s="7" t="s">
        <v>256</v>
      </c>
      <c r="C47" s="7" t="str">
        <f aca="false">IF(C45=36,"ALL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2026-08-29T23:24:52Z</dcterms:created>
  <dc:creator>openpyxl</dc:creator>
  <dc:description/>
  <dc:language>en-US</dc:language>
  <cp:lastModifiedBy/>
  <dcterms:modified xsi:type="dcterms:W3CDTF">2026-09-24T01:14:41Z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