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Deal" sheetId="3" state="visible" r:id="rId5"/>
    <sheet name="Ladder" sheetId="4" state="visible" r:id="rId6"/>
    <sheet name="Scenarios" sheetId="5" state="visible" r:id="rId7"/>
    <sheet name="Target leverage" sheetId="6" state="visible" r:id="rId8"/>
    <sheet name="Checks" sheetId="7" state="visible" r:id="rId9"/>
  </sheets>
  <definedNames>
    <definedName function="false" hidden="false" name="Accr1" vbProcedure="false">Deal!$B$94</definedName>
    <definedName function="false" hidden="false" name="AEbit" vbProcedure="false">Deal!$B$52</definedName>
    <definedName function="false" hidden="false" name="AEPS" vbProcedure="false">Deal!$B$54</definedName>
    <definedName function="false" hidden="false" name="AEV" vbProcedure="false">Deal!$B$56</definedName>
    <definedName function="false" hidden="false" name="AInt" vbProcedure="false">Deal!$B$50</definedName>
    <definedName function="false" hidden="false" name="AIntPre" vbProcedure="false">Deal!$B$49</definedName>
    <definedName function="false" hidden="false" name="ALevPre" vbProcedure="false">Deal!$B$47</definedName>
    <definedName function="false" hidden="false" name="AMcap" vbProcedure="false">Deal!$B$55</definedName>
    <definedName function="false" hidden="false" name="AMult" vbProcedure="false">Deal!$B$57</definedName>
    <definedName function="false" hidden="false" name="ANI" vbProcedure="false">Deal!$B$53</definedName>
    <definedName function="false" hidden="false" name="ARatePre" vbProcedure="false">Deal!$B$48</definedName>
    <definedName function="false" hidden="false" name="A_DA" vbProcedure="false">Inputs!$B$19</definedName>
    <definedName function="false" hidden="false" name="A_Debt" vbProcedure="false">Inputs!$B$20</definedName>
    <definedName function="false" hidden="false" name="A_Ebitda" vbProcedure="false">Inputs!$B$18</definedName>
    <definedName function="false" hidden="false" name="A_Price" vbProcedure="false">Inputs!$B$22</definedName>
    <definedName function="false" hidden="false" name="A_Rev" vbProcedure="false">Inputs!$B$17</definedName>
    <definedName function="false" hidden="false" name="A_Shares" vbProcedure="false">Inputs!$B$21</definedName>
    <definedName function="false" hidden="false" name="BandLo" vbProcedure="false">Ladder!$B$32</definedName>
    <definedName function="false" hidden="false" name="BaseRate" vbProcedure="false">Inputs!$B$31</definedName>
    <definedName function="false" hidden="false" name="CashOut" vbProcedure="false">Deal!$B$18</definedName>
    <definedName function="false" hidden="false" name="CombEb" vbProcedure="false">Deal!$B$14</definedName>
    <definedName function="false" hidden="false" name="Converged" vbProcedure="false">Deal!$B$26</definedName>
    <definedName function="false" hidden="false" name="Cost1" vbProcedure="false">Deal!$B$89</definedName>
    <definedName function="false" hidden="false" name="CostY1" vbProcedure="false">Inputs!$B$46</definedName>
    <definedName function="false" hidden="false" name="CostY2" vbProcedure="false">Inputs!$B$47</definedName>
    <definedName function="false" hidden="false" name="CostY3" vbProcedure="false">Inputs!$B$48</definedName>
    <definedName function="false" hidden="false" name="DA1" vbProcedure="false">Deal!$B$90</definedName>
    <definedName function="false" hidden="false" name="DebtRate" vbProcedure="false">Deal!$B$27</definedName>
    <definedName function="false" hidden="false" name="DebtShare" vbProcedure="false">Inputs!$B$29</definedName>
    <definedName function="false" hidden="false" name="Dilut" vbProcedure="false">Deal!$B$43</definedName>
    <definedName function="false" hidden="false" name="DLamt" vbProcedure="false">Inputs!$B$60:$B$63</definedName>
    <definedName function="false" hidden="false" name="DLbear" vbProcedure="false">Deal!$B$9</definedName>
    <definedName function="false" hidden="false" name="DLcov" vbProcedure="false">Deal!$B$10</definedName>
    <definedName function="false" hidden="false" name="DLdiv" vbProcedure="false">Inputs!$B$62</definedName>
    <definedName function="false" hidden="false" name="DLlease" vbProcedure="false">Inputs!$B$63</definedName>
    <definedName function="false" hidden="false" name="DLlitig" vbProcedure="false">Inputs!$B$61</definedName>
    <definedName function="false" hidden="false" name="DLoff" vbProcedure="false">Deal!$B$8</definedName>
    <definedName function="false" hidden="false" name="DLpens" vbProcedure="false">Inputs!$B$60</definedName>
    <definedName function="false" hidden="false" name="DLtot" vbProcedure="false">Deal!$B$7</definedName>
    <definedName function="false" hidden="false" name="DL_BS" vbProcedure="false">Inputs!$C$60:$C$63</definedName>
    <definedName function="false" hidden="false" name="DL_CF" vbProcedure="false">Inputs!$E$60:$E$63</definedName>
    <definedName function="false" hidden="false" name="DL_IF" vbProcedure="false">Inputs!$D$60:$D$63</definedName>
    <definedName function="false" hidden="false" name="DTL" vbProcedure="false">Deal!$B$72</definedName>
    <definedName function="false" hidden="false" name="Eb1" vbProcedure="false">Deal!$B$88</definedName>
    <definedName function="false" hidden="false" name="EoFV" vbProcedure="false">Deal!$B$29</definedName>
    <definedName function="false" hidden="false" name="EoMax" vbProcedure="false">Inputs!$B$35</definedName>
    <definedName function="false" hidden="false" name="EoProb" vbProcedure="false">Inputs!$B$36</definedName>
    <definedName function="false" hidden="false" name="EoYear" vbProcedure="false">Inputs!$B$37</definedName>
    <definedName function="false" hidden="false" name="EPS1" vbProcedure="false">Deal!$B$93</definedName>
    <definedName function="false" hidden="false" name="EPS2" vbProcedure="false">Deal!$B$100</definedName>
    <definedName function="false" hidden="false" name="EqRaise" vbProcedure="false">Deal!$B$20</definedName>
    <definedName function="false" hidden="false" name="EVh" vbProcedure="false">Deal!$B$15</definedName>
    <definedName function="false" hidden="false" name="Excess" vbProcedure="false">Deal!$B$70</definedName>
    <definedName function="false" hidden="false" name="Grow" vbProcedure="false">Inputs!$B$53</definedName>
    <definedName function="false" hidden="false" name="Gwill" vbProcedure="false">Deal!$B$73</definedName>
    <definedName function="false" hidden="false" name="Int1" vbProcedure="false">Deal!$B$91</definedName>
    <definedName function="false" hidden="false" name="Int2" vbProcedure="false">Deal!$B$98</definedName>
    <definedName function="false" hidden="false" name="Intang" vbProcedure="false">Deal!$B$71</definedName>
    <definedName function="false" hidden="false" name="IntangSh" vbProcedure="false">Inputs!$B$54</definedName>
    <definedName function="false" hidden="false" name="Intrin" vbProcedure="false">Deal!$B$63</definedName>
    <definedName function="false" hidden="false" name="IssPrice" vbProcedure="false">Deal!$B$40</definedName>
    <definedName function="false" hidden="false" name="IssueDisc" vbProcedure="false">Inputs!$B$30</definedName>
    <definedName function="false" hidden="false" name="LadDist" vbProcedure="false">Ladder!$D$7:$D$10</definedName>
    <definedName function="false" hidden="false" name="LadMar" vbProcedure="false">Inputs!$C$69:$C$73</definedName>
    <definedName function="false" hidden="false" name="LadRung" vbProcedure="false">Inputs!$B$70:$B$73</definedName>
    <definedName function="false" hidden="false" name="LadThr" vbProcedure="false">Inputs!$B$69:$B$73</definedName>
    <definedName function="false" hidden="false" name="Lev" vbProcedure="false">Deal!$B$30</definedName>
    <definedName function="false" hidden="false" name="Marg" vbProcedure="false">Deal!$B$28</definedName>
    <definedName function="false" hidden="false" name="Mult" vbProcedure="false">Inputs!$B$26</definedName>
    <definedName function="false" hidden="false" name="NetAss" vbProcedure="false">Deal!$B$69</definedName>
    <definedName function="false" hidden="false" name="NewDebt" vbProcedure="false">Deal!$B$19</definedName>
    <definedName function="false" hidden="false" name="NewSh" vbProcedure="false">Deal!$B$41</definedName>
    <definedName function="false" hidden="false" name="OutExp" vbProcedure="false">Deal!$B$35</definedName>
    <definedName function="false" hidden="false" name="OutMax" vbProcedure="false">Deal!$B$36</definedName>
    <definedName function="false" hidden="false" name="PBT1" vbProcedure="false">Deal!$B$92</definedName>
    <definedName function="false" hidden="false" name="PBT2" vbProcedure="false">Deal!$B$99</definedName>
    <definedName function="false" hidden="false" name="Pdl" vbProcedure="false">Deal!$B$17</definedName>
    <definedName function="false" hidden="false" name="Peq" vbProcedure="false">Deal!$B$16</definedName>
    <definedName function="false" hidden="false" name="Pfv" vbProcedure="false">Deal!$B$34</definedName>
    <definedName function="false" hidden="false" name="PpaAm" vbProcedure="false">Deal!$B$74</definedName>
    <definedName function="false" hidden="false" name="PpaLife" vbProcedure="false">Inputs!$B$55</definedName>
    <definedName function="false" hidden="false" name="Prem" vbProcedure="false">Deal!$B$64</definedName>
    <definedName function="false" hidden="false" name="PremPc" vbProcedure="false">Deal!$B$65</definedName>
    <definedName function="false" hidden="false" name="Ramp1" vbProcedure="false">Inputs!$B$42</definedName>
    <definedName function="false" hidden="false" name="Ramp2" vbProcedure="false">Inputs!$B$43</definedName>
    <definedName function="false" hidden="false" name="Ramp3" vbProcedure="false">Inputs!$B$44</definedName>
    <definedName function="false" hidden="false" name="Repric" vbProcedure="false">Deal!$B$51</definedName>
    <definedName function="false" hidden="false" name="ShAfter" vbProcedure="false">Deal!$B$42</definedName>
    <definedName function="false" hidden="false" name="Shortf" vbProcedure="false">Deal!$B$83</definedName>
    <definedName function="false" hidden="false" name="SynCoef" vbProcedure="false">Deal!$B$78</definedName>
    <definedName function="false" hidden="false" name="SynCost" vbProcedure="false">Inputs!$B$45</definedName>
    <definedName function="false" hidden="false" name="SynCPV" vbProcedure="false">Deal!$B$79</definedName>
    <definedName function="false" hidden="false" name="SynPV3" vbProcedure="false">Deal!$B$80</definedName>
    <definedName function="false" hidden="false" name="SynRR" vbProcedure="false">Inputs!$B$41</definedName>
    <definedName function="false" hidden="false" name="SynTerm" vbProcedure="false">Deal!$B$81</definedName>
    <definedName function="false" hidden="false" name="SynVal" vbProcedure="false">Deal!$B$82</definedName>
    <definedName function="false" hidden="false" name="Tax" vbProcedure="false">Inputs!$B$27</definedName>
    <definedName function="false" hidden="false" name="TEbit" vbProcedure="false">Deal!$B$61</definedName>
    <definedName function="false" hidden="false" name="TFcf" vbProcedure="false">Deal!$B$62</definedName>
    <definedName function="false" hidden="false" name="TxnCost" vbProcedure="false">Inputs!$B$28</definedName>
    <definedName function="false" hidden="false" name="T_BookEq" vbProcedure="false">Inputs!$B$13</definedName>
    <definedName function="false" hidden="false" name="T_Capex" vbProcedure="false">Inputs!$B$10</definedName>
    <definedName function="false" hidden="false" name="T_DA" vbProcedure="false">Inputs!$B$9</definedName>
    <definedName function="false" hidden="false" name="T_DWC" vbProcedure="false">Inputs!$B$11</definedName>
    <definedName function="false" hidden="false" name="T_Ebitda" vbProcedure="false">Inputs!$B$8</definedName>
    <definedName function="false" hidden="false" name="T_NetDebt" vbProcedure="false">Inputs!$B$12</definedName>
    <definedName function="false" hidden="false" name="T_Rev" vbProcedure="false">Inputs!$B$7</definedName>
    <definedName function="false" hidden="false" name="VCreat" vbProcedure="false">Deal!$B$84</definedName>
    <definedName function="false" hidden="false" name="Wacc" vbProcedure="false">Inputs!$B$52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<sst xmlns="http://schemas.openxmlformats.org/spreadsheetml/2006/main" count="353" uniqueCount="298">
  <si>
    <t xml:space="preserve">Mergers and Acquisitions - The Ladder</t>
  </si>
  <si>
    <t xml:space="preserve">Companion workbook 4, by Julian R. Sterling</t>
  </si>
  <si>
    <t xml:space="preserve">What this workbook does</t>
  </si>
  <si>
    <t xml:space="preserve">It holds the three things that are not linear: the margin ladder and the fixed point that solves it, the band where the ladder admits no solution at all, and the target's own net debt, which changes the accretion by four points and the value created by almost nothing.</t>
  </si>
  <si>
    <t xml:space="preserve">The first experiment to run</t>
  </si>
  <si>
    <t xml:space="preserve">On the Scenarios sheet, set the target net debt of any row to 48,000,000. Read the last column: the ladder admits no solution there. At 5.25 per cent the leverage crosses 3.00 and calls for 6.00; at 6.00 the earn-out is worth less, the leverage falls back and calls for 5.25. The two rates refer to each other. The model takes the high margin, and says so.</t>
  </si>
  <si>
    <t xml:space="preserve">The second</t>
  </si>
  <si>
    <t xml:space="preserve">Walk the target's net debt from 47,900,000 to 48,000,000 in steps of ten thousand and watch the accretion. It moves 0.0632 points per million, and then it drops 3.8376 points in forty thousand. A step has no slope: never interpolate between two rows of this table.</t>
  </si>
  <si>
    <t xml:space="preserve">The third</t>
  </si>
  <si>
    <t xml:space="preserve">On the Inputs sheet, take the pension deficit out of the covenant - set its third switch to nought. The leverage falls from 2.9694 to 2.9112, the rung stays where it was, and every row of the Scenarios sheet moves with it: the band with no solution shifts, and so does the target net debt at which the ladder breaks.</t>
  </si>
  <si>
    <t xml:space="preserve">The one number to keep an eye on</t>
  </si>
  <si>
    <t xml:space="preserve">The last column of the Target leverage sheet. The accretion travels 3.80 points across that table; the value created travels 203,370, or 0.0819 per cent of the price. A figure that moves like that is not a value figure.</t>
  </si>
  <si>
    <t xml:space="preserve">On the checks</t>
  </si>
  <si>
    <t xml:space="preserve">The Checks sheet reproduces by formula each figure printed in chapters 11 and 17. Column C is typed from the page; column D is computed here. If a check reads FAIL, the workbook is wrong, not the book.</t>
  </si>
  <si>
    <t xml:space="preserve">Inputs - the Auchendinny / Balmacara fact pattern</t>
  </si>
  <si>
    <t xml:space="preserve">Blue on pale yellow is an input, and you may edit it. Everything else in this file is a formula over these cells.</t>
  </si>
  <si>
    <t xml:space="preserve">The target, Balmacara</t>
  </si>
  <si>
    <t xml:space="preserve">Revenue</t>
  </si>
  <si>
    <t xml:space="preserve">EBITDA</t>
  </si>
  <si>
    <t xml:space="preserve">Depreciation and amortisation</t>
  </si>
  <si>
    <t xml:space="preserve">Capital expenditure</t>
  </si>
  <si>
    <t xml:space="preserve">Increase in working capital</t>
  </si>
  <si>
    <t xml:space="preserve">Net debt, assumed rather than refinanced</t>
  </si>
  <si>
    <t xml:space="preserve">Book equity</t>
  </si>
  <si>
    <t xml:space="preserve">The acquirer, Auchendinny</t>
  </si>
  <si>
    <t xml:space="preserve">Existing debt</t>
  </si>
  <si>
    <t xml:space="preserve">Shares in issue</t>
  </si>
  <si>
    <t xml:space="preserve">Share price at announcement</t>
  </si>
  <si>
    <t xml:space="preserve">The price, the tax and the funding</t>
  </si>
  <si>
    <t xml:space="preserve">Announced multiple of EBITDA</t>
  </si>
  <si>
    <t xml:space="preserve">Tax rate, both companies</t>
  </si>
  <si>
    <t xml:space="preserve">Transaction costs, expensed in year one</t>
  </si>
  <si>
    <t xml:space="preserve">Debt share of the funding</t>
  </si>
  <si>
    <t xml:space="preserve">Discount on the issue price</t>
  </si>
  <si>
    <t xml:space="preserve">Base rate, before the lender's margin</t>
  </si>
  <si>
    <t xml:space="preserve">The earn-out</t>
  </si>
  <si>
    <t xml:space="preserve">Maximum</t>
  </si>
  <si>
    <t xml:space="preserve">Probability</t>
  </si>
  <si>
    <t xml:space="preserve">Year of settlement</t>
  </si>
  <si>
    <t xml:space="preserve">The synergies</t>
  </si>
  <si>
    <t xml:space="preserve">Run rate</t>
  </si>
  <si>
    <t xml:space="preserve">Share of the run rate delivered in year 1</t>
  </si>
  <si>
    <t xml:space="preserve">Share of the run rate delivered in year 2</t>
  </si>
  <si>
    <t xml:space="preserve">Share of the run rate delivered in year 3</t>
  </si>
  <si>
    <t xml:space="preserve">Cost to achieve</t>
  </si>
  <si>
    <t xml:space="preserve">Share of the cost spent in year 1</t>
  </si>
  <si>
    <t xml:space="preserve">Share of the cost spent in year 2</t>
  </si>
  <si>
    <t xml:space="preserve">Share of the cost spent in year 3</t>
  </si>
  <si>
    <t xml:space="preserve">The valuation and the allocation</t>
  </si>
  <si>
    <t xml:space="preserve">Weighted average cost of capital</t>
  </si>
  <si>
    <t xml:space="preserve">Perpetual growth</t>
  </si>
  <si>
    <t xml:space="preserve">Identified intangibles, share of the excess</t>
  </si>
  <si>
    <t xml:space="preserve">Amortisation life, years</t>
  </si>
  <si>
    <t xml:space="preserve">The debt-like items, and the three questions that are asked separately</t>
  </si>
  <si>
    <t xml:space="preserve">item</t>
  </si>
  <si>
    <t xml:space="preserve">amount</t>
  </si>
  <si>
    <t xml:space="preserve">on the balance sheet</t>
  </si>
  <si>
    <t xml:space="preserve">bears interest after</t>
  </si>
  <si>
    <t xml:space="preserve">in the covenant</t>
  </si>
  <si>
    <t xml:space="preserve">Unfunded pension deficit</t>
  </si>
  <si>
    <t xml:space="preserve">Provided tax litigation</t>
  </si>
  <si>
    <t xml:space="preserve">Declared unpaid dividend</t>
  </si>
  <si>
    <t xml:space="preserve">Uncapitalised leases</t>
  </si>
  <si>
    <t xml:space="preserve">One is a switch, nought is not. The three answers are independent, and putting the leases back into the covenant and into the interest charge is the experiment of chapter 4.</t>
  </si>
  <si>
    <t xml:space="preserve">The lender's margin ladder</t>
  </si>
  <si>
    <t xml:space="preserve">leverage, times combined EBITDA</t>
  </si>
  <si>
    <t xml:space="preserve">at or above</t>
  </si>
  <si>
    <t xml:space="preserve">margin</t>
  </si>
  <si>
    <t xml:space="preserve">below 2.50</t>
  </si>
  <si>
    <t xml:space="preserve">2.50 to 3.00</t>
  </si>
  <si>
    <t xml:space="preserve">3.00 to 3.50</t>
  </si>
  <si>
    <t xml:space="preserve">3.50 to 4.00</t>
  </si>
  <si>
    <t xml:space="preserve">4.00 and above</t>
  </si>
  <si>
    <t xml:space="preserve">The lender does not quote a rate. It quotes a ladder, and the rate falls out of where the leverage lands on it.</t>
  </si>
  <si>
    <t xml:space="preserve">The deal, computed</t>
  </si>
  <si>
    <t xml:space="preserve">Every sheet in this workbook reads this one. Nothing here is typed in: it is all formula over Inputs.</t>
  </si>
  <si>
    <t xml:space="preserve">The debt-like items, answered three times</t>
  </si>
  <si>
    <t xml:space="preserve">Total, and the price falls by all of it</t>
  </si>
  <si>
    <t xml:space="preserve">Off balance sheet, so they raise the excess to allocate</t>
  </si>
  <si>
    <t xml:space="preserve">Bearing interest after the deal</t>
  </si>
  <si>
    <t xml:space="preserve">Inside the lender's covenant</t>
  </si>
  <si>
    <t xml:space="preserve">The price and the funding of completion</t>
  </si>
  <si>
    <t xml:space="preserve">Combined EBITDA</t>
  </si>
  <si>
    <t xml:space="preserve">Announced enterprise value</t>
  </si>
  <si>
    <t xml:space="preserve">Equity price, enterprise value less net debt</t>
  </si>
  <si>
    <t xml:space="preserve">Equity after the debt-like items</t>
  </si>
  <si>
    <t xml:space="preserve">Cash out at completion, fees included</t>
  </si>
  <si>
    <t xml:space="preserve">New debt</t>
  </si>
  <si>
    <t xml:space="preserve">Equity raised</t>
  </si>
  <si>
    <t xml:space="preserve">The fixed point: the rate depends on the leverage, the leverage on the earn-out, the earn-out on the rate</t>
  </si>
  <si>
    <t xml:space="preserve">Rate, iterated from the bottom of the ladder</t>
  </si>
  <si>
    <t xml:space="preserve">Eight passes. Where the two last cells agree, the ladder has a solution and that is the rate. Where they do not, the ladder refers to itself, and the model takes the prudent branch - the higher margin, which is what a lender will take - and says so.</t>
  </si>
  <si>
    <t xml:space="preserve">Does the ladder admit a solution?</t>
  </si>
  <si>
    <t xml:space="preserve">Rate on all of the group's debt after the deal</t>
  </si>
  <si>
    <t xml:space="preserve">of which the lender's margin</t>
  </si>
  <si>
    <t xml:space="preserve">Earn-out at fair value, discounted at the cost of debt</t>
  </si>
  <si>
    <t xml:space="preserve">Leverage after the deal, times combined EBITDA</t>
  </si>
  <si>
    <t xml:space="preserve">What the seller receives, and what is paid out</t>
  </si>
  <si>
    <t xml:space="preserve">What the seller receives, earn-out at fair value</t>
  </si>
  <si>
    <t xml:space="preserve">Total expected outlay</t>
  </si>
  <si>
    <t xml:space="preserve">Total outlay, full earn-out</t>
  </si>
  <si>
    <t xml:space="preserve">The shares</t>
  </si>
  <si>
    <t xml:space="preserve">Issue price</t>
  </si>
  <si>
    <t xml:space="preserve">Shares issued</t>
  </si>
  <si>
    <t xml:space="preserve">Shares in issue after the deal</t>
  </si>
  <si>
    <t xml:space="preserve">Dilution</t>
  </si>
  <si>
    <t xml:space="preserve">The acquirer on its own</t>
  </si>
  <si>
    <t xml:space="preserve">Standalone leverage</t>
  </si>
  <si>
    <t xml:space="preserve">Rate on the existing debt before the deal</t>
  </si>
  <si>
    <t xml:space="preserve">Interest before the deal</t>
  </si>
  <si>
    <t xml:space="preserve">Interest on the same debt after the deal</t>
  </si>
  <si>
    <t xml:space="preserve">Repricing of the existing debt, caused by the deal</t>
  </si>
  <si>
    <t xml:space="preserve">Operating profit</t>
  </si>
  <si>
    <t xml:space="preserve">Net income</t>
  </si>
  <si>
    <t xml:space="preserve">Earnings per share, standalone</t>
  </si>
  <si>
    <t xml:space="preserve">Market capitalisation</t>
  </si>
  <si>
    <t xml:space="preserve">Enterprise value</t>
  </si>
  <si>
    <t xml:space="preserve">Enterprise value, times EBITDA</t>
  </si>
  <si>
    <t xml:space="preserve">The target on a discounted cash flow, and the premium</t>
  </si>
  <si>
    <t xml:space="preserve">Normalised cash flow</t>
  </si>
  <si>
    <t xml:space="preserve">Intrinsic enterprise value</t>
  </si>
  <si>
    <t xml:space="preserve">Premium over it</t>
  </si>
  <si>
    <t xml:space="preserve">Premium, per cent</t>
  </si>
  <si>
    <t xml:space="preserve">The purchase price allocation</t>
  </si>
  <si>
    <t xml:space="preserve">Net assets acquired</t>
  </si>
  <si>
    <t xml:space="preserve">Excess to be allocated</t>
  </si>
  <si>
    <t xml:space="preserve">Identified intangibles</t>
  </si>
  <si>
    <t xml:space="preserve">Deferred tax liability on them</t>
  </si>
  <si>
    <t xml:space="preserve">Residual goodwill</t>
  </si>
  <si>
    <t xml:space="preserve">Annual amortisation of the intangibles</t>
  </si>
  <si>
    <t xml:space="preserve">The synergies, valued</t>
  </si>
  <si>
    <t xml:space="preserve">Value of one unit of run rate, ramp included</t>
  </si>
  <si>
    <t xml:space="preserve">Cost to achieve, after tax and discounted</t>
  </si>
  <si>
    <t xml:space="preserve">Value of the first three years, net of the cost</t>
  </si>
  <si>
    <t xml:space="preserve">Value of the perpetuity from year 4</t>
  </si>
  <si>
    <t xml:space="preserve">Value of the synergies</t>
  </si>
  <si>
    <t xml:space="preserve">Total to be covered: premium, fees and earn-out</t>
  </si>
  <si>
    <t xml:space="preserve">Value created</t>
  </si>
  <si>
    <t xml:space="preserve">Year one, combined</t>
  </si>
  <si>
    <t xml:space="preserve">EBITDA with the first year of synergies</t>
  </si>
  <si>
    <t xml:space="preserve">Integration cost of year one</t>
  </si>
  <si>
    <t xml:space="preserve">Depreciation, amortisation and the intangibles</t>
  </si>
  <si>
    <t xml:space="preserve">Interest, every line of it</t>
  </si>
  <si>
    <t xml:space="preserve">Profit before tax</t>
  </si>
  <si>
    <t xml:space="preserve">Earnings per share, combined</t>
  </si>
  <si>
    <t xml:space="preserve">Accretion, year one, statutory</t>
  </si>
  <si>
    <t xml:space="preserve">Year two, the first normal year</t>
  </si>
  <si>
    <t xml:space="preserve">Interest</t>
  </si>
  <si>
    <t xml:space="preserve">The rate that refers to itself</t>
  </si>
  <si>
    <t xml:space="preserve">The rate prices the leverage, the leverage carries the earn-out, and the earn-out is discounted at the rate. Three unknowns and a loop.</t>
  </si>
  <si>
    <t xml:space="preserve">the lender's ladder</t>
  </si>
  <si>
    <t xml:space="preserve">distance from where we land</t>
  </si>
  <si>
    <t xml:space="preserve">The fixed point, solved in the open</t>
  </si>
  <si>
    <t xml:space="preserve">Rate at each pass, starting from the bottom of the ladder</t>
  </si>
  <si>
    <t xml:space="preserve">Leverage that rate produces</t>
  </si>
  <si>
    <t xml:space="preserve">Does the ladder admit a solution here?</t>
  </si>
  <si>
    <t xml:space="preserve">Rate</t>
  </si>
  <si>
    <t xml:space="preserve">Margin</t>
  </si>
  <si>
    <t xml:space="preserve">Leverage after the deal</t>
  </si>
  <si>
    <t xml:space="preserve">Earn-out at fair value, which that rate sets</t>
  </si>
  <si>
    <t xml:space="preserve">How close the rung is, and the band beyond it where the ladder has no solution</t>
  </si>
  <si>
    <t xml:space="preserve">Nearest rung</t>
  </si>
  <si>
    <t xml:space="preserve">Distance to it, in turns of EBITDA</t>
  </si>
  <si>
    <t xml:space="preserve">Euros of target net debt needed to move the leverage numerator by one</t>
  </si>
  <si>
    <t xml:space="preserve">Target net debt at which the rung is reached</t>
  </si>
  <si>
    <t xml:space="preserve">Rate just below the rung</t>
  </si>
  <si>
    <t xml:space="preserve">Rate just above it</t>
  </si>
  <si>
    <t xml:space="preserve">Fall in the earn-out's fair value between the two rates</t>
  </si>
  <si>
    <t xml:space="preserve">Lower bound of the band: target net debt at which the rung is reached</t>
  </si>
  <si>
    <t xml:space="preserve">Width of the band, which has a closed form</t>
  </si>
  <si>
    <t xml:space="preserve">Upper bound of the band</t>
  </si>
  <si>
    <t xml:space="preserve">The band begins at the rung itself, at distance nothing. As soon as the leverage crosses 3.00 the rate goes up, the earn-out is worth less, and the leverage falls back below. The two rates refer to each other, and the model takes the prudent branch - the high margin, which is what a lender will take - and says so.</t>
  </si>
  <si>
    <t xml:space="preserve">The whole deal, re-run for another target net debt</t>
  </si>
  <si>
    <t xml:space="preserve">One row is one complete re-run: the price, the funding, the leverage, the rate, the earn-out, the allocation and the amortisation. Nothing is frozen.</t>
  </si>
  <si>
    <t xml:space="preserve">scenario</t>
  </si>
  <si>
    <t xml:space="preserve">target net debt</t>
  </si>
  <si>
    <t xml:space="preserve">life</t>
  </si>
  <si>
    <t xml:space="preserve">equity price</t>
  </si>
  <si>
    <t xml:space="preserve">after debt-like</t>
  </si>
  <si>
    <t xml:space="preserve">cash out</t>
  </si>
  <si>
    <t xml:space="preserve">new debt</t>
  </si>
  <si>
    <t xml:space="preserve">equity raised</t>
  </si>
  <si>
    <t xml:space="preserve">pass 0</t>
  </si>
  <si>
    <t xml:space="preserve">pass 1</t>
  </si>
  <si>
    <t xml:space="preserve">pass 2</t>
  </si>
  <si>
    <t xml:space="preserve">pass 3</t>
  </si>
  <si>
    <t xml:space="preserve">pass 4</t>
  </si>
  <si>
    <t xml:space="preserve">pass 5</t>
  </si>
  <si>
    <t xml:space="preserve">pass 6</t>
  </si>
  <si>
    <t xml:space="preserve">pass 7</t>
  </si>
  <si>
    <t xml:space="preserve">rate</t>
  </si>
  <si>
    <t xml:space="preserve">earn-out</t>
  </si>
  <si>
    <t xml:space="preserve">leverage</t>
  </si>
  <si>
    <t xml:space="preserve">consideration</t>
  </si>
  <si>
    <t xml:space="preserve">shares</t>
  </si>
  <si>
    <t xml:space="preserve">excess</t>
  </si>
  <si>
    <t xml:space="preserve">amortisation</t>
  </si>
  <si>
    <t xml:space="preserve">interest</t>
  </si>
  <si>
    <t xml:space="preserve">profit before tax</t>
  </si>
  <si>
    <t xml:space="preserve">earnings per share</t>
  </si>
  <si>
    <t xml:space="preserve">accretion</t>
  </si>
  <si>
    <t xml:space="preserve">value created</t>
  </si>
  <si>
    <t xml:space="preserve">solution?</t>
  </si>
  <si>
    <t xml:space="preserve">Target net debt 20,000,000</t>
  </si>
  <si>
    <t xml:space="preserve">The deal as struck</t>
  </si>
  <si>
    <t xml:space="preserve">Target net debt 47,500,000</t>
  </si>
  <si>
    <t xml:space="preserve">Target net debt 48,200,000</t>
  </si>
  <si>
    <t xml:space="preserve">Target net debt 60,000,000</t>
  </si>
  <si>
    <t xml:space="preserve">Target net debt 80,000,000</t>
  </si>
  <si>
    <t xml:space="preserve">Just below the rung</t>
  </si>
  <si>
    <t xml:space="preserve">Just above it, inside the band</t>
  </si>
  <si>
    <t xml:space="preserve">The deal as struck, 15 year life</t>
  </si>
  <si>
    <t xml:space="preserve">Target net debt 47,500,000, 15 year life</t>
  </si>
  <si>
    <t xml:space="preserve">The deal as struck, 25 year life</t>
  </si>
  <si>
    <t xml:space="preserve">Target net debt 47,500,000, 25 year life</t>
  </si>
  <si>
    <t xml:space="preserve">The deal as struck, 100 year life</t>
  </si>
  <si>
    <t xml:space="preserve">Target net debt 47,500,000, 100 year life</t>
  </si>
  <si>
    <t xml:space="preserve">The two knife-edge rows are not typed: they are the rung itself, plus and minus forty thousand. Move any input and they move with it.</t>
  </si>
  <si>
    <t xml:space="preserve">The target's leverage: three findings</t>
  </si>
  <si>
    <t xml:space="preserve">The target's net debt does not change what the acquirer pays by a penny. It changes the year-one accretion, for reasons nobody guesses.</t>
  </si>
  <si>
    <t xml:space="preserve">year-one accretion</t>
  </si>
  <si>
    <t xml:space="preserve">The 48,200,000 line is priced at 6.00 per cent although its leverage is 2.9992, under the rung: it is inside the band where the ladder admits no solution, and the prudent branch is taken. Rows that share a rate compare with each other. Rows that changed rung compare with nothing: they changed world.</t>
  </si>
  <si>
    <t xml:space="preserve">The last three columns decompose the accretion gap against the second row. Their sum is exactly the total gap - an identity, not an approximation: the constant term cancels.</t>
  </si>
  <si>
    <t xml:space="preserve">Finding 1 - the debt against equity trade exists, and it weighs nothing</t>
  </si>
  <si>
    <t xml:space="preserve">Equity not raised, from 38,500,000 to 47,500,000 of assumed debt</t>
  </si>
  <si>
    <t xml:space="preserve">Extra interest paid for it</t>
  </si>
  <si>
    <t xml:space="preserve">In points of accretion, the shares</t>
  </si>
  <si>
    <t xml:space="preserve">In points of accretion, the interest</t>
  </si>
  <si>
    <t xml:space="preserve">Net</t>
  </si>
  <si>
    <t xml:space="preserve">The paper's yardstick: cost of debt after tax</t>
  </si>
  <si>
    <t xml:space="preserve">against the earnings yield on the standalone earnings per share</t>
  </si>
  <si>
    <t xml:space="preserve">The right yardstick, on statutory year one</t>
  </si>
  <si>
    <t xml:space="preserve">The right yardstick, on year two, the first normal year</t>
  </si>
  <si>
    <t xml:space="preserve">Finding 2 - the movement is an accounting one, and it weighs sixteen times that</t>
  </si>
  <si>
    <t xml:space="preserve">Amortisation of intangibles, a year less</t>
  </si>
  <si>
    <t xml:space="preserve">In points of accretion</t>
  </si>
  <si>
    <t xml:space="preserve">How many times the financing trade it is worth</t>
  </si>
  <si>
    <t xml:space="preserve">amortisation life</t>
  </si>
  <si>
    <t xml:space="preserve">total gap</t>
  </si>
  <si>
    <t xml:space="preserve">of which amortisation</t>
  </si>
  <si>
    <t xml:space="preserve">The gap tends to a positive asymptote: it decays, it never turns over. The life decides the size, never the sign.</t>
  </si>
  <si>
    <t xml:space="preserve">Finding 3 - the accretion is a step function, and a step has no slope</t>
  </si>
  <si>
    <t xml:space="preserve">The rung falls at this much target net debt</t>
  </si>
  <si>
    <t xml:space="preserve">More than the deal as struck</t>
  </si>
  <si>
    <t xml:space="preserve">Just below it, target net debt</t>
  </si>
  <si>
    <t xml:space="preserve">its leverage</t>
  </si>
  <si>
    <t xml:space="preserve">its rate</t>
  </si>
  <si>
    <t xml:space="preserve">its year-one accretion</t>
  </si>
  <si>
    <t xml:space="preserve">Just above it, target net debt</t>
  </si>
  <si>
    <t xml:space="preserve">The step, in points, for forty thousand of net debt</t>
  </si>
  <si>
    <t xml:space="preserve">The slope, in points per million, while the rung is not reached</t>
  </si>
  <si>
    <t xml:space="preserve">Millions of slope the step is worth</t>
  </si>
  <si>
    <t xml:space="preserve">Forty thousand of net debt, as a share of the announced price</t>
  </si>
  <si>
    <t xml:space="preserve">And the value created, in all of that?</t>
  </si>
  <si>
    <t xml:space="preserve">Distance the value created travels across the table</t>
  </si>
  <si>
    <t xml:space="preserve">Distance the accretion travels, in points</t>
  </si>
  <si>
    <t xml:space="preserve">The value travelled, as a share of the price paid</t>
  </si>
  <si>
    <t xml:space="preserve">A figure that travels 3.80 points of the earnings per share while the value travels 0.0819 per cent of the price is not a value figure. That is the sentence of the book, and this table is its proof.</t>
  </si>
  <si>
    <t xml:space="preserve">Checks</t>
  </si>
  <si>
    <t xml:space="preserve">Each line sets a figure printed in the book beside the figure this workbook computes.</t>
  </si>
  <si>
    <t xml:space="preserve">Column C is typed from the page. Column D is a live formula over the inputs. If they disagree the check says FAIL, and it is the workbook that is wrong.</t>
  </si>
  <si>
    <t xml:space="preserve">Ch.</t>
  </si>
  <si>
    <t xml:space="preserve">Figure</t>
  </si>
  <si>
    <t xml:space="preserve">Printed</t>
  </si>
  <si>
    <t xml:space="preserve">Workbook</t>
  </si>
  <si>
    <t xml:space="preserve">Difference</t>
  </si>
  <si>
    <t xml:space="preserve">Result</t>
  </si>
  <si>
    <t xml:space="preserve">11</t>
  </si>
  <si>
    <t xml:space="preserve">Distance to it, in turns</t>
  </si>
  <si>
    <t xml:space="preserve">Upper bound of the band with no solution</t>
  </si>
  <si>
    <t xml:space="preserve">Width of the band</t>
  </si>
  <si>
    <t xml:space="preserve">Fall in the earn-out's fair value from 5.25 to 6.00 per cent</t>
  </si>
  <si>
    <t xml:space="preserve">Target net debt needed to move the leverage numerator by one</t>
  </si>
  <si>
    <t xml:space="preserve">More target net debt it would take to reach the rung</t>
  </si>
  <si>
    <t xml:space="preserve">17</t>
  </si>
  <si>
    <t xml:space="preserve">Leverage at 47,500,000</t>
  </si>
  <si>
    <t xml:space="preserve">Leverage at 48,200,000, still under the rung</t>
  </si>
  <si>
    <t xml:space="preserve">Accretion at 38,500,000, the deal as struck</t>
  </si>
  <si>
    <t xml:space="preserve">Accretion at 47,500,000</t>
  </si>
  <si>
    <t xml:space="preserve">Accretion at 48,200,000, priced on the branch above</t>
  </si>
  <si>
    <t xml:space="preserve">Accretion at 80,000,000</t>
  </si>
  <si>
    <t xml:space="preserve">Decomposition at 47,500,000, the shares</t>
  </si>
  <si>
    <t xml:space="preserve">Decomposition at 47,500,000, the interest</t>
  </si>
  <si>
    <t xml:space="preserve">Decomposition at 47,500,000, the amortisation</t>
  </si>
  <si>
    <t xml:space="preserve">Equity not raised between the two</t>
  </si>
  <si>
    <t xml:space="preserve">The earnings yield it compares it to</t>
  </si>
  <si>
    <t xml:space="preserve">The right yardstick on statutory year one</t>
  </si>
  <si>
    <t xml:space="preserve">The right yardstick on year two</t>
  </si>
  <si>
    <t xml:space="preserve">Amortisation a more levered target saves each year</t>
  </si>
  <si>
    <t xml:space="preserve">Total gap at a 15 year life</t>
  </si>
  <si>
    <t xml:space="preserve">Of which amortisation, at 15 years</t>
  </si>
  <si>
    <t xml:space="preserve">Just below the rung: accretion</t>
  </si>
  <si>
    <t xml:space="preserve">Just above it: accretion</t>
  </si>
  <si>
    <t xml:space="preserve">The slope, in points per million</t>
  </si>
  <si>
    <t xml:space="preserve">Distance the value created travels</t>
  </si>
  <si>
    <t xml:space="preserve">Checks that pass</t>
  </si>
  <si>
    <t xml:space="preserve">Checks that fail</t>
  </si>
  <si>
    <t xml:space="preserve">All checks</t>
  </si>
</sst>
</file>

<file path=xl/styles.xml><?xml version="1.0" encoding="utf-8"?>
<styleSheet xmlns="http://schemas.openxmlformats.org/spreadsheetml/2006/main">
  <numFmts count="14">
    <numFmt numFmtId="164" formatCode="General"/>
    <numFmt numFmtId="165" formatCode="#,##0;\-#,##0"/>
    <numFmt numFmtId="166" formatCode="#,##0"/>
    <numFmt numFmtId="167" formatCode="#,##0.00;\-#,##0.00"/>
    <numFmt numFmtId="168" formatCode="0.0000\x"/>
    <numFmt numFmtId="169" formatCode="0.00%;\-0.00%"/>
    <numFmt numFmtId="170" formatCode="0"/>
    <numFmt numFmtId="171" formatCode="0.0000"/>
    <numFmt numFmtId="172" formatCode="@"/>
    <numFmt numFmtId="173" formatCode="0.0000%;\-0.0000%"/>
    <numFmt numFmtId="174" formatCode="0.000000"/>
    <numFmt numFmtId="175" formatCode="0.0000&quot; pt&quot;"/>
    <numFmt numFmtId="176" formatCode="0&quot; years&quot;"/>
    <numFmt numFmtId="177" formatCode="0.00000000"/>
  </numFmts>
  <fonts count="12">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0"/>
      <color rgb="FFFFFFFF"/>
      <name val="Calibri"/>
      <family val="0"/>
      <charset val="1"/>
    </font>
    <font>
      <i val="true"/>
      <sz val="9"/>
      <color rgb="FF5A6A70"/>
      <name val="Calibri"/>
      <family val="0"/>
      <charset val="1"/>
    </font>
    <font>
      <b val="true"/>
      <sz val="11"/>
      <color rgb="FF1A1A1A"/>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70" fontId="8" fillId="2" borderId="3" xfId="0" applyFont="true" applyBorder="true" applyAlignment="false" applyProtection="false">
      <alignment horizontal="general" vertical="bottom" textRotation="0" wrapText="false" indent="0" shrinkToFit="false"/>
      <protection locked="true" hidden="false"/>
    </xf>
    <xf numFmtId="164" fontId="9" fillId="3" borderId="3" xfId="0" applyFont="true" applyBorder="true" applyAlignment="true" applyProtection="false">
      <alignment horizontal="left" vertical="center" textRotation="0" wrapText="true" indent="0" shrinkToFit="false"/>
      <protection locked="true" hidden="false"/>
    </xf>
    <xf numFmtId="164" fontId="9" fillId="3" borderId="3" xfId="0" applyFont="true" applyBorder="true" applyAlignment="true" applyProtection="false">
      <alignment horizontal="right" vertical="center" textRotation="0" wrapText="true" indent="0" shrinkToFit="false"/>
      <protection locked="true" hidden="false"/>
    </xf>
    <xf numFmtId="170" fontId="8" fillId="2" borderId="3" xfId="0" applyFont="true" applyBorder="true" applyAlignment="true" applyProtection="false">
      <alignment horizontal="center"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71" fontId="8" fillId="2" borderId="3" xfId="0" applyFont="true" applyBorder="tru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xf numFmtId="177" fontId="7" fillId="0" borderId="0" xfId="0" applyFont="true" applyBorder="false" applyAlignment="false" applyProtection="false">
      <alignment horizontal="general" vertical="bottom" textRotation="0" wrapText="false" indent="0" shrinkToFit="false"/>
      <protection locked="true" hidden="false"/>
    </xf>
    <xf numFmtId="172" fontId="11"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71" fontId="7" fillId="4" borderId="0" xfId="0" applyFont="true" applyBorder="false" applyAlignment="false" applyProtection="false">
      <alignment horizontal="general" vertical="bottom" textRotation="0" wrapText="false" indent="0" shrinkToFit="false"/>
      <protection locked="true" hidden="false"/>
    </xf>
    <xf numFmtId="177" fontId="7" fillId="4" borderId="0" xfId="0" applyFont="true" applyBorder="false" applyAlignment="false" applyProtection="false">
      <alignment horizontal="general" vertical="bottom" textRotation="0" wrapText="false" indent="0" shrinkToFit="false"/>
      <protection locked="true" hidden="false"/>
    </xf>
    <xf numFmtId="172" fontId="11" fillId="4"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73" fontId="7" fillId="4" borderId="0" xfId="0" applyFont="true" applyBorder="false" applyAlignment="false" applyProtection="false">
      <alignment horizontal="general" vertical="bottom" textRotation="0" wrapText="false" indent="0" shrinkToFit="false"/>
      <protection locked="true" hidden="false"/>
    </xf>
    <xf numFmtId="175" fontId="7" fillId="4"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45" hidden="false" customHeight="true" outlineLevel="0" collapsed="false">
      <c r="A7" s="5" t="s">
        <v>3</v>
      </c>
    </row>
    <row r="9" customFormat="false" ht="15" hidden="false" customHeight="false" outlineLevel="0" collapsed="false">
      <c r="A9" s="4" t="s">
        <v>4</v>
      </c>
    </row>
    <row r="11" customFormat="false" ht="60" hidden="false" customHeight="true" outlineLevel="0" collapsed="false">
      <c r="A11" s="5" t="s">
        <v>5</v>
      </c>
    </row>
    <row r="13" customFormat="false" ht="15" hidden="false" customHeight="false" outlineLevel="0" collapsed="false">
      <c r="A13" s="4" t="s">
        <v>6</v>
      </c>
    </row>
    <row r="15" customFormat="false" ht="45" hidden="false" customHeight="true" outlineLevel="0" collapsed="false">
      <c r="A15" s="5" t="s">
        <v>7</v>
      </c>
    </row>
    <row r="17" customFormat="false" ht="15" hidden="false" customHeight="false" outlineLevel="0" collapsed="false">
      <c r="A17" s="4" t="s">
        <v>8</v>
      </c>
    </row>
    <row r="19" customFormat="false" ht="45" hidden="false" customHeight="true" outlineLevel="0" collapsed="false">
      <c r="A19" s="5" t="s">
        <v>9</v>
      </c>
    </row>
    <row r="21" customFormat="false" ht="15" hidden="false" customHeight="false" outlineLevel="0" collapsed="false">
      <c r="A21" s="4" t="s">
        <v>10</v>
      </c>
    </row>
    <row r="23" customFormat="false" ht="45" hidden="false" customHeight="true" outlineLevel="0" collapsed="false">
      <c r="A23" s="5" t="s">
        <v>11</v>
      </c>
    </row>
    <row r="25" customFormat="false" ht="15" hidden="false" customHeight="false" outlineLevel="0" collapsed="false">
      <c r="A25" s="4" t="s">
        <v>12</v>
      </c>
    </row>
    <row r="27" customFormat="false" ht="30" hidden="false" customHeight="true" outlineLevel="0" collapsed="false">
      <c r="A27" s="5"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7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2" min="2" style="0" width="18"/>
    <col collapsed="false" customWidth="true" hidden="false" outlineLevel="0" max="5" min="3" style="0" width="13"/>
  </cols>
  <sheetData>
    <row r="1" customFormat="false" ht="24" hidden="false" customHeight="true" outlineLevel="0" collapsed="false">
      <c r="A1" s="1" t="s">
        <v>14</v>
      </c>
    </row>
    <row r="2" customFormat="false" ht="15" hidden="false" customHeight="false" outlineLevel="0" collapsed="false">
      <c r="A2" s="2" t="s">
        <v>15</v>
      </c>
    </row>
    <row r="3" customFormat="false" ht="15" hidden="false" customHeight="false" outlineLevel="0" collapsed="false">
      <c r="A3" s="3"/>
      <c r="B3" s="3"/>
      <c r="C3" s="3"/>
      <c r="D3" s="3"/>
      <c r="E3" s="3"/>
    </row>
    <row r="5" customFormat="false" ht="15" hidden="false" customHeight="false" outlineLevel="0" collapsed="false">
      <c r="A5" s="4" t="s">
        <v>16</v>
      </c>
      <c r="B5" s="6"/>
      <c r="C5" s="6"/>
      <c r="D5" s="6"/>
      <c r="E5" s="6"/>
    </row>
    <row r="7" customFormat="false" ht="15" hidden="false" customHeight="false" outlineLevel="0" collapsed="false">
      <c r="A7" s="7" t="s">
        <v>17</v>
      </c>
      <c r="B7" s="8" t="n">
        <v>184000000</v>
      </c>
    </row>
    <row r="8" customFormat="false" ht="15" hidden="false" customHeight="false" outlineLevel="0" collapsed="false">
      <c r="A8" s="7" t="s">
        <v>18</v>
      </c>
      <c r="B8" s="8" t="n">
        <v>27600000</v>
      </c>
    </row>
    <row r="9" customFormat="false" ht="15" hidden="false" customHeight="false" outlineLevel="0" collapsed="false">
      <c r="A9" s="7" t="s">
        <v>19</v>
      </c>
      <c r="B9" s="8" t="n">
        <v>6400000</v>
      </c>
    </row>
    <row r="10" customFormat="false" ht="15" hidden="false" customHeight="false" outlineLevel="0" collapsed="false">
      <c r="A10" s="7" t="s">
        <v>20</v>
      </c>
      <c r="B10" s="8" t="n">
        <v>7600000</v>
      </c>
    </row>
    <row r="11" customFormat="false" ht="15" hidden="false" customHeight="false" outlineLevel="0" collapsed="false">
      <c r="A11" s="7" t="s">
        <v>21</v>
      </c>
      <c r="B11" s="8" t="n">
        <v>800000</v>
      </c>
    </row>
    <row r="12" customFormat="false" ht="15" hidden="false" customHeight="false" outlineLevel="0" collapsed="false">
      <c r="A12" s="7" t="s">
        <v>22</v>
      </c>
      <c r="B12" s="8" t="n">
        <v>38500000</v>
      </c>
    </row>
    <row r="13" customFormat="false" ht="15" hidden="false" customHeight="false" outlineLevel="0" collapsed="false">
      <c r="A13" s="7" t="s">
        <v>23</v>
      </c>
      <c r="B13" s="8" t="n">
        <v>46300000</v>
      </c>
    </row>
    <row r="15" customFormat="false" ht="15" hidden="false" customHeight="false" outlineLevel="0" collapsed="false">
      <c r="A15" s="4" t="s">
        <v>24</v>
      </c>
      <c r="B15" s="6"/>
      <c r="C15" s="6"/>
      <c r="D15" s="6"/>
      <c r="E15" s="6"/>
    </row>
    <row r="17" customFormat="false" ht="15" hidden="false" customHeight="false" outlineLevel="0" collapsed="false">
      <c r="A17" s="7" t="s">
        <v>17</v>
      </c>
      <c r="B17" s="8" t="n">
        <v>620000000</v>
      </c>
    </row>
    <row r="18" customFormat="false" ht="15" hidden="false" customHeight="false" outlineLevel="0" collapsed="false">
      <c r="A18" s="7" t="s">
        <v>18</v>
      </c>
      <c r="B18" s="8" t="n">
        <v>96000000</v>
      </c>
    </row>
    <row r="19" customFormat="false" ht="15" hidden="false" customHeight="false" outlineLevel="0" collapsed="false">
      <c r="A19" s="7" t="s">
        <v>19</v>
      </c>
      <c r="B19" s="8" t="n">
        <v>21000000</v>
      </c>
    </row>
    <row r="20" customFormat="false" ht="15" hidden="false" customHeight="false" outlineLevel="0" collapsed="false">
      <c r="A20" s="7" t="s">
        <v>25</v>
      </c>
      <c r="B20" s="8" t="n">
        <v>186700000</v>
      </c>
    </row>
    <row r="21" customFormat="false" ht="15" hidden="false" customHeight="false" outlineLevel="0" collapsed="false">
      <c r="A21" s="7" t="s">
        <v>26</v>
      </c>
      <c r="B21" s="9" t="n">
        <v>118000000</v>
      </c>
    </row>
    <row r="22" customFormat="false" ht="15" hidden="false" customHeight="false" outlineLevel="0" collapsed="false">
      <c r="A22" s="7" t="s">
        <v>27</v>
      </c>
      <c r="B22" s="10" t="n">
        <v>8.3</v>
      </c>
    </row>
    <row r="24" customFormat="false" ht="15" hidden="false" customHeight="false" outlineLevel="0" collapsed="false">
      <c r="A24" s="4" t="s">
        <v>28</v>
      </c>
      <c r="B24" s="6"/>
      <c r="C24" s="6"/>
      <c r="D24" s="6"/>
      <c r="E24" s="6"/>
    </row>
    <row r="26" customFormat="false" ht="15" hidden="false" customHeight="false" outlineLevel="0" collapsed="false">
      <c r="A26" s="7" t="s">
        <v>29</v>
      </c>
      <c r="B26" s="11" t="n">
        <v>9</v>
      </c>
    </row>
    <row r="27" customFormat="false" ht="15" hidden="false" customHeight="false" outlineLevel="0" collapsed="false">
      <c r="A27" s="7" t="s">
        <v>30</v>
      </c>
      <c r="B27" s="12" t="n">
        <v>0.25</v>
      </c>
    </row>
    <row r="28" customFormat="false" ht="15" hidden="false" customHeight="false" outlineLevel="0" collapsed="false">
      <c r="A28" s="7" t="s">
        <v>31</v>
      </c>
      <c r="B28" s="8" t="n">
        <v>6900000</v>
      </c>
    </row>
    <row r="29" customFormat="false" ht="15" hidden="false" customHeight="false" outlineLevel="0" collapsed="false">
      <c r="A29" s="7" t="s">
        <v>32</v>
      </c>
      <c r="B29" s="12" t="n">
        <v>0.6</v>
      </c>
    </row>
    <row r="30" customFormat="false" ht="15" hidden="false" customHeight="false" outlineLevel="0" collapsed="false">
      <c r="A30" s="7" t="s">
        <v>33</v>
      </c>
      <c r="B30" s="12" t="n">
        <v>0.045</v>
      </c>
    </row>
    <row r="31" customFormat="false" ht="15" hidden="false" customHeight="false" outlineLevel="0" collapsed="false">
      <c r="A31" s="7" t="s">
        <v>34</v>
      </c>
      <c r="B31" s="12" t="n">
        <v>0.04</v>
      </c>
    </row>
    <row r="33" customFormat="false" ht="15" hidden="false" customHeight="false" outlineLevel="0" collapsed="false">
      <c r="A33" s="4" t="s">
        <v>35</v>
      </c>
      <c r="B33" s="6"/>
      <c r="C33" s="6"/>
      <c r="D33" s="6"/>
      <c r="E33" s="6"/>
    </row>
    <row r="35" customFormat="false" ht="15" hidden="false" customHeight="false" outlineLevel="0" collapsed="false">
      <c r="A35" s="7" t="s">
        <v>36</v>
      </c>
      <c r="B35" s="8" t="n">
        <v>25000000</v>
      </c>
    </row>
    <row r="36" customFormat="false" ht="15" hidden="false" customHeight="false" outlineLevel="0" collapsed="false">
      <c r="A36" s="7" t="s">
        <v>37</v>
      </c>
      <c r="B36" s="12" t="n">
        <v>0.45</v>
      </c>
    </row>
    <row r="37" customFormat="false" ht="15" hidden="false" customHeight="false" outlineLevel="0" collapsed="false">
      <c r="A37" s="7" t="s">
        <v>38</v>
      </c>
      <c r="B37" s="13" t="n">
        <v>3</v>
      </c>
    </row>
    <row r="39" customFormat="false" ht="15" hidden="false" customHeight="false" outlineLevel="0" collapsed="false">
      <c r="A39" s="4" t="s">
        <v>39</v>
      </c>
      <c r="B39" s="6"/>
      <c r="C39" s="6"/>
      <c r="D39" s="6"/>
      <c r="E39" s="6"/>
    </row>
    <row r="41" customFormat="false" ht="15" hidden="false" customHeight="false" outlineLevel="0" collapsed="false">
      <c r="A41" s="7" t="s">
        <v>40</v>
      </c>
      <c r="B41" s="8" t="n">
        <v>7200000</v>
      </c>
    </row>
    <row r="42" customFormat="false" ht="15" hidden="false" customHeight="false" outlineLevel="0" collapsed="false">
      <c r="A42" s="7" t="s">
        <v>41</v>
      </c>
      <c r="B42" s="12" t="n">
        <v>0.3</v>
      </c>
    </row>
    <row r="43" customFormat="false" ht="15" hidden="false" customHeight="false" outlineLevel="0" collapsed="false">
      <c r="A43" s="7" t="s">
        <v>42</v>
      </c>
      <c r="B43" s="12" t="n">
        <v>0.7</v>
      </c>
    </row>
    <row r="44" customFormat="false" ht="15" hidden="false" customHeight="false" outlineLevel="0" collapsed="false">
      <c r="A44" s="7" t="s">
        <v>43</v>
      </c>
      <c r="B44" s="12" t="n">
        <v>1</v>
      </c>
    </row>
    <row r="45" customFormat="false" ht="15" hidden="false" customHeight="false" outlineLevel="0" collapsed="false">
      <c r="A45" s="7" t="s">
        <v>44</v>
      </c>
      <c r="B45" s="8" t="n">
        <v>9400000</v>
      </c>
    </row>
    <row r="46" customFormat="false" ht="15" hidden="false" customHeight="false" outlineLevel="0" collapsed="false">
      <c r="A46" s="7" t="s">
        <v>45</v>
      </c>
      <c r="B46" s="12" t="n">
        <v>0.55</v>
      </c>
    </row>
    <row r="47" customFormat="false" ht="15" hidden="false" customHeight="false" outlineLevel="0" collapsed="false">
      <c r="A47" s="7" t="s">
        <v>46</v>
      </c>
      <c r="B47" s="12" t="n">
        <v>0.3</v>
      </c>
    </row>
    <row r="48" customFormat="false" ht="15" hidden="false" customHeight="false" outlineLevel="0" collapsed="false">
      <c r="A48" s="7" t="s">
        <v>47</v>
      </c>
      <c r="B48" s="12" t="n">
        <v>0.15</v>
      </c>
    </row>
    <row r="50" customFormat="false" ht="15" hidden="false" customHeight="false" outlineLevel="0" collapsed="false">
      <c r="A50" s="4" t="s">
        <v>48</v>
      </c>
      <c r="B50" s="6"/>
      <c r="C50" s="6"/>
      <c r="D50" s="6"/>
      <c r="E50" s="6"/>
    </row>
    <row r="52" customFormat="false" ht="15" hidden="false" customHeight="false" outlineLevel="0" collapsed="false">
      <c r="A52" s="7" t="s">
        <v>49</v>
      </c>
      <c r="B52" s="12" t="n">
        <v>0.0925</v>
      </c>
    </row>
    <row r="53" customFormat="false" ht="15" hidden="false" customHeight="false" outlineLevel="0" collapsed="false">
      <c r="A53" s="7" t="s">
        <v>50</v>
      </c>
      <c r="B53" s="12" t="n">
        <v>0.0175</v>
      </c>
    </row>
    <row r="54" customFormat="false" ht="15" hidden="false" customHeight="false" outlineLevel="0" collapsed="false">
      <c r="A54" s="7" t="s">
        <v>51</v>
      </c>
      <c r="B54" s="12" t="n">
        <v>0.38</v>
      </c>
    </row>
    <row r="55" customFormat="false" ht="15" hidden="false" customHeight="false" outlineLevel="0" collapsed="false">
      <c r="A55" s="7" t="s">
        <v>52</v>
      </c>
      <c r="B55" s="13" t="n">
        <v>9</v>
      </c>
    </row>
    <row r="57" customFormat="false" ht="15" hidden="false" customHeight="false" outlineLevel="0" collapsed="false">
      <c r="A57" s="4" t="s">
        <v>53</v>
      </c>
      <c r="B57" s="6"/>
      <c r="C57" s="6"/>
      <c r="D57" s="6"/>
      <c r="E57" s="6"/>
    </row>
    <row r="59" customFormat="false" ht="30" hidden="false" customHeight="true" outlineLevel="0" collapsed="false">
      <c r="A59" s="14" t="s">
        <v>54</v>
      </c>
      <c r="B59" s="15" t="s">
        <v>55</v>
      </c>
      <c r="C59" s="15" t="s">
        <v>56</v>
      </c>
      <c r="D59" s="15" t="s">
        <v>57</v>
      </c>
      <c r="E59" s="15" t="s">
        <v>58</v>
      </c>
    </row>
    <row r="60" customFormat="false" ht="15" hidden="false" customHeight="false" outlineLevel="0" collapsed="false">
      <c r="A60" s="7" t="s">
        <v>59</v>
      </c>
      <c r="B60" s="8" t="n">
        <v>7200000</v>
      </c>
      <c r="C60" s="16" t="n">
        <v>0</v>
      </c>
      <c r="D60" s="16" t="n">
        <v>1</v>
      </c>
      <c r="E60" s="16" t="n">
        <v>1</v>
      </c>
    </row>
    <row r="61" customFormat="false" ht="15" hidden="false" customHeight="false" outlineLevel="0" collapsed="false">
      <c r="A61" s="7" t="s">
        <v>60</v>
      </c>
      <c r="B61" s="8" t="n">
        <v>2450000</v>
      </c>
      <c r="C61" s="16" t="n">
        <v>1</v>
      </c>
      <c r="D61" s="16" t="n">
        <v>0</v>
      </c>
      <c r="E61" s="16" t="n">
        <v>1</v>
      </c>
    </row>
    <row r="62" customFormat="false" ht="15" hidden="false" customHeight="false" outlineLevel="0" collapsed="false">
      <c r="A62" s="7" t="s">
        <v>61</v>
      </c>
      <c r="B62" s="8" t="n">
        <v>1800000</v>
      </c>
      <c r="C62" s="16" t="n">
        <v>1</v>
      </c>
      <c r="D62" s="16" t="n">
        <v>0</v>
      </c>
      <c r="E62" s="16" t="n">
        <v>1</v>
      </c>
    </row>
    <row r="63" customFormat="false" ht="15" hidden="false" customHeight="false" outlineLevel="0" collapsed="false">
      <c r="A63" s="7" t="s">
        <v>62</v>
      </c>
      <c r="B63" s="8" t="n">
        <v>4150000</v>
      </c>
      <c r="C63" s="16" t="n">
        <v>0</v>
      </c>
      <c r="D63" s="16" t="n">
        <v>0</v>
      </c>
      <c r="E63" s="16" t="n">
        <v>0</v>
      </c>
    </row>
    <row r="64" customFormat="false" ht="15" hidden="false" customHeight="false" outlineLevel="0" collapsed="false">
      <c r="A64" s="17" t="s">
        <v>63</v>
      </c>
    </row>
    <row r="66" customFormat="false" ht="15" hidden="false" customHeight="false" outlineLevel="0" collapsed="false">
      <c r="A66" s="4" t="s">
        <v>64</v>
      </c>
      <c r="B66" s="6"/>
      <c r="C66" s="6"/>
      <c r="D66" s="6"/>
      <c r="E66" s="6"/>
    </row>
    <row r="68" customFormat="false" ht="30" hidden="false" customHeight="true" outlineLevel="0" collapsed="false">
      <c r="A68" s="14" t="s">
        <v>65</v>
      </c>
      <c r="B68" s="15" t="s">
        <v>66</v>
      </c>
      <c r="C68" s="15" t="s">
        <v>67</v>
      </c>
    </row>
    <row r="69" customFormat="false" ht="15" hidden="false" customHeight="false" outlineLevel="0" collapsed="false">
      <c r="A69" s="7" t="s">
        <v>68</v>
      </c>
      <c r="B69" s="18" t="n">
        <v>0</v>
      </c>
      <c r="C69" s="12" t="n">
        <v>0.01</v>
      </c>
    </row>
    <row r="70" customFormat="false" ht="15" hidden="false" customHeight="false" outlineLevel="0" collapsed="false">
      <c r="A70" s="7" t="s">
        <v>69</v>
      </c>
      <c r="B70" s="18" t="n">
        <v>2.5</v>
      </c>
      <c r="C70" s="12" t="n">
        <v>0.0125</v>
      </c>
    </row>
    <row r="71" customFormat="false" ht="15" hidden="false" customHeight="false" outlineLevel="0" collapsed="false">
      <c r="A71" s="7" t="s">
        <v>70</v>
      </c>
      <c r="B71" s="18" t="n">
        <v>3</v>
      </c>
      <c r="C71" s="12" t="n">
        <v>0.02</v>
      </c>
    </row>
    <row r="72" customFormat="false" ht="15" hidden="false" customHeight="false" outlineLevel="0" collapsed="false">
      <c r="A72" s="7" t="s">
        <v>71</v>
      </c>
      <c r="B72" s="18" t="n">
        <v>3.5</v>
      </c>
      <c r="C72" s="12" t="n">
        <v>0.0325</v>
      </c>
    </row>
    <row r="73" customFormat="false" ht="15" hidden="false" customHeight="false" outlineLevel="0" collapsed="false">
      <c r="A73" s="7" t="s">
        <v>72</v>
      </c>
      <c r="B73" s="18" t="n">
        <v>4</v>
      </c>
      <c r="C73" s="12" t="n">
        <v>0.05</v>
      </c>
    </row>
    <row r="74" customFormat="false" ht="15" hidden="false" customHeight="false" outlineLevel="0" collapsed="false">
      <c r="A74" s="17" t="s">
        <v>73</v>
      </c>
    </row>
  </sheetData>
  <dataValidations count="12">
    <dataValidation allowBlank="false" errorStyle="stop" operator="between" showDropDown="false" showErrorMessage="false" showInputMessage="false" sqref="C60" type="list">
      <formula1>"1,0"</formula1>
      <formula2>0</formula2>
    </dataValidation>
    <dataValidation allowBlank="false" errorStyle="stop" operator="between" showDropDown="false" showErrorMessage="false" showInputMessage="false" sqref="D60" type="list">
      <formula1>"1,0"</formula1>
      <formula2>0</formula2>
    </dataValidation>
    <dataValidation allowBlank="false" errorStyle="stop" operator="between" showDropDown="false" showErrorMessage="false" showInputMessage="false" sqref="E60" type="list">
      <formula1>"1,0"</formula1>
      <formula2>0</formula2>
    </dataValidation>
    <dataValidation allowBlank="false" errorStyle="stop" operator="between" showDropDown="false" showErrorMessage="false" showInputMessage="false" sqref="C61" type="list">
      <formula1>"1,0"</formula1>
      <formula2>0</formula2>
    </dataValidation>
    <dataValidation allowBlank="false" errorStyle="stop" operator="between" showDropDown="false" showErrorMessage="false" showInputMessage="false" sqref="D61" type="list">
      <formula1>"1,0"</formula1>
      <formula2>0</formula2>
    </dataValidation>
    <dataValidation allowBlank="false" errorStyle="stop" operator="between" showDropDown="false" showErrorMessage="false" showInputMessage="false" sqref="E61" type="list">
      <formula1>"1,0"</formula1>
      <formula2>0</formula2>
    </dataValidation>
    <dataValidation allowBlank="false" errorStyle="stop" operator="between" showDropDown="false" showErrorMessage="false" showInputMessage="false" sqref="C62" type="list">
      <formula1>"1,0"</formula1>
      <formula2>0</formula2>
    </dataValidation>
    <dataValidation allowBlank="false" errorStyle="stop" operator="between" showDropDown="false" showErrorMessage="false" showInputMessage="false" sqref="D62" type="list">
      <formula1>"1,0"</formula1>
      <formula2>0</formula2>
    </dataValidation>
    <dataValidation allowBlank="false" errorStyle="stop" operator="between" showDropDown="false" showErrorMessage="false" showInputMessage="false" sqref="E62" type="list">
      <formula1>"1,0"</formula1>
      <formula2>0</formula2>
    </dataValidation>
    <dataValidation allowBlank="false" errorStyle="stop" operator="between" showDropDown="false" showErrorMessage="false" showInputMessage="false" sqref="C63" type="list">
      <formula1>"1,0"</formula1>
      <formula2>0</formula2>
    </dataValidation>
    <dataValidation allowBlank="false" errorStyle="stop" operator="between" showDropDown="false" showErrorMessage="false" showInputMessage="false" sqref="D63" type="list">
      <formula1>"1,0"</formula1>
      <formula2>0</formula2>
    </dataValidation>
    <dataValidation allowBlank="false" errorStyle="stop" operator="between" showDropDown="false" showErrorMessage="false" showInputMessage="false" sqref="E63" type="list">
      <formula1>"1,0"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2" min="2" style="0" width="20"/>
    <col collapsed="false" customWidth="true" hidden="false" outlineLevel="0" max="10" min="3" style="0" width="12"/>
  </cols>
  <sheetData>
    <row r="1" customFormat="false" ht="24" hidden="false" customHeight="true" outlineLevel="0" collapsed="false">
      <c r="A1" s="1" t="s">
        <v>74</v>
      </c>
    </row>
    <row r="2" customFormat="false" ht="15" hidden="false" customHeight="false" outlineLevel="0" collapsed="false">
      <c r="A2" s="2" t="s">
        <v>75</v>
      </c>
    </row>
    <row r="3" customFormat="false" ht="15" hidden="false" customHeight="false" outlineLevel="0" collapsed="false">
      <c r="A3" s="3"/>
      <c r="B3" s="3"/>
      <c r="C3" s="3"/>
      <c r="D3" s="3"/>
      <c r="E3" s="3"/>
      <c r="F3" s="3"/>
      <c r="G3" s="3"/>
      <c r="H3" s="3"/>
      <c r="I3" s="3"/>
      <c r="J3" s="3"/>
    </row>
    <row r="5" customFormat="false" ht="15" hidden="false" customHeight="false" outlineLevel="0" collapsed="false">
      <c r="A5" s="4" t="s">
        <v>76</v>
      </c>
      <c r="B5" s="6"/>
      <c r="C5" s="6"/>
      <c r="D5" s="6"/>
      <c r="E5" s="6"/>
      <c r="F5" s="6"/>
      <c r="G5" s="6"/>
      <c r="H5" s="6"/>
      <c r="I5" s="6"/>
      <c r="J5" s="6"/>
    </row>
    <row r="7" customFormat="false" ht="15" hidden="false" customHeight="false" outlineLevel="0" collapsed="false">
      <c r="A7" s="7" t="s">
        <v>77</v>
      </c>
      <c r="B7" s="19" t="n">
        <f aca="false">SUM(DLamt)</f>
        <v>15600000</v>
      </c>
    </row>
    <row r="8" customFormat="false" ht="15" hidden="false" customHeight="false" outlineLevel="0" collapsed="false">
      <c r="A8" s="7" t="s">
        <v>78</v>
      </c>
      <c r="B8" s="19" t="n">
        <f aca="false">SUMPRODUCT(DLamt,1-DL_BS)</f>
        <v>11350000</v>
      </c>
    </row>
    <row r="9" customFormat="false" ht="15" hidden="false" customHeight="false" outlineLevel="0" collapsed="false">
      <c r="A9" s="7" t="s">
        <v>79</v>
      </c>
      <c r="B9" s="19" t="n">
        <f aca="false">SUMPRODUCT(DLamt,DL_IF)</f>
        <v>7200000</v>
      </c>
    </row>
    <row r="10" customFormat="false" ht="15" hidden="false" customHeight="false" outlineLevel="0" collapsed="false">
      <c r="A10" s="7" t="s">
        <v>80</v>
      </c>
      <c r="B10" s="19" t="n">
        <f aca="false">SUMPRODUCT(DLamt,DL_CF)</f>
        <v>11450000</v>
      </c>
    </row>
    <row r="12" customFormat="false" ht="15" hidden="false" customHeight="false" outlineLevel="0" collapsed="false">
      <c r="A12" s="4" t="s">
        <v>81</v>
      </c>
      <c r="B12" s="6"/>
      <c r="C12" s="6"/>
      <c r="D12" s="6"/>
      <c r="E12" s="6"/>
      <c r="F12" s="6"/>
      <c r="G12" s="6"/>
      <c r="H12" s="6"/>
      <c r="I12" s="6"/>
      <c r="J12" s="6"/>
    </row>
    <row r="14" customFormat="false" ht="15" hidden="false" customHeight="false" outlineLevel="0" collapsed="false">
      <c r="A14" s="7" t="s">
        <v>82</v>
      </c>
      <c r="B14" s="19" t="n">
        <f aca="false">A_Ebitda+T_Ebitda</f>
        <v>123600000</v>
      </c>
    </row>
    <row r="15" customFormat="false" ht="15" hidden="false" customHeight="false" outlineLevel="0" collapsed="false">
      <c r="A15" s="7" t="s">
        <v>83</v>
      </c>
      <c r="B15" s="19" t="n">
        <f aca="false">Mult*T_Ebitda</f>
        <v>248400000</v>
      </c>
    </row>
    <row r="16" customFormat="false" ht="15" hidden="false" customHeight="false" outlineLevel="0" collapsed="false">
      <c r="A16" s="7" t="s">
        <v>84</v>
      </c>
      <c r="B16" s="19" t="n">
        <f aca="false">EVh-T_NetDebt</f>
        <v>209900000</v>
      </c>
    </row>
    <row r="17" customFormat="false" ht="15" hidden="false" customHeight="false" outlineLevel="0" collapsed="false">
      <c r="A17" s="7" t="s">
        <v>85</v>
      </c>
      <c r="B17" s="19" t="n">
        <f aca="false">Peq-DLtot</f>
        <v>194300000</v>
      </c>
    </row>
    <row r="18" customFormat="false" ht="15" hidden="false" customHeight="false" outlineLevel="0" collapsed="false">
      <c r="A18" s="7" t="s">
        <v>86</v>
      </c>
      <c r="B18" s="19" t="n">
        <f aca="false">Pdl+TxnCost</f>
        <v>201200000</v>
      </c>
    </row>
    <row r="19" customFormat="false" ht="15" hidden="false" customHeight="false" outlineLevel="0" collapsed="false">
      <c r="A19" s="7" t="s">
        <v>87</v>
      </c>
      <c r="B19" s="19" t="n">
        <f aca="false">CashOut*DebtShare</f>
        <v>120720000</v>
      </c>
    </row>
    <row r="20" customFormat="false" ht="15" hidden="false" customHeight="false" outlineLevel="0" collapsed="false">
      <c r="A20" s="7" t="s">
        <v>88</v>
      </c>
      <c r="B20" s="19" t="n">
        <f aca="false">CashOut-NewDebt</f>
        <v>80480000</v>
      </c>
    </row>
    <row r="22" customFormat="false" ht="15" hidden="false" customHeight="false" outlineLevel="0" collapsed="false">
      <c r="A22" s="4" t="s">
        <v>89</v>
      </c>
      <c r="B22" s="6"/>
      <c r="C22" s="6"/>
      <c r="D22" s="6"/>
      <c r="E22" s="6"/>
      <c r="F22" s="6"/>
      <c r="G22" s="6"/>
      <c r="H22" s="6"/>
      <c r="I22" s="6"/>
      <c r="J22" s="6"/>
    </row>
    <row r="24" customFormat="false" ht="15" hidden="false" customHeight="false" outlineLevel="0" collapsed="false">
      <c r="A24" s="7" t="s">
        <v>90</v>
      </c>
      <c r="B24" s="20" t="n">
        <f aca="false">BaseRate+LOOKUP(2,LadThr,LadMar)</f>
        <v>0.05</v>
      </c>
      <c r="C24" s="20" t="n">
        <f aca="false">BaseRate+LOOKUP((A_Debt+NewDebt+T_NetDebt+DLcov+EoMax*EoProb/(1+B24)^EoYear)/CombEb,LadThr,LadMar)</f>
        <v>0.0525</v>
      </c>
      <c r="D24" s="20" t="n">
        <f aca="false">BaseRate+LOOKUP((A_Debt+NewDebt+T_NetDebt+DLcov+EoMax*EoProb/(1+C24)^EoYear)/CombEb,LadThr,LadMar)</f>
        <v>0.0525</v>
      </c>
      <c r="E24" s="20" t="n">
        <f aca="false">BaseRate+LOOKUP((A_Debt+NewDebt+T_NetDebt+DLcov+EoMax*EoProb/(1+D24)^EoYear)/CombEb,LadThr,LadMar)</f>
        <v>0.0525</v>
      </c>
      <c r="F24" s="20" t="n">
        <f aca="false">BaseRate+LOOKUP((A_Debt+NewDebt+T_NetDebt+DLcov+EoMax*EoProb/(1+E24)^EoYear)/CombEb,LadThr,LadMar)</f>
        <v>0.0525</v>
      </c>
      <c r="G24" s="20" t="n">
        <f aca="false">BaseRate+LOOKUP((A_Debt+NewDebt+T_NetDebt+DLcov+EoMax*EoProb/(1+F24)^EoYear)/CombEb,LadThr,LadMar)</f>
        <v>0.0525</v>
      </c>
      <c r="H24" s="20" t="n">
        <f aca="false">BaseRate+LOOKUP((A_Debt+NewDebt+T_NetDebt+DLcov+EoMax*EoProb/(1+G24)^EoYear)/CombEb,LadThr,LadMar)</f>
        <v>0.0525</v>
      </c>
      <c r="I24" s="20" t="n">
        <f aca="false">BaseRate+LOOKUP((A_Debt+NewDebt+T_NetDebt+DLcov+EoMax*EoProb/(1+H24)^EoYear)/CombEb,LadThr,LadMar)</f>
        <v>0.0525</v>
      </c>
      <c r="J24" s="20" t="n">
        <f aca="false">BaseRate+LOOKUP((A_Debt+NewDebt+T_NetDebt+DLcov+EoMax*EoProb/(1+I24)^EoYear)/CombEb,LadThr,LadMar)</f>
        <v>0.0525</v>
      </c>
    </row>
    <row r="25" customFormat="false" ht="15" hidden="false" customHeight="false" outlineLevel="0" collapsed="false">
      <c r="A25" s="17" t="s">
        <v>91</v>
      </c>
    </row>
    <row r="26" customFormat="false" ht="15" hidden="false" customHeight="false" outlineLevel="0" collapsed="false">
      <c r="A26" s="7" t="s">
        <v>92</v>
      </c>
      <c r="B26" s="21" t="str">
        <f aca="false">IF(I24=J24,"yes","no")</f>
        <v>yes</v>
      </c>
    </row>
    <row r="27" customFormat="false" ht="15" hidden="false" customHeight="false" outlineLevel="0" collapsed="false">
      <c r="A27" s="7" t="s">
        <v>93</v>
      </c>
      <c r="B27" s="20" t="n">
        <f aca="false">MAX(I24,J24)</f>
        <v>0.0525</v>
      </c>
    </row>
    <row r="28" customFormat="false" ht="15" hidden="false" customHeight="false" outlineLevel="0" collapsed="false">
      <c r="A28" s="7" t="s">
        <v>94</v>
      </c>
      <c r="B28" s="20" t="n">
        <f aca="false">DebtRate-BaseRate</f>
        <v>0.0125</v>
      </c>
    </row>
    <row r="29" customFormat="false" ht="15" hidden="false" customHeight="false" outlineLevel="0" collapsed="false">
      <c r="A29" s="7" t="s">
        <v>95</v>
      </c>
      <c r="B29" s="22" t="n">
        <f aca="false">EoMax*EoProb/(1+DebtRate)^EoYear</f>
        <v>9649086.70523237</v>
      </c>
    </row>
    <row r="30" customFormat="false" ht="15" hidden="false" customHeight="false" outlineLevel="0" collapsed="false">
      <c r="A30" s="7" t="s">
        <v>96</v>
      </c>
      <c r="B30" s="23" t="n">
        <f aca="false">(A_Debt+NewDebt+T_NetDebt+DLcov+EoFV)/CombEb</f>
        <v>2.96941008661191</v>
      </c>
    </row>
    <row r="32" customFormat="false" ht="15" hidden="false" customHeight="false" outlineLevel="0" collapsed="false">
      <c r="A32" s="4" t="s">
        <v>97</v>
      </c>
      <c r="B32" s="6"/>
      <c r="C32" s="6"/>
      <c r="D32" s="6"/>
      <c r="E32" s="6"/>
      <c r="F32" s="6"/>
      <c r="G32" s="6"/>
      <c r="H32" s="6"/>
      <c r="I32" s="6"/>
      <c r="J32" s="6"/>
    </row>
    <row r="34" customFormat="false" ht="15" hidden="false" customHeight="false" outlineLevel="0" collapsed="false">
      <c r="A34" s="7" t="s">
        <v>98</v>
      </c>
      <c r="B34" s="19" t="n">
        <f aca="false">Pdl+EoFV</f>
        <v>203949086.705232</v>
      </c>
    </row>
    <row r="35" customFormat="false" ht="15" hidden="false" customHeight="false" outlineLevel="0" collapsed="false">
      <c r="A35" s="7" t="s">
        <v>99</v>
      </c>
      <c r="B35" s="19" t="n">
        <f aca="false">CashOut+EoMax*EoProb</f>
        <v>212450000</v>
      </c>
    </row>
    <row r="36" customFormat="false" ht="15" hidden="false" customHeight="false" outlineLevel="0" collapsed="false">
      <c r="A36" s="7" t="s">
        <v>100</v>
      </c>
      <c r="B36" s="19" t="n">
        <f aca="false">CashOut+EoMax</f>
        <v>226200000</v>
      </c>
    </row>
    <row r="38" customFormat="false" ht="15" hidden="false" customHeight="false" outlineLevel="0" collapsed="false">
      <c r="A38" s="4" t="s">
        <v>101</v>
      </c>
      <c r="B38" s="6"/>
      <c r="C38" s="6"/>
      <c r="D38" s="6"/>
      <c r="E38" s="6"/>
      <c r="F38" s="6"/>
      <c r="G38" s="6"/>
      <c r="H38" s="6"/>
      <c r="I38" s="6"/>
      <c r="J38" s="6"/>
    </row>
    <row r="40" customFormat="false" ht="15" hidden="false" customHeight="false" outlineLevel="0" collapsed="false">
      <c r="A40" s="7" t="s">
        <v>102</v>
      </c>
      <c r="B40" s="22" t="n">
        <f aca="false">A_Price*(1-IssueDisc)</f>
        <v>7.9265</v>
      </c>
    </row>
    <row r="41" customFormat="false" ht="15" hidden="false" customHeight="false" outlineLevel="0" collapsed="false">
      <c r="A41" s="7" t="s">
        <v>103</v>
      </c>
      <c r="B41" s="24" t="n">
        <f aca="false">EqRaise/IssPrice</f>
        <v>10153283.290229</v>
      </c>
    </row>
    <row r="42" customFormat="false" ht="15" hidden="false" customHeight="false" outlineLevel="0" collapsed="false">
      <c r="A42" s="7" t="s">
        <v>104</v>
      </c>
      <c r="B42" s="24" t="n">
        <f aca="false">A_Shares+NewSh</f>
        <v>128153283.290229</v>
      </c>
    </row>
    <row r="43" customFormat="false" ht="15" hidden="false" customHeight="false" outlineLevel="0" collapsed="false">
      <c r="A43" s="7" t="s">
        <v>105</v>
      </c>
      <c r="B43" s="25" t="n">
        <f aca="false">NewSh/ShAfter</f>
        <v>0.0792276485592243</v>
      </c>
    </row>
    <row r="45" customFormat="false" ht="15" hidden="false" customHeight="false" outlineLevel="0" collapsed="false">
      <c r="A45" s="4" t="s">
        <v>106</v>
      </c>
      <c r="B45" s="6"/>
      <c r="C45" s="6"/>
      <c r="D45" s="6"/>
      <c r="E45" s="6"/>
      <c r="F45" s="6"/>
      <c r="G45" s="6"/>
      <c r="H45" s="6"/>
      <c r="I45" s="6"/>
      <c r="J45" s="6"/>
    </row>
    <row r="47" customFormat="false" ht="15" hidden="false" customHeight="false" outlineLevel="0" collapsed="false">
      <c r="A47" s="7" t="s">
        <v>107</v>
      </c>
      <c r="B47" s="23" t="n">
        <f aca="false">A_Debt/A_Ebitda</f>
        <v>1.94479166666667</v>
      </c>
    </row>
    <row r="48" customFormat="false" ht="15" hidden="false" customHeight="false" outlineLevel="0" collapsed="false">
      <c r="A48" s="7" t="s">
        <v>108</v>
      </c>
      <c r="B48" s="20" t="n">
        <f aca="false">BaseRate+LOOKUP(ALevPre,LadThr,LadMar)</f>
        <v>0.05</v>
      </c>
    </row>
    <row r="49" customFormat="false" ht="15" hidden="false" customHeight="false" outlineLevel="0" collapsed="false">
      <c r="A49" s="7" t="s">
        <v>109</v>
      </c>
      <c r="B49" s="19" t="n">
        <f aca="false">A_Debt*ARatePre</f>
        <v>9335000</v>
      </c>
    </row>
    <row r="50" customFormat="false" ht="15" hidden="false" customHeight="false" outlineLevel="0" collapsed="false">
      <c r="A50" s="7" t="s">
        <v>110</v>
      </c>
      <c r="B50" s="19" t="n">
        <f aca="false">A_Debt*DebtRate</f>
        <v>9801750</v>
      </c>
    </row>
    <row r="51" customFormat="false" ht="15" hidden="false" customHeight="false" outlineLevel="0" collapsed="false">
      <c r="A51" s="7" t="s">
        <v>111</v>
      </c>
      <c r="B51" s="19" t="n">
        <f aca="false">AInt-AIntPre</f>
        <v>466750.000000002</v>
      </c>
    </row>
    <row r="52" customFormat="false" ht="15" hidden="false" customHeight="false" outlineLevel="0" collapsed="false">
      <c r="A52" s="7" t="s">
        <v>112</v>
      </c>
      <c r="B52" s="19" t="n">
        <f aca="false">A_Ebitda-A_DA</f>
        <v>75000000</v>
      </c>
    </row>
    <row r="53" customFormat="false" ht="15" hidden="false" customHeight="false" outlineLevel="0" collapsed="false">
      <c r="A53" s="7" t="s">
        <v>113</v>
      </c>
      <c r="B53" s="19" t="n">
        <f aca="false">(AEbit-AIntPre)*(1-Tax)</f>
        <v>49248750</v>
      </c>
    </row>
    <row r="54" customFormat="false" ht="15" hidden="false" customHeight="false" outlineLevel="0" collapsed="false">
      <c r="A54" s="7" t="s">
        <v>114</v>
      </c>
      <c r="B54" s="26" t="n">
        <f aca="false">ANI/A_Shares</f>
        <v>0.417362288135593</v>
      </c>
    </row>
    <row r="55" customFormat="false" ht="15" hidden="false" customHeight="false" outlineLevel="0" collapsed="false">
      <c r="A55" s="7" t="s">
        <v>115</v>
      </c>
      <c r="B55" s="19" t="n">
        <f aca="false">A_Price*A_Shares</f>
        <v>979400000</v>
      </c>
    </row>
    <row r="56" customFormat="false" ht="15" hidden="false" customHeight="false" outlineLevel="0" collapsed="false">
      <c r="A56" s="7" t="s">
        <v>116</v>
      </c>
      <c r="B56" s="19" t="n">
        <f aca="false">AMcap+A_Debt</f>
        <v>1166100000</v>
      </c>
    </row>
    <row r="57" customFormat="false" ht="15" hidden="false" customHeight="false" outlineLevel="0" collapsed="false">
      <c r="A57" s="7" t="s">
        <v>117</v>
      </c>
      <c r="B57" s="27" t="n">
        <f aca="false">AEV/A_Ebitda</f>
        <v>12.146875</v>
      </c>
    </row>
    <row r="59" customFormat="false" ht="15" hidden="false" customHeight="false" outlineLevel="0" collapsed="false">
      <c r="A59" s="4" t="s">
        <v>118</v>
      </c>
      <c r="B59" s="6"/>
      <c r="C59" s="6"/>
      <c r="D59" s="6"/>
      <c r="E59" s="6"/>
      <c r="F59" s="6"/>
      <c r="G59" s="6"/>
      <c r="H59" s="6"/>
      <c r="I59" s="6"/>
      <c r="J59" s="6"/>
    </row>
    <row r="61" customFormat="false" ht="15" hidden="false" customHeight="false" outlineLevel="0" collapsed="false">
      <c r="A61" s="7" t="s">
        <v>112</v>
      </c>
      <c r="B61" s="19" t="n">
        <f aca="false">T_Ebitda-T_DA</f>
        <v>21200000</v>
      </c>
    </row>
    <row r="62" customFormat="false" ht="15" hidden="false" customHeight="false" outlineLevel="0" collapsed="false">
      <c r="A62" s="7" t="s">
        <v>119</v>
      </c>
      <c r="B62" s="19" t="n">
        <f aca="false">TEbit*(1-Tax)+T_DA-T_Capex-T_DWC</f>
        <v>13900000</v>
      </c>
    </row>
    <row r="63" customFormat="false" ht="15" hidden="false" customHeight="false" outlineLevel="0" collapsed="false">
      <c r="A63" s="7" t="s">
        <v>120</v>
      </c>
      <c r="B63" s="19" t="n">
        <f aca="false">TFcf*(1+Grow)/(Wacc-Grow)</f>
        <v>188576666.666667</v>
      </c>
    </row>
    <row r="64" customFormat="false" ht="15" hidden="false" customHeight="false" outlineLevel="0" collapsed="false">
      <c r="A64" s="7" t="s">
        <v>121</v>
      </c>
      <c r="B64" s="19" t="n">
        <f aca="false">EVh-Intrin</f>
        <v>59823333.3333333</v>
      </c>
    </row>
    <row r="65" customFormat="false" ht="15" hidden="false" customHeight="false" outlineLevel="0" collapsed="false">
      <c r="A65" s="7" t="s">
        <v>122</v>
      </c>
      <c r="B65" s="25" t="n">
        <f aca="false">Prem/Intrin</f>
        <v>0.317236137380022</v>
      </c>
    </row>
    <row r="67" customFormat="false" ht="15" hidden="false" customHeight="false" outlineLevel="0" collapsed="false">
      <c r="A67" s="4" t="s">
        <v>123</v>
      </c>
      <c r="B67" s="6"/>
      <c r="C67" s="6"/>
      <c r="D67" s="6"/>
      <c r="E67" s="6"/>
      <c r="F67" s="6"/>
      <c r="G67" s="6"/>
      <c r="H67" s="6"/>
      <c r="I67" s="6"/>
      <c r="J67" s="6"/>
    </row>
    <row r="69" customFormat="false" ht="15" hidden="false" customHeight="false" outlineLevel="0" collapsed="false">
      <c r="A69" s="7" t="s">
        <v>124</v>
      </c>
      <c r="B69" s="19" t="n">
        <f aca="false">T_BookEq-DLoff</f>
        <v>34950000</v>
      </c>
    </row>
    <row r="70" customFormat="false" ht="15" hidden="false" customHeight="false" outlineLevel="0" collapsed="false">
      <c r="A70" s="7" t="s">
        <v>125</v>
      </c>
      <c r="B70" s="19" t="n">
        <f aca="false">Pfv-NetAss</f>
        <v>168999086.705232</v>
      </c>
    </row>
    <row r="71" customFormat="false" ht="15" hidden="false" customHeight="false" outlineLevel="0" collapsed="false">
      <c r="A71" s="7" t="s">
        <v>126</v>
      </c>
      <c r="B71" s="19" t="n">
        <f aca="false">Excess*IntangSh</f>
        <v>64219652.9479883</v>
      </c>
    </row>
    <row r="72" customFormat="false" ht="15" hidden="false" customHeight="false" outlineLevel="0" collapsed="false">
      <c r="A72" s="7" t="s">
        <v>127</v>
      </c>
      <c r="B72" s="19" t="n">
        <f aca="false">Tax*Intang</f>
        <v>16054913.2369971</v>
      </c>
    </row>
    <row r="73" customFormat="false" ht="15" hidden="false" customHeight="false" outlineLevel="0" collapsed="false">
      <c r="A73" s="7" t="s">
        <v>128</v>
      </c>
      <c r="B73" s="19" t="n">
        <f aca="false">Excess+DTL-Intang</f>
        <v>120834346.994241</v>
      </c>
    </row>
    <row r="74" customFormat="false" ht="15" hidden="false" customHeight="false" outlineLevel="0" collapsed="false">
      <c r="A74" s="7" t="s">
        <v>129</v>
      </c>
      <c r="B74" s="19" t="n">
        <f aca="false">Intang/PpaLife</f>
        <v>7135516.99422092</v>
      </c>
    </row>
    <row r="76" customFormat="false" ht="15" hidden="false" customHeight="false" outlineLevel="0" collapsed="false">
      <c r="A76" s="4" t="s">
        <v>130</v>
      </c>
      <c r="B76" s="6"/>
      <c r="C76" s="6"/>
      <c r="D76" s="6"/>
      <c r="E76" s="6"/>
      <c r="F76" s="6"/>
      <c r="G76" s="6"/>
      <c r="H76" s="6"/>
      <c r="I76" s="6"/>
      <c r="J76" s="6"/>
    </row>
    <row r="78" customFormat="false" ht="15" hidden="false" customHeight="false" outlineLevel="0" collapsed="false">
      <c r="A78" s="7" t="s">
        <v>131</v>
      </c>
      <c r="B78" s="26" t="n">
        <f aca="false">Ramp1*(1-Tax)/(1+Wacc)+Ramp2*(1-Tax)/(1+Wacc)^2+Ramp3*(1-Tax)/(1+Wacc)^3+(1-Tax)*(1+Grow)/(Wacc-Grow)/(1+Wacc)^3</f>
        <v>9.02413480722002</v>
      </c>
    </row>
    <row r="79" customFormat="false" ht="15" hidden="false" customHeight="false" outlineLevel="0" collapsed="false">
      <c r="A79" s="7" t="s">
        <v>132</v>
      </c>
      <c r="B79" s="19" t="n">
        <f aca="false">SynCost*((1-Tax)*(CostY1/(1+Wacc)+CostY2/(1+Wacc)^2+CostY3/(1+Wacc)^3))</f>
        <v>6132205.44631029</v>
      </c>
    </row>
    <row r="80" customFormat="false" ht="15" hidden="false" customHeight="false" outlineLevel="0" collapsed="false">
      <c r="A80" s="7" t="s">
        <v>133</v>
      </c>
      <c r="B80" s="19" t="n">
        <f aca="false">((SynRR*Ramp1-SynCost*CostY1)*(1-Tax))/(1+Wacc)+((SynRR*Ramp2-SynCost*CostY2)*(1-Tax))/(1+Wacc)^2+((SynRR*Ramp3-SynCost*CostY3)*(1-Tax))/(1+Wacc)^3</f>
        <v>2658868.9266099</v>
      </c>
    </row>
    <row r="81" customFormat="false" ht="15" hidden="false" customHeight="false" outlineLevel="0" collapsed="false">
      <c r="A81" s="7" t="s">
        <v>134</v>
      </c>
      <c r="B81" s="19" t="n">
        <f aca="false">(SynRR*(1-Tax)*(1+Grow)/(Wacc-Grow))/(1+Wacc)^3</f>
        <v>56182696.2390639</v>
      </c>
    </row>
    <row r="82" customFormat="false" ht="15" hidden="false" customHeight="false" outlineLevel="0" collapsed="false">
      <c r="A82" s="7" t="s">
        <v>135</v>
      </c>
      <c r="B82" s="19" t="n">
        <f aca="false">SynPV3+SynTerm</f>
        <v>58841565.1656738</v>
      </c>
    </row>
    <row r="83" customFormat="false" ht="15" hidden="false" customHeight="false" outlineLevel="0" collapsed="false">
      <c r="A83" s="7" t="s">
        <v>136</v>
      </c>
      <c r="B83" s="19" t="n">
        <f aca="false">Prem+TxnCost+EoFV</f>
        <v>76372420.0385657</v>
      </c>
    </row>
    <row r="84" customFormat="false" ht="15" hidden="false" customHeight="false" outlineLevel="0" collapsed="false">
      <c r="A84" s="7" t="s">
        <v>137</v>
      </c>
      <c r="B84" s="19" t="n">
        <f aca="false">SynVal-Shortf</f>
        <v>-17530854.8728918</v>
      </c>
    </row>
    <row r="86" customFormat="false" ht="15" hidden="false" customHeight="false" outlineLevel="0" collapsed="false">
      <c r="A86" s="4" t="s">
        <v>138</v>
      </c>
      <c r="B86" s="6"/>
      <c r="C86" s="6"/>
      <c r="D86" s="6"/>
      <c r="E86" s="6"/>
      <c r="F86" s="6"/>
      <c r="G86" s="6"/>
      <c r="H86" s="6"/>
      <c r="I86" s="6"/>
      <c r="J86" s="6"/>
    </row>
    <row r="88" customFormat="false" ht="15" hidden="false" customHeight="false" outlineLevel="0" collapsed="false">
      <c r="A88" s="7" t="s">
        <v>139</v>
      </c>
      <c r="B88" s="19" t="n">
        <f aca="false">A_Ebitda+T_Ebitda+SynRR*Ramp1</f>
        <v>125760000</v>
      </c>
    </row>
    <row r="89" customFormat="false" ht="15" hidden="false" customHeight="false" outlineLevel="0" collapsed="false">
      <c r="A89" s="7" t="s">
        <v>140</v>
      </c>
      <c r="B89" s="19" t="n">
        <f aca="false">SynCost*CostY1</f>
        <v>5170000</v>
      </c>
    </row>
    <row r="90" customFormat="false" ht="15" hidden="false" customHeight="false" outlineLevel="0" collapsed="false">
      <c r="A90" s="7" t="s">
        <v>141</v>
      </c>
      <c r="B90" s="19" t="n">
        <f aca="false">A_DA+T_DA+PpaAm</f>
        <v>34535516.9942209</v>
      </c>
    </row>
    <row r="91" customFormat="false" ht="15" hidden="false" customHeight="false" outlineLevel="0" collapsed="false">
      <c r="A91" s="7" t="s">
        <v>142</v>
      </c>
      <c r="B91" s="19" t="n">
        <f aca="false">AInt+(NewDebt+T_NetDebt+DLbear)*DebtRate+EoFV*DebtRate</f>
        <v>19045377.0520247</v>
      </c>
    </row>
    <row r="92" customFormat="false" ht="15" hidden="false" customHeight="false" outlineLevel="0" collapsed="false">
      <c r="A92" s="7" t="s">
        <v>143</v>
      </c>
      <c r="B92" s="19" t="n">
        <f aca="false">Eb1-Cost1-TxnCost-DA1-Int1</f>
        <v>60109105.9537544</v>
      </c>
    </row>
    <row r="93" customFormat="false" ht="15" hidden="false" customHeight="false" outlineLevel="0" collapsed="false">
      <c r="A93" s="7" t="s">
        <v>144</v>
      </c>
      <c r="B93" s="26" t="n">
        <f aca="false">PBT1*(1-Tax)/ShAfter</f>
        <v>0.351780526474838</v>
      </c>
    </row>
    <row r="94" customFormat="false" ht="15" hidden="false" customHeight="false" outlineLevel="0" collapsed="false">
      <c r="A94" s="7" t="s">
        <v>145</v>
      </c>
      <c r="B94" s="25" t="n">
        <f aca="false">EPS1/AEPS-1</f>
        <v>-0.157133894280954</v>
      </c>
    </row>
    <row r="96" customFormat="false" ht="15" hidden="false" customHeight="false" outlineLevel="0" collapsed="false">
      <c r="A96" s="4" t="s">
        <v>146</v>
      </c>
      <c r="B96" s="6"/>
      <c r="C96" s="6"/>
      <c r="D96" s="6"/>
      <c r="E96" s="6"/>
      <c r="F96" s="6"/>
      <c r="G96" s="6"/>
      <c r="H96" s="6"/>
      <c r="I96" s="6"/>
      <c r="J96" s="6"/>
    </row>
    <row r="98" customFormat="false" ht="15" hidden="false" customHeight="false" outlineLevel="0" collapsed="false">
      <c r="A98" s="7" t="s">
        <v>147</v>
      </c>
      <c r="B98" s="19" t="n">
        <f aca="false">AInt+(NewDebt+T_NetDebt+DLbear)*DebtRate+EoFV*(1+DebtRate)*DebtRate</f>
        <v>19071972.347256</v>
      </c>
    </row>
    <row r="99" customFormat="false" ht="15" hidden="false" customHeight="false" outlineLevel="0" collapsed="false">
      <c r="A99" s="7" t="s">
        <v>143</v>
      </c>
      <c r="B99" s="19" t="n">
        <f aca="false">A_Ebitda+T_Ebitda+SynRR*Ramp2-SynCost*CostY2-(A_DA+T_DA+PpaAm)-Int2</f>
        <v>72212510.6585231</v>
      </c>
    </row>
    <row r="100" customFormat="false" ht="15" hidden="false" customHeight="false" outlineLevel="0" collapsed="false">
      <c r="A100" s="7" t="s">
        <v>144</v>
      </c>
      <c r="B100" s="26" t="n">
        <f aca="false">PBT2*(1-Tax)/ShAfter</f>
        <v>0.422614088405659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0"/>
    <col collapsed="false" customWidth="true" hidden="false" outlineLevel="0" max="2" min="2" style="0" width="20"/>
    <col collapsed="false" customWidth="true" hidden="false" outlineLevel="0" max="4" min="3" style="0" width="16"/>
    <col collapsed="false" customWidth="true" hidden="false" outlineLevel="0" max="13" min="5" style="0" width="12"/>
  </cols>
  <sheetData>
    <row r="1" customFormat="false" ht="24" hidden="false" customHeight="true" outlineLevel="0" collapsed="false">
      <c r="A1" s="1" t="s">
        <v>148</v>
      </c>
    </row>
    <row r="2" customFormat="false" ht="15" hidden="false" customHeight="false" outlineLevel="0" collapsed="false">
      <c r="A2" s="2" t="s">
        <v>149</v>
      </c>
    </row>
    <row r="3" customFormat="false" ht="15" hidden="false" customHeight="false" outlineLevel="0" collapsed="false">
      <c r="A3" s="3"/>
      <c r="B3" s="3"/>
      <c r="C3" s="3"/>
      <c r="D3" s="3"/>
      <c r="E3" s="3"/>
      <c r="F3" s="3"/>
    </row>
    <row r="5" customFormat="false" ht="30" hidden="false" customHeight="true" outlineLevel="0" collapsed="false">
      <c r="A5" s="14" t="s">
        <v>150</v>
      </c>
      <c r="B5" s="15" t="s">
        <v>66</v>
      </c>
      <c r="C5" s="15" t="s">
        <v>67</v>
      </c>
      <c r="D5" s="15" t="s">
        <v>151</v>
      </c>
    </row>
    <row r="6" customFormat="false" ht="15" hidden="false" customHeight="false" outlineLevel="0" collapsed="false">
      <c r="A6" s="7" t="s">
        <v>68</v>
      </c>
      <c r="B6" s="23" t="n">
        <f aca="false">INDEX(LadThr,1)</f>
        <v>0</v>
      </c>
      <c r="C6" s="20" t="n">
        <f aca="false">INDEX(LadMar,1)</f>
        <v>0.01</v>
      </c>
    </row>
    <row r="7" customFormat="false" ht="15" hidden="false" customHeight="false" outlineLevel="0" collapsed="false">
      <c r="A7" s="7" t="s">
        <v>69</v>
      </c>
      <c r="B7" s="23" t="n">
        <f aca="false">INDEX(LadThr,2)</f>
        <v>2.5</v>
      </c>
      <c r="C7" s="20" t="n">
        <f aca="false">INDEX(LadMar,2)</f>
        <v>0.0125</v>
      </c>
      <c r="D7" s="23" t="n">
        <f aca="false">ABS(B7-Lev)</f>
        <v>0.469410086611913</v>
      </c>
    </row>
    <row r="8" customFormat="false" ht="15" hidden="false" customHeight="false" outlineLevel="0" collapsed="false">
      <c r="A8" s="7" t="s">
        <v>70</v>
      </c>
      <c r="B8" s="23" t="n">
        <f aca="false">INDEX(LadThr,3)</f>
        <v>3</v>
      </c>
      <c r="C8" s="20" t="n">
        <f aca="false">INDEX(LadMar,3)</f>
        <v>0.02</v>
      </c>
      <c r="D8" s="23" t="n">
        <f aca="false">ABS(B8-Lev)</f>
        <v>0.0305899133880874</v>
      </c>
    </row>
    <row r="9" customFormat="false" ht="15" hidden="false" customHeight="false" outlineLevel="0" collapsed="false">
      <c r="A9" s="7" t="s">
        <v>71</v>
      </c>
      <c r="B9" s="23" t="n">
        <f aca="false">INDEX(LadThr,4)</f>
        <v>3.5</v>
      </c>
      <c r="C9" s="20" t="n">
        <f aca="false">INDEX(LadMar,4)</f>
        <v>0.0325</v>
      </c>
      <c r="D9" s="23" t="n">
        <f aca="false">ABS(B9-Lev)</f>
        <v>0.530589913388087</v>
      </c>
    </row>
    <row r="10" customFormat="false" ht="15" hidden="false" customHeight="false" outlineLevel="0" collapsed="false">
      <c r="A10" s="7" t="s">
        <v>72</v>
      </c>
      <c r="B10" s="23" t="n">
        <f aca="false">INDEX(LadThr,5)</f>
        <v>4</v>
      </c>
      <c r="C10" s="20" t="n">
        <f aca="false">INDEX(LadMar,5)</f>
        <v>0.05</v>
      </c>
      <c r="D10" s="23" t="n">
        <f aca="false">ABS(B10-Lev)</f>
        <v>1.03058991338809</v>
      </c>
    </row>
    <row r="12" customFormat="false" ht="15" hidden="false" customHeight="false" outlineLevel="0" collapsed="false">
      <c r="A12" s="4" t="s">
        <v>152</v>
      </c>
      <c r="B12" s="6"/>
      <c r="C12" s="6"/>
      <c r="D12" s="6"/>
      <c r="E12" s="6"/>
      <c r="F12" s="6"/>
      <c r="G12" s="6"/>
      <c r="H12" s="6"/>
      <c r="I12" s="6"/>
      <c r="J12" s="6"/>
    </row>
    <row r="14" customFormat="false" ht="15" hidden="false" customHeight="false" outlineLevel="0" collapsed="false">
      <c r="A14" s="7" t="s">
        <v>153</v>
      </c>
      <c r="B14" s="20" t="n">
        <f aca="false">Deal!B24</f>
        <v>0.05</v>
      </c>
      <c r="C14" s="20" t="n">
        <f aca="false">Deal!C24</f>
        <v>0.0525</v>
      </c>
      <c r="D14" s="20" t="n">
        <f aca="false">Deal!D24</f>
        <v>0.0525</v>
      </c>
      <c r="E14" s="20" t="n">
        <f aca="false">Deal!E24</f>
        <v>0.0525</v>
      </c>
      <c r="F14" s="20" t="n">
        <f aca="false">Deal!F24</f>
        <v>0.0525</v>
      </c>
      <c r="G14" s="20" t="n">
        <f aca="false">Deal!G24</f>
        <v>0.0525</v>
      </c>
      <c r="H14" s="20" t="n">
        <f aca="false">Deal!H24</f>
        <v>0.0525</v>
      </c>
      <c r="I14" s="20" t="n">
        <f aca="false">Deal!I24</f>
        <v>0.0525</v>
      </c>
      <c r="J14" s="20" t="n">
        <f aca="false">Deal!J24</f>
        <v>0.0525</v>
      </c>
    </row>
    <row r="15" customFormat="false" ht="15" hidden="false" customHeight="false" outlineLevel="0" collapsed="false">
      <c r="A15" s="7" t="s">
        <v>154</v>
      </c>
      <c r="B15" s="23" t="n">
        <f aca="false">(A_Debt+NewDebt+T_NetDebt+DLcov+EoMax*EoProb/(1+B14)^EoYear)/CombEb</f>
        <v>2.96996903708316</v>
      </c>
      <c r="C15" s="23" t="n">
        <f aca="false">(A_Debt+NewDebt+T_NetDebt+DLcov+EoMax*EoProb/(1+C14)^EoYear)/CombEb</f>
        <v>2.96941008661191</v>
      </c>
      <c r="D15" s="23" t="n">
        <f aca="false">(A_Debt+NewDebt+T_NetDebt+DLcov+EoMax*EoProb/(1+D14)^EoYear)/CombEb</f>
        <v>2.96941008661191</v>
      </c>
      <c r="E15" s="23" t="n">
        <f aca="false">(A_Debt+NewDebt+T_NetDebt+DLcov+EoMax*EoProb/(1+E14)^EoYear)/CombEb</f>
        <v>2.96941008661191</v>
      </c>
      <c r="F15" s="23" t="n">
        <f aca="false">(A_Debt+NewDebt+T_NetDebt+DLcov+EoMax*EoProb/(1+F14)^EoYear)/CombEb</f>
        <v>2.96941008661191</v>
      </c>
      <c r="G15" s="23" t="n">
        <f aca="false">(A_Debt+NewDebt+T_NetDebt+DLcov+EoMax*EoProb/(1+G14)^EoYear)/CombEb</f>
        <v>2.96941008661191</v>
      </c>
      <c r="H15" s="23" t="n">
        <f aca="false">(A_Debt+NewDebt+T_NetDebt+DLcov+EoMax*EoProb/(1+H14)^EoYear)/CombEb</f>
        <v>2.96941008661191</v>
      </c>
      <c r="I15" s="23" t="n">
        <f aca="false">(A_Debt+NewDebt+T_NetDebt+DLcov+EoMax*EoProb/(1+I14)^EoYear)/CombEb</f>
        <v>2.96941008661191</v>
      </c>
      <c r="J15" s="23" t="n">
        <f aca="false">(A_Debt+NewDebt+T_NetDebt+DLcov+EoMax*EoProb/(1+J14)^EoYear)/CombEb</f>
        <v>2.96941008661191</v>
      </c>
    </row>
    <row r="17" customFormat="false" ht="15" hidden="false" customHeight="false" outlineLevel="0" collapsed="false">
      <c r="A17" s="7" t="s">
        <v>155</v>
      </c>
      <c r="B17" s="21" t="str">
        <f aca="false">Converged</f>
        <v>yes</v>
      </c>
    </row>
    <row r="18" customFormat="false" ht="15" hidden="false" customHeight="false" outlineLevel="0" collapsed="false">
      <c r="A18" s="7" t="s">
        <v>156</v>
      </c>
      <c r="B18" s="20" t="n">
        <f aca="false">DebtRate</f>
        <v>0.0525</v>
      </c>
    </row>
    <row r="19" customFormat="false" ht="15" hidden="false" customHeight="false" outlineLevel="0" collapsed="false">
      <c r="A19" s="7" t="s">
        <v>157</v>
      </c>
      <c r="B19" s="20" t="n">
        <f aca="false">Marg</f>
        <v>0.0125</v>
      </c>
    </row>
    <row r="20" customFormat="false" ht="15" hidden="false" customHeight="false" outlineLevel="0" collapsed="false">
      <c r="A20" s="7" t="s">
        <v>158</v>
      </c>
      <c r="B20" s="23" t="n">
        <f aca="false">Lev</f>
        <v>2.96941008661191</v>
      </c>
    </row>
    <row r="21" customFormat="false" ht="15" hidden="false" customHeight="false" outlineLevel="0" collapsed="false">
      <c r="A21" s="7" t="s">
        <v>159</v>
      </c>
      <c r="B21" s="22" t="n">
        <f aca="false">EoFV</f>
        <v>9649086.70523237</v>
      </c>
    </row>
    <row r="23" customFormat="false" ht="15" hidden="false" customHeight="false" outlineLevel="0" collapsed="false">
      <c r="A23" s="4" t="s">
        <v>160</v>
      </c>
      <c r="B23" s="6"/>
      <c r="C23" s="6"/>
      <c r="D23" s="6"/>
      <c r="E23" s="6"/>
      <c r="F23" s="6"/>
    </row>
    <row r="25" customFormat="false" ht="15" hidden="false" customHeight="false" outlineLevel="0" collapsed="false">
      <c r="A25" s="7" t="s">
        <v>161</v>
      </c>
      <c r="B25" s="23" t="n">
        <f aca="false">INDEX(LadRung,MATCH(MIN(LadDist),LadDist,0))</f>
        <v>3</v>
      </c>
    </row>
    <row r="26" customFormat="false" ht="15" hidden="false" customHeight="false" outlineLevel="0" collapsed="false">
      <c r="A26" s="7" t="s">
        <v>162</v>
      </c>
      <c r="B26" s="23" t="n">
        <f aca="false">ABS(Lev-INDEX(LadRung,MATCH(MIN(LadDist),LadDist,0)))</f>
        <v>0.0305899133880874</v>
      </c>
    </row>
    <row r="27" customFormat="false" ht="15" hidden="false" customHeight="false" outlineLevel="0" collapsed="false">
      <c r="A27" s="7" t="s">
        <v>163</v>
      </c>
      <c r="B27" s="23" t="n">
        <f aca="false">1/(1-DebtShare)</f>
        <v>2.5</v>
      </c>
    </row>
    <row r="28" customFormat="false" ht="15" hidden="false" customHeight="false" outlineLevel="0" collapsed="false">
      <c r="A28" s="7" t="s">
        <v>164</v>
      </c>
      <c r="B28" s="19" t="n">
        <f aca="false">ABS(Lev-INDEX(LadRung,MATCH(MIN(LadDist),LadDist,0)))*CombEb/(1-DebtShare)</f>
        <v>9452283.236919</v>
      </c>
    </row>
    <row r="29" customFormat="false" ht="15" hidden="false" customHeight="false" outlineLevel="0" collapsed="false">
      <c r="A29" s="7" t="s">
        <v>165</v>
      </c>
      <c r="B29" s="20" t="n">
        <f aca="false">BaseRate+INDEX(LadMar,MATCH(INDEX(LadRung,MATCH(MIN(LadDist),LadDist,0)),LadThr,0)-1)</f>
        <v>0.0525</v>
      </c>
    </row>
    <row r="30" customFormat="false" ht="15" hidden="false" customHeight="false" outlineLevel="0" collapsed="false">
      <c r="A30" s="7" t="s">
        <v>166</v>
      </c>
      <c r="B30" s="20" t="n">
        <f aca="false">BaseRate+INDEX(LadMar,MATCH(INDEX(LadRung,MATCH(MIN(LadDist),LadDist,0)),LadThr,0))</f>
        <v>0.06</v>
      </c>
    </row>
    <row r="31" customFormat="false" ht="15" hidden="false" customHeight="false" outlineLevel="0" collapsed="false">
      <c r="A31" s="7" t="s">
        <v>167</v>
      </c>
      <c r="B31" s="19" t="n">
        <f aca="false">EoMax*EoProb*(1/(1+Ladder!B29)^EoYear-1/(1+Ladder!B30)^EoYear)</f>
        <v>203369.771118974</v>
      </c>
    </row>
    <row r="32" customFormat="false" ht="15" hidden="false" customHeight="false" outlineLevel="0" collapsed="false">
      <c r="A32" s="7" t="s">
        <v>168</v>
      </c>
      <c r="B32" s="19" t="n">
        <f aca="false">T_NetDebt+Ladder!B28</f>
        <v>47952283.236919</v>
      </c>
    </row>
    <row r="33" customFormat="false" ht="15" hidden="false" customHeight="false" outlineLevel="0" collapsed="false">
      <c r="A33" s="7" t="s">
        <v>169</v>
      </c>
      <c r="B33" s="19" t="n">
        <f aca="false">EoMax*EoProb*(1/(1+Ladder!B29)^EoYear-1/(1+Ladder!B30)^EoYear)/(1-DebtShare)</f>
        <v>508424.427797435</v>
      </c>
    </row>
    <row r="34" customFormat="false" ht="15" hidden="false" customHeight="false" outlineLevel="0" collapsed="false">
      <c r="A34" s="7" t="s">
        <v>170</v>
      </c>
      <c r="B34" s="19" t="n">
        <f aca="false">T_NetDebt+Ladder!B28+EoMax*EoProb*(1/(1+Ladder!B29)^EoYear-1/(1+Ladder!B30)^EoYear)/(1-DebtShare)</f>
        <v>48460707.6647164</v>
      </c>
    </row>
    <row r="35" customFormat="false" ht="15" hidden="false" customHeight="false" outlineLevel="0" collapsed="false">
      <c r="A35" s="17" t="s">
        <v>171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C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2" min="2" style="0" width="16"/>
    <col collapsed="false" customWidth="true" hidden="false" outlineLevel="0" max="3" min="3" style="0" width="8"/>
    <col collapsed="false" customWidth="true" hidden="false" outlineLevel="0" max="29" min="4" style="0" width="13"/>
  </cols>
  <sheetData>
    <row r="1" customFormat="false" ht="24" hidden="false" customHeight="true" outlineLevel="0" collapsed="false">
      <c r="A1" s="1" t="s">
        <v>172</v>
      </c>
    </row>
    <row r="2" customFormat="false" ht="15" hidden="false" customHeight="false" outlineLevel="0" collapsed="false">
      <c r="A2" s="2" t="s">
        <v>173</v>
      </c>
    </row>
    <row r="3" customFormat="false" ht="15" hidden="false" customHeight="false" outlineLevel="0" collapsed="false">
      <c r="A3" s="3"/>
      <c r="B3" s="3"/>
      <c r="C3" s="3"/>
      <c r="D3" s="3"/>
      <c r="E3" s="3"/>
      <c r="F3" s="3"/>
      <c r="G3" s="3"/>
      <c r="H3" s="3"/>
      <c r="I3" s="3"/>
      <c r="J3" s="3"/>
      <c r="K3" s="3"/>
      <c r="L3" s="3"/>
    </row>
    <row r="5" customFormat="false" ht="43.5" hidden="false" customHeight="true" outlineLevel="0" collapsed="false">
      <c r="A5" s="14" t="s">
        <v>174</v>
      </c>
      <c r="B5" s="15" t="s">
        <v>175</v>
      </c>
      <c r="C5" s="15" t="s">
        <v>176</v>
      </c>
      <c r="D5" s="15" t="s">
        <v>177</v>
      </c>
      <c r="E5" s="15" t="s">
        <v>178</v>
      </c>
      <c r="F5" s="15" t="s">
        <v>179</v>
      </c>
      <c r="G5" s="15" t="s">
        <v>180</v>
      </c>
      <c r="H5" s="15" t="s">
        <v>181</v>
      </c>
      <c r="I5" s="15" t="s">
        <v>182</v>
      </c>
      <c r="J5" s="15" t="s">
        <v>183</v>
      </c>
      <c r="K5" s="15" t="s">
        <v>184</v>
      </c>
      <c r="L5" s="15" t="s">
        <v>185</v>
      </c>
      <c r="M5" s="15" t="s">
        <v>186</v>
      </c>
      <c r="N5" s="15" t="s">
        <v>187</v>
      </c>
      <c r="O5" s="15" t="s">
        <v>188</v>
      </c>
      <c r="P5" s="15" t="s">
        <v>189</v>
      </c>
      <c r="Q5" s="15" t="s">
        <v>190</v>
      </c>
      <c r="R5" s="15" t="s">
        <v>191</v>
      </c>
      <c r="S5" s="15" t="s">
        <v>192</v>
      </c>
      <c r="T5" s="15" t="s">
        <v>193</v>
      </c>
      <c r="U5" s="15" t="s">
        <v>194</v>
      </c>
      <c r="V5" s="15" t="s">
        <v>195</v>
      </c>
      <c r="W5" s="15" t="s">
        <v>196</v>
      </c>
      <c r="X5" s="15" t="s">
        <v>197</v>
      </c>
      <c r="Y5" s="15" t="s">
        <v>198</v>
      </c>
      <c r="Z5" s="15" t="s">
        <v>199</v>
      </c>
      <c r="AA5" s="15" t="s">
        <v>200</v>
      </c>
      <c r="AB5" s="15" t="s">
        <v>201</v>
      </c>
      <c r="AC5" s="15" t="s">
        <v>202</v>
      </c>
    </row>
    <row r="6" customFormat="false" ht="15" hidden="false" customHeight="false" outlineLevel="0" collapsed="false">
      <c r="A6" s="7" t="s">
        <v>203</v>
      </c>
      <c r="B6" s="8" t="n">
        <v>20000000</v>
      </c>
      <c r="C6" s="28" t="n">
        <f aca="false">PpaLife</f>
        <v>9</v>
      </c>
      <c r="D6" s="19" t="n">
        <f aca="false">EVh-B6</f>
        <v>228400000</v>
      </c>
      <c r="E6" s="19" t="n">
        <f aca="false">D6-DLtot</f>
        <v>212800000</v>
      </c>
      <c r="F6" s="19" t="n">
        <f aca="false">E6+TxnCost</f>
        <v>219700000</v>
      </c>
      <c r="G6" s="19" t="n">
        <f aca="false">F6*DebtShare</f>
        <v>131820000</v>
      </c>
      <c r="H6" s="19" t="n">
        <f aca="false">F6-G6</f>
        <v>87880000</v>
      </c>
      <c r="I6" s="20" t="n">
        <f aca="false">BaseRate+LOOKUP(2,LadThr,LadMar)</f>
        <v>0.05</v>
      </c>
      <c r="J6" s="20" t="n">
        <f aca="false">BaseRate+LOOKUP((A_Debt+$G6+$B6+DLcov+EoMax*EoProb/(1+I6)^EoYear)/CombEb,LadThr,LadMar)</f>
        <v>0.0525</v>
      </c>
      <c r="K6" s="20" t="n">
        <f aca="false">BaseRate+LOOKUP((A_Debt+$G6+$B6+DLcov+EoMax*EoProb/(1+J6)^EoYear)/CombEb,LadThr,LadMar)</f>
        <v>0.0525</v>
      </c>
      <c r="L6" s="20" t="n">
        <f aca="false">BaseRate+LOOKUP((A_Debt+$G6+$B6+DLcov+EoMax*EoProb/(1+K6)^EoYear)/CombEb,LadThr,LadMar)</f>
        <v>0.0525</v>
      </c>
      <c r="M6" s="20" t="n">
        <f aca="false">BaseRate+LOOKUP((A_Debt+$G6+$B6+DLcov+EoMax*EoProb/(1+L6)^EoYear)/CombEb,LadThr,LadMar)</f>
        <v>0.0525</v>
      </c>
      <c r="N6" s="20" t="n">
        <f aca="false">BaseRate+LOOKUP((A_Debt+$G6+$B6+DLcov+EoMax*EoProb/(1+M6)^EoYear)/CombEb,LadThr,LadMar)</f>
        <v>0.0525</v>
      </c>
      <c r="O6" s="20" t="n">
        <f aca="false">BaseRate+LOOKUP((A_Debt+$G6+$B6+DLcov+EoMax*EoProb/(1+N6)^EoYear)/CombEb,LadThr,LadMar)</f>
        <v>0.0525</v>
      </c>
      <c r="P6" s="20" t="n">
        <f aca="false">BaseRate+LOOKUP((A_Debt+$G6+$B6+DLcov+EoMax*EoProb/(1+O6)^EoYear)/CombEb,LadThr,LadMar)</f>
        <v>0.0525</v>
      </c>
      <c r="Q6" s="20" t="n">
        <f aca="false">MAX(O6,P6)</f>
        <v>0.0525</v>
      </c>
      <c r="R6" s="19" t="n">
        <f aca="false">EoMax*EoProb/(1+Q6)^EoYear</f>
        <v>9649086.70523237</v>
      </c>
      <c r="S6" s="23" t="n">
        <f aca="false">(A_Debt+G6+B6+DLcov+R6)/CombEb</f>
        <v>2.9095395364501</v>
      </c>
      <c r="T6" s="19" t="n">
        <f aca="false">E6+R6</f>
        <v>222449086.705232</v>
      </c>
      <c r="U6" s="24" t="n">
        <f aca="false">A_Shares+H6/IssPrice</f>
        <v>129086860.53113</v>
      </c>
      <c r="V6" s="19" t="n">
        <f aca="false">T6-NetAss</f>
        <v>187499086.705232</v>
      </c>
      <c r="W6" s="19" t="n">
        <f aca="false">V6*IntangSh/C6</f>
        <v>7916628.10533203</v>
      </c>
      <c r="X6" s="19" t="n">
        <f aca="false">(A_Debt+G6+B6+DLbear)*Q6+R6*Q6</f>
        <v>18656877.0520247</v>
      </c>
      <c r="Y6" s="19" t="n">
        <f aca="false">A_Ebitda+T_Ebitda+SynRR*Ramp1-SynCost*CostY1-TxnCost-(A_DA+T_DA+W6)-X6</f>
        <v>59716494.8426433</v>
      </c>
      <c r="Z6" s="26" t="n">
        <f aca="false">Y6*(1-Tax)/U6</f>
        <v>0.346955305502854</v>
      </c>
      <c r="AA6" s="25" t="n">
        <f aca="false">Z6/AEPS-1</f>
        <v>-0.168695123239944</v>
      </c>
      <c r="AB6" s="19" t="n">
        <f aca="false">SynVal-(EVh-Intrin)-TxnCost-R6</f>
        <v>-17530854.8728918</v>
      </c>
      <c r="AC6" s="21" t="str">
        <f aca="false">IF(O6=P6,"yes","no")</f>
        <v>yes</v>
      </c>
    </row>
    <row r="7" customFormat="false" ht="15" hidden="false" customHeight="false" outlineLevel="0" collapsed="false">
      <c r="A7" s="7" t="s">
        <v>204</v>
      </c>
      <c r="B7" s="8" t="n">
        <v>38500000</v>
      </c>
      <c r="C7" s="28" t="n">
        <f aca="false">PpaLife</f>
        <v>9</v>
      </c>
      <c r="D7" s="19" t="n">
        <f aca="false">EVh-B7</f>
        <v>209900000</v>
      </c>
      <c r="E7" s="19" t="n">
        <f aca="false">D7-DLtot</f>
        <v>194300000</v>
      </c>
      <c r="F7" s="19" t="n">
        <f aca="false">E7+TxnCost</f>
        <v>201200000</v>
      </c>
      <c r="G7" s="19" t="n">
        <f aca="false">F7*DebtShare</f>
        <v>120720000</v>
      </c>
      <c r="H7" s="19" t="n">
        <f aca="false">F7-G7</f>
        <v>80480000</v>
      </c>
      <c r="I7" s="20" t="n">
        <f aca="false">BaseRate+LOOKUP(2,LadThr,LadMar)</f>
        <v>0.05</v>
      </c>
      <c r="J7" s="20" t="n">
        <f aca="false">BaseRate+LOOKUP((A_Debt+$G7+$B7+DLcov+EoMax*EoProb/(1+I7)^EoYear)/CombEb,LadThr,LadMar)</f>
        <v>0.0525</v>
      </c>
      <c r="K7" s="20" t="n">
        <f aca="false">BaseRate+LOOKUP((A_Debt+$G7+$B7+DLcov+EoMax*EoProb/(1+J7)^EoYear)/CombEb,LadThr,LadMar)</f>
        <v>0.0525</v>
      </c>
      <c r="L7" s="20" t="n">
        <f aca="false">BaseRate+LOOKUP((A_Debt+$G7+$B7+DLcov+EoMax*EoProb/(1+K7)^EoYear)/CombEb,LadThr,LadMar)</f>
        <v>0.0525</v>
      </c>
      <c r="M7" s="20" t="n">
        <f aca="false">BaseRate+LOOKUP((A_Debt+$G7+$B7+DLcov+EoMax*EoProb/(1+L7)^EoYear)/CombEb,LadThr,LadMar)</f>
        <v>0.0525</v>
      </c>
      <c r="N7" s="20" t="n">
        <f aca="false">BaseRate+LOOKUP((A_Debt+$G7+$B7+DLcov+EoMax*EoProb/(1+M7)^EoYear)/CombEb,LadThr,LadMar)</f>
        <v>0.0525</v>
      </c>
      <c r="O7" s="20" t="n">
        <f aca="false">BaseRate+LOOKUP((A_Debt+$G7+$B7+DLcov+EoMax*EoProb/(1+N7)^EoYear)/CombEb,LadThr,LadMar)</f>
        <v>0.0525</v>
      </c>
      <c r="P7" s="20" t="n">
        <f aca="false">BaseRate+LOOKUP((A_Debt+$G7+$B7+DLcov+EoMax*EoProb/(1+O7)^EoYear)/CombEb,LadThr,LadMar)</f>
        <v>0.0525</v>
      </c>
      <c r="Q7" s="20" t="n">
        <f aca="false">MAX(O7,P7)</f>
        <v>0.0525</v>
      </c>
      <c r="R7" s="19" t="n">
        <f aca="false">EoMax*EoProb/(1+Q7)^EoYear</f>
        <v>9649086.70523237</v>
      </c>
      <c r="S7" s="23" t="n">
        <f aca="false">(A_Debt+G7+B7+DLcov+R7)/CombEb</f>
        <v>2.96941008661191</v>
      </c>
      <c r="T7" s="19" t="n">
        <f aca="false">E7+R7</f>
        <v>203949086.705232</v>
      </c>
      <c r="U7" s="24" t="n">
        <f aca="false">A_Shares+H7/IssPrice</f>
        <v>128153283.290229</v>
      </c>
      <c r="V7" s="19" t="n">
        <f aca="false">T7-NetAss</f>
        <v>168999086.705232</v>
      </c>
      <c r="W7" s="19" t="n">
        <f aca="false">V7*IntangSh/C7</f>
        <v>7135516.99422092</v>
      </c>
      <c r="X7" s="19" t="n">
        <f aca="false">(A_Debt+G7+B7+DLbear)*Q7+R7*Q7</f>
        <v>19045377.0520247</v>
      </c>
      <c r="Y7" s="19" t="n">
        <f aca="false">A_Ebitda+T_Ebitda+SynRR*Ramp1-SynCost*CostY1-TxnCost-(A_DA+T_DA+W7)-X7</f>
        <v>60109105.9537544</v>
      </c>
      <c r="Z7" s="26" t="n">
        <f aca="false">Y7*(1-Tax)/U7</f>
        <v>0.351780526474838</v>
      </c>
      <c r="AA7" s="25" t="n">
        <f aca="false">Z7/AEPS-1</f>
        <v>-0.157133894280954</v>
      </c>
      <c r="AB7" s="19" t="n">
        <f aca="false">SynVal-(EVh-Intrin)-TxnCost-R7</f>
        <v>-17530854.8728918</v>
      </c>
      <c r="AC7" s="21" t="str">
        <f aca="false">IF(O7=P7,"yes","no")</f>
        <v>yes</v>
      </c>
    </row>
    <row r="8" customFormat="false" ht="15" hidden="false" customHeight="false" outlineLevel="0" collapsed="false">
      <c r="A8" s="7" t="s">
        <v>205</v>
      </c>
      <c r="B8" s="8" t="n">
        <v>47500000</v>
      </c>
      <c r="C8" s="28" t="n">
        <f aca="false">PpaLife</f>
        <v>9</v>
      </c>
      <c r="D8" s="19" t="n">
        <f aca="false">EVh-B8</f>
        <v>200900000</v>
      </c>
      <c r="E8" s="19" t="n">
        <f aca="false">D8-DLtot</f>
        <v>185300000</v>
      </c>
      <c r="F8" s="19" t="n">
        <f aca="false">E8+TxnCost</f>
        <v>192200000</v>
      </c>
      <c r="G8" s="19" t="n">
        <f aca="false">F8*DebtShare</f>
        <v>115320000</v>
      </c>
      <c r="H8" s="19" t="n">
        <f aca="false">F8-G8</f>
        <v>76880000</v>
      </c>
      <c r="I8" s="20" t="n">
        <f aca="false">BaseRate+LOOKUP(2,LadThr,LadMar)</f>
        <v>0.05</v>
      </c>
      <c r="J8" s="20" t="n">
        <f aca="false">BaseRate+LOOKUP((A_Debt+$G8+$B8+DLcov+EoMax*EoProb/(1+I8)^EoYear)/CombEb,LadThr,LadMar)</f>
        <v>0.0525</v>
      </c>
      <c r="K8" s="20" t="n">
        <f aca="false">BaseRate+LOOKUP((A_Debt+$G8+$B8+DLcov+EoMax*EoProb/(1+J8)^EoYear)/CombEb,LadThr,LadMar)</f>
        <v>0.0525</v>
      </c>
      <c r="L8" s="20" t="n">
        <f aca="false">BaseRate+LOOKUP((A_Debt+$G8+$B8+DLcov+EoMax*EoProb/(1+K8)^EoYear)/CombEb,LadThr,LadMar)</f>
        <v>0.0525</v>
      </c>
      <c r="M8" s="20" t="n">
        <f aca="false">BaseRate+LOOKUP((A_Debt+$G8+$B8+DLcov+EoMax*EoProb/(1+L8)^EoYear)/CombEb,LadThr,LadMar)</f>
        <v>0.0525</v>
      </c>
      <c r="N8" s="20" t="n">
        <f aca="false">BaseRate+LOOKUP((A_Debt+$G8+$B8+DLcov+EoMax*EoProb/(1+M8)^EoYear)/CombEb,LadThr,LadMar)</f>
        <v>0.0525</v>
      </c>
      <c r="O8" s="20" t="n">
        <f aca="false">BaseRate+LOOKUP((A_Debt+$G8+$B8+DLcov+EoMax*EoProb/(1+N8)^EoYear)/CombEb,LadThr,LadMar)</f>
        <v>0.0525</v>
      </c>
      <c r="P8" s="20" t="n">
        <f aca="false">BaseRate+LOOKUP((A_Debt+$G8+$B8+DLcov+EoMax*EoProb/(1+O8)^EoYear)/CombEb,LadThr,LadMar)</f>
        <v>0.0525</v>
      </c>
      <c r="Q8" s="20" t="n">
        <f aca="false">MAX(O8,P8)</f>
        <v>0.0525</v>
      </c>
      <c r="R8" s="19" t="n">
        <f aca="false">EoMax*EoProb/(1+Q8)^EoYear</f>
        <v>9649086.70523237</v>
      </c>
      <c r="S8" s="23" t="n">
        <f aca="false">(A_Debt+G8+B8+DLcov+R8)/CombEb</f>
        <v>2.99853630020415</v>
      </c>
      <c r="T8" s="19" t="n">
        <f aca="false">E8+R8</f>
        <v>194949086.705232</v>
      </c>
      <c r="U8" s="24" t="n">
        <f aca="false">A_Shares+H8/IssPrice</f>
        <v>127699110.578439</v>
      </c>
      <c r="V8" s="19" t="n">
        <f aca="false">T8-NetAss</f>
        <v>159999086.705232</v>
      </c>
      <c r="W8" s="19" t="n">
        <f aca="false">V8*IntangSh/C8</f>
        <v>6755516.99422092</v>
      </c>
      <c r="X8" s="19" t="n">
        <f aca="false">(A_Debt+G8+B8+DLbear)*Q8+R8*Q8</f>
        <v>19234377.0520247</v>
      </c>
      <c r="Y8" s="19" t="n">
        <f aca="false">A_Ebitda+T_Ebitda+SynRR*Ramp1-SynCost*CostY1-TxnCost-(A_DA+T_DA+W8)-X8</f>
        <v>60300105.9537544</v>
      </c>
      <c r="Z8" s="26" t="n">
        <f aca="false">Y8*(1-Tax)/U8</f>
        <v>0.354153441323589</v>
      </c>
      <c r="AA8" s="25" t="n">
        <f aca="false">Z8/AEPS-1</f>
        <v>-0.151448390544259</v>
      </c>
      <c r="AB8" s="19" t="n">
        <f aca="false">SynVal-(EVh-Intrin)-TxnCost-R8</f>
        <v>-17530854.8728918</v>
      </c>
      <c r="AC8" s="21" t="str">
        <f aca="false">IF(O8=P8,"yes","no")</f>
        <v>yes</v>
      </c>
    </row>
    <row r="9" customFormat="false" ht="15" hidden="false" customHeight="false" outlineLevel="0" collapsed="false">
      <c r="A9" s="7" t="s">
        <v>206</v>
      </c>
      <c r="B9" s="8" t="n">
        <v>48200000</v>
      </c>
      <c r="C9" s="28" t="n">
        <f aca="false">PpaLife</f>
        <v>9</v>
      </c>
      <c r="D9" s="19" t="n">
        <f aca="false">EVh-B9</f>
        <v>200200000</v>
      </c>
      <c r="E9" s="19" t="n">
        <f aca="false">D9-DLtot</f>
        <v>184600000</v>
      </c>
      <c r="F9" s="19" t="n">
        <f aca="false">E9+TxnCost</f>
        <v>191500000</v>
      </c>
      <c r="G9" s="19" t="n">
        <f aca="false">F9*DebtShare</f>
        <v>114900000</v>
      </c>
      <c r="H9" s="19" t="n">
        <f aca="false">F9-G9</f>
        <v>76600000</v>
      </c>
      <c r="I9" s="20" t="n">
        <f aca="false">BaseRate+LOOKUP(2,LadThr,LadMar)</f>
        <v>0.05</v>
      </c>
      <c r="J9" s="20" t="n">
        <f aca="false">BaseRate+LOOKUP((A_Debt+$G9+$B9+DLcov+EoMax*EoProb/(1+I9)^EoYear)/CombEb,LadThr,LadMar)</f>
        <v>0.06</v>
      </c>
      <c r="K9" s="20" t="n">
        <f aca="false">BaseRate+LOOKUP((A_Debt+$G9+$B9+DLcov+EoMax*EoProb/(1+J9)^EoYear)/CombEb,LadThr,LadMar)</f>
        <v>0.0525</v>
      </c>
      <c r="L9" s="20" t="n">
        <f aca="false">BaseRate+LOOKUP((A_Debt+$G9+$B9+DLcov+EoMax*EoProb/(1+K9)^EoYear)/CombEb,LadThr,LadMar)</f>
        <v>0.06</v>
      </c>
      <c r="M9" s="20" t="n">
        <f aca="false">BaseRate+LOOKUP((A_Debt+$G9+$B9+DLcov+EoMax*EoProb/(1+L9)^EoYear)/CombEb,LadThr,LadMar)</f>
        <v>0.0525</v>
      </c>
      <c r="N9" s="20" t="n">
        <f aca="false">BaseRate+LOOKUP((A_Debt+$G9+$B9+DLcov+EoMax*EoProb/(1+M9)^EoYear)/CombEb,LadThr,LadMar)</f>
        <v>0.06</v>
      </c>
      <c r="O9" s="20" t="n">
        <f aca="false">BaseRate+LOOKUP((A_Debt+$G9+$B9+DLcov+EoMax*EoProb/(1+N9)^EoYear)/CombEb,LadThr,LadMar)</f>
        <v>0.0525</v>
      </c>
      <c r="P9" s="20" t="n">
        <f aca="false">BaseRate+LOOKUP((A_Debt+$G9+$B9+DLcov+EoMax*EoProb/(1+O9)^EoYear)/CombEb,LadThr,LadMar)</f>
        <v>0.06</v>
      </c>
      <c r="Q9" s="20" t="n">
        <f aca="false">MAX(O9,P9)</f>
        <v>0.06</v>
      </c>
      <c r="R9" s="19" t="n">
        <f aca="false">EoMax*EoProb/(1+Q9)^EoYear</f>
        <v>9445716.93411339</v>
      </c>
      <c r="S9" s="23" t="n">
        <f aca="false">(A_Debt+G9+B9+DLcov+R9)/CombEb</f>
        <v>2.9991562858747</v>
      </c>
      <c r="T9" s="19" t="n">
        <f aca="false">E9+R9</f>
        <v>194045716.934113</v>
      </c>
      <c r="U9" s="24" t="n">
        <f aca="false">A_Shares+H9/IssPrice</f>
        <v>127663786.034189</v>
      </c>
      <c r="V9" s="19" t="n">
        <f aca="false">T9-NetAss</f>
        <v>159095716.934113</v>
      </c>
      <c r="W9" s="19" t="n">
        <f aca="false">V9*IntangSh/C9</f>
        <v>6717374.7149959</v>
      </c>
      <c r="X9" s="19" t="n">
        <f aca="false">(A_Debt+G9+B9+DLbear)*Q9+R9*Q9</f>
        <v>21986743.0160468</v>
      </c>
      <c r="Y9" s="19" t="n">
        <f aca="false">A_Ebitda+T_Ebitda+SynRR*Ramp1-SynCost*CostY1-TxnCost-(A_DA+T_DA+W9)-X9</f>
        <v>57585882.2689573</v>
      </c>
      <c r="Z9" s="26" t="n">
        <f aca="false">Y9*(1-Tax)/U9</f>
        <v>0.338305897415196</v>
      </c>
      <c r="AA9" s="25" t="n">
        <f aca="false">Z9/AEPS-1</f>
        <v>-0.189419104139837</v>
      </c>
      <c r="AB9" s="19" t="n">
        <f aca="false">SynVal-(EVh-Intrin)-TxnCost-R9</f>
        <v>-17327485.1017729</v>
      </c>
      <c r="AC9" s="21" t="str">
        <f aca="false">IF(O9=P9,"yes","no")</f>
        <v>no</v>
      </c>
    </row>
    <row r="10" customFormat="false" ht="15" hidden="false" customHeight="false" outlineLevel="0" collapsed="false">
      <c r="A10" s="7" t="s">
        <v>207</v>
      </c>
      <c r="B10" s="8" t="n">
        <v>60000000</v>
      </c>
      <c r="C10" s="28" t="n">
        <f aca="false">PpaLife</f>
        <v>9</v>
      </c>
      <c r="D10" s="19" t="n">
        <f aca="false">EVh-B10</f>
        <v>188400000</v>
      </c>
      <c r="E10" s="19" t="n">
        <f aca="false">D10-DLtot</f>
        <v>172800000</v>
      </c>
      <c r="F10" s="19" t="n">
        <f aca="false">E10+TxnCost</f>
        <v>179700000</v>
      </c>
      <c r="G10" s="19" t="n">
        <f aca="false">F10*DebtShare</f>
        <v>107820000</v>
      </c>
      <c r="H10" s="19" t="n">
        <f aca="false">F10-G10</f>
        <v>71880000</v>
      </c>
      <c r="I10" s="20" t="n">
        <f aca="false">BaseRate+LOOKUP(2,LadThr,LadMar)</f>
        <v>0.05</v>
      </c>
      <c r="J10" s="20" t="n">
        <f aca="false">BaseRate+LOOKUP((A_Debt+$G10+$B10+DLcov+EoMax*EoProb/(1+I10)^EoYear)/CombEb,LadThr,LadMar)</f>
        <v>0.06</v>
      </c>
      <c r="K10" s="20" t="n">
        <f aca="false">BaseRate+LOOKUP((A_Debt+$G10+$B10+DLcov+EoMax*EoProb/(1+J10)^EoYear)/CombEb,LadThr,LadMar)</f>
        <v>0.06</v>
      </c>
      <c r="L10" s="20" t="n">
        <f aca="false">BaseRate+LOOKUP((A_Debt+$G10+$B10+DLcov+EoMax*EoProb/(1+K10)^EoYear)/CombEb,LadThr,LadMar)</f>
        <v>0.06</v>
      </c>
      <c r="M10" s="20" t="n">
        <f aca="false">BaseRate+LOOKUP((A_Debt+$G10+$B10+DLcov+EoMax*EoProb/(1+L10)^EoYear)/CombEb,LadThr,LadMar)</f>
        <v>0.06</v>
      </c>
      <c r="N10" s="20" t="n">
        <f aca="false">BaseRate+LOOKUP((A_Debt+$G10+$B10+DLcov+EoMax*EoProb/(1+M10)^EoYear)/CombEb,LadThr,LadMar)</f>
        <v>0.06</v>
      </c>
      <c r="O10" s="20" t="n">
        <f aca="false">BaseRate+LOOKUP((A_Debt+$G10+$B10+DLcov+EoMax*EoProb/(1+N10)^EoYear)/CombEb,LadThr,LadMar)</f>
        <v>0.06</v>
      </c>
      <c r="P10" s="20" t="n">
        <f aca="false">BaseRate+LOOKUP((A_Debt+$G10+$B10+DLcov+EoMax*EoProb/(1+O10)^EoYear)/CombEb,LadThr,LadMar)</f>
        <v>0.06</v>
      </c>
      <c r="Q10" s="20" t="n">
        <f aca="false">MAX(O10,P10)</f>
        <v>0.06</v>
      </c>
      <c r="R10" s="19" t="n">
        <f aca="false">EoMax*EoProb/(1+Q10)^EoYear</f>
        <v>9445716.93411339</v>
      </c>
      <c r="S10" s="23" t="n">
        <f aca="false">(A_Debt+G10+B10+DLcov+R10)/CombEb</f>
        <v>3.03734398814008</v>
      </c>
      <c r="T10" s="19" t="n">
        <f aca="false">E10+R10</f>
        <v>182245716.934113</v>
      </c>
      <c r="U10" s="24" t="n">
        <f aca="false">A_Shares+H10/IssPrice</f>
        <v>127068315.145398</v>
      </c>
      <c r="V10" s="19" t="n">
        <f aca="false">T10-NetAss</f>
        <v>147295716.934113</v>
      </c>
      <c r="W10" s="19" t="n">
        <f aca="false">V10*IntangSh/C10</f>
        <v>6219152.49277368</v>
      </c>
      <c r="X10" s="19" t="n">
        <f aca="false">(A_Debt+G10+B10+DLbear)*Q10+R10*Q10</f>
        <v>22269943.0160468</v>
      </c>
      <c r="Y10" s="19" t="n">
        <f aca="false">A_Ebitda+T_Ebitda+SynRR*Ramp1-SynCost*CostY1-TxnCost-(A_DA+T_DA+W10)-X10</f>
        <v>57800904.4911795</v>
      </c>
      <c r="Z10" s="26" t="n">
        <f aca="false">Y10*(1-Tax)/U10</f>
        <v>0.341160409019199</v>
      </c>
      <c r="AA10" s="25" t="n">
        <f aca="false">Z10/AEPS-1</f>
        <v>-0.182579694626452</v>
      </c>
      <c r="AB10" s="19" t="n">
        <f aca="false">SynVal-(EVh-Intrin)-TxnCost-R10</f>
        <v>-17327485.1017729</v>
      </c>
      <c r="AC10" s="21" t="str">
        <f aca="false">IF(O10=P10,"yes","no")</f>
        <v>yes</v>
      </c>
    </row>
    <row r="11" customFormat="false" ht="15" hidden="false" customHeight="false" outlineLevel="0" collapsed="false">
      <c r="A11" s="7" t="s">
        <v>208</v>
      </c>
      <c r="B11" s="8" t="n">
        <v>80000000</v>
      </c>
      <c r="C11" s="28" t="n">
        <f aca="false">PpaLife</f>
        <v>9</v>
      </c>
      <c r="D11" s="19" t="n">
        <f aca="false">EVh-B11</f>
        <v>168400000</v>
      </c>
      <c r="E11" s="19" t="n">
        <f aca="false">D11-DLtot</f>
        <v>152800000</v>
      </c>
      <c r="F11" s="19" t="n">
        <f aca="false">E11+TxnCost</f>
        <v>159700000</v>
      </c>
      <c r="G11" s="19" t="n">
        <f aca="false">F11*DebtShare</f>
        <v>95820000</v>
      </c>
      <c r="H11" s="19" t="n">
        <f aca="false">F11-G11</f>
        <v>63880000</v>
      </c>
      <c r="I11" s="20" t="n">
        <f aca="false">BaseRate+LOOKUP(2,LadThr,LadMar)</f>
        <v>0.05</v>
      </c>
      <c r="J11" s="20" t="n">
        <f aca="false">BaseRate+LOOKUP((A_Debt+$G11+$B11+DLcov+EoMax*EoProb/(1+I11)^EoYear)/CombEb,LadThr,LadMar)</f>
        <v>0.06</v>
      </c>
      <c r="K11" s="20" t="n">
        <f aca="false">BaseRate+LOOKUP((A_Debt+$G11+$B11+DLcov+EoMax*EoProb/(1+J11)^EoYear)/CombEb,LadThr,LadMar)</f>
        <v>0.06</v>
      </c>
      <c r="L11" s="20" t="n">
        <f aca="false">BaseRate+LOOKUP((A_Debt+$G11+$B11+DLcov+EoMax*EoProb/(1+K11)^EoYear)/CombEb,LadThr,LadMar)</f>
        <v>0.06</v>
      </c>
      <c r="M11" s="20" t="n">
        <f aca="false">BaseRate+LOOKUP((A_Debt+$G11+$B11+DLcov+EoMax*EoProb/(1+L11)^EoYear)/CombEb,LadThr,LadMar)</f>
        <v>0.06</v>
      </c>
      <c r="N11" s="20" t="n">
        <f aca="false">BaseRate+LOOKUP((A_Debt+$G11+$B11+DLcov+EoMax*EoProb/(1+M11)^EoYear)/CombEb,LadThr,LadMar)</f>
        <v>0.06</v>
      </c>
      <c r="O11" s="20" t="n">
        <f aca="false">BaseRate+LOOKUP((A_Debt+$G11+$B11+DLcov+EoMax*EoProb/(1+N11)^EoYear)/CombEb,LadThr,LadMar)</f>
        <v>0.06</v>
      </c>
      <c r="P11" s="20" t="n">
        <f aca="false">BaseRate+LOOKUP((A_Debt+$G11+$B11+DLcov+EoMax*EoProb/(1+O11)^EoYear)/CombEb,LadThr,LadMar)</f>
        <v>0.06</v>
      </c>
      <c r="Q11" s="20" t="n">
        <f aca="false">MAX(O11,P11)</f>
        <v>0.06</v>
      </c>
      <c r="R11" s="19" t="n">
        <f aca="false">EoMax*EoProb/(1+Q11)^EoYear</f>
        <v>9445716.93411339</v>
      </c>
      <c r="S11" s="23" t="n">
        <f aca="false">(A_Debt+G11+B11+DLcov+R11)/CombEb</f>
        <v>3.10206890723393</v>
      </c>
      <c r="T11" s="19" t="n">
        <f aca="false">E11+R11</f>
        <v>162245716.934113</v>
      </c>
      <c r="U11" s="24" t="n">
        <f aca="false">A_Shares+H11/IssPrice</f>
        <v>126059042.452533</v>
      </c>
      <c r="V11" s="19" t="n">
        <f aca="false">T11-NetAss</f>
        <v>127295716.934113</v>
      </c>
      <c r="W11" s="19" t="n">
        <f aca="false">V11*IntangSh/C11</f>
        <v>5374708.04832923</v>
      </c>
      <c r="X11" s="19" t="n">
        <f aca="false">(A_Debt+G11+B11+DLbear)*Q11+R11*Q11</f>
        <v>22749943.0160468</v>
      </c>
      <c r="Y11" s="19" t="n">
        <f aca="false">A_Ebitda+T_Ebitda+SynRR*Ramp1-SynCost*CostY1-TxnCost-(A_DA+T_DA+W11)-X11</f>
        <v>58165348.935624</v>
      </c>
      <c r="Z11" s="26" t="n">
        <f aca="false">Y11*(1-Tax)/U11</f>
        <v>0.346060154456151</v>
      </c>
      <c r="AA11" s="25" t="n">
        <f aca="false">Z11/AEPS-1</f>
        <v>-0.170839905056964</v>
      </c>
      <c r="AB11" s="19" t="n">
        <f aca="false">SynVal-(EVh-Intrin)-TxnCost-R11</f>
        <v>-17327485.1017729</v>
      </c>
      <c r="AC11" s="21" t="str">
        <f aca="false">IF(O11=P11,"yes","no")</f>
        <v>yes</v>
      </c>
    </row>
    <row r="12" customFormat="false" ht="15" hidden="false" customHeight="false" outlineLevel="0" collapsed="false">
      <c r="A12" s="7" t="s">
        <v>209</v>
      </c>
      <c r="B12" s="19" t="n">
        <f aca="false">BandLo-20000</f>
        <v>47932283.236919</v>
      </c>
      <c r="C12" s="28" t="n">
        <f aca="false">PpaLife</f>
        <v>9</v>
      </c>
      <c r="D12" s="19" t="n">
        <f aca="false">EVh-B12</f>
        <v>200467716.763081</v>
      </c>
      <c r="E12" s="19" t="n">
        <f aca="false">D12-DLtot</f>
        <v>184867716.763081</v>
      </c>
      <c r="F12" s="19" t="n">
        <f aca="false">E12+TxnCost</f>
        <v>191767716.763081</v>
      </c>
      <c r="G12" s="19" t="n">
        <f aca="false">F12*DebtShare</f>
        <v>115060630.057849</v>
      </c>
      <c r="H12" s="19" t="n">
        <f aca="false">F12-G12</f>
        <v>76707086.7052324</v>
      </c>
      <c r="I12" s="20" t="n">
        <f aca="false">BaseRate+LOOKUP(2,LadThr,LadMar)</f>
        <v>0.05</v>
      </c>
      <c r="J12" s="20" t="n">
        <f aca="false">BaseRate+LOOKUP((A_Debt+$G12+$B12+DLcov+EoMax*EoProb/(1+I12)^EoYear)/CombEb,LadThr,LadMar)</f>
        <v>0.06</v>
      </c>
      <c r="K12" s="20" t="n">
        <f aca="false">BaseRate+LOOKUP((A_Debt+$G12+$B12+DLcov+EoMax*EoProb/(1+J12)^EoYear)/CombEb,LadThr,LadMar)</f>
        <v>0.0525</v>
      </c>
      <c r="L12" s="20" t="n">
        <f aca="false">BaseRate+LOOKUP((A_Debt+$G12+$B12+DLcov+EoMax*EoProb/(1+K12)^EoYear)/CombEb,LadThr,LadMar)</f>
        <v>0.0525</v>
      </c>
      <c r="M12" s="20" t="n">
        <f aca="false">BaseRate+LOOKUP((A_Debt+$G12+$B12+DLcov+EoMax*EoProb/(1+L12)^EoYear)/CombEb,LadThr,LadMar)</f>
        <v>0.0525</v>
      </c>
      <c r="N12" s="20" t="n">
        <f aca="false">BaseRate+LOOKUP((A_Debt+$G12+$B12+DLcov+EoMax*EoProb/(1+M12)^EoYear)/CombEb,LadThr,LadMar)</f>
        <v>0.0525</v>
      </c>
      <c r="O12" s="20" t="n">
        <f aca="false">BaseRate+LOOKUP((A_Debt+$G12+$B12+DLcov+EoMax*EoProb/(1+N12)^EoYear)/CombEb,LadThr,LadMar)</f>
        <v>0.0525</v>
      </c>
      <c r="P12" s="20" t="n">
        <f aca="false">BaseRate+LOOKUP((A_Debt+$G12+$B12+DLcov+EoMax*EoProb/(1+O12)^EoYear)/CombEb,LadThr,LadMar)</f>
        <v>0.0525</v>
      </c>
      <c r="Q12" s="20" t="n">
        <f aca="false">MAX(O12,P12)</f>
        <v>0.0525</v>
      </c>
      <c r="R12" s="19" t="n">
        <f aca="false">EoMax*EoProb/(1+Q12)^EoYear</f>
        <v>9649086.70523237</v>
      </c>
      <c r="S12" s="23" t="n">
        <f aca="false">(A_Debt+G12+B12+DLcov+R12)/CombEb</f>
        <v>2.99993527508091</v>
      </c>
      <c r="T12" s="19" t="n">
        <f aca="false">E12+R12</f>
        <v>194516803.468313</v>
      </c>
      <c r="U12" s="24" t="n">
        <f aca="false">A_Shares+H12/IssPrice</f>
        <v>127677295.995109</v>
      </c>
      <c r="V12" s="19" t="n">
        <f aca="false">T12-NetAss</f>
        <v>159566803.468313</v>
      </c>
      <c r="W12" s="19" t="n">
        <f aca="false">V12*IntangSh/C12</f>
        <v>6737265.03532879</v>
      </c>
      <c r="X12" s="19" t="n">
        <f aca="false">(A_Debt+G12+B12+DLbear)*Q12+R12*Q12</f>
        <v>19243455</v>
      </c>
      <c r="Y12" s="19" t="n">
        <f aca="false">A_Ebitda+T_Ebitda+SynRR*Ramp1-SynCost*CostY1-TxnCost-(A_DA+T_DA+W12)-X12</f>
        <v>60309279.9646712</v>
      </c>
      <c r="Z12" s="26" t="n">
        <f aca="false">Y12*(1-Tax)/U12</f>
        <v>0.354267840816711</v>
      </c>
      <c r="AA12" s="25" t="n">
        <f aca="false">Z12/AEPS-1</f>
        <v>-0.151174289370352</v>
      </c>
      <c r="AB12" s="19" t="n">
        <f aca="false">SynVal-(EVh-Intrin)-TxnCost-R12</f>
        <v>-17530854.8728918</v>
      </c>
      <c r="AC12" s="21" t="str">
        <f aca="false">IF(O12=P12,"yes","no")</f>
        <v>yes</v>
      </c>
    </row>
    <row r="13" customFormat="false" ht="15" hidden="false" customHeight="false" outlineLevel="0" collapsed="false">
      <c r="A13" s="7" t="s">
        <v>210</v>
      </c>
      <c r="B13" s="19" t="n">
        <f aca="false">BandLo+20000</f>
        <v>47972283.236919</v>
      </c>
      <c r="C13" s="28" t="n">
        <f aca="false">PpaLife</f>
        <v>9</v>
      </c>
      <c r="D13" s="19" t="n">
        <f aca="false">EVh-B13</f>
        <v>200427716.763081</v>
      </c>
      <c r="E13" s="19" t="n">
        <f aca="false">D13-DLtot</f>
        <v>184827716.763081</v>
      </c>
      <c r="F13" s="19" t="n">
        <f aca="false">E13+TxnCost</f>
        <v>191727716.763081</v>
      </c>
      <c r="G13" s="19" t="n">
        <f aca="false">F13*DebtShare</f>
        <v>115036630.057849</v>
      </c>
      <c r="H13" s="19" t="n">
        <f aca="false">F13-G13</f>
        <v>76691086.7052324</v>
      </c>
      <c r="I13" s="20" t="n">
        <f aca="false">BaseRate+LOOKUP(2,LadThr,LadMar)</f>
        <v>0.05</v>
      </c>
      <c r="J13" s="20" t="n">
        <f aca="false">BaseRate+LOOKUP((A_Debt+$G13+$B13+DLcov+EoMax*EoProb/(1+I13)^EoYear)/CombEb,LadThr,LadMar)</f>
        <v>0.06</v>
      </c>
      <c r="K13" s="20" t="n">
        <f aca="false">BaseRate+LOOKUP((A_Debt+$G13+$B13+DLcov+EoMax*EoProb/(1+J13)^EoYear)/CombEb,LadThr,LadMar)</f>
        <v>0.0525</v>
      </c>
      <c r="L13" s="20" t="n">
        <f aca="false">BaseRate+LOOKUP((A_Debt+$G13+$B13+DLcov+EoMax*EoProb/(1+K13)^EoYear)/CombEb,LadThr,LadMar)</f>
        <v>0.06</v>
      </c>
      <c r="M13" s="20" t="n">
        <f aca="false">BaseRate+LOOKUP((A_Debt+$G13+$B13+DLcov+EoMax*EoProb/(1+L13)^EoYear)/CombEb,LadThr,LadMar)</f>
        <v>0.0525</v>
      </c>
      <c r="N13" s="20" t="n">
        <f aca="false">BaseRate+LOOKUP((A_Debt+$G13+$B13+DLcov+EoMax*EoProb/(1+M13)^EoYear)/CombEb,LadThr,LadMar)</f>
        <v>0.06</v>
      </c>
      <c r="O13" s="20" t="n">
        <f aca="false">BaseRate+LOOKUP((A_Debt+$G13+$B13+DLcov+EoMax*EoProb/(1+N13)^EoYear)/CombEb,LadThr,LadMar)</f>
        <v>0.0525</v>
      </c>
      <c r="P13" s="20" t="n">
        <f aca="false">BaseRate+LOOKUP((A_Debt+$G13+$B13+DLcov+EoMax*EoProb/(1+O13)^EoYear)/CombEb,LadThr,LadMar)</f>
        <v>0.06</v>
      </c>
      <c r="Q13" s="20" t="n">
        <f aca="false">MAX(O13,P13)</f>
        <v>0.06</v>
      </c>
      <c r="R13" s="19" t="n">
        <f aca="false">EoMax*EoProb/(1+Q13)^EoYear</f>
        <v>9445716.93411339</v>
      </c>
      <c r="S13" s="23" t="n">
        <f aca="false">(A_Debt+G13+B13+DLcov+R13)/CombEb</f>
        <v>2.99841933842137</v>
      </c>
      <c r="T13" s="19" t="n">
        <f aca="false">E13+R13</f>
        <v>194273433.697194</v>
      </c>
      <c r="U13" s="24" t="n">
        <f aca="false">A_Shares+H13/IssPrice</f>
        <v>127675277.449723</v>
      </c>
      <c r="V13" s="19" t="n">
        <f aca="false">T13-NetAss</f>
        <v>159323433.697194</v>
      </c>
      <c r="W13" s="19" t="n">
        <f aca="false">V13*IntangSh/C13</f>
        <v>6726989.42277043</v>
      </c>
      <c r="X13" s="19" t="n">
        <f aca="false">(A_Debt+G13+B13+DLbear)*Q13+R13*Q13</f>
        <v>21981277.8137329</v>
      </c>
      <c r="Y13" s="19" t="n">
        <f aca="false">A_Ebitda+T_Ebitda+SynRR*Ramp1-SynCost*CostY1-TxnCost-(A_DA+T_DA+W13)-X13</f>
        <v>57581732.7634967</v>
      </c>
      <c r="Z13" s="26" t="n">
        <f aca="false">Y13*(1-Tax)/U13</f>
        <v>0.338251072840853</v>
      </c>
      <c r="AA13" s="25" t="n">
        <f aca="false">Z13/AEPS-1</f>
        <v>-0.189550463814398</v>
      </c>
      <c r="AB13" s="19" t="n">
        <f aca="false">SynVal-(EVh-Intrin)-TxnCost-R13</f>
        <v>-17327485.1017729</v>
      </c>
      <c r="AC13" s="21" t="str">
        <f aca="false">IF(O13=P13,"yes","no")</f>
        <v>no</v>
      </c>
    </row>
    <row r="14" customFormat="false" ht="15" hidden="false" customHeight="false" outlineLevel="0" collapsed="false">
      <c r="A14" s="7" t="s">
        <v>211</v>
      </c>
      <c r="B14" s="19" t="n">
        <f aca="false">$B$7</f>
        <v>38500000</v>
      </c>
      <c r="C14" s="13" t="n">
        <v>15</v>
      </c>
      <c r="D14" s="19" t="n">
        <f aca="false">EVh-B14</f>
        <v>209900000</v>
      </c>
      <c r="E14" s="19" t="n">
        <f aca="false">D14-DLtot</f>
        <v>194300000</v>
      </c>
      <c r="F14" s="19" t="n">
        <f aca="false">E14+TxnCost</f>
        <v>201200000</v>
      </c>
      <c r="G14" s="19" t="n">
        <f aca="false">F14*DebtShare</f>
        <v>120720000</v>
      </c>
      <c r="H14" s="19" t="n">
        <f aca="false">F14-G14</f>
        <v>80480000</v>
      </c>
      <c r="I14" s="20" t="n">
        <f aca="false">BaseRate+LOOKUP(2,LadThr,LadMar)</f>
        <v>0.05</v>
      </c>
      <c r="J14" s="20" t="n">
        <f aca="false">BaseRate+LOOKUP((A_Debt+$G14+$B14+DLcov+EoMax*EoProb/(1+I14)^EoYear)/CombEb,LadThr,LadMar)</f>
        <v>0.0525</v>
      </c>
      <c r="K14" s="20" t="n">
        <f aca="false">BaseRate+LOOKUP((A_Debt+$G14+$B14+DLcov+EoMax*EoProb/(1+J14)^EoYear)/CombEb,LadThr,LadMar)</f>
        <v>0.0525</v>
      </c>
      <c r="L14" s="20" t="n">
        <f aca="false">BaseRate+LOOKUP((A_Debt+$G14+$B14+DLcov+EoMax*EoProb/(1+K14)^EoYear)/CombEb,LadThr,LadMar)</f>
        <v>0.0525</v>
      </c>
      <c r="M14" s="20" t="n">
        <f aca="false">BaseRate+LOOKUP((A_Debt+$G14+$B14+DLcov+EoMax*EoProb/(1+L14)^EoYear)/CombEb,LadThr,LadMar)</f>
        <v>0.0525</v>
      </c>
      <c r="N14" s="20" t="n">
        <f aca="false">BaseRate+LOOKUP((A_Debt+$G14+$B14+DLcov+EoMax*EoProb/(1+M14)^EoYear)/CombEb,LadThr,LadMar)</f>
        <v>0.0525</v>
      </c>
      <c r="O14" s="20" t="n">
        <f aca="false">BaseRate+LOOKUP((A_Debt+$G14+$B14+DLcov+EoMax*EoProb/(1+N14)^EoYear)/CombEb,LadThr,LadMar)</f>
        <v>0.0525</v>
      </c>
      <c r="P14" s="20" t="n">
        <f aca="false">BaseRate+LOOKUP((A_Debt+$G14+$B14+DLcov+EoMax*EoProb/(1+O14)^EoYear)/CombEb,LadThr,LadMar)</f>
        <v>0.0525</v>
      </c>
      <c r="Q14" s="20" t="n">
        <f aca="false">MAX(O14,P14)</f>
        <v>0.0525</v>
      </c>
      <c r="R14" s="19" t="n">
        <f aca="false">EoMax*EoProb/(1+Q14)^EoYear</f>
        <v>9649086.70523237</v>
      </c>
      <c r="S14" s="23" t="n">
        <f aca="false">(A_Debt+G14+B14+DLcov+R14)/CombEb</f>
        <v>2.96941008661191</v>
      </c>
      <c r="T14" s="19" t="n">
        <f aca="false">E14+R14</f>
        <v>203949086.705232</v>
      </c>
      <c r="U14" s="24" t="n">
        <f aca="false">A_Shares+H14/IssPrice</f>
        <v>128153283.290229</v>
      </c>
      <c r="V14" s="19" t="n">
        <f aca="false">T14-NetAss</f>
        <v>168999086.705232</v>
      </c>
      <c r="W14" s="19" t="n">
        <f aca="false">V14*IntangSh/C14</f>
        <v>4281310.19653255</v>
      </c>
      <c r="X14" s="19" t="n">
        <f aca="false">(A_Debt+G14+B14+DLbear)*Q14+R14*Q14</f>
        <v>19045377.0520247</v>
      </c>
      <c r="Y14" s="19" t="n">
        <f aca="false">A_Ebitda+T_Ebitda+SynRR*Ramp1-SynCost*CostY1-TxnCost-(A_DA+T_DA+W14)-X14</f>
        <v>62963312.7514428</v>
      </c>
      <c r="Z14" s="26" t="n">
        <f aca="false">Y14*(1-Tax)/U14</f>
        <v>0.368484391122756</v>
      </c>
      <c r="AA14" s="25" t="n">
        <f aca="false">Z14/AEPS-1</f>
        <v>-0.117111436280409</v>
      </c>
      <c r="AB14" s="19" t="n">
        <f aca="false">SynVal-(EVh-Intrin)-TxnCost-R14</f>
        <v>-17530854.8728918</v>
      </c>
      <c r="AC14" s="21" t="str">
        <f aca="false">IF(O14=P14,"yes","no")</f>
        <v>yes</v>
      </c>
    </row>
    <row r="15" customFormat="false" ht="15" hidden="false" customHeight="false" outlineLevel="0" collapsed="false">
      <c r="A15" s="7" t="s">
        <v>212</v>
      </c>
      <c r="B15" s="19" t="n">
        <f aca="false">$B$8</f>
        <v>47500000</v>
      </c>
      <c r="C15" s="13" t="n">
        <v>15</v>
      </c>
      <c r="D15" s="19" t="n">
        <f aca="false">EVh-B15</f>
        <v>200900000</v>
      </c>
      <c r="E15" s="19" t="n">
        <f aca="false">D15-DLtot</f>
        <v>185300000</v>
      </c>
      <c r="F15" s="19" t="n">
        <f aca="false">E15+TxnCost</f>
        <v>192200000</v>
      </c>
      <c r="G15" s="19" t="n">
        <f aca="false">F15*DebtShare</f>
        <v>115320000</v>
      </c>
      <c r="H15" s="19" t="n">
        <f aca="false">F15-G15</f>
        <v>76880000</v>
      </c>
      <c r="I15" s="20" t="n">
        <f aca="false">BaseRate+LOOKUP(2,LadThr,LadMar)</f>
        <v>0.05</v>
      </c>
      <c r="J15" s="20" t="n">
        <f aca="false">BaseRate+LOOKUP((A_Debt+$G15+$B15+DLcov+EoMax*EoProb/(1+I15)^EoYear)/CombEb,LadThr,LadMar)</f>
        <v>0.0525</v>
      </c>
      <c r="K15" s="20" t="n">
        <f aca="false">BaseRate+LOOKUP((A_Debt+$G15+$B15+DLcov+EoMax*EoProb/(1+J15)^EoYear)/CombEb,LadThr,LadMar)</f>
        <v>0.0525</v>
      </c>
      <c r="L15" s="20" t="n">
        <f aca="false">BaseRate+LOOKUP((A_Debt+$G15+$B15+DLcov+EoMax*EoProb/(1+K15)^EoYear)/CombEb,LadThr,LadMar)</f>
        <v>0.0525</v>
      </c>
      <c r="M15" s="20" t="n">
        <f aca="false">BaseRate+LOOKUP((A_Debt+$G15+$B15+DLcov+EoMax*EoProb/(1+L15)^EoYear)/CombEb,LadThr,LadMar)</f>
        <v>0.0525</v>
      </c>
      <c r="N15" s="20" t="n">
        <f aca="false">BaseRate+LOOKUP((A_Debt+$G15+$B15+DLcov+EoMax*EoProb/(1+M15)^EoYear)/CombEb,LadThr,LadMar)</f>
        <v>0.0525</v>
      </c>
      <c r="O15" s="20" t="n">
        <f aca="false">BaseRate+LOOKUP((A_Debt+$G15+$B15+DLcov+EoMax*EoProb/(1+N15)^EoYear)/CombEb,LadThr,LadMar)</f>
        <v>0.0525</v>
      </c>
      <c r="P15" s="20" t="n">
        <f aca="false">BaseRate+LOOKUP((A_Debt+$G15+$B15+DLcov+EoMax*EoProb/(1+O15)^EoYear)/CombEb,LadThr,LadMar)</f>
        <v>0.0525</v>
      </c>
      <c r="Q15" s="20" t="n">
        <f aca="false">MAX(O15,P15)</f>
        <v>0.0525</v>
      </c>
      <c r="R15" s="19" t="n">
        <f aca="false">EoMax*EoProb/(1+Q15)^EoYear</f>
        <v>9649086.70523237</v>
      </c>
      <c r="S15" s="23" t="n">
        <f aca="false">(A_Debt+G15+B15+DLcov+R15)/CombEb</f>
        <v>2.99853630020415</v>
      </c>
      <c r="T15" s="19" t="n">
        <f aca="false">E15+R15</f>
        <v>194949086.705232</v>
      </c>
      <c r="U15" s="24" t="n">
        <f aca="false">A_Shares+H15/IssPrice</f>
        <v>127699110.578439</v>
      </c>
      <c r="V15" s="19" t="n">
        <f aca="false">T15-NetAss</f>
        <v>159999086.705232</v>
      </c>
      <c r="W15" s="19" t="n">
        <f aca="false">V15*IntangSh/C15</f>
        <v>4053310.19653255</v>
      </c>
      <c r="X15" s="19" t="n">
        <f aca="false">(A_Debt+G15+B15+DLbear)*Q15+R15*Q15</f>
        <v>19234377.0520247</v>
      </c>
      <c r="Y15" s="19" t="n">
        <f aca="false">A_Ebitda+T_Ebitda+SynRR*Ramp1-SynCost*CostY1-TxnCost-(A_DA+T_DA+W15)-X15</f>
        <v>63002312.7514428</v>
      </c>
      <c r="Z15" s="26" t="n">
        <f aca="false">Y15*(1-Tax)/U15</f>
        <v>0.370023991158166</v>
      </c>
      <c r="AA15" s="25" t="n">
        <f aca="false">Z15/AEPS-1</f>
        <v>-0.113422554751876</v>
      </c>
      <c r="AB15" s="19" t="n">
        <f aca="false">SynVal-(EVh-Intrin)-TxnCost-R15</f>
        <v>-17530854.8728918</v>
      </c>
      <c r="AC15" s="21" t="str">
        <f aca="false">IF(O15=P15,"yes","no")</f>
        <v>yes</v>
      </c>
    </row>
    <row r="16" customFormat="false" ht="15" hidden="false" customHeight="false" outlineLevel="0" collapsed="false">
      <c r="A16" s="7" t="s">
        <v>213</v>
      </c>
      <c r="B16" s="19" t="n">
        <f aca="false">$B$7</f>
        <v>38500000</v>
      </c>
      <c r="C16" s="13" t="n">
        <v>25</v>
      </c>
      <c r="D16" s="19" t="n">
        <f aca="false">EVh-B16</f>
        <v>209900000</v>
      </c>
      <c r="E16" s="19" t="n">
        <f aca="false">D16-DLtot</f>
        <v>194300000</v>
      </c>
      <c r="F16" s="19" t="n">
        <f aca="false">E16+TxnCost</f>
        <v>201200000</v>
      </c>
      <c r="G16" s="19" t="n">
        <f aca="false">F16*DebtShare</f>
        <v>120720000</v>
      </c>
      <c r="H16" s="19" t="n">
        <f aca="false">F16-G16</f>
        <v>80480000</v>
      </c>
      <c r="I16" s="20" t="n">
        <f aca="false">BaseRate+LOOKUP(2,LadThr,LadMar)</f>
        <v>0.05</v>
      </c>
      <c r="J16" s="20" t="n">
        <f aca="false">BaseRate+LOOKUP((A_Debt+$G16+$B16+DLcov+EoMax*EoProb/(1+I16)^EoYear)/CombEb,LadThr,LadMar)</f>
        <v>0.0525</v>
      </c>
      <c r="K16" s="20" t="n">
        <f aca="false">BaseRate+LOOKUP((A_Debt+$G16+$B16+DLcov+EoMax*EoProb/(1+J16)^EoYear)/CombEb,LadThr,LadMar)</f>
        <v>0.0525</v>
      </c>
      <c r="L16" s="20" t="n">
        <f aca="false">BaseRate+LOOKUP((A_Debt+$G16+$B16+DLcov+EoMax*EoProb/(1+K16)^EoYear)/CombEb,LadThr,LadMar)</f>
        <v>0.0525</v>
      </c>
      <c r="M16" s="20" t="n">
        <f aca="false">BaseRate+LOOKUP((A_Debt+$G16+$B16+DLcov+EoMax*EoProb/(1+L16)^EoYear)/CombEb,LadThr,LadMar)</f>
        <v>0.0525</v>
      </c>
      <c r="N16" s="20" t="n">
        <f aca="false">BaseRate+LOOKUP((A_Debt+$G16+$B16+DLcov+EoMax*EoProb/(1+M16)^EoYear)/CombEb,LadThr,LadMar)</f>
        <v>0.0525</v>
      </c>
      <c r="O16" s="20" t="n">
        <f aca="false">BaseRate+LOOKUP((A_Debt+$G16+$B16+DLcov+EoMax*EoProb/(1+N16)^EoYear)/CombEb,LadThr,LadMar)</f>
        <v>0.0525</v>
      </c>
      <c r="P16" s="20" t="n">
        <f aca="false">BaseRate+LOOKUP((A_Debt+$G16+$B16+DLcov+EoMax*EoProb/(1+O16)^EoYear)/CombEb,LadThr,LadMar)</f>
        <v>0.0525</v>
      </c>
      <c r="Q16" s="20" t="n">
        <f aca="false">MAX(O16,P16)</f>
        <v>0.0525</v>
      </c>
      <c r="R16" s="19" t="n">
        <f aca="false">EoMax*EoProb/(1+Q16)^EoYear</f>
        <v>9649086.70523237</v>
      </c>
      <c r="S16" s="23" t="n">
        <f aca="false">(A_Debt+G16+B16+DLcov+R16)/CombEb</f>
        <v>2.96941008661191</v>
      </c>
      <c r="T16" s="19" t="n">
        <f aca="false">E16+R16</f>
        <v>203949086.705232</v>
      </c>
      <c r="U16" s="24" t="n">
        <f aca="false">A_Shares+H16/IssPrice</f>
        <v>128153283.290229</v>
      </c>
      <c r="V16" s="19" t="n">
        <f aca="false">T16-NetAss</f>
        <v>168999086.705232</v>
      </c>
      <c r="W16" s="19" t="n">
        <f aca="false">V16*IntangSh/C16</f>
        <v>2568786.11791953</v>
      </c>
      <c r="X16" s="19" t="n">
        <f aca="false">(A_Debt+G16+B16+DLbear)*Q16+R16*Q16</f>
        <v>19045377.0520247</v>
      </c>
      <c r="Y16" s="19" t="n">
        <f aca="false">A_Ebitda+T_Ebitda+SynRR*Ramp1-SynCost*CostY1-TxnCost-(A_DA+T_DA+W16)-X16</f>
        <v>64675836.8300558</v>
      </c>
      <c r="Z16" s="26" t="n">
        <f aca="false">Y16*(1-Tax)/U16</f>
        <v>0.378506709911507</v>
      </c>
      <c r="AA16" s="25" t="n">
        <f aca="false">Z16/AEPS-1</f>
        <v>-0.0930979614800828</v>
      </c>
      <c r="AB16" s="19" t="n">
        <f aca="false">SynVal-(EVh-Intrin)-TxnCost-R16</f>
        <v>-17530854.8728918</v>
      </c>
      <c r="AC16" s="21" t="str">
        <f aca="false">IF(O16=P16,"yes","no")</f>
        <v>yes</v>
      </c>
    </row>
    <row r="17" customFormat="false" ht="15" hidden="false" customHeight="false" outlineLevel="0" collapsed="false">
      <c r="A17" s="7" t="s">
        <v>214</v>
      </c>
      <c r="B17" s="19" t="n">
        <f aca="false">$B$8</f>
        <v>47500000</v>
      </c>
      <c r="C17" s="13" t="n">
        <v>25</v>
      </c>
      <c r="D17" s="19" t="n">
        <f aca="false">EVh-B17</f>
        <v>200900000</v>
      </c>
      <c r="E17" s="19" t="n">
        <f aca="false">D17-DLtot</f>
        <v>185300000</v>
      </c>
      <c r="F17" s="19" t="n">
        <f aca="false">E17+TxnCost</f>
        <v>192200000</v>
      </c>
      <c r="G17" s="19" t="n">
        <f aca="false">F17*DebtShare</f>
        <v>115320000</v>
      </c>
      <c r="H17" s="19" t="n">
        <f aca="false">F17-G17</f>
        <v>76880000</v>
      </c>
      <c r="I17" s="20" t="n">
        <f aca="false">BaseRate+LOOKUP(2,LadThr,LadMar)</f>
        <v>0.05</v>
      </c>
      <c r="J17" s="20" t="n">
        <f aca="false">BaseRate+LOOKUP((A_Debt+$G17+$B17+DLcov+EoMax*EoProb/(1+I17)^EoYear)/CombEb,LadThr,LadMar)</f>
        <v>0.0525</v>
      </c>
      <c r="K17" s="20" t="n">
        <f aca="false">BaseRate+LOOKUP((A_Debt+$G17+$B17+DLcov+EoMax*EoProb/(1+J17)^EoYear)/CombEb,LadThr,LadMar)</f>
        <v>0.0525</v>
      </c>
      <c r="L17" s="20" t="n">
        <f aca="false">BaseRate+LOOKUP((A_Debt+$G17+$B17+DLcov+EoMax*EoProb/(1+K17)^EoYear)/CombEb,LadThr,LadMar)</f>
        <v>0.0525</v>
      </c>
      <c r="M17" s="20" t="n">
        <f aca="false">BaseRate+LOOKUP((A_Debt+$G17+$B17+DLcov+EoMax*EoProb/(1+L17)^EoYear)/CombEb,LadThr,LadMar)</f>
        <v>0.0525</v>
      </c>
      <c r="N17" s="20" t="n">
        <f aca="false">BaseRate+LOOKUP((A_Debt+$G17+$B17+DLcov+EoMax*EoProb/(1+M17)^EoYear)/CombEb,LadThr,LadMar)</f>
        <v>0.0525</v>
      </c>
      <c r="O17" s="20" t="n">
        <f aca="false">BaseRate+LOOKUP((A_Debt+$G17+$B17+DLcov+EoMax*EoProb/(1+N17)^EoYear)/CombEb,LadThr,LadMar)</f>
        <v>0.0525</v>
      </c>
      <c r="P17" s="20" t="n">
        <f aca="false">BaseRate+LOOKUP((A_Debt+$G17+$B17+DLcov+EoMax*EoProb/(1+O17)^EoYear)/CombEb,LadThr,LadMar)</f>
        <v>0.0525</v>
      </c>
      <c r="Q17" s="20" t="n">
        <f aca="false">MAX(O17,P17)</f>
        <v>0.0525</v>
      </c>
      <c r="R17" s="19" t="n">
        <f aca="false">EoMax*EoProb/(1+Q17)^EoYear</f>
        <v>9649086.70523237</v>
      </c>
      <c r="S17" s="23" t="n">
        <f aca="false">(A_Debt+G17+B17+DLcov+R17)/CombEb</f>
        <v>2.99853630020415</v>
      </c>
      <c r="T17" s="19" t="n">
        <f aca="false">E17+R17</f>
        <v>194949086.705232</v>
      </c>
      <c r="U17" s="24" t="n">
        <f aca="false">A_Shares+H17/IssPrice</f>
        <v>127699110.578439</v>
      </c>
      <c r="V17" s="19" t="n">
        <f aca="false">T17-NetAss</f>
        <v>159999086.705232</v>
      </c>
      <c r="W17" s="19" t="n">
        <f aca="false">V17*IntangSh/C17</f>
        <v>2431986.11791953</v>
      </c>
      <c r="X17" s="19" t="n">
        <f aca="false">(A_Debt+G17+B17+DLbear)*Q17+R17*Q17</f>
        <v>19234377.0520247</v>
      </c>
      <c r="Y17" s="19" t="n">
        <f aca="false">A_Ebitda+T_Ebitda+SynRR*Ramp1-SynCost*CostY1-TxnCost-(A_DA+T_DA+W17)-X17</f>
        <v>64623636.8300558</v>
      </c>
      <c r="Z17" s="26" t="n">
        <f aca="false">Y17*(1-Tax)/U17</f>
        <v>0.379546321058912</v>
      </c>
      <c r="AA17" s="25" t="n">
        <f aca="false">Z17/AEPS-1</f>
        <v>-0.0906070532764473</v>
      </c>
      <c r="AB17" s="19" t="n">
        <f aca="false">SynVal-(EVh-Intrin)-TxnCost-R17</f>
        <v>-17530854.8728918</v>
      </c>
      <c r="AC17" s="21" t="str">
        <f aca="false">IF(O17=P17,"yes","no")</f>
        <v>yes</v>
      </c>
    </row>
    <row r="18" customFormat="false" ht="15" hidden="false" customHeight="false" outlineLevel="0" collapsed="false">
      <c r="A18" s="7" t="s">
        <v>215</v>
      </c>
      <c r="B18" s="19" t="n">
        <f aca="false">$B$7</f>
        <v>38500000</v>
      </c>
      <c r="C18" s="13" t="n">
        <v>100</v>
      </c>
      <c r="D18" s="19" t="n">
        <f aca="false">EVh-B18</f>
        <v>209900000</v>
      </c>
      <c r="E18" s="19" t="n">
        <f aca="false">D18-DLtot</f>
        <v>194300000</v>
      </c>
      <c r="F18" s="19" t="n">
        <f aca="false">E18+TxnCost</f>
        <v>201200000</v>
      </c>
      <c r="G18" s="19" t="n">
        <f aca="false">F18*DebtShare</f>
        <v>120720000</v>
      </c>
      <c r="H18" s="19" t="n">
        <f aca="false">F18-G18</f>
        <v>80480000</v>
      </c>
      <c r="I18" s="20" t="n">
        <f aca="false">BaseRate+LOOKUP(2,LadThr,LadMar)</f>
        <v>0.05</v>
      </c>
      <c r="J18" s="20" t="n">
        <f aca="false">BaseRate+LOOKUP((A_Debt+$G18+$B18+DLcov+EoMax*EoProb/(1+I18)^EoYear)/CombEb,LadThr,LadMar)</f>
        <v>0.0525</v>
      </c>
      <c r="K18" s="20" t="n">
        <f aca="false">BaseRate+LOOKUP((A_Debt+$G18+$B18+DLcov+EoMax*EoProb/(1+J18)^EoYear)/CombEb,LadThr,LadMar)</f>
        <v>0.0525</v>
      </c>
      <c r="L18" s="20" t="n">
        <f aca="false">BaseRate+LOOKUP((A_Debt+$G18+$B18+DLcov+EoMax*EoProb/(1+K18)^EoYear)/CombEb,LadThr,LadMar)</f>
        <v>0.0525</v>
      </c>
      <c r="M18" s="20" t="n">
        <f aca="false">BaseRate+LOOKUP((A_Debt+$G18+$B18+DLcov+EoMax*EoProb/(1+L18)^EoYear)/CombEb,LadThr,LadMar)</f>
        <v>0.0525</v>
      </c>
      <c r="N18" s="20" t="n">
        <f aca="false">BaseRate+LOOKUP((A_Debt+$G18+$B18+DLcov+EoMax*EoProb/(1+M18)^EoYear)/CombEb,LadThr,LadMar)</f>
        <v>0.0525</v>
      </c>
      <c r="O18" s="20" t="n">
        <f aca="false">BaseRate+LOOKUP((A_Debt+$G18+$B18+DLcov+EoMax*EoProb/(1+N18)^EoYear)/CombEb,LadThr,LadMar)</f>
        <v>0.0525</v>
      </c>
      <c r="P18" s="20" t="n">
        <f aca="false">BaseRate+LOOKUP((A_Debt+$G18+$B18+DLcov+EoMax*EoProb/(1+O18)^EoYear)/CombEb,LadThr,LadMar)</f>
        <v>0.0525</v>
      </c>
      <c r="Q18" s="20" t="n">
        <f aca="false">MAX(O18,P18)</f>
        <v>0.0525</v>
      </c>
      <c r="R18" s="19" t="n">
        <f aca="false">EoMax*EoProb/(1+Q18)^EoYear</f>
        <v>9649086.70523237</v>
      </c>
      <c r="S18" s="23" t="n">
        <f aca="false">(A_Debt+G18+B18+DLcov+R18)/CombEb</f>
        <v>2.96941008661191</v>
      </c>
      <c r="T18" s="19" t="n">
        <f aca="false">E18+R18</f>
        <v>203949086.705232</v>
      </c>
      <c r="U18" s="24" t="n">
        <f aca="false">A_Shares+H18/IssPrice</f>
        <v>128153283.290229</v>
      </c>
      <c r="V18" s="19" t="n">
        <f aca="false">T18-NetAss</f>
        <v>168999086.705232</v>
      </c>
      <c r="W18" s="19" t="n">
        <f aca="false">V18*IntangSh/C18</f>
        <v>642196.529479883</v>
      </c>
      <c r="X18" s="19" t="n">
        <f aca="false">(A_Debt+G18+B18+DLbear)*Q18+R18*Q18</f>
        <v>19045377.0520247</v>
      </c>
      <c r="Y18" s="19" t="n">
        <f aca="false">A_Ebitda+T_Ebitda+SynRR*Ramp1-SynCost*CostY1-TxnCost-(A_DA+T_DA+W18)-X18</f>
        <v>66602426.4184954</v>
      </c>
      <c r="Z18" s="26" t="n">
        <f aca="false">Y18*(1-Tax)/U18</f>
        <v>0.389781818548851</v>
      </c>
      <c r="AA18" s="25" t="n">
        <f aca="false">Z18/AEPS-1</f>
        <v>-0.0660828023297152</v>
      </c>
      <c r="AB18" s="19" t="n">
        <f aca="false">SynVal-(EVh-Intrin)-TxnCost-R18</f>
        <v>-17530854.8728918</v>
      </c>
      <c r="AC18" s="21" t="str">
        <f aca="false">IF(O18=P18,"yes","no")</f>
        <v>yes</v>
      </c>
    </row>
    <row r="19" customFormat="false" ht="15" hidden="false" customHeight="false" outlineLevel="0" collapsed="false">
      <c r="A19" s="7" t="s">
        <v>216</v>
      </c>
      <c r="B19" s="19" t="n">
        <f aca="false">$B$8</f>
        <v>47500000</v>
      </c>
      <c r="C19" s="13" t="n">
        <v>100</v>
      </c>
      <c r="D19" s="19" t="n">
        <f aca="false">EVh-B19</f>
        <v>200900000</v>
      </c>
      <c r="E19" s="19" t="n">
        <f aca="false">D19-DLtot</f>
        <v>185300000</v>
      </c>
      <c r="F19" s="19" t="n">
        <f aca="false">E19+TxnCost</f>
        <v>192200000</v>
      </c>
      <c r="G19" s="19" t="n">
        <f aca="false">F19*DebtShare</f>
        <v>115320000</v>
      </c>
      <c r="H19" s="19" t="n">
        <f aca="false">F19-G19</f>
        <v>76880000</v>
      </c>
      <c r="I19" s="20" t="n">
        <f aca="false">BaseRate+LOOKUP(2,LadThr,LadMar)</f>
        <v>0.05</v>
      </c>
      <c r="J19" s="20" t="n">
        <f aca="false">BaseRate+LOOKUP((A_Debt+$G19+$B19+DLcov+EoMax*EoProb/(1+I19)^EoYear)/CombEb,LadThr,LadMar)</f>
        <v>0.0525</v>
      </c>
      <c r="K19" s="20" t="n">
        <f aca="false">BaseRate+LOOKUP((A_Debt+$G19+$B19+DLcov+EoMax*EoProb/(1+J19)^EoYear)/CombEb,LadThr,LadMar)</f>
        <v>0.0525</v>
      </c>
      <c r="L19" s="20" t="n">
        <f aca="false">BaseRate+LOOKUP((A_Debt+$G19+$B19+DLcov+EoMax*EoProb/(1+K19)^EoYear)/CombEb,LadThr,LadMar)</f>
        <v>0.0525</v>
      </c>
      <c r="M19" s="20" t="n">
        <f aca="false">BaseRate+LOOKUP((A_Debt+$G19+$B19+DLcov+EoMax*EoProb/(1+L19)^EoYear)/CombEb,LadThr,LadMar)</f>
        <v>0.0525</v>
      </c>
      <c r="N19" s="20" t="n">
        <f aca="false">BaseRate+LOOKUP((A_Debt+$G19+$B19+DLcov+EoMax*EoProb/(1+M19)^EoYear)/CombEb,LadThr,LadMar)</f>
        <v>0.0525</v>
      </c>
      <c r="O19" s="20" t="n">
        <f aca="false">BaseRate+LOOKUP((A_Debt+$G19+$B19+DLcov+EoMax*EoProb/(1+N19)^EoYear)/CombEb,LadThr,LadMar)</f>
        <v>0.0525</v>
      </c>
      <c r="P19" s="20" t="n">
        <f aca="false">BaseRate+LOOKUP((A_Debt+$G19+$B19+DLcov+EoMax*EoProb/(1+O19)^EoYear)/CombEb,LadThr,LadMar)</f>
        <v>0.0525</v>
      </c>
      <c r="Q19" s="20" t="n">
        <f aca="false">MAX(O19,P19)</f>
        <v>0.0525</v>
      </c>
      <c r="R19" s="19" t="n">
        <f aca="false">EoMax*EoProb/(1+Q19)^EoYear</f>
        <v>9649086.70523237</v>
      </c>
      <c r="S19" s="23" t="n">
        <f aca="false">(A_Debt+G19+B19+DLcov+R19)/CombEb</f>
        <v>2.99853630020415</v>
      </c>
      <c r="T19" s="19" t="n">
        <f aca="false">E19+R19</f>
        <v>194949086.705232</v>
      </c>
      <c r="U19" s="24" t="n">
        <f aca="false">A_Shares+H19/IssPrice</f>
        <v>127699110.578439</v>
      </c>
      <c r="V19" s="19" t="n">
        <f aca="false">T19-NetAss</f>
        <v>159999086.705232</v>
      </c>
      <c r="W19" s="19" t="n">
        <f aca="false">V19*IntangSh/C19</f>
        <v>607996.529479883</v>
      </c>
      <c r="X19" s="19" t="n">
        <f aca="false">(A_Debt+G19+B19+DLbear)*Q19+R19*Q19</f>
        <v>19234377.0520247</v>
      </c>
      <c r="Y19" s="19" t="n">
        <f aca="false">A_Ebitda+T_Ebitda+SynRR*Ramp1-SynCost*CostY1-TxnCost-(A_DA+T_DA+W19)-X19</f>
        <v>66447626.4184954</v>
      </c>
      <c r="Z19" s="26" t="n">
        <f aca="false">Y19*(1-Tax)/U19</f>
        <v>0.390258942197251</v>
      </c>
      <c r="AA19" s="25" t="n">
        <f aca="false">Z19/AEPS-1</f>
        <v>-0.0649396141165893</v>
      </c>
      <c r="AB19" s="19" t="n">
        <f aca="false">SynVal-(EVh-Intrin)-TxnCost-R19</f>
        <v>-17530854.8728918</v>
      </c>
      <c r="AC19" s="21" t="str">
        <f aca="false">IF(O19=P19,"yes","no")</f>
        <v>yes</v>
      </c>
    </row>
    <row r="20" customFormat="false" ht="15" hidden="false" customHeight="false" outlineLevel="0" collapsed="false">
      <c r="A20" s="17" t="s">
        <v>217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4"/>
    <col collapsed="false" customWidth="true" hidden="false" outlineLevel="0" max="8" min="2" style="0" width="16"/>
  </cols>
  <sheetData>
    <row r="1" customFormat="false" ht="24" hidden="false" customHeight="true" outlineLevel="0" collapsed="false">
      <c r="A1" s="1" t="s">
        <v>218</v>
      </c>
    </row>
    <row r="2" customFormat="false" ht="15" hidden="false" customHeight="false" outlineLevel="0" collapsed="false">
      <c r="A2" s="2" t="s">
        <v>219</v>
      </c>
    </row>
    <row r="3" customFormat="false" ht="15" hidden="false" customHeight="false" outlineLevel="0" collapsed="false">
      <c r="A3" s="3"/>
      <c r="B3" s="3"/>
      <c r="C3" s="3"/>
      <c r="D3" s="3"/>
      <c r="E3" s="3"/>
      <c r="F3" s="3"/>
      <c r="G3" s="3"/>
      <c r="H3" s="3"/>
    </row>
    <row r="5" customFormat="false" ht="30" hidden="false" customHeight="true" outlineLevel="0" collapsed="false">
      <c r="A5" s="14" t="s">
        <v>175</v>
      </c>
      <c r="B5" s="15" t="s">
        <v>192</v>
      </c>
      <c r="C5" s="15" t="s">
        <v>190</v>
      </c>
      <c r="D5" s="15" t="s">
        <v>220</v>
      </c>
      <c r="E5" s="15" t="s">
        <v>194</v>
      </c>
      <c r="F5" s="15" t="s">
        <v>197</v>
      </c>
      <c r="G5" s="15" t="s">
        <v>196</v>
      </c>
      <c r="H5" s="15" t="s">
        <v>201</v>
      </c>
    </row>
    <row r="6" customFormat="false" ht="15" hidden="false" customHeight="false" outlineLevel="0" collapsed="false">
      <c r="A6" s="19" t="n">
        <f aca="false">Scenarios!B6</f>
        <v>20000000</v>
      </c>
      <c r="B6" s="23" t="n">
        <f aca="false">Scenarios!S6</f>
        <v>2.9095395364501</v>
      </c>
      <c r="C6" s="20" t="n">
        <f aca="false">Scenarios!Q6</f>
        <v>0.0525</v>
      </c>
      <c r="D6" s="25" t="n">
        <f aca="false">Scenarios!AA6</f>
        <v>-0.168695123239944</v>
      </c>
      <c r="E6" s="29" t="n">
        <f aca="false">Scenarios!$Y$7*(1-Tax)*(1/Scenarios!U6-1/Scenarios!$U$7)/AEPS*100</f>
        <v>-0.609574522293239</v>
      </c>
      <c r="F6" s="29" t="n">
        <f aca="false">-(Scenarios!X6-Scenarios!$X$7)*(1-Tax)/Scenarios!U6/AEPS*100</f>
        <v>0.540825353986879</v>
      </c>
      <c r="G6" s="29" t="n">
        <f aca="false">-(Scenarios!W6-Scenarios!$W$7)*(1-Tax)/Scenarios!U6/AEPS*100</f>
        <v>-1.08737372759267</v>
      </c>
      <c r="H6" s="19" t="n">
        <f aca="false">Scenarios!AB6</f>
        <v>-17530854.8728918</v>
      </c>
    </row>
    <row r="7" customFormat="false" ht="15" hidden="false" customHeight="false" outlineLevel="0" collapsed="false">
      <c r="A7" s="19" t="n">
        <f aca="false">Scenarios!B7</f>
        <v>38500000</v>
      </c>
      <c r="B7" s="23" t="n">
        <f aca="false">Scenarios!S7</f>
        <v>2.96941008661191</v>
      </c>
      <c r="C7" s="20" t="n">
        <f aca="false">Scenarios!Q7</f>
        <v>0.0525</v>
      </c>
      <c r="D7" s="25" t="n">
        <f aca="false">Scenarios!AA7</f>
        <v>-0.157133894280954</v>
      </c>
      <c r="E7" s="29" t="n">
        <f aca="false">Scenarios!$Y$7*(1-Tax)*(1/Scenarios!U7-1/Scenarios!$U$7)/AEPS*100</f>
        <v>0</v>
      </c>
      <c r="F7" s="29" t="n">
        <f aca="false">-(Scenarios!X7-Scenarios!$X$7)*(1-Tax)/Scenarios!U7/AEPS*100</f>
        <v>-0</v>
      </c>
      <c r="G7" s="29" t="n">
        <f aca="false">-(Scenarios!W7-Scenarios!$W$7)*(1-Tax)/Scenarios!U7/AEPS*100</f>
        <v>-0</v>
      </c>
      <c r="H7" s="19" t="n">
        <f aca="false">Scenarios!AB7</f>
        <v>-17530854.8728918</v>
      </c>
    </row>
    <row r="8" customFormat="false" ht="15" hidden="false" customHeight="false" outlineLevel="0" collapsed="false">
      <c r="A8" s="19" t="n">
        <f aca="false">Scenarios!B8</f>
        <v>47500000</v>
      </c>
      <c r="B8" s="23" t="n">
        <f aca="false">Scenarios!S8</f>
        <v>2.99853630020415</v>
      </c>
      <c r="C8" s="20" t="n">
        <f aca="false">Scenarios!Q8</f>
        <v>0.0525</v>
      </c>
      <c r="D8" s="25" t="n">
        <f aca="false">Scenarios!AA8</f>
        <v>-0.151448390544259</v>
      </c>
      <c r="E8" s="29" t="n">
        <f aca="false">Scenarios!$Y$7*(1-Tax)*(1/Scenarios!U8-1/Scenarios!$U$7)/AEPS*100</f>
        <v>0.299772475451024</v>
      </c>
      <c r="F8" s="29" t="n">
        <f aca="false">-(Scenarios!X8-Scenarios!$X$7)*(1-Tax)/Scenarios!U8/AEPS*100</f>
        <v>-0.265963469964931</v>
      </c>
      <c r="G8" s="29" t="n">
        <f aca="false">-(Scenarios!W8-Scenarios!$W$7)*(1-Tax)/Scenarios!U8/AEPS*100</f>
        <v>0.534741368183459</v>
      </c>
      <c r="H8" s="19" t="n">
        <f aca="false">Scenarios!AB8</f>
        <v>-17530854.8728918</v>
      </c>
    </row>
    <row r="9" customFormat="false" ht="15" hidden="false" customHeight="false" outlineLevel="0" collapsed="false">
      <c r="A9" s="19" t="n">
        <f aca="false">Scenarios!B9</f>
        <v>48200000</v>
      </c>
      <c r="B9" s="23" t="n">
        <f aca="false">Scenarios!S9</f>
        <v>2.9991562858747</v>
      </c>
      <c r="C9" s="20" t="n">
        <f aca="false">Scenarios!Q9</f>
        <v>0.06</v>
      </c>
      <c r="D9" s="25" t="n">
        <f aca="false">Scenarios!AA9</f>
        <v>-0.189419104139837</v>
      </c>
      <c r="E9" s="29" t="n">
        <f aca="false">Scenarios!$Y$7*(1-Tax)*(1/Scenarios!U9-1/Scenarios!$U$7)/AEPS*100</f>
        <v>0.323177510847121</v>
      </c>
      <c r="F9" s="29" t="n">
        <f aca="false">-(Scenarios!X9-Scenarios!$X$7)*(1-Tax)/Scenarios!U9/AEPS*100</f>
        <v>-4.1402770335862</v>
      </c>
      <c r="G9" s="29" t="n">
        <f aca="false">-(Scenarios!W9-Scenarios!$W$7)*(1-Tax)/Scenarios!U9/AEPS*100</f>
        <v>0.588578536850762</v>
      </c>
      <c r="H9" s="19" t="n">
        <f aca="false">Scenarios!AB9</f>
        <v>-17327485.1017729</v>
      </c>
    </row>
    <row r="10" customFormat="false" ht="15" hidden="false" customHeight="false" outlineLevel="0" collapsed="false">
      <c r="A10" s="19" t="n">
        <f aca="false">Scenarios!B10</f>
        <v>60000000</v>
      </c>
      <c r="B10" s="23" t="n">
        <f aca="false">Scenarios!S10</f>
        <v>3.03734398814008</v>
      </c>
      <c r="C10" s="20" t="n">
        <f aca="false">Scenarios!Q10</f>
        <v>0.06</v>
      </c>
      <c r="D10" s="25" t="n">
        <f aca="false">Scenarios!AA10</f>
        <v>-0.182579694626452</v>
      </c>
      <c r="E10" s="29" t="n">
        <f aca="false">Scenarios!$Y$7*(1-Tax)*(1/Scenarios!U10-1/Scenarios!$U$7)/AEPS*100</f>
        <v>0.719678130630914</v>
      </c>
      <c r="F10" s="29" t="n">
        <f aca="false">-(Scenarios!X10-Scenarios!$X$7)*(1-Tax)/Scenarios!U10/AEPS*100</f>
        <v>-4.56018070687861</v>
      </c>
      <c r="G10" s="29" t="n">
        <f aca="false">-(Scenarios!W10-Scenarios!$W$7)*(1-Tax)/Scenarios!U10/AEPS*100</f>
        <v>1.29592254169793</v>
      </c>
      <c r="H10" s="19" t="n">
        <f aca="false">Scenarios!AB10</f>
        <v>-17327485.1017729</v>
      </c>
    </row>
    <row r="11" customFormat="false" ht="15" hidden="false" customHeight="false" outlineLevel="0" collapsed="false">
      <c r="A11" s="19" t="n">
        <f aca="false">Scenarios!B11</f>
        <v>80000000</v>
      </c>
      <c r="B11" s="23" t="n">
        <f aca="false">Scenarios!S11</f>
        <v>3.10206890723393</v>
      </c>
      <c r="C11" s="20" t="n">
        <f aca="false">Scenarios!Q11</f>
        <v>0.06</v>
      </c>
      <c r="D11" s="25" t="n">
        <f aca="false">Scenarios!AA11</f>
        <v>-0.170839905056964</v>
      </c>
      <c r="E11" s="29" t="n">
        <f aca="false">Scenarios!$Y$7*(1-Tax)*(1/Scenarios!U11-1/Scenarios!$U$7)/AEPS*100</f>
        <v>1.40026814813508</v>
      </c>
      <c r="F11" s="29" t="n">
        <f aca="false">-(Scenarios!X11-Scenarios!$X$7)*(1-Tax)/Scenarios!U11/AEPS*100</f>
        <v>-5.28094187116623</v>
      </c>
      <c r="G11" s="29" t="n">
        <f aca="false">-(Scenarios!W11-Scenarios!$W$7)*(1-Tax)/Scenarios!U11/AEPS*100</f>
        <v>2.51007264543017</v>
      </c>
      <c r="H11" s="19" t="n">
        <f aca="false">Scenarios!AB11</f>
        <v>-17327485.1017729</v>
      </c>
    </row>
    <row r="12" customFormat="false" ht="15" hidden="false" customHeight="false" outlineLevel="0" collapsed="false">
      <c r="A12" s="17" t="s">
        <v>221</v>
      </c>
    </row>
    <row r="13" customFormat="false" ht="15" hidden="false" customHeight="false" outlineLevel="0" collapsed="false">
      <c r="A13" s="17" t="s">
        <v>222</v>
      </c>
    </row>
    <row r="15" customFormat="false" ht="15" hidden="false" customHeight="false" outlineLevel="0" collapsed="false">
      <c r="A15" s="4" t="s">
        <v>223</v>
      </c>
      <c r="B15" s="6"/>
      <c r="C15" s="6"/>
      <c r="D15" s="6"/>
      <c r="E15" s="6"/>
      <c r="F15" s="6"/>
      <c r="G15" s="6"/>
      <c r="H15" s="6"/>
    </row>
    <row r="17" customFormat="false" ht="15" hidden="false" customHeight="false" outlineLevel="0" collapsed="false">
      <c r="A17" s="7" t="s">
        <v>224</v>
      </c>
      <c r="B17" s="19" t="n">
        <f aca="false">(Scenarios!$U$7-Scenarios!U8)*IssPrice</f>
        <v>3599999.99999997</v>
      </c>
    </row>
    <row r="18" customFormat="false" ht="15" hidden="false" customHeight="false" outlineLevel="0" collapsed="false">
      <c r="A18" s="7" t="s">
        <v>225</v>
      </c>
      <c r="B18" s="19" t="n">
        <f aca="false">Scenarios!X8-Scenarios!$X$7</f>
        <v>189000</v>
      </c>
    </row>
    <row r="19" customFormat="false" ht="15" hidden="false" customHeight="false" outlineLevel="0" collapsed="false">
      <c r="A19" s="7" t="s">
        <v>226</v>
      </c>
      <c r="B19" s="29" t="n">
        <f aca="false">E8</f>
        <v>0.299772475451024</v>
      </c>
    </row>
    <row r="20" customFormat="false" ht="15" hidden="false" customHeight="false" outlineLevel="0" collapsed="false">
      <c r="A20" s="7" t="s">
        <v>227</v>
      </c>
      <c r="B20" s="29" t="n">
        <f aca="false">F8</f>
        <v>-0.265963469964931</v>
      </c>
    </row>
    <row r="21" customFormat="false" ht="15" hidden="false" customHeight="false" outlineLevel="0" collapsed="false">
      <c r="A21" s="7" t="s">
        <v>228</v>
      </c>
      <c r="B21" s="29" t="n">
        <f aca="false">E8+F8</f>
        <v>0.0338090054860925</v>
      </c>
    </row>
    <row r="22" customFormat="false" ht="15" hidden="false" customHeight="false" outlineLevel="0" collapsed="false">
      <c r="A22" s="7" t="s">
        <v>229</v>
      </c>
      <c r="B22" s="25" t="n">
        <f aca="false">DebtRate*(1-Tax)</f>
        <v>0.039375</v>
      </c>
    </row>
    <row r="23" customFormat="false" ht="15" hidden="false" customHeight="false" outlineLevel="0" collapsed="false">
      <c r="A23" s="7" t="s">
        <v>230</v>
      </c>
      <c r="B23" s="25" t="n">
        <f aca="false">AEPS/IssPrice</f>
        <v>0.0526540450559002</v>
      </c>
    </row>
    <row r="24" customFormat="false" ht="15" hidden="false" customHeight="false" outlineLevel="0" collapsed="false">
      <c r="A24" s="7" t="s">
        <v>231</v>
      </c>
      <c r="B24" s="25" t="n">
        <f aca="false">EPS1/IssPrice</f>
        <v>0.0443803099066218</v>
      </c>
    </row>
    <row r="25" customFormat="false" ht="15" hidden="false" customHeight="false" outlineLevel="0" collapsed="false">
      <c r="A25" s="7" t="s">
        <v>232</v>
      </c>
      <c r="B25" s="25" t="n">
        <f aca="false">EPS2/IssPrice</f>
        <v>0.0533166073810205</v>
      </c>
    </row>
    <row r="27" customFormat="false" ht="15" hidden="false" customHeight="false" outlineLevel="0" collapsed="false">
      <c r="A27" s="4" t="s">
        <v>233</v>
      </c>
      <c r="B27" s="6"/>
      <c r="C27" s="6"/>
      <c r="D27" s="6"/>
      <c r="E27" s="6"/>
      <c r="F27" s="6"/>
      <c r="G27" s="6"/>
      <c r="H27" s="6"/>
    </row>
    <row r="29" customFormat="false" ht="15" hidden="false" customHeight="false" outlineLevel="0" collapsed="false">
      <c r="A29" s="7" t="s">
        <v>234</v>
      </c>
      <c r="B29" s="19" t="n">
        <f aca="false">Scenarios!$W$7-Scenarios!W8</f>
        <v>380000</v>
      </c>
    </row>
    <row r="30" customFormat="false" ht="15" hidden="false" customHeight="false" outlineLevel="0" collapsed="false">
      <c r="A30" s="7" t="s">
        <v>235</v>
      </c>
      <c r="B30" s="29" t="n">
        <f aca="false">G8</f>
        <v>0.534741368183459</v>
      </c>
    </row>
    <row r="31" customFormat="false" ht="15" hidden="false" customHeight="false" outlineLevel="0" collapsed="false">
      <c r="A31" s="7" t="s">
        <v>236</v>
      </c>
      <c r="B31" s="23" t="n">
        <f aca="false">ABS(G8/(E8+F8))</f>
        <v>15.8165364669904</v>
      </c>
    </row>
    <row r="33" customFormat="false" ht="30" hidden="false" customHeight="true" outlineLevel="0" collapsed="false">
      <c r="A33" s="14" t="s">
        <v>237</v>
      </c>
      <c r="B33" s="15" t="s">
        <v>238</v>
      </c>
      <c r="C33" s="15" t="s">
        <v>239</v>
      </c>
    </row>
    <row r="34" customFormat="false" ht="15" hidden="false" customHeight="false" outlineLevel="0" collapsed="false">
      <c r="A34" s="30" t="n">
        <f aca="false">Scenarios!C8</f>
        <v>9</v>
      </c>
      <c r="B34" s="29" t="n">
        <f aca="false">(Scenarios!$Y$7*(1-Tax)*(1/Scenarios!U8-1/Scenarios!U7)-(Scenarios!X8-Scenarios!X7)*(1-Tax)/Scenarios!U8-(Scenarios!W8-Scenarios!W7)*(1-Tax)/Scenarios!U8)/AEPS*100</f>
        <v>0.568550373669552</v>
      </c>
      <c r="C34" s="29" t="n">
        <f aca="false">-(Scenarios!W8-Scenarios!W7)*(1-Tax)/Scenarios!U8/AEPS*100</f>
        <v>0.534741368183459</v>
      </c>
    </row>
    <row r="35" customFormat="false" ht="15" hidden="false" customHeight="false" outlineLevel="0" collapsed="false">
      <c r="A35" s="30" t="n">
        <f aca="false">Scenarios!C15</f>
        <v>15</v>
      </c>
      <c r="B35" s="29" t="n">
        <f aca="false">(Scenarios!$Y$14*(1-Tax)*(1/Scenarios!U15-1/Scenarios!U14)-(Scenarios!X15-Scenarios!X14)*(1-Tax)/Scenarios!U15-(Scenarios!W15-Scenarios!W14)*(1-Tax)/Scenarios!U15)/AEPS*100</f>
        <v>0.368888152853302</v>
      </c>
      <c r="C35" s="29" t="n">
        <f aca="false">-(Scenarios!W15-Scenarios!W14)*(1-Tax)/Scenarios!U15/AEPS*100</f>
        <v>0.320844820910076</v>
      </c>
    </row>
    <row r="36" customFormat="false" ht="15" hidden="false" customHeight="false" outlineLevel="0" collapsed="false">
      <c r="A36" s="30" t="n">
        <f aca="false">Scenarios!C17</f>
        <v>25</v>
      </c>
      <c r="B36" s="29" t="n">
        <f aca="false">(Scenarios!$Y$16*(1-Tax)*(1/Scenarios!U17-1/Scenarios!U16)-(Scenarios!X17-Scenarios!X16)*(1-Tax)/Scenarios!U17-(Scenarios!W17-Scenarios!W16)*(1-Tax)/Scenarios!U17)/AEPS*100</f>
        <v>0.249090820363552</v>
      </c>
      <c r="C36" s="29" t="n">
        <f aca="false">-(Scenarios!W17-Scenarios!W16)*(1-Tax)/Scenarios!U17/AEPS*100</f>
        <v>0.192506892546045</v>
      </c>
    </row>
    <row r="37" customFormat="false" ht="15" hidden="false" customHeight="false" outlineLevel="0" collapsed="false">
      <c r="A37" s="30" t="n">
        <f aca="false">Scenarios!C19</f>
        <v>100</v>
      </c>
      <c r="B37" s="29" t="n">
        <f aca="false">(Scenarios!$Y$18*(1-Tax)*(1/Scenarios!U19-1/Scenarios!U18)-(Scenarios!X19-Scenarios!X18)*(1-Tax)/Scenarios!U19-(Scenarios!W19-Scenarios!W18)*(1-Tax)/Scenarios!U19)/AEPS*100</f>
        <v>0.114318821312583</v>
      </c>
      <c r="C37" s="29" t="n">
        <f aca="false">-(Scenarios!W19-Scenarios!W18)*(1-Tax)/Scenarios!U19/AEPS*100</f>
        <v>0.0481267231365113</v>
      </c>
    </row>
    <row r="38" customFormat="false" ht="15" hidden="false" customHeight="false" outlineLevel="0" collapsed="false">
      <c r="A38" s="17" t="s">
        <v>240</v>
      </c>
    </row>
    <row r="40" customFormat="false" ht="15" hidden="false" customHeight="false" outlineLevel="0" collapsed="false">
      <c r="A40" s="4" t="s">
        <v>241</v>
      </c>
      <c r="B40" s="6"/>
      <c r="C40" s="6"/>
      <c r="D40" s="6"/>
      <c r="E40" s="6"/>
      <c r="F40" s="6"/>
      <c r="G40" s="6"/>
      <c r="H40" s="6"/>
    </row>
    <row r="42" customFormat="false" ht="15" hidden="false" customHeight="false" outlineLevel="0" collapsed="false">
      <c r="A42" s="7" t="s">
        <v>242</v>
      </c>
      <c r="B42" s="19" t="n">
        <f aca="false">Scenarios!B12+20000</f>
        <v>47952283.236919</v>
      </c>
    </row>
    <row r="43" customFormat="false" ht="15" hidden="false" customHeight="false" outlineLevel="0" collapsed="false">
      <c r="A43" s="7" t="s">
        <v>243</v>
      </c>
      <c r="B43" s="19" t="n">
        <f aca="false">Scenarios!B12-T_NetDebt-(-20000)</f>
        <v>9452283.23691899</v>
      </c>
    </row>
    <row r="44" customFormat="false" ht="15" hidden="false" customHeight="false" outlineLevel="0" collapsed="false">
      <c r="A44" s="7" t="s">
        <v>244</v>
      </c>
      <c r="B44" s="19" t="n">
        <f aca="false">Scenarios!B12</f>
        <v>47932283.236919</v>
      </c>
    </row>
    <row r="45" customFormat="false" ht="15" hidden="false" customHeight="false" outlineLevel="0" collapsed="false">
      <c r="A45" s="7" t="s">
        <v>245</v>
      </c>
      <c r="B45" s="23" t="n">
        <f aca="false">Scenarios!S12</f>
        <v>2.99993527508091</v>
      </c>
    </row>
    <row r="46" customFormat="false" ht="15" hidden="false" customHeight="false" outlineLevel="0" collapsed="false">
      <c r="A46" s="7" t="s">
        <v>246</v>
      </c>
      <c r="B46" s="20" t="n">
        <f aca="false">Scenarios!Q12</f>
        <v>0.0525</v>
      </c>
    </row>
    <row r="47" customFormat="false" ht="15" hidden="false" customHeight="false" outlineLevel="0" collapsed="false">
      <c r="A47" s="7" t="s">
        <v>247</v>
      </c>
      <c r="B47" s="25" t="n">
        <f aca="false">Scenarios!AA12</f>
        <v>-0.151174289370352</v>
      </c>
    </row>
    <row r="48" customFormat="false" ht="15" hidden="false" customHeight="false" outlineLevel="0" collapsed="false">
      <c r="A48" s="7" t="s">
        <v>248</v>
      </c>
      <c r="B48" s="19" t="n">
        <f aca="false">Scenarios!B13</f>
        <v>47972283.236919</v>
      </c>
    </row>
    <row r="49" customFormat="false" ht="15" hidden="false" customHeight="false" outlineLevel="0" collapsed="false">
      <c r="A49" s="7" t="s">
        <v>245</v>
      </c>
      <c r="B49" s="23" t="n">
        <f aca="false">Scenarios!S13</f>
        <v>2.99841933842137</v>
      </c>
    </row>
    <row r="50" customFormat="false" ht="15" hidden="false" customHeight="false" outlineLevel="0" collapsed="false">
      <c r="A50" s="7" t="s">
        <v>246</v>
      </c>
      <c r="B50" s="20" t="n">
        <f aca="false">Scenarios!Q13</f>
        <v>0.06</v>
      </c>
    </row>
    <row r="51" customFormat="false" ht="15" hidden="false" customHeight="false" outlineLevel="0" collapsed="false">
      <c r="A51" s="7" t="s">
        <v>247</v>
      </c>
      <c r="B51" s="25" t="n">
        <f aca="false">Scenarios!AA13</f>
        <v>-0.189550463814398</v>
      </c>
    </row>
    <row r="52" customFormat="false" ht="15" hidden="false" customHeight="false" outlineLevel="0" collapsed="false">
      <c r="A52" s="7" t="s">
        <v>249</v>
      </c>
      <c r="B52" s="29" t="n">
        <f aca="false">(Scenarios!AA13-Scenarios!AA12)*100</f>
        <v>-3.83761744440461</v>
      </c>
    </row>
    <row r="53" customFormat="false" ht="15" hidden="false" customHeight="false" outlineLevel="0" collapsed="false">
      <c r="A53" s="7" t="s">
        <v>250</v>
      </c>
      <c r="B53" s="29" t="n">
        <f aca="false">((Scenarios!AA8-Scenarios!AA7)*100)/((Scenarios!B8-Scenarios!B7)/1000000)</f>
        <v>0.0631722637410626</v>
      </c>
    </row>
    <row r="54" customFormat="false" ht="15" hidden="false" customHeight="false" outlineLevel="0" collapsed="false">
      <c r="A54" s="7" t="s">
        <v>251</v>
      </c>
      <c r="B54" s="23" t="n">
        <f aca="false">ABS(((Scenarios!AA13-Scenarios!AA12)*100)/(((Scenarios!AA8-Scenarios!AA7)*100)/((Scenarios!B8-Scenarios!B7)/1000000)))</f>
        <v>60.7484553685563</v>
      </c>
    </row>
    <row r="55" customFormat="false" ht="15" hidden="false" customHeight="false" outlineLevel="0" collapsed="false">
      <c r="A55" s="7" t="s">
        <v>252</v>
      </c>
      <c r="B55" s="25" t="n">
        <f aca="false">40000/EVh</f>
        <v>0.000161030595813205</v>
      </c>
    </row>
    <row r="57" customFormat="false" ht="15" hidden="false" customHeight="false" outlineLevel="0" collapsed="false">
      <c r="A57" s="4" t="s">
        <v>253</v>
      </c>
      <c r="B57" s="6"/>
      <c r="C57" s="6"/>
      <c r="D57" s="6"/>
      <c r="E57" s="6"/>
      <c r="F57" s="6"/>
      <c r="G57" s="6"/>
      <c r="H57" s="6"/>
    </row>
    <row r="59" customFormat="false" ht="15" hidden="false" customHeight="false" outlineLevel="0" collapsed="false">
      <c r="A59" s="7" t="s">
        <v>254</v>
      </c>
      <c r="B59" s="19" t="n">
        <f aca="false">MAX(H6:H11)-MIN(H6:H11)</f>
        <v>203369.771118972</v>
      </c>
    </row>
    <row r="60" customFormat="false" ht="15" hidden="false" customHeight="false" outlineLevel="0" collapsed="false">
      <c r="A60" s="7" t="s">
        <v>255</v>
      </c>
      <c r="B60" s="29" t="n">
        <f aca="false">(MAX(D6:D11)-MIN(D6:D11))*100</f>
        <v>3.79707135955788</v>
      </c>
    </row>
    <row r="61" customFormat="false" ht="15" hidden="false" customHeight="false" outlineLevel="0" collapsed="false">
      <c r="A61" s="7" t="s">
        <v>256</v>
      </c>
      <c r="B61" s="25" t="n">
        <f aca="false">(MAX(H6:H11)-MIN(H6:H11))/EVh</f>
        <v>0.000818718885342079</v>
      </c>
    </row>
    <row r="62" customFormat="false" ht="15" hidden="false" customHeight="false" outlineLevel="0" collapsed="false">
      <c r="A62" s="17" t="s">
        <v>257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72"/>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24" hidden="false" customHeight="true" outlineLevel="0" collapsed="false">
      <c r="A1" s="1" t="s">
        <v>258</v>
      </c>
    </row>
    <row r="2" customFormat="false" ht="15" hidden="false" customHeight="false" outlineLevel="0" collapsed="false">
      <c r="A2" s="2" t="s">
        <v>259</v>
      </c>
    </row>
    <row r="3" customFormat="false" ht="15" hidden="false" customHeight="false" outlineLevel="0" collapsed="false">
      <c r="A3" s="3"/>
      <c r="B3" s="3"/>
      <c r="C3" s="3"/>
      <c r="D3" s="3"/>
      <c r="E3" s="3"/>
      <c r="F3" s="3"/>
    </row>
    <row r="5" customFormat="false" ht="15" hidden="false" customHeight="false" outlineLevel="0" collapsed="false">
      <c r="A5" s="17" t="s">
        <v>260</v>
      </c>
    </row>
    <row r="7" customFormat="false" ht="30" hidden="false" customHeight="true" outlineLevel="0" collapsed="false">
      <c r="A7" s="14" t="s">
        <v>261</v>
      </c>
      <c r="B7" s="15" t="s">
        <v>262</v>
      </c>
      <c r="C7" s="15" t="s">
        <v>263</v>
      </c>
      <c r="D7" s="15" t="s">
        <v>264</v>
      </c>
      <c r="E7" s="15" t="s">
        <v>265</v>
      </c>
      <c r="F7" s="15" t="s">
        <v>266</v>
      </c>
    </row>
    <row r="8" customFormat="false" ht="15" hidden="false" customHeight="false" outlineLevel="0" collapsed="false">
      <c r="A8" s="7" t="s">
        <v>267</v>
      </c>
      <c r="B8" s="7" t="s">
        <v>161</v>
      </c>
      <c r="C8" s="23" t="n">
        <v>3</v>
      </c>
      <c r="D8" s="23" t="n">
        <f aca="false">Ladder!B25</f>
        <v>3</v>
      </c>
      <c r="E8" s="31" t="n">
        <f aca="false">D8-C8</f>
        <v>0</v>
      </c>
      <c r="F8" s="32" t="str">
        <f aca="false">IF(ABS(E8)&lt;=0.00005,"PASS","FAIL")</f>
        <v>PASS</v>
      </c>
    </row>
    <row r="9" customFormat="false" ht="15" hidden="false" customHeight="false" outlineLevel="0" collapsed="false">
      <c r="A9" s="33" t="s">
        <v>267</v>
      </c>
      <c r="B9" s="33" t="s">
        <v>268</v>
      </c>
      <c r="C9" s="34" t="n">
        <v>0.0306</v>
      </c>
      <c r="D9" s="34" t="n">
        <f aca="false">Ladder!B26</f>
        <v>0.0305899133880874</v>
      </c>
      <c r="E9" s="35" t="n">
        <f aca="false">D9-C9</f>
        <v>-1.00866119126346E-005</v>
      </c>
      <c r="F9" s="36" t="str">
        <f aca="false">IF(ABS(E9)&lt;=0.00005,"PASS","FAIL")</f>
        <v>PASS</v>
      </c>
    </row>
    <row r="10" customFormat="false" ht="15" hidden="false" customHeight="false" outlineLevel="0" collapsed="false">
      <c r="A10" s="7" t="s">
        <v>267</v>
      </c>
      <c r="B10" s="7" t="s">
        <v>164</v>
      </c>
      <c r="C10" s="19" t="n">
        <v>47952283</v>
      </c>
      <c r="D10" s="19" t="n">
        <f aca="false">Ladder!B32</f>
        <v>47952283.236919</v>
      </c>
      <c r="E10" s="31" t="n">
        <f aca="false">D10-C10</f>
        <v>0.236918993294239</v>
      </c>
      <c r="F10" s="32" t="str">
        <f aca="false">IF(ABS(E10)&lt;=0.5,"PASS","FAIL")</f>
        <v>PASS</v>
      </c>
    </row>
    <row r="11" customFormat="false" ht="15" hidden="false" customHeight="false" outlineLevel="0" collapsed="false">
      <c r="A11" s="33" t="s">
        <v>267</v>
      </c>
      <c r="B11" s="33" t="s">
        <v>269</v>
      </c>
      <c r="C11" s="37" t="n">
        <v>48460708</v>
      </c>
      <c r="D11" s="37" t="n">
        <f aca="false">Ladder!B34</f>
        <v>48460707.6647164</v>
      </c>
      <c r="E11" s="35" t="n">
        <f aca="false">D11-C11</f>
        <v>-0.335283569991589</v>
      </c>
      <c r="F11" s="36" t="str">
        <f aca="false">IF(ABS(E11)&lt;=0.5,"PASS","FAIL")</f>
        <v>PASS</v>
      </c>
    </row>
    <row r="12" customFormat="false" ht="15" hidden="false" customHeight="false" outlineLevel="0" collapsed="false">
      <c r="A12" s="7" t="s">
        <v>267</v>
      </c>
      <c r="B12" s="7" t="s">
        <v>270</v>
      </c>
      <c r="C12" s="19" t="n">
        <v>508424</v>
      </c>
      <c r="D12" s="19" t="n">
        <f aca="false">Ladder!B33</f>
        <v>508424.427797435</v>
      </c>
      <c r="E12" s="31" t="n">
        <f aca="false">D12-C12</f>
        <v>0.427797434967943</v>
      </c>
      <c r="F12" s="32" t="str">
        <f aca="false">IF(ABS(E12)&lt;=0.5,"PASS","FAIL")</f>
        <v>PASS</v>
      </c>
    </row>
    <row r="13" customFormat="false" ht="15" hidden="false" customHeight="false" outlineLevel="0" collapsed="false">
      <c r="A13" s="33" t="s">
        <v>267</v>
      </c>
      <c r="B13" s="33" t="s">
        <v>271</v>
      </c>
      <c r="C13" s="37" t="n">
        <v>203370</v>
      </c>
      <c r="D13" s="37" t="n">
        <f aca="false">Ladder!B31</f>
        <v>203369.771118974</v>
      </c>
      <c r="E13" s="35" t="n">
        <f aca="false">D13-C13</f>
        <v>-0.228881026007002</v>
      </c>
      <c r="F13" s="36" t="str">
        <f aca="false">IF(ABS(E13)&lt;=0.5,"PASS","FAIL")</f>
        <v>PASS</v>
      </c>
    </row>
    <row r="14" customFormat="false" ht="15" hidden="false" customHeight="false" outlineLevel="0" collapsed="false">
      <c r="A14" s="7" t="s">
        <v>267</v>
      </c>
      <c r="B14" s="7" t="s">
        <v>272</v>
      </c>
      <c r="C14" s="23" t="n">
        <v>2.5</v>
      </c>
      <c r="D14" s="23" t="n">
        <f aca="false">Ladder!B27</f>
        <v>2.5</v>
      </c>
      <c r="E14" s="31" t="n">
        <f aca="false">D14-C14</f>
        <v>0</v>
      </c>
      <c r="F14" s="32" t="str">
        <f aca="false">IF(ABS(E14)&lt;=0.00005,"PASS","FAIL")</f>
        <v>PASS</v>
      </c>
    </row>
    <row r="15" customFormat="false" ht="15" hidden="false" customHeight="false" outlineLevel="0" collapsed="false">
      <c r="A15" s="33" t="s">
        <v>267</v>
      </c>
      <c r="B15" s="33" t="s">
        <v>273</v>
      </c>
      <c r="C15" s="37" t="n">
        <v>9452283</v>
      </c>
      <c r="D15" s="37" t="n">
        <f aca="false">Ladder!B28</f>
        <v>9452283.236919</v>
      </c>
      <c r="E15" s="35" t="n">
        <f aca="false">D15-C15</f>
        <v>0.236918995156884</v>
      </c>
      <c r="F15" s="36" t="str">
        <f aca="false">IF(ABS(E15)&lt;=0.5,"PASS","FAIL")</f>
        <v>PASS</v>
      </c>
    </row>
    <row r="16" customFormat="false" ht="15" hidden="false" customHeight="false" outlineLevel="0" collapsed="false">
      <c r="A16" s="7" t="s">
        <v>274</v>
      </c>
      <c r="B16" s="7" t="s">
        <v>275</v>
      </c>
      <c r="C16" s="23" t="n">
        <v>2.9985</v>
      </c>
      <c r="D16" s="23" t="n">
        <f aca="false">'Target leverage'!B8</f>
        <v>2.99853630020415</v>
      </c>
      <c r="E16" s="31" t="n">
        <f aca="false">D16-C16</f>
        <v>3.63002041456895E-005</v>
      </c>
      <c r="F16" s="32" t="str">
        <f aca="false">IF(ABS(E16)&lt;=0.00005,"PASS","FAIL")</f>
        <v>PASS</v>
      </c>
    </row>
    <row r="17" customFormat="false" ht="15" hidden="false" customHeight="false" outlineLevel="0" collapsed="false">
      <c r="A17" s="33" t="s">
        <v>274</v>
      </c>
      <c r="B17" s="33" t="s">
        <v>276</v>
      </c>
      <c r="C17" s="34" t="n">
        <v>2.9992</v>
      </c>
      <c r="D17" s="34" t="n">
        <f aca="false">'Target leverage'!B9</f>
        <v>2.9991562858747</v>
      </c>
      <c r="E17" s="35" t="n">
        <f aca="false">D17-C17</f>
        <v>-4.37141252964679E-005</v>
      </c>
      <c r="F17" s="36" t="str">
        <f aca="false">IF(ABS(E17)&lt;=0.00005,"PASS","FAIL")</f>
        <v>PASS</v>
      </c>
    </row>
    <row r="18" customFormat="false" ht="15" hidden="false" customHeight="false" outlineLevel="0" collapsed="false">
      <c r="A18" s="7" t="s">
        <v>274</v>
      </c>
      <c r="B18" s="7" t="s">
        <v>277</v>
      </c>
      <c r="C18" s="25" t="n">
        <v>-0.157134</v>
      </c>
      <c r="D18" s="25" t="n">
        <f aca="false">'Target leverage'!D7</f>
        <v>-0.157133894280954</v>
      </c>
      <c r="E18" s="31" t="n">
        <f aca="false">D18-C18</f>
        <v>1.0571904573986E-007</v>
      </c>
      <c r="F18" s="32" t="str">
        <f aca="false">IF(ABS(E18)&lt;=0.0000005,"PASS","FAIL")</f>
        <v>PASS</v>
      </c>
    </row>
    <row r="19" customFormat="false" ht="15" hidden="false" customHeight="false" outlineLevel="0" collapsed="false">
      <c r="A19" s="33" t="s">
        <v>274</v>
      </c>
      <c r="B19" s="33" t="s">
        <v>278</v>
      </c>
      <c r="C19" s="38" t="n">
        <v>-0.151448</v>
      </c>
      <c r="D19" s="38" t="n">
        <f aca="false">'Target leverage'!D8</f>
        <v>-0.151448390544259</v>
      </c>
      <c r="E19" s="35" t="n">
        <f aca="false">D19-C19</f>
        <v>-3.90544258627168E-007</v>
      </c>
      <c r="F19" s="36" t="str">
        <f aca="false">IF(ABS(E19)&lt;=0.0000005,"PASS","FAIL")</f>
        <v>PASS</v>
      </c>
    </row>
    <row r="20" customFormat="false" ht="15" hidden="false" customHeight="false" outlineLevel="0" collapsed="false">
      <c r="A20" s="7" t="s">
        <v>274</v>
      </c>
      <c r="B20" s="7" t="s">
        <v>279</v>
      </c>
      <c r="C20" s="25" t="n">
        <v>-0.189419</v>
      </c>
      <c r="D20" s="25" t="n">
        <f aca="false">'Target leverage'!D9</f>
        <v>-0.189419104139837</v>
      </c>
      <c r="E20" s="31" t="n">
        <f aca="false">D20-C20</f>
        <v>-1.04139837420192E-007</v>
      </c>
      <c r="F20" s="32" t="str">
        <f aca="false">IF(ABS(E20)&lt;=0.0000005,"PASS","FAIL")</f>
        <v>PASS</v>
      </c>
    </row>
    <row r="21" customFormat="false" ht="15" hidden="false" customHeight="false" outlineLevel="0" collapsed="false">
      <c r="A21" s="33" t="s">
        <v>274</v>
      </c>
      <c r="B21" s="33" t="s">
        <v>280</v>
      </c>
      <c r="C21" s="38" t="n">
        <v>-0.17084</v>
      </c>
      <c r="D21" s="38" t="n">
        <f aca="false">'Target leverage'!D11</f>
        <v>-0.170839905056964</v>
      </c>
      <c r="E21" s="35" t="n">
        <f aca="false">D21-C21</f>
        <v>9.49430359886705E-008</v>
      </c>
      <c r="F21" s="36" t="str">
        <f aca="false">IF(ABS(E21)&lt;=0.0000005,"PASS","FAIL")</f>
        <v>PASS</v>
      </c>
    </row>
    <row r="22" customFormat="false" ht="15" hidden="false" customHeight="false" outlineLevel="0" collapsed="false">
      <c r="A22" s="7" t="s">
        <v>274</v>
      </c>
      <c r="B22" s="7" t="s">
        <v>281</v>
      </c>
      <c r="C22" s="29" t="n">
        <v>0.2998</v>
      </c>
      <c r="D22" s="29" t="n">
        <f aca="false">'Target leverage'!E8</f>
        <v>0.299772475451024</v>
      </c>
      <c r="E22" s="31" t="n">
        <f aca="false">D22-C22</f>
        <v>-2.75245489765319E-005</v>
      </c>
      <c r="F22" s="32" t="str">
        <f aca="false">IF(ABS(E22)&lt;=0.00005,"PASS","FAIL")</f>
        <v>PASS</v>
      </c>
    </row>
    <row r="23" customFormat="false" ht="15" hidden="false" customHeight="false" outlineLevel="0" collapsed="false">
      <c r="A23" s="33" t="s">
        <v>274</v>
      </c>
      <c r="B23" s="33" t="s">
        <v>282</v>
      </c>
      <c r="C23" s="39" t="n">
        <v>-0.266</v>
      </c>
      <c r="D23" s="39" t="n">
        <f aca="false">'Target leverage'!F8</f>
        <v>-0.265963469964931</v>
      </c>
      <c r="E23" s="35" t="n">
        <f aca="false">D23-C23</f>
        <v>3.65300350689823E-005</v>
      </c>
      <c r="F23" s="36" t="str">
        <f aca="false">IF(ABS(E23)&lt;=0.00005,"PASS","FAIL")</f>
        <v>PASS</v>
      </c>
    </row>
    <row r="24" customFormat="false" ht="15" hidden="false" customHeight="false" outlineLevel="0" collapsed="false">
      <c r="A24" s="7" t="s">
        <v>274</v>
      </c>
      <c r="B24" s="7" t="s">
        <v>283</v>
      </c>
      <c r="C24" s="29" t="n">
        <v>0.5347</v>
      </c>
      <c r="D24" s="29" t="n">
        <f aca="false">'Target leverage'!G8</f>
        <v>0.534741368183459</v>
      </c>
      <c r="E24" s="31" t="n">
        <f aca="false">D24-C24</f>
        <v>4.13681834593449E-005</v>
      </c>
      <c r="F24" s="32" t="str">
        <f aca="false">IF(ABS(E24)&lt;=0.00005,"PASS","FAIL")</f>
        <v>PASS</v>
      </c>
    </row>
    <row r="25" customFormat="false" ht="15" hidden="false" customHeight="false" outlineLevel="0" collapsed="false">
      <c r="A25" s="33" t="s">
        <v>274</v>
      </c>
      <c r="B25" s="33" t="s">
        <v>284</v>
      </c>
      <c r="C25" s="37" t="n">
        <v>3600000</v>
      </c>
      <c r="D25" s="37" t="n">
        <f aca="false">'Target leverage'!B17</f>
        <v>3599999.99999997</v>
      </c>
      <c r="E25" s="35" t="n">
        <f aca="false">D25-C25</f>
        <v>-2.60770320892334E-008</v>
      </c>
      <c r="F25" s="36" t="str">
        <f aca="false">IF(ABS(E25)&lt;=0.5,"PASS","FAIL")</f>
        <v>PASS</v>
      </c>
    </row>
    <row r="26" customFormat="false" ht="15" hidden="false" customHeight="false" outlineLevel="0" collapsed="false">
      <c r="A26" s="7" t="s">
        <v>274</v>
      </c>
      <c r="B26" s="7" t="s">
        <v>285</v>
      </c>
      <c r="C26" s="25" t="n">
        <v>0.052654</v>
      </c>
      <c r="D26" s="25" t="n">
        <f aca="false">'Target leverage'!B23</f>
        <v>0.0526540450559002</v>
      </c>
      <c r="E26" s="31" t="n">
        <f aca="false">D26-C26</f>
        <v>4.50559002329598E-008</v>
      </c>
      <c r="F26" s="32" t="str">
        <f aca="false">IF(ABS(E26)&lt;=0.0000005,"PASS","FAIL")</f>
        <v>PASS</v>
      </c>
    </row>
    <row r="27" customFormat="false" ht="15" hidden="false" customHeight="false" outlineLevel="0" collapsed="false">
      <c r="A27" s="33" t="s">
        <v>274</v>
      </c>
      <c r="B27" s="33" t="s">
        <v>286</v>
      </c>
      <c r="C27" s="38" t="n">
        <v>0.04438</v>
      </c>
      <c r="D27" s="38" t="n">
        <f aca="false">'Target leverage'!B24</f>
        <v>0.0443803099066218</v>
      </c>
      <c r="E27" s="35" t="n">
        <f aca="false">D27-C27</f>
        <v>3.09906621802358E-007</v>
      </c>
      <c r="F27" s="36" t="str">
        <f aca="false">IF(ABS(E27)&lt;=0.0000005,"PASS","FAIL")</f>
        <v>PASS</v>
      </c>
    </row>
    <row r="28" customFormat="false" ht="15" hidden="false" customHeight="false" outlineLevel="0" collapsed="false">
      <c r="A28" s="7" t="s">
        <v>274</v>
      </c>
      <c r="B28" s="7" t="s">
        <v>287</v>
      </c>
      <c r="C28" s="25" t="n">
        <v>0.053317</v>
      </c>
      <c r="D28" s="25" t="n">
        <f aca="false">'Target leverage'!B25</f>
        <v>0.0533166073810205</v>
      </c>
      <c r="E28" s="31" t="n">
        <f aca="false">D28-C28</f>
        <v>-3.92618979487558E-007</v>
      </c>
      <c r="F28" s="32" t="str">
        <f aca="false">IF(ABS(E28)&lt;=0.0000005,"PASS","FAIL")</f>
        <v>PASS</v>
      </c>
    </row>
    <row r="29" customFormat="false" ht="15" hidden="false" customHeight="false" outlineLevel="0" collapsed="false">
      <c r="A29" s="33" t="s">
        <v>274</v>
      </c>
      <c r="B29" s="33" t="s">
        <v>288</v>
      </c>
      <c r="C29" s="37" t="n">
        <v>380000</v>
      </c>
      <c r="D29" s="37" t="n">
        <f aca="false">'Target leverage'!B29</f>
        <v>380000</v>
      </c>
      <c r="E29" s="35" t="n">
        <f aca="false">D29-C29</f>
        <v>0</v>
      </c>
      <c r="F29" s="36" t="str">
        <f aca="false">IF(ABS(E29)&lt;=0.5,"PASS","FAIL")</f>
        <v>PASS</v>
      </c>
    </row>
    <row r="30" customFormat="false" ht="15" hidden="false" customHeight="false" outlineLevel="0" collapsed="false">
      <c r="A30" s="7" t="s">
        <v>274</v>
      </c>
      <c r="B30" s="7" t="s">
        <v>289</v>
      </c>
      <c r="C30" s="29" t="n">
        <v>0.3689</v>
      </c>
      <c r="D30" s="29" t="n">
        <f aca="false">'Target leverage'!B35</f>
        <v>0.368888152853302</v>
      </c>
      <c r="E30" s="31" t="n">
        <f aca="false">D30-C30</f>
        <v>-1.18471466981629E-005</v>
      </c>
      <c r="F30" s="32" t="str">
        <f aca="false">IF(ABS(E30)&lt;=0.00005,"PASS","FAIL")</f>
        <v>PASS</v>
      </c>
    </row>
    <row r="31" customFormat="false" ht="15" hidden="false" customHeight="false" outlineLevel="0" collapsed="false">
      <c r="A31" s="33" t="s">
        <v>274</v>
      </c>
      <c r="B31" s="33" t="s">
        <v>290</v>
      </c>
      <c r="C31" s="39" t="n">
        <v>0.3208</v>
      </c>
      <c r="D31" s="39" t="n">
        <f aca="false">'Target leverage'!C35</f>
        <v>0.320844820910076</v>
      </c>
      <c r="E31" s="35" t="n">
        <f aca="false">D31-C31</f>
        <v>4.48209100756269E-005</v>
      </c>
      <c r="F31" s="36" t="str">
        <f aca="false">IF(ABS(E31)&lt;=0.00005,"PASS","FAIL")</f>
        <v>PASS</v>
      </c>
    </row>
    <row r="32" customFormat="false" ht="15" hidden="false" customHeight="false" outlineLevel="0" collapsed="false">
      <c r="A32" s="7" t="s">
        <v>274</v>
      </c>
      <c r="B32" s="7" t="s">
        <v>291</v>
      </c>
      <c r="C32" s="25" t="n">
        <v>-0.151174</v>
      </c>
      <c r="D32" s="25" t="n">
        <f aca="false">'Target leverage'!B47</f>
        <v>-0.151174289370352</v>
      </c>
      <c r="E32" s="31" t="n">
        <f aca="false">D32-C32</f>
        <v>-2.89370351486129E-007</v>
      </c>
      <c r="F32" s="32" t="str">
        <f aca="false">IF(ABS(E32)&lt;=0.0000005,"PASS","FAIL")</f>
        <v>PASS</v>
      </c>
    </row>
    <row r="33" customFormat="false" ht="15" hidden="false" customHeight="false" outlineLevel="0" collapsed="false">
      <c r="A33" s="33" t="s">
        <v>274</v>
      </c>
      <c r="B33" s="33" t="s">
        <v>292</v>
      </c>
      <c r="C33" s="38" t="n">
        <v>-0.18955</v>
      </c>
      <c r="D33" s="38" t="n">
        <f aca="false">'Target leverage'!B51</f>
        <v>-0.189550463814398</v>
      </c>
      <c r="E33" s="35" t="n">
        <f aca="false">D33-C33</f>
        <v>-4.63814397555495E-007</v>
      </c>
      <c r="F33" s="36" t="str">
        <f aca="false">IF(ABS(E33)&lt;=0.0000005,"PASS","FAIL")</f>
        <v>PASS</v>
      </c>
    </row>
    <row r="34" customFormat="false" ht="15" hidden="false" customHeight="false" outlineLevel="0" collapsed="false">
      <c r="A34" s="7" t="s">
        <v>274</v>
      </c>
      <c r="B34" s="7" t="s">
        <v>249</v>
      </c>
      <c r="C34" s="29" t="n">
        <v>-3.8376</v>
      </c>
      <c r="D34" s="29" t="n">
        <f aca="false">'Target leverage'!B52</f>
        <v>-3.83761744440461</v>
      </c>
      <c r="E34" s="31" t="n">
        <f aca="false">D34-C34</f>
        <v>-1.74444046061595E-005</v>
      </c>
      <c r="F34" s="32" t="str">
        <f aca="false">IF(ABS(E34)&lt;=0.00005,"PASS","FAIL")</f>
        <v>PASS</v>
      </c>
    </row>
    <row r="35" customFormat="false" ht="15" hidden="false" customHeight="false" outlineLevel="0" collapsed="false">
      <c r="A35" s="33" t="s">
        <v>274</v>
      </c>
      <c r="B35" s="33" t="s">
        <v>293</v>
      </c>
      <c r="C35" s="39" t="n">
        <v>0.0632</v>
      </c>
      <c r="D35" s="39" t="n">
        <f aca="false">'Target leverage'!B53</f>
        <v>0.0631722637410626</v>
      </c>
      <c r="E35" s="35" t="n">
        <f aca="false">D35-C35</f>
        <v>-2.77362589374552E-005</v>
      </c>
      <c r="F35" s="36" t="str">
        <f aca="false">IF(ABS(E35)&lt;=0.00005,"PASS","FAIL")</f>
        <v>PASS</v>
      </c>
    </row>
    <row r="36" customFormat="false" ht="15" hidden="false" customHeight="false" outlineLevel="0" collapsed="false">
      <c r="A36" s="7" t="s">
        <v>274</v>
      </c>
      <c r="B36" s="7" t="s">
        <v>255</v>
      </c>
      <c r="C36" s="29" t="n">
        <v>3.7971</v>
      </c>
      <c r="D36" s="29" t="n">
        <f aca="false">'Target leverage'!B60</f>
        <v>3.79707135955788</v>
      </c>
      <c r="E36" s="31" t="n">
        <f aca="false">D36-C36</f>
        <v>-2.86404421201425E-005</v>
      </c>
      <c r="F36" s="32" t="str">
        <f aca="false">IF(ABS(E36)&lt;=0.00005,"PASS","FAIL")</f>
        <v>PASS</v>
      </c>
    </row>
    <row r="37" customFormat="false" ht="15" hidden="false" customHeight="false" outlineLevel="0" collapsed="false">
      <c r="A37" s="33" t="s">
        <v>274</v>
      </c>
      <c r="B37" s="33" t="s">
        <v>294</v>
      </c>
      <c r="C37" s="37" t="n">
        <v>203370</v>
      </c>
      <c r="D37" s="37" t="n">
        <f aca="false">'Target leverage'!B59</f>
        <v>203369.771118972</v>
      </c>
      <c r="E37" s="35" t="n">
        <f aca="false">D37-C37</f>
        <v>-0.228881027549505</v>
      </c>
      <c r="F37" s="36" t="str">
        <f aca="false">IF(ABS(E37)&lt;=0.5,"PASS","FAIL")</f>
        <v>PASS</v>
      </c>
    </row>
    <row r="39" customFormat="false" ht="15" hidden="false" customHeight="false" outlineLevel="0" collapsed="false">
      <c r="B39" s="7" t="s">
        <v>295</v>
      </c>
      <c r="C39" s="28" t="n">
        <f aca="false">COUNTIF(F8:F37,"PASS")</f>
        <v>30</v>
      </c>
    </row>
    <row r="40" customFormat="false" ht="15" hidden="false" customHeight="false" outlineLevel="0" collapsed="false">
      <c r="B40" s="7" t="s">
        <v>296</v>
      </c>
      <c r="C40" s="28" t="n">
        <f aca="false">COUNTIF(F8:F37,"FAIL")</f>
        <v>0</v>
      </c>
    </row>
    <row r="41" customFormat="false" ht="15" hidden="false" customHeight="false" outlineLevel="0" collapsed="false">
      <c r="B41" s="7" t="s">
        <v>297</v>
      </c>
      <c r="C41" s="7" t="str">
        <f aca="false">IF(C39=30,"ALL OK","SOME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2026-08-29T23:24:52Z</dcterms:created>
  <dc:creator>openpyxl</dc:creator>
  <dc:description/>
  <dc:language>en-US</dc:language>
  <cp:lastModifiedBy/>
  <dcterms:modified xsi:type="dcterms:W3CDTF">2026-09-24T01:14:41Z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