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Deal" sheetId="3" state="visible" r:id="rId5"/>
    <sheet name="Financing" sheetId="4" state="visible" r:id="rId6"/>
    <sheet name="Allocation" sheetId="5" state="visible" r:id="rId7"/>
    <sheet name="Accretion" sheetId="6" state="visible" r:id="rId8"/>
    <sheet name="Year 1 bridge" sheetId="7" state="visible" r:id="rId9"/>
    <sheet name="Charges" sheetId="8" state="visible" r:id="rId10"/>
    <sheet name="Checks" sheetId="9" state="visible" r:id="rId11"/>
  </sheets>
  <definedNames>
    <definedName function="false" hidden="false" name="Accr1" vbProcedure="false">Deal!$B$94</definedName>
    <definedName function="false" hidden="false" name="AEbit" vbProcedure="false">Deal!$B$52</definedName>
    <definedName function="false" hidden="false" name="AEPS" vbProcedure="false">Deal!$B$54</definedName>
    <definedName function="false" hidden="false" name="AEV" vbProcedure="false">Deal!$B$56</definedName>
    <definedName function="false" hidden="false" name="AInt" vbProcedure="false">Deal!$B$50</definedName>
    <definedName function="false" hidden="false" name="AIntPre" vbProcedure="false">Deal!$B$49</definedName>
    <definedName function="false" hidden="false" name="ALevPre" vbProcedure="false">Deal!$B$47</definedName>
    <definedName function="false" hidden="false" name="AMcap" vbProcedure="false">Deal!$B$55</definedName>
    <definedName function="false" hidden="false" name="AMult" vbProcedure="false">Deal!$B$57</definedName>
    <definedName function="false" hidden="false" name="ANI" vbProcedure="false">Deal!$B$53</definedName>
    <definedName function="false" hidden="false" name="ARatePre" vbProcedure="false">Deal!$B$48</definedName>
    <definedName function="false" hidden="false" name="A_DA" vbProcedure="false">Inputs!$B$19</definedName>
    <definedName function="false" hidden="false" name="A_Debt" vbProcedure="false">Inputs!$B$20</definedName>
    <definedName function="false" hidden="false" name="A_Ebitda" vbProcedure="false">Inputs!$B$18</definedName>
    <definedName function="false" hidden="false" name="A_Price" vbProcedure="false">Inputs!$B$22</definedName>
    <definedName function="false" hidden="false" name="A_Rev" vbProcedure="false">Inputs!$B$17</definedName>
    <definedName function="false" hidden="false" name="A_Shares" vbProcedure="false">Inputs!$B$21</definedName>
    <definedName function="false" hidden="false" name="BaseRate" vbProcedure="false">Inputs!$B$31</definedName>
    <definedName function="false" hidden="false" name="CashOut" vbProcedure="false">Deal!$B$18</definedName>
    <definedName function="false" hidden="false" name="CombEb" vbProcedure="false">Deal!$B$14</definedName>
    <definedName function="false" hidden="false" name="Converged" vbProcedure="false">Deal!$B$26</definedName>
    <definedName function="false" hidden="false" name="Cost1" vbProcedure="false">Deal!$B$89</definedName>
    <definedName function="false" hidden="false" name="CostY1" vbProcedure="false">Inputs!$B$46</definedName>
    <definedName function="false" hidden="false" name="CostY2" vbProcedure="false">Inputs!$B$47</definedName>
    <definedName function="false" hidden="false" name="CostY3" vbProcedure="false">Inputs!$B$48</definedName>
    <definedName function="false" hidden="false" name="DA1" vbProcedure="false">Deal!$B$90</definedName>
    <definedName function="false" hidden="false" name="DebtRate" vbProcedure="false">Deal!$B$27</definedName>
    <definedName function="false" hidden="false" name="DebtShare" vbProcedure="false">Inputs!$B$29</definedName>
    <definedName function="false" hidden="false" name="Dilut" vbProcedure="false">Deal!$B$43</definedName>
    <definedName function="false" hidden="false" name="DLamt" vbProcedure="false">Inputs!$B$60:$B$63</definedName>
    <definedName function="false" hidden="false" name="DLbear" vbProcedure="false">Deal!$B$9</definedName>
    <definedName function="false" hidden="false" name="DLcov" vbProcedure="false">Deal!$B$10</definedName>
    <definedName function="false" hidden="false" name="DLdiv" vbProcedure="false">Inputs!$B$62</definedName>
    <definedName function="false" hidden="false" name="DLlease" vbProcedure="false">Inputs!$B$63</definedName>
    <definedName function="false" hidden="false" name="DLlitig" vbProcedure="false">Inputs!$B$61</definedName>
    <definedName function="false" hidden="false" name="DLoff" vbProcedure="false">Deal!$B$8</definedName>
    <definedName function="false" hidden="false" name="DLpens" vbProcedure="false">Inputs!$B$60</definedName>
    <definedName function="false" hidden="false" name="DLtot" vbProcedure="false">Deal!$B$7</definedName>
    <definedName function="false" hidden="false" name="DL_BS" vbProcedure="false">Inputs!$C$60:$C$63</definedName>
    <definedName function="false" hidden="false" name="DL_CF" vbProcedure="false">Inputs!$E$60:$E$63</definedName>
    <definedName function="false" hidden="false" name="DL_IF" vbProcedure="false">Inputs!$D$60:$D$63</definedName>
    <definedName function="false" hidden="false" name="DTL" vbProcedure="false">Deal!$B$72</definedName>
    <definedName function="false" hidden="false" name="Eb1" vbProcedure="false">Deal!$B$88</definedName>
    <definedName function="false" hidden="false" name="EoFV" vbProcedure="false">Deal!$B$29</definedName>
    <definedName function="false" hidden="false" name="EoMax" vbProcedure="false">Inputs!$B$35</definedName>
    <definedName function="false" hidden="false" name="EoProb" vbProcedure="false">Inputs!$B$36</definedName>
    <definedName function="false" hidden="false" name="EoYear" vbProcedure="false">Inputs!$B$37</definedName>
    <definedName function="false" hidden="false" name="EPS1" vbProcedure="false">Deal!$B$93</definedName>
    <definedName function="false" hidden="false" name="EPS2" vbProcedure="false">Deal!$B$100</definedName>
    <definedName function="false" hidden="false" name="EqRaise" vbProcedure="false">Deal!$B$20</definedName>
    <definedName function="false" hidden="false" name="EVh" vbProcedure="false">Deal!$B$15</definedName>
    <definedName function="false" hidden="false" name="Excess" vbProcedure="false">Deal!$B$70</definedName>
    <definedName function="false" hidden="false" name="Grow" vbProcedure="false">Inputs!$B$53</definedName>
    <definedName function="false" hidden="false" name="Gwill" vbProcedure="false">Deal!$B$73</definedName>
    <definedName function="false" hidden="false" name="Int1" vbProcedure="false">Deal!$B$91</definedName>
    <definedName function="false" hidden="false" name="Int2" vbProcedure="false">Deal!$B$98</definedName>
    <definedName function="false" hidden="false" name="Intang" vbProcedure="false">Deal!$B$71</definedName>
    <definedName function="false" hidden="false" name="IntangSh" vbProcedure="false">Inputs!$B$54</definedName>
    <definedName function="false" hidden="false" name="Intrin" vbProcedure="false">Deal!$B$63</definedName>
    <definedName function="false" hidden="false" name="IssPrice" vbProcedure="false">Deal!$B$40</definedName>
    <definedName function="false" hidden="false" name="IssueDisc" vbProcedure="false">Inputs!$B$30</definedName>
    <definedName function="false" hidden="false" name="LadMar" vbProcedure="false">Inputs!$C$69:$C$73</definedName>
    <definedName function="false" hidden="false" name="LadRung" vbProcedure="false">Inputs!$B$70:$B$73</definedName>
    <definedName function="false" hidden="false" name="LadThr" vbProcedure="false">Inputs!$B$69:$B$73</definedName>
    <definedName function="false" hidden="false" name="Lev" vbProcedure="false">Deal!$B$30</definedName>
    <definedName function="false" hidden="false" name="Marg" vbProcedure="false">Deal!$B$28</definedName>
    <definedName function="false" hidden="false" name="Mult" vbProcedure="false">Inputs!$B$26</definedName>
    <definedName function="false" hidden="false" name="NetAss" vbProcedure="false">Deal!$B$69</definedName>
    <definedName function="false" hidden="false" name="NewDebt" vbProcedure="false">Deal!$B$19</definedName>
    <definedName function="false" hidden="false" name="NewSh" vbProcedure="false">Deal!$B$41</definedName>
    <definedName function="false" hidden="false" name="OutExp" vbProcedure="false">Deal!$B$35</definedName>
    <definedName function="false" hidden="false" name="OutMax" vbProcedure="false">Deal!$B$36</definedName>
    <definedName function="false" hidden="false" name="PBT1" vbProcedure="false">Deal!$B$92</definedName>
    <definedName function="false" hidden="false" name="PBT2" vbProcedure="false">Deal!$B$99</definedName>
    <definedName function="false" hidden="false" name="Pdl" vbProcedure="false">Deal!$B$17</definedName>
    <definedName function="false" hidden="false" name="Peq" vbProcedure="false">Deal!$B$16</definedName>
    <definedName function="false" hidden="false" name="Pfv" vbProcedure="false">Deal!$B$34</definedName>
    <definedName function="false" hidden="false" name="PpaAm" vbProcedure="false">Deal!$B$74</definedName>
    <definedName function="false" hidden="false" name="PpaLife" vbProcedure="false">Inputs!$B$55</definedName>
    <definedName function="false" hidden="false" name="Prem" vbProcedure="false">Deal!$B$64</definedName>
    <definedName function="false" hidden="false" name="PremPc" vbProcedure="false">Deal!$B$65</definedName>
    <definedName function="false" hidden="false" name="Ramp1" vbProcedure="false">Inputs!$B$42</definedName>
    <definedName function="false" hidden="false" name="Ramp2" vbProcedure="false">Inputs!$B$43</definedName>
    <definedName function="false" hidden="false" name="Ramp3" vbProcedure="false">Inputs!$B$44</definedName>
    <definedName function="false" hidden="false" name="Repric" vbProcedure="false">Deal!$B$51</definedName>
    <definedName function="false" hidden="false" name="ShAfter" vbProcedure="false">Deal!$B$42</definedName>
    <definedName function="false" hidden="false" name="Shortf" vbProcedure="false">Deal!$B$83</definedName>
    <definedName function="false" hidden="false" name="SynCoef" vbProcedure="false">Deal!$B$78</definedName>
    <definedName function="false" hidden="false" name="SynCost" vbProcedure="false">Inputs!$B$45</definedName>
    <definedName function="false" hidden="false" name="SynCPV" vbProcedure="false">Deal!$B$79</definedName>
    <definedName function="false" hidden="false" name="SynPV3" vbProcedure="false">Deal!$B$80</definedName>
    <definedName function="false" hidden="false" name="SynRR" vbProcedure="false">Inputs!$B$41</definedName>
    <definedName function="false" hidden="false" name="SynTerm" vbProcedure="false">Deal!$B$81</definedName>
    <definedName function="false" hidden="false" name="SynVal" vbProcedure="false">Deal!$B$82</definedName>
    <definedName function="false" hidden="false" name="Tax" vbProcedure="false">Inputs!$B$27</definedName>
    <definedName function="false" hidden="false" name="TEbit" vbProcedure="false">Deal!$B$61</definedName>
    <definedName function="false" hidden="false" name="TFcf" vbProcedure="false">Deal!$B$62</definedName>
    <definedName function="false" hidden="false" name="TxnCost" vbProcedure="false">Inputs!$B$28</definedName>
    <definedName function="false" hidden="false" name="T_BookEq" vbProcedure="false">Inputs!$B$13</definedName>
    <definedName function="false" hidden="false" name="T_Capex" vbProcedure="false">Inputs!$B$10</definedName>
    <definedName function="false" hidden="false" name="T_DA" vbProcedure="false">Inputs!$B$9</definedName>
    <definedName function="false" hidden="false" name="T_DWC" vbProcedure="false">Inputs!$B$11</definedName>
    <definedName function="false" hidden="false" name="T_Ebitda" vbProcedure="false">Inputs!$B$8</definedName>
    <definedName function="false" hidden="false" name="T_NetDebt" vbProcedure="false">Inputs!$B$12</definedName>
    <definedName function="false" hidden="false" name="T_Rev" vbProcedure="false">Inputs!$B$7</definedName>
    <definedName function="false" hidden="false" name="VCreat" vbProcedure="false">Deal!$B$84</definedName>
    <definedName function="false" hidden="false" name="Wacc" vbProcedure="false">Inputs!$B$52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<sst xmlns="http://schemas.openxmlformats.org/spreadsheetml/2006/main" count="348" uniqueCount="261">
  <si>
    <t xml:space="preserve">Mergers and Acquisitions - The Combined Accounts</t>
  </si>
  <si>
    <t xml:space="preserve">Companion workbook 2, by Julian R. Sterling</t>
  </si>
  <si>
    <t xml:space="preserve">What this workbook does</t>
  </si>
  <si>
    <t xml:space="preserve">It funds the deal, allocates the price, and then prints the five years of combined earnings under all four market conventions at once, with the twelve-line bridge that closes year one from the acquirer's own earnings per share to the combined figure.</t>
  </si>
  <si>
    <t xml:space="preserve">The first experiment to run</t>
  </si>
  <si>
    <t xml:space="preserve">On the Inputs sheet, change the amortisation life from 9 years to 20. The statutory column moves and the cash column does not, because the cash column was built to ignore exactly this. Nothing about the business changed. That is the whole of chapter 13.</t>
  </si>
  <si>
    <t xml:space="preserve">The second</t>
  </si>
  <si>
    <t xml:space="preserve">Set the identified intangibles to nought per cent of the excess. Everything lands in goodwill, the amortisation disappears, and year one goes from minus 15.7134 per cent to the cash column, minus 5.7078. Goodwill rises by 48,164,740: the intangibles, less the deferred tax liability that goes with them. Two accounting judgements, and a ten-point swing in the headline.</t>
  </si>
  <si>
    <t xml:space="preserve">The third, and the shortest</t>
  </si>
  <si>
    <t xml:space="preserve">Set the deferred tax liability aside by setting the tax rate to nought and watch the allocation. Without a deferred tax liability the income statement would collect 1,783,879 a year of tax saving on an amortisation that no liability carries.</t>
  </si>
  <si>
    <t xml:space="preserve">On the bridge</t>
  </si>
  <si>
    <t xml:space="preserve">The last line is a difference that is nothing by construction. It attests nothing today: the bridge and the income statement are the same expression, reordered. It is there to catch tomorrow's omission, when a line moves on one side and not the other.</t>
  </si>
  <si>
    <t xml:space="preserve">On the checks</t>
  </si>
  <si>
    <t xml:space="preserve">The Checks sheet reproduces by formula each figure printed in chapters 10 and 12 to 15. Column C is typed from the page; column D is computed here. If a check reads FAIL, the workbook is wrong, not the book.</t>
  </si>
  <si>
    <t xml:space="preserve">Inputs - the Auchendinny / Balmacara fact pattern</t>
  </si>
  <si>
    <t xml:space="preserve">Blue on pale yellow is an input, and you may edit it. Everything else in this file is a formula over these cells.</t>
  </si>
  <si>
    <t xml:space="preserve">The target, Balmacara</t>
  </si>
  <si>
    <t xml:space="preserve">Revenue</t>
  </si>
  <si>
    <t xml:space="preserve">EBITDA</t>
  </si>
  <si>
    <t xml:space="preserve">Depreciation and amortisation</t>
  </si>
  <si>
    <t xml:space="preserve">Capital expenditure</t>
  </si>
  <si>
    <t xml:space="preserve">Increase in working capital</t>
  </si>
  <si>
    <t xml:space="preserve">Net debt, assumed rather than refinanced</t>
  </si>
  <si>
    <t xml:space="preserve">Book equity</t>
  </si>
  <si>
    <t xml:space="preserve">The acquirer, Auchendinny</t>
  </si>
  <si>
    <t xml:space="preserve">Existing debt</t>
  </si>
  <si>
    <t xml:space="preserve">Shares in issue</t>
  </si>
  <si>
    <t xml:space="preserve">Share price at announcement</t>
  </si>
  <si>
    <t xml:space="preserve">The price, the tax and the funding</t>
  </si>
  <si>
    <t xml:space="preserve">Announced multiple of EBITDA</t>
  </si>
  <si>
    <t xml:space="preserve">Tax rate, both companies</t>
  </si>
  <si>
    <t xml:space="preserve">Transaction costs, expensed in year one</t>
  </si>
  <si>
    <t xml:space="preserve">Debt share of the funding</t>
  </si>
  <si>
    <t xml:space="preserve">Discount on the issue price</t>
  </si>
  <si>
    <t xml:space="preserve">Base rate, before the lender's margin</t>
  </si>
  <si>
    <t xml:space="preserve">The earn-out</t>
  </si>
  <si>
    <t xml:space="preserve">Maximum</t>
  </si>
  <si>
    <t xml:space="preserve">Probability</t>
  </si>
  <si>
    <t xml:space="preserve">Year of settlement</t>
  </si>
  <si>
    <t xml:space="preserve">The synergies</t>
  </si>
  <si>
    <t xml:space="preserve">Run rate</t>
  </si>
  <si>
    <t xml:space="preserve">Share of the run rate delivered in year 1</t>
  </si>
  <si>
    <t xml:space="preserve">Share of the run rate delivered in year 2</t>
  </si>
  <si>
    <t xml:space="preserve">Share of the run rate delivered in year 3</t>
  </si>
  <si>
    <t xml:space="preserve">Cost to achieve</t>
  </si>
  <si>
    <t xml:space="preserve">Share of the cost spent in year 1</t>
  </si>
  <si>
    <t xml:space="preserve">Share of the cost spent in year 2</t>
  </si>
  <si>
    <t xml:space="preserve">Share of the cost spent in year 3</t>
  </si>
  <si>
    <t xml:space="preserve">The valuation and the allocation</t>
  </si>
  <si>
    <t xml:space="preserve">Weighted average cost of capital</t>
  </si>
  <si>
    <t xml:space="preserve">Perpetual growth</t>
  </si>
  <si>
    <t xml:space="preserve">Identified intangibles, share of the excess</t>
  </si>
  <si>
    <t xml:space="preserve">Amortisation life, years</t>
  </si>
  <si>
    <t xml:space="preserve">The debt-like items, and the three questions that are asked separately</t>
  </si>
  <si>
    <t xml:space="preserve">item</t>
  </si>
  <si>
    <t xml:space="preserve">amount</t>
  </si>
  <si>
    <t xml:space="preserve">on the balance sheet</t>
  </si>
  <si>
    <t xml:space="preserve">bears interest after</t>
  </si>
  <si>
    <t xml:space="preserve">in the covenant</t>
  </si>
  <si>
    <t xml:space="preserve">Unfunded pension deficit</t>
  </si>
  <si>
    <t xml:space="preserve">Provided tax litigation</t>
  </si>
  <si>
    <t xml:space="preserve">Declared unpaid dividend</t>
  </si>
  <si>
    <t xml:space="preserve">Uncapitalised leases</t>
  </si>
  <si>
    <t xml:space="preserve">One is a switch, nought is not. The three answers are independent, and putting the leases back into the covenant and into the interest charge is the experiment of chapter 4.</t>
  </si>
  <si>
    <t xml:space="preserve">The lender's margin ladder</t>
  </si>
  <si>
    <t xml:space="preserve">leverage, times combined EBITDA</t>
  </si>
  <si>
    <t xml:space="preserve">at or above</t>
  </si>
  <si>
    <t xml:space="preserve">margin</t>
  </si>
  <si>
    <t xml:space="preserve">below 2.50</t>
  </si>
  <si>
    <t xml:space="preserve">2.50 to 3.00</t>
  </si>
  <si>
    <t xml:space="preserve">3.00 to 3.50</t>
  </si>
  <si>
    <t xml:space="preserve">3.50 to 4.00</t>
  </si>
  <si>
    <t xml:space="preserve">4.00 and above</t>
  </si>
  <si>
    <t xml:space="preserve">The lender does not quote a rate. It quotes a ladder, and the rate falls out of where the leverage lands on it.</t>
  </si>
  <si>
    <t xml:space="preserve">The deal, computed</t>
  </si>
  <si>
    <t xml:space="preserve">Every sheet in this workbook reads this one. Nothing here is typed in: it is all formula over Inputs.</t>
  </si>
  <si>
    <t xml:space="preserve">The debt-like items, answered three times</t>
  </si>
  <si>
    <t xml:space="preserve">Total, and the price falls by all of it</t>
  </si>
  <si>
    <t xml:space="preserve">Off balance sheet, so they raise the excess to allocate</t>
  </si>
  <si>
    <t xml:space="preserve">Bearing interest after the deal</t>
  </si>
  <si>
    <t xml:space="preserve">Inside the lender's covenant</t>
  </si>
  <si>
    <t xml:space="preserve">The price and the funding of completion</t>
  </si>
  <si>
    <t xml:space="preserve">Combined EBITDA</t>
  </si>
  <si>
    <t xml:space="preserve">Announced enterprise value</t>
  </si>
  <si>
    <t xml:space="preserve">Equity price, enterprise value less net debt</t>
  </si>
  <si>
    <t xml:space="preserve">Equity after the debt-like items</t>
  </si>
  <si>
    <t xml:space="preserve">Cash out at completion, fees included</t>
  </si>
  <si>
    <t xml:space="preserve">New debt</t>
  </si>
  <si>
    <t xml:space="preserve">Equity raised</t>
  </si>
  <si>
    <t xml:space="preserve">The fixed point: the rate depends on the leverage, the leverage on the earn-out, the earn-out on the rate</t>
  </si>
  <si>
    <t xml:space="preserve">Rate, iterated from the bottom of the ladder</t>
  </si>
  <si>
    <t xml:space="preserve">Eight passes. Where the two last cells agree, the ladder has a solution and that is the rate. Where they do not, the ladder refers to itself, and the model takes the prudent branch - the higher margin, which is what a lender will take - and says so.</t>
  </si>
  <si>
    <t xml:space="preserve">Does the ladder admit a solution?</t>
  </si>
  <si>
    <t xml:space="preserve">Rate on all of the group's debt after the deal</t>
  </si>
  <si>
    <t xml:space="preserve">of which the lender's margin</t>
  </si>
  <si>
    <t xml:space="preserve">Earn-out at fair value, discounted at the cost of debt</t>
  </si>
  <si>
    <t xml:space="preserve">Leverage after the deal, times combined EBITDA</t>
  </si>
  <si>
    <t xml:space="preserve">What the seller receives, and what is paid out</t>
  </si>
  <si>
    <t xml:space="preserve">What the seller receives, earn-out at fair value</t>
  </si>
  <si>
    <t xml:space="preserve">Total expected outlay</t>
  </si>
  <si>
    <t xml:space="preserve">Total outlay, full earn-out</t>
  </si>
  <si>
    <t xml:space="preserve">The shares</t>
  </si>
  <si>
    <t xml:space="preserve">Issue price</t>
  </si>
  <si>
    <t xml:space="preserve">Shares issued</t>
  </si>
  <si>
    <t xml:space="preserve">Shares in issue after the deal</t>
  </si>
  <si>
    <t xml:space="preserve">Dilution</t>
  </si>
  <si>
    <t xml:space="preserve">The acquirer on its own</t>
  </si>
  <si>
    <t xml:space="preserve">Standalone leverage</t>
  </si>
  <si>
    <t xml:space="preserve">Rate on the existing debt before the deal</t>
  </si>
  <si>
    <t xml:space="preserve">Interest before the deal</t>
  </si>
  <si>
    <t xml:space="preserve">Interest on the same debt after the deal</t>
  </si>
  <si>
    <t xml:space="preserve">Repricing of the existing debt, caused by the deal</t>
  </si>
  <si>
    <t xml:space="preserve">Operating profit</t>
  </si>
  <si>
    <t xml:space="preserve">Net income</t>
  </si>
  <si>
    <t xml:space="preserve">Earnings per share, standalone</t>
  </si>
  <si>
    <t xml:space="preserve">Market capitalisation</t>
  </si>
  <si>
    <t xml:space="preserve">Enterprise value</t>
  </si>
  <si>
    <t xml:space="preserve">Enterprise value, times EBITDA</t>
  </si>
  <si>
    <t xml:space="preserve">The target on a discounted cash flow, and the premium</t>
  </si>
  <si>
    <t xml:space="preserve">Normalised cash flow</t>
  </si>
  <si>
    <t xml:space="preserve">Intrinsic enterprise value</t>
  </si>
  <si>
    <t xml:space="preserve">Premium over it</t>
  </si>
  <si>
    <t xml:space="preserve">Premium, per cent</t>
  </si>
  <si>
    <t xml:space="preserve">The purchase price allocation</t>
  </si>
  <si>
    <t xml:space="preserve">Net assets acquired</t>
  </si>
  <si>
    <t xml:space="preserve">Excess to be allocated</t>
  </si>
  <si>
    <t xml:space="preserve">Identified intangibles</t>
  </si>
  <si>
    <t xml:space="preserve">Deferred tax liability on them</t>
  </si>
  <si>
    <t xml:space="preserve">Residual goodwill</t>
  </si>
  <si>
    <t xml:space="preserve">Annual amortisation of the intangibles</t>
  </si>
  <si>
    <t xml:space="preserve">The synergies, valued</t>
  </si>
  <si>
    <t xml:space="preserve">Value of one unit of run rate, ramp included</t>
  </si>
  <si>
    <t xml:space="preserve">Cost to achieve, after tax and discounted</t>
  </si>
  <si>
    <t xml:space="preserve">Value of the first three years, net of the cost</t>
  </si>
  <si>
    <t xml:space="preserve">Value of the perpetuity from year 4</t>
  </si>
  <si>
    <t xml:space="preserve">Value of the synergies</t>
  </si>
  <si>
    <t xml:space="preserve">Total to be covered: premium, fees and earn-out</t>
  </si>
  <si>
    <t xml:space="preserve">Value created</t>
  </si>
  <si>
    <t xml:space="preserve">Year one, combined</t>
  </si>
  <si>
    <t xml:space="preserve">EBITDA with the first year of synergies</t>
  </si>
  <si>
    <t xml:space="preserve">Integration cost of year one</t>
  </si>
  <si>
    <t xml:space="preserve">Depreciation, amortisation and the intangibles</t>
  </si>
  <si>
    <t xml:space="preserve">Interest, every line of it</t>
  </si>
  <si>
    <t xml:space="preserve">Profit before tax</t>
  </si>
  <si>
    <t xml:space="preserve">Earnings per share, combined</t>
  </si>
  <si>
    <t xml:space="preserve">Accretion, year one, statutory</t>
  </si>
  <si>
    <t xml:space="preserve">Year two, the first normal year</t>
  </si>
  <si>
    <t xml:space="preserve">Interest</t>
  </si>
  <si>
    <t xml:space="preserve">Paying for it</t>
  </si>
  <si>
    <t xml:space="preserve">Sixty per cent debt, forty per cent equity, and the two prices that word hides.</t>
  </si>
  <si>
    <t xml:space="preserve">The funding of completion</t>
  </si>
  <si>
    <t xml:space="preserve">Issue price, at a discount to the market</t>
  </si>
  <si>
    <t xml:space="preserve">The earn-out is not funded at completion. It is settled in year 3, and until then it sits on the balance sheet at fair value and unwinds through the interest line.</t>
  </si>
  <si>
    <t xml:space="preserve">What the funding then prices</t>
  </si>
  <si>
    <t xml:space="preserve">Margin the ladder prices</t>
  </si>
  <si>
    <t xml:space="preserve">Rate on all of the group's debt</t>
  </si>
  <si>
    <t xml:space="preserve">Interest, year one, every line of it</t>
  </si>
  <si>
    <t xml:space="preserve">Allocating the price</t>
  </si>
  <si>
    <t xml:space="preserve">The excess has to go somewhere, and where it goes decides the earnings for nine years.</t>
  </si>
  <si>
    <t xml:space="preserve">Consideration transferred, earn-out at fair value</t>
  </si>
  <si>
    <t xml:space="preserve">Net assets acquired, after the off-balance-sheet adjustment</t>
  </si>
  <si>
    <t xml:space="preserve">Tax saving the income statement would collect every year without the deferred tax liability</t>
  </si>
  <si>
    <t xml:space="preserve">Without the deferred tax liability the income statement collects a tax saving every year on an amortisation no liability carries. It is not a rounding item: it is 1,783,879 a year.</t>
  </si>
  <si>
    <t xml:space="preserve">Accretive or dilutive: choose your column</t>
  </si>
  <si>
    <t xml:space="preserve">Five years, four conventions, one deal. The press release will publish one of these columns and not say there are four.</t>
  </si>
  <si>
    <t xml:space="preserve">Year</t>
  </si>
  <si>
    <t xml:space="preserve">Share of the run rate delivered</t>
  </si>
  <si>
    <t xml:space="preserve">Synergies</t>
  </si>
  <si>
    <t xml:space="preserve">Transaction fees, expensed under IFRS 3</t>
  </si>
  <si>
    <t xml:space="preserve">EBITDA the earn-out was paid for</t>
  </si>
  <si>
    <t xml:space="preserve">Depreciation that comes with it</t>
  </si>
  <si>
    <t xml:space="preserve">Unwind of the earn-out</t>
  </si>
  <si>
    <t xml:space="preserve">Statutory accretion</t>
  </si>
  <si>
    <t xml:space="preserve">Adjusted earnings per share</t>
  </si>
  <si>
    <t xml:space="preserve">Adjusted accretion</t>
  </si>
  <si>
    <t xml:space="preserve">Earnings per share without the intangible amortisation</t>
  </si>
  <si>
    <t xml:space="preserve">Cash accretion</t>
  </si>
  <si>
    <t xml:space="preserve">Adjusted cash accretion</t>
  </si>
  <si>
    <t xml:space="preserve">Adjusted means before the transaction fees and the integration cost, which the acquirer calls exceptional itself. Cash means before the amortisation of the intangibles. Both conventions are used by half the market, and both are defensible. Four columns, one deal.</t>
  </si>
  <si>
    <t xml:space="preserve">Conventions of this table, which the reader is owed: no debt is repaid, and EBITDA does not grow, which is why year 5 is year 4. The intangible amortisation runs out in year 9, so the cash column is really the position from year 10.</t>
  </si>
  <si>
    <t xml:space="preserve">Year one: how much of the run rate it would take to be accretive</t>
  </si>
  <si>
    <t xml:space="preserve">With the amortisation of the intangibles</t>
  </si>
  <si>
    <t xml:space="preserve">Without it</t>
  </si>
  <si>
    <t xml:space="preserve">To be read with care: this threshold mixes a run-rate requirement with charges of one single year - the fees and the integration cost.</t>
  </si>
  <si>
    <t xml:space="preserve">The year one bridge, line by line</t>
  </si>
  <si>
    <t xml:space="preserve">From the acquirer's own earnings per share to the combined one, after tax and per share. Twelve lines, and it closes.</t>
  </si>
  <si>
    <t xml:space="preserve">line</t>
  </si>
  <si>
    <t xml:space="preserve">movement</t>
  </si>
  <si>
    <t xml:space="preserve">running total</t>
  </si>
  <si>
    <t xml:space="preserve">Acquirer's standalone earnings per share</t>
  </si>
  <si>
    <t xml:space="preserve">Dilution from the share issue</t>
  </si>
  <si>
    <t xml:space="preserve">Repricing of the existing debt</t>
  </si>
  <si>
    <t xml:space="preserve">Target's operating profit</t>
  </si>
  <si>
    <t xml:space="preserve">Year one synergies</t>
  </si>
  <si>
    <t xml:space="preserve">Year one integration cost</t>
  </si>
  <si>
    <t xml:space="preserve">Transaction fees</t>
  </si>
  <si>
    <t xml:space="preserve">Amortisation of the intangibles</t>
  </si>
  <si>
    <t xml:space="preserve">Interest on the target's assumed debt</t>
  </si>
  <si>
    <t xml:space="preserve">Interest on the new debt</t>
  </si>
  <si>
    <t xml:space="preserve">Interest on the interest-bearing debt-like items</t>
  </si>
  <si>
    <t xml:space="preserve">Combined year one earnings per share, built from the income statement</t>
  </si>
  <si>
    <t xml:space="preserve">Difference, which is nothing by construction</t>
  </si>
  <si>
    <t xml:space="preserve">This zero attests nothing today: the bridge and the combined income statement are the same expression, reordered. It will catch an omission tomorrow, when one line moves on one side and not on the other. It is a regression check, not a proof, and it is more honest to say so.</t>
  </si>
  <si>
    <t xml:space="preserve">The charges the deal creates, and the one it does not</t>
  </si>
  <si>
    <t xml:space="preserve">Eight charges, ranked. Together they are 45.6355 per cent of the acquirer's own earnings per share.</t>
  </si>
  <si>
    <t xml:space="preserve">charge created by the deal</t>
  </si>
  <si>
    <t xml:space="preserve">per share</t>
  </si>
  <si>
    <t xml:space="preserve">per cent of standalone earnings per share</t>
  </si>
  <si>
    <t xml:space="preserve">Amortisation of the identified intangibles</t>
  </si>
  <si>
    <t xml:space="preserve">Integration cost, year one</t>
  </si>
  <si>
    <t xml:space="preserve">Total</t>
  </si>
  <si>
    <t xml:space="preserve">Interest on the target's assumed debt, which the deal did not create</t>
  </si>
  <si>
    <t xml:space="preserve">The per-share column is rounded to six decimals, which is how the chapter prints it, and the total is the sum of the figures as printed. Take the rounding off and the total is 0.190464: the last decimal of a sum of eight rounded figures belongs to the rounding, not to the deal.</t>
  </si>
  <si>
    <t xml:space="preserve">Same for the last column: the chapter prints it to four decimals of a per cent and adds it as printed. One row differs by a ten-thousandth of a point from the book, the dilution, where the book quotes the dilution itself - 7.9228 - and the ratio here gives 7.9229. The total is the same.</t>
  </si>
  <si>
    <t xml:space="preserve">It was already on the target, and it arrives with the operating profit it was financing. Putting it in the list above would charge the deal for a liability it did not create - and the price already came down by the whole of it.</t>
  </si>
  <si>
    <t xml:space="preserve">Checks</t>
  </si>
  <si>
    <t xml:space="preserve">Each line sets a figure printed in the book beside the figure this workbook computes.</t>
  </si>
  <si>
    <t xml:space="preserve">Revised 24 September 2026: the rows at the end, marked with the book's old figure in brackets, correct sentences of the book that the arithmetic does not support. The printed column carries the corrected figure.</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</si>
  <si>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</si>
  <si>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</si>
  <si>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</si>
  <si>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</si>
  <si>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</si>
  <si>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</si>
  <si>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</si>
  <si>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10</t>
  </si>
  <si>
    <t xml:space="preserve">New debt, 60 per cent</t>
  </si>
  <si>
    <t xml:space="preserve">Equity raised, 40 per cent</t>
  </si>
  <si>
    <t xml:space="preserve">Issue price, 4.50 per cent below 8.30</t>
  </si>
  <si>
    <t xml:space="preserve">12</t>
  </si>
  <si>
    <t xml:space="preserve">Identified intangibles, 38 per cent of the excess</t>
  </si>
  <si>
    <t xml:space="preserve">Deferred tax liability, 25 per cent of them</t>
  </si>
  <si>
    <t xml:space="preserve">Annual amortisation over nine years</t>
  </si>
  <si>
    <t xml:space="preserve">Tax saving the deferred tax liability stops the deal collecting free</t>
  </si>
  <si>
    <t xml:space="preserve">13</t>
  </si>
  <si>
    <t xml:space="preserve">Combined earnings per share, year 1</t>
  </si>
  <si>
    <t xml:space="preserve">Statutory accretion, year 1</t>
  </si>
  <si>
    <t xml:space="preserve">Adjusted accretion, year 1</t>
  </si>
  <si>
    <t xml:space="preserve">Cash accretion, year 1</t>
  </si>
  <si>
    <t xml:space="preserve">Adjusted cash accretion, year 1</t>
  </si>
  <si>
    <t xml:space="preserve">Share of the run rate needed in year 1, with the amortisation</t>
  </si>
  <si>
    <t xml:space="preserve">Share of the run rate needed in year 1, without it</t>
  </si>
  <si>
    <t xml:space="preserve">14</t>
  </si>
  <si>
    <t xml:space="preserve">Combined year one earnings per share</t>
  </si>
  <si>
    <t xml:space="preserve">The bridge closes to nothing</t>
  </si>
  <si>
    <t xml:space="preserve">15</t>
  </si>
  <si>
    <t xml:space="preserve">The eight charges the deal creates, per share</t>
  </si>
  <si>
    <t xml:space="preserve">The eight charges, per cent of standalone earnings per share</t>
  </si>
  <si>
    <t xml:space="preserve">Interest on the assumed debt, which is not one of them</t>
  </si>
  <si>
    <t xml:space="preserve">The earn-out ceiling as a share of the equity raise (the book said larger than it)</t>
  </si>
  <si>
    <t xml:space="preserve">Interest on the new debt less the dilution, per share: the dilution ranks fourth, not third</t>
  </si>
  <si>
    <t xml:space="preserve">Consideration taken as the cash out at completion: wrong by (the book printed 6,900,000)</t>
  </si>
  <si>
    <t xml:space="preserve">The enterprise value taken as consideration: the amortisation rises by (the book said a fifth)</t>
  </si>
  <si>
    <t xml:space="preserve">Annual amortisation less the run-rate synergy: slightly smaller, not larger</t>
  </si>
  <si>
    <t xml:space="preserve">Five years of amortisation less five years of gross synergy (the book said they roughly cancel)</t>
  </si>
  <si>
    <t xml:space="preserve">Running total with the target's operating profit put first (the book printed 0.505634)</t>
  </si>
  <si>
    <t xml:space="preserve">5</t>
  </si>
  <si>
    <t xml:space="preserve">Earn-out unwind less the repricing of the existing debt, per share: the unwind is not the smallest line</t>
  </si>
  <si>
    <t xml:space="preserve">Checks that pass</t>
  </si>
  <si>
    <t xml:space="preserve">Checks that fail</t>
  </si>
  <si>
    <t xml:space="preserve">All checks</t>
  </si>
</sst>
</file>

<file path=xl/styles.xml><?xml version="1.0" encoding="utf-8"?>
<styleSheet xmlns="http://schemas.openxmlformats.org/spreadsheetml/2006/main">
  <numFmts count="12">
    <numFmt numFmtId="164" formatCode="General"/>
    <numFmt numFmtId="165" formatCode="#,##0;\-#,##0"/>
    <numFmt numFmtId="166" formatCode="#,##0"/>
    <numFmt numFmtId="167" formatCode="#,##0.00;\-#,##0.00"/>
    <numFmt numFmtId="168" formatCode="0.0000\x"/>
    <numFmt numFmtId="169" formatCode="0.00%;\-0.00%"/>
    <numFmt numFmtId="170" formatCode="0"/>
    <numFmt numFmtId="171" formatCode="0.0000"/>
    <numFmt numFmtId="172" formatCode="@"/>
    <numFmt numFmtId="173" formatCode="0.0000%;\-0.0000%"/>
    <numFmt numFmtId="174" formatCode="0.000000"/>
    <numFmt numFmtId="175" formatCode="0.00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0"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0" fontId="9" fillId="3" borderId="0" xfId="0" applyFont="true" applyBorder="false" applyAlignment="true" applyProtection="false">
      <alignment horizontal="right"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75" fontId="11"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2" fontId="11"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8"/>
    <col collapsed="false" customWidth="true" hidden="false" outlineLevel="0" max="5" min="3" style="0" width="13"/>
  </cols>
  <sheetData>
    <row r="1" customFormat="false" ht="24" hidden="false" customHeight="true" outlineLevel="0" collapsed="false">
      <c r="A1" s="1" t="s">
        <v>14</v>
      </c>
    </row>
    <row r="2" customFormat="false" ht="15" hidden="false" customHeight="false" outlineLevel="0" collapsed="false">
      <c r="A2" s="2" t="s">
        <v>15</v>
      </c>
    </row>
    <row r="3" customFormat="false" ht="15" hidden="false" customHeight="false" outlineLevel="0" collapsed="false">
      <c r="A3" s="3"/>
      <c r="B3" s="3"/>
      <c r="C3" s="3"/>
      <c r="D3" s="3"/>
      <c r="E3" s="3"/>
    </row>
    <row r="5" customFormat="false" ht="15" hidden="false" customHeight="false" outlineLevel="0" collapsed="false">
      <c r="A5" s="4" t="s">
        <v>16</v>
      </c>
      <c r="B5" s="6"/>
      <c r="C5" s="6"/>
      <c r="D5" s="6"/>
      <c r="E5" s="6"/>
    </row>
    <row r="7" customFormat="false" ht="15" hidden="false" customHeight="false" outlineLevel="0" collapsed="false">
      <c r="A7" s="7" t="s">
        <v>17</v>
      </c>
      <c r="B7" s="8" t="n">
        <v>184000000</v>
      </c>
    </row>
    <row r="8" customFormat="false" ht="15" hidden="false" customHeight="false" outlineLevel="0" collapsed="false">
      <c r="A8" s="7" t="s">
        <v>18</v>
      </c>
      <c r="B8" s="8" t="n">
        <v>27600000</v>
      </c>
    </row>
    <row r="9" customFormat="false" ht="15" hidden="false" customHeight="false" outlineLevel="0" collapsed="false">
      <c r="A9" s="7" t="s">
        <v>19</v>
      </c>
      <c r="B9" s="8" t="n">
        <v>6400000</v>
      </c>
    </row>
    <row r="10" customFormat="false" ht="15" hidden="false" customHeight="false" outlineLevel="0" collapsed="false">
      <c r="A10" s="7" t="s">
        <v>20</v>
      </c>
      <c r="B10" s="8" t="n">
        <v>7600000</v>
      </c>
    </row>
    <row r="11" customFormat="false" ht="15" hidden="false" customHeight="false" outlineLevel="0" collapsed="false">
      <c r="A11" s="7" t="s">
        <v>21</v>
      </c>
      <c r="B11" s="8" t="n">
        <v>800000</v>
      </c>
    </row>
    <row r="12" customFormat="false" ht="15" hidden="false" customHeight="false" outlineLevel="0" collapsed="false">
      <c r="A12" s="7" t="s">
        <v>22</v>
      </c>
      <c r="B12" s="8" t="n">
        <v>38500000</v>
      </c>
    </row>
    <row r="13" customFormat="false" ht="15" hidden="false" customHeight="false" outlineLevel="0" collapsed="false">
      <c r="A13" s="7" t="s">
        <v>23</v>
      </c>
      <c r="B13" s="8" t="n">
        <v>46300000</v>
      </c>
    </row>
    <row r="15" customFormat="false" ht="15" hidden="false" customHeight="false" outlineLevel="0" collapsed="false">
      <c r="A15" s="4" t="s">
        <v>24</v>
      </c>
      <c r="B15" s="6"/>
      <c r="C15" s="6"/>
      <c r="D15" s="6"/>
      <c r="E15" s="6"/>
    </row>
    <row r="17" customFormat="false" ht="15" hidden="false" customHeight="false" outlineLevel="0" collapsed="false">
      <c r="A17" s="7" t="s">
        <v>17</v>
      </c>
      <c r="B17" s="8" t="n">
        <v>620000000</v>
      </c>
    </row>
    <row r="18" customFormat="false" ht="15" hidden="false" customHeight="false" outlineLevel="0" collapsed="false">
      <c r="A18" s="7" t="s">
        <v>18</v>
      </c>
      <c r="B18" s="8" t="n">
        <v>96000000</v>
      </c>
    </row>
    <row r="19" customFormat="false" ht="15" hidden="false" customHeight="false" outlineLevel="0" collapsed="false">
      <c r="A19" s="7" t="s">
        <v>19</v>
      </c>
      <c r="B19" s="8" t="n">
        <v>21000000</v>
      </c>
    </row>
    <row r="20" customFormat="false" ht="15" hidden="false" customHeight="false" outlineLevel="0" collapsed="false">
      <c r="A20" s="7" t="s">
        <v>25</v>
      </c>
      <c r="B20" s="8" t="n">
        <v>186700000</v>
      </c>
    </row>
    <row r="21" customFormat="false" ht="15" hidden="false" customHeight="false" outlineLevel="0" collapsed="false">
      <c r="A21" s="7" t="s">
        <v>26</v>
      </c>
      <c r="B21" s="9" t="n">
        <v>118000000</v>
      </c>
    </row>
    <row r="22" customFormat="false" ht="15" hidden="false" customHeight="false" outlineLevel="0" collapsed="false">
      <c r="A22" s="7" t="s">
        <v>27</v>
      </c>
      <c r="B22" s="10" t="n">
        <v>8.3</v>
      </c>
    </row>
    <row r="24" customFormat="false" ht="15" hidden="false" customHeight="false" outlineLevel="0" collapsed="false">
      <c r="A24" s="4" t="s">
        <v>28</v>
      </c>
      <c r="B24" s="6"/>
      <c r="C24" s="6"/>
      <c r="D24" s="6"/>
      <c r="E24" s="6"/>
    </row>
    <row r="26" customFormat="false" ht="15" hidden="false" customHeight="false" outlineLevel="0" collapsed="false">
      <c r="A26" s="7" t="s">
        <v>29</v>
      </c>
      <c r="B26" s="11" t="n">
        <v>9</v>
      </c>
    </row>
    <row r="27" customFormat="false" ht="15" hidden="false" customHeight="false" outlineLevel="0" collapsed="false">
      <c r="A27" s="7" t="s">
        <v>30</v>
      </c>
      <c r="B27" s="12" t="n">
        <v>0.25</v>
      </c>
    </row>
    <row r="28" customFormat="false" ht="15" hidden="false" customHeight="false" outlineLevel="0" collapsed="false">
      <c r="A28" s="7" t="s">
        <v>31</v>
      </c>
      <c r="B28" s="8" t="n">
        <v>6900000</v>
      </c>
    </row>
    <row r="29" customFormat="false" ht="15" hidden="false" customHeight="false" outlineLevel="0" collapsed="false">
      <c r="A29" s="7" t="s">
        <v>32</v>
      </c>
      <c r="B29" s="12" t="n">
        <v>0.6</v>
      </c>
    </row>
    <row r="30" customFormat="false" ht="15" hidden="false" customHeight="false" outlineLevel="0" collapsed="false">
      <c r="A30" s="7" t="s">
        <v>33</v>
      </c>
      <c r="B30" s="12" t="n">
        <v>0.045</v>
      </c>
    </row>
    <row r="31" customFormat="false" ht="15" hidden="false" customHeight="false" outlineLevel="0" collapsed="false">
      <c r="A31" s="7" t="s">
        <v>34</v>
      </c>
      <c r="B31" s="12" t="n">
        <v>0.04</v>
      </c>
    </row>
    <row r="33" customFormat="false" ht="15" hidden="false" customHeight="false" outlineLevel="0" collapsed="false">
      <c r="A33" s="4" t="s">
        <v>35</v>
      </c>
      <c r="B33" s="6"/>
      <c r="C33" s="6"/>
      <c r="D33" s="6"/>
      <c r="E33" s="6"/>
    </row>
    <row r="35" customFormat="false" ht="15" hidden="false" customHeight="false" outlineLevel="0" collapsed="false">
      <c r="A35" s="7" t="s">
        <v>36</v>
      </c>
      <c r="B35" s="8" t="n">
        <v>25000000</v>
      </c>
    </row>
    <row r="36" customFormat="false" ht="15" hidden="false" customHeight="false" outlineLevel="0" collapsed="false">
      <c r="A36" s="7" t="s">
        <v>37</v>
      </c>
      <c r="B36" s="12" t="n">
        <v>0.45</v>
      </c>
    </row>
    <row r="37" customFormat="false" ht="15" hidden="false" customHeight="false" outlineLevel="0" collapsed="false">
      <c r="A37" s="7" t="s">
        <v>38</v>
      </c>
      <c r="B37" s="13" t="n">
        <v>3</v>
      </c>
    </row>
    <row r="39" customFormat="false" ht="15" hidden="false" customHeight="false" outlineLevel="0" collapsed="false">
      <c r="A39" s="4" t="s">
        <v>39</v>
      </c>
      <c r="B39" s="6"/>
      <c r="C39" s="6"/>
      <c r="D39" s="6"/>
      <c r="E39" s="6"/>
    </row>
    <row r="41" customFormat="false" ht="15" hidden="false" customHeight="false" outlineLevel="0" collapsed="false">
      <c r="A41" s="7" t="s">
        <v>40</v>
      </c>
      <c r="B41" s="8" t="n">
        <v>7200000</v>
      </c>
    </row>
    <row r="42" customFormat="false" ht="15" hidden="false" customHeight="false" outlineLevel="0" collapsed="false">
      <c r="A42" s="7" t="s">
        <v>41</v>
      </c>
      <c r="B42" s="12" t="n">
        <v>0.3</v>
      </c>
    </row>
    <row r="43" customFormat="false" ht="15" hidden="false" customHeight="false" outlineLevel="0" collapsed="false">
      <c r="A43" s="7" t="s">
        <v>42</v>
      </c>
      <c r="B43" s="12" t="n">
        <v>0.7</v>
      </c>
    </row>
    <row r="44" customFormat="false" ht="15" hidden="false" customHeight="false" outlineLevel="0" collapsed="false">
      <c r="A44" s="7" t="s">
        <v>43</v>
      </c>
      <c r="B44" s="12" t="n">
        <v>1</v>
      </c>
    </row>
    <row r="45" customFormat="false" ht="15" hidden="false" customHeight="false" outlineLevel="0" collapsed="false">
      <c r="A45" s="7" t="s">
        <v>44</v>
      </c>
      <c r="B45" s="8" t="n">
        <v>9400000</v>
      </c>
    </row>
    <row r="46" customFormat="false" ht="15" hidden="false" customHeight="false" outlineLevel="0" collapsed="false">
      <c r="A46" s="7" t="s">
        <v>45</v>
      </c>
      <c r="B46" s="12" t="n">
        <v>0.55</v>
      </c>
    </row>
    <row r="47" customFormat="false" ht="15" hidden="false" customHeight="false" outlineLevel="0" collapsed="false">
      <c r="A47" s="7" t="s">
        <v>46</v>
      </c>
      <c r="B47" s="12" t="n">
        <v>0.3</v>
      </c>
    </row>
    <row r="48" customFormat="false" ht="15" hidden="false" customHeight="false" outlineLevel="0" collapsed="false">
      <c r="A48" s="7" t="s">
        <v>47</v>
      </c>
      <c r="B48" s="12" t="n">
        <v>0.15</v>
      </c>
    </row>
    <row r="50" customFormat="false" ht="15" hidden="false" customHeight="false" outlineLevel="0" collapsed="false">
      <c r="A50" s="4" t="s">
        <v>48</v>
      </c>
      <c r="B50" s="6"/>
      <c r="C50" s="6"/>
      <c r="D50" s="6"/>
      <c r="E50" s="6"/>
    </row>
    <row r="52" customFormat="false" ht="15" hidden="false" customHeight="false" outlineLevel="0" collapsed="false">
      <c r="A52" s="7" t="s">
        <v>49</v>
      </c>
      <c r="B52" s="12" t="n">
        <v>0.0925</v>
      </c>
    </row>
    <row r="53" customFormat="false" ht="15" hidden="false" customHeight="false" outlineLevel="0" collapsed="false">
      <c r="A53" s="7" t="s">
        <v>50</v>
      </c>
      <c r="B53" s="12" t="n">
        <v>0.0175</v>
      </c>
    </row>
    <row r="54" customFormat="false" ht="15" hidden="false" customHeight="false" outlineLevel="0" collapsed="false">
      <c r="A54" s="7" t="s">
        <v>51</v>
      </c>
      <c r="B54" s="12" t="n">
        <v>0.38</v>
      </c>
    </row>
    <row r="55" customFormat="false" ht="15" hidden="false" customHeight="false" outlineLevel="0" collapsed="false">
      <c r="A55" s="7" t="s">
        <v>52</v>
      </c>
      <c r="B55" s="13" t="n">
        <v>9</v>
      </c>
    </row>
    <row r="57" customFormat="false" ht="15" hidden="false" customHeight="false" outlineLevel="0" collapsed="false">
      <c r="A57" s="4" t="s">
        <v>53</v>
      </c>
      <c r="B57" s="6"/>
      <c r="C57" s="6"/>
      <c r="D57" s="6"/>
      <c r="E57" s="6"/>
    </row>
    <row r="59" customFormat="false" ht="30" hidden="false" customHeight="true" outlineLevel="0" collapsed="false">
      <c r="A59" s="14" t="s">
        <v>54</v>
      </c>
      <c r="B59" s="15" t="s">
        <v>55</v>
      </c>
      <c r="C59" s="15" t="s">
        <v>56</v>
      </c>
      <c r="D59" s="15" t="s">
        <v>57</v>
      </c>
      <c r="E59" s="15" t="s">
        <v>58</v>
      </c>
    </row>
    <row r="60" customFormat="false" ht="15" hidden="false" customHeight="false" outlineLevel="0" collapsed="false">
      <c r="A60" s="7" t="s">
        <v>59</v>
      </c>
      <c r="B60" s="8" t="n">
        <v>7200000</v>
      </c>
      <c r="C60" s="16" t="n">
        <v>0</v>
      </c>
      <c r="D60" s="16" t="n">
        <v>1</v>
      </c>
      <c r="E60" s="16" t="n">
        <v>1</v>
      </c>
    </row>
    <row r="61" customFormat="false" ht="15" hidden="false" customHeight="false" outlineLevel="0" collapsed="false">
      <c r="A61" s="7" t="s">
        <v>60</v>
      </c>
      <c r="B61" s="8" t="n">
        <v>2450000</v>
      </c>
      <c r="C61" s="16" t="n">
        <v>1</v>
      </c>
      <c r="D61" s="16" t="n">
        <v>0</v>
      </c>
      <c r="E61" s="16" t="n">
        <v>1</v>
      </c>
    </row>
    <row r="62" customFormat="false" ht="15" hidden="false" customHeight="false" outlineLevel="0" collapsed="false">
      <c r="A62" s="7" t="s">
        <v>61</v>
      </c>
      <c r="B62" s="8" t="n">
        <v>1800000</v>
      </c>
      <c r="C62" s="16" t="n">
        <v>1</v>
      </c>
      <c r="D62" s="16" t="n">
        <v>0</v>
      </c>
      <c r="E62" s="16" t="n">
        <v>1</v>
      </c>
    </row>
    <row r="63" customFormat="false" ht="15" hidden="false" customHeight="false" outlineLevel="0" collapsed="false">
      <c r="A63" s="7" t="s">
        <v>62</v>
      </c>
      <c r="B63" s="8" t="n">
        <v>4150000</v>
      </c>
      <c r="C63" s="16" t="n">
        <v>0</v>
      </c>
      <c r="D63" s="16" t="n">
        <v>0</v>
      </c>
      <c r="E63" s="16" t="n">
        <v>0</v>
      </c>
    </row>
    <row r="64" customFormat="false" ht="15" hidden="false" customHeight="false" outlineLevel="0" collapsed="false">
      <c r="A64" s="17" t="s">
        <v>63</v>
      </c>
    </row>
    <row r="66" customFormat="false" ht="15" hidden="false" customHeight="false" outlineLevel="0" collapsed="false">
      <c r="A66" s="4" t="s">
        <v>64</v>
      </c>
      <c r="B66" s="6"/>
      <c r="C66" s="6"/>
      <c r="D66" s="6"/>
      <c r="E66" s="6"/>
    </row>
    <row r="68" customFormat="false" ht="30" hidden="false" customHeight="true" outlineLevel="0" collapsed="false">
      <c r="A68" s="14" t="s">
        <v>65</v>
      </c>
      <c r="B68" s="15" t="s">
        <v>66</v>
      </c>
      <c r="C68" s="15" t="s">
        <v>67</v>
      </c>
    </row>
    <row r="69" customFormat="false" ht="15" hidden="false" customHeight="false" outlineLevel="0" collapsed="false">
      <c r="A69" s="7" t="s">
        <v>68</v>
      </c>
      <c r="B69" s="18" t="n">
        <v>0</v>
      </c>
      <c r="C69" s="12" t="n">
        <v>0.01</v>
      </c>
    </row>
    <row r="70" customFormat="false" ht="15" hidden="false" customHeight="false" outlineLevel="0" collapsed="false">
      <c r="A70" s="7" t="s">
        <v>69</v>
      </c>
      <c r="B70" s="18" t="n">
        <v>2.5</v>
      </c>
      <c r="C70" s="12" t="n">
        <v>0.0125</v>
      </c>
    </row>
    <row r="71" customFormat="false" ht="15" hidden="false" customHeight="false" outlineLevel="0" collapsed="false">
      <c r="A71" s="7" t="s">
        <v>70</v>
      </c>
      <c r="B71" s="18" t="n">
        <v>3</v>
      </c>
      <c r="C71" s="12" t="n">
        <v>0.02</v>
      </c>
    </row>
    <row r="72" customFormat="false" ht="15" hidden="false" customHeight="false" outlineLevel="0" collapsed="false">
      <c r="A72" s="7" t="s">
        <v>71</v>
      </c>
      <c r="B72" s="18" t="n">
        <v>3.5</v>
      </c>
      <c r="C72" s="12" t="n">
        <v>0.0325</v>
      </c>
    </row>
    <row r="73" customFormat="false" ht="15" hidden="false" customHeight="false" outlineLevel="0" collapsed="false">
      <c r="A73" s="7" t="s">
        <v>72</v>
      </c>
      <c r="B73" s="18" t="n">
        <v>4</v>
      </c>
      <c r="C73" s="12" t="n">
        <v>0.05</v>
      </c>
    </row>
    <row r="74" customFormat="false" ht="15" hidden="false" customHeight="false" outlineLevel="0" collapsed="false">
      <c r="A74" s="17" t="s">
        <v>73</v>
      </c>
    </row>
  </sheetData>
  <dataValidations count="12">
    <dataValidation allowBlank="false" errorStyle="stop" operator="between" showDropDown="false" showErrorMessage="false" showInputMessage="false" sqref="C60" type="list">
      <formula1>"1,0"</formula1>
      <formula2>0</formula2>
    </dataValidation>
    <dataValidation allowBlank="false" errorStyle="stop" operator="between" showDropDown="false" showErrorMessage="false" showInputMessage="false" sqref="D60" type="list">
      <formula1>"1,0"</formula1>
      <formula2>0</formula2>
    </dataValidation>
    <dataValidation allowBlank="false" errorStyle="stop" operator="between" showDropDown="false" showErrorMessage="false" showInputMessage="false" sqref="E60" type="list">
      <formula1>"1,0"</formula1>
      <formula2>0</formula2>
    </dataValidation>
    <dataValidation allowBlank="false" errorStyle="stop" operator="between" showDropDown="false" showErrorMessage="false" showInputMessage="false" sqref="C61" type="list">
      <formula1>"1,0"</formula1>
      <formula2>0</formula2>
    </dataValidation>
    <dataValidation allowBlank="false" errorStyle="stop" operator="between" showDropDown="false" showErrorMessage="false" showInputMessage="false" sqref="D61" type="list">
      <formula1>"1,0"</formula1>
      <formula2>0</formula2>
    </dataValidation>
    <dataValidation allowBlank="false" errorStyle="stop" operator="between" showDropDown="false" showErrorMessage="false" showInputMessage="false" sqref="E61" type="list">
      <formula1>"1,0"</formula1>
      <formula2>0</formula2>
    </dataValidation>
    <dataValidation allowBlank="false" errorStyle="stop" operator="between" showDropDown="false" showErrorMessage="false" showInputMessage="false" sqref="C62" type="list">
      <formula1>"1,0"</formula1>
      <formula2>0</formula2>
    </dataValidation>
    <dataValidation allowBlank="false" errorStyle="stop" operator="between" showDropDown="false" showErrorMessage="false" showInputMessage="false" sqref="D62" type="list">
      <formula1>"1,0"</formula1>
      <formula2>0</formula2>
    </dataValidation>
    <dataValidation allowBlank="false" errorStyle="stop" operator="between" showDropDown="false" showErrorMessage="false" showInputMessage="false" sqref="E62" type="list">
      <formula1>"1,0"</formula1>
      <formula2>0</formula2>
    </dataValidation>
    <dataValidation allowBlank="false" errorStyle="stop" operator="between" showDropDown="false" showErrorMessage="false" showInputMessage="false" sqref="C63" type="list">
      <formula1>"1,0"</formula1>
      <formula2>0</formula2>
    </dataValidation>
    <dataValidation allowBlank="false" errorStyle="stop" operator="between" showDropDown="false" showErrorMessage="false" showInputMessage="false" sqref="D63" type="list">
      <formula1>"1,0"</formula1>
      <formula2>0</formula2>
    </dataValidation>
    <dataValidation allowBlank="false" errorStyle="stop" operator="between" showDropDown="false" showErrorMessage="false" showInputMessage="false" sqref="E63"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10" min="3" style="0" width="12"/>
  </cols>
  <sheetData>
    <row r="1" customFormat="false" ht="24" hidden="false" customHeight="true" outlineLevel="0" collapsed="false">
      <c r="A1" s="1" t="s">
        <v>74</v>
      </c>
    </row>
    <row r="2" customFormat="false" ht="15" hidden="false" customHeight="false" outlineLevel="0" collapsed="false">
      <c r="A2" s="2" t="s">
        <v>75</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76</v>
      </c>
      <c r="B5" s="6"/>
      <c r="C5" s="6"/>
      <c r="D5" s="6"/>
      <c r="E5" s="6"/>
      <c r="F5" s="6"/>
      <c r="G5" s="6"/>
      <c r="H5" s="6"/>
      <c r="I5" s="6"/>
      <c r="J5" s="6"/>
    </row>
    <row r="7" customFormat="false" ht="15" hidden="false" customHeight="false" outlineLevel="0" collapsed="false">
      <c r="A7" s="7" t="s">
        <v>77</v>
      </c>
      <c r="B7" s="19" t="n">
        <f aca="false">SUM(DLamt)</f>
        <v>15600000</v>
      </c>
    </row>
    <row r="8" customFormat="false" ht="15" hidden="false" customHeight="false" outlineLevel="0" collapsed="false">
      <c r="A8" s="7" t="s">
        <v>78</v>
      </c>
      <c r="B8" s="19" t="n">
        <f aca="false">SUMPRODUCT(DLamt,1-DL_BS)</f>
        <v>11350000</v>
      </c>
    </row>
    <row r="9" customFormat="false" ht="15" hidden="false" customHeight="false" outlineLevel="0" collapsed="false">
      <c r="A9" s="7" t="s">
        <v>79</v>
      </c>
      <c r="B9" s="19" t="n">
        <f aca="false">SUMPRODUCT(DLamt,DL_IF)</f>
        <v>7200000</v>
      </c>
    </row>
    <row r="10" customFormat="false" ht="15" hidden="false" customHeight="false" outlineLevel="0" collapsed="false">
      <c r="A10" s="7" t="s">
        <v>80</v>
      </c>
      <c r="B10" s="19" t="n">
        <f aca="false">SUMPRODUCT(DLamt,DL_CF)</f>
        <v>11450000</v>
      </c>
    </row>
    <row r="12" customFormat="false" ht="15" hidden="false" customHeight="false" outlineLevel="0" collapsed="false">
      <c r="A12" s="4" t="s">
        <v>81</v>
      </c>
      <c r="B12" s="6"/>
      <c r="C12" s="6"/>
      <c r="D12" s="6"/>
      <c r="E12" s="6"/>
      <c r="F12" s="6"/>
      <c r="G12" s="6"/>
      <c r="H12" s="6"/>
      <c r="I12" s="6"/>
      <c r="J12" s="6"/>
    </row>
    <row r="14" customFormat="false" ht="15" hidden="false" customHeight="false" outlineLevel="0" collapsed="false">
      <c r="A14" s="7" t="s">
        <v>82</v>
      </c>
      <c r="B14" s="19" t="n">
        <f aca="false">A_Ebitda+T_Ebitda</f>
        <v>123600000</v>
      </c>
    </row>
    <row r="15" customFormat="false" ht="15" hidden="false" customHeight="false" outlineLevel="0" collapsed="false">
      <c r="A15" s="7" t="s">
        <v>83</v>
      </c>
      <c r="B15" s="19" t="n">
        <f aca="false">Mult*T_Ebitda</f>
        <v>248400000</v>
      </c>
    </row>
    <row r="16" customFormat="false" ht="15" hidden="false" customHeight="false" outlineLevel="0" collapsed="false">
      <c r="A16" s="7" t="s">
        <v>84</v>
      </c>
      <c r="B16" s="19" t="n">
        <f aca="false">EVh-T_NetDebt</f>
        <v>209900000</v>
      </c>
    </row>
    <row r="17" customFormat="false" ht="15" hidden="false" customHeight="false" outlineLevel="0" collapsed="false">
      <c r="A17" s="7" t="s">
        <v>85</v>
      </c>
      <c r="B17" s="19" t="n">
        <f aca="false">Peq-DLtot</f>
        <v>194300000</v>
      </c>
    </row>
    <row r="18" customFormat="false" ht="15" hidden="false" customHeight="false" outlineLevel="0" collapsed="false">
      <c r="A18" s="7" t="s">
        <v>86</v>
      </c>
      <c r="B18" s="19" t="n">
        <f aca="false">Pdl+TxnCost</f>
        <v>201200000</v>
      </c>
    </row>
    <row r="19" customFormat="false" ht="15" hidden="false" customHeight="false" outlineLevel="0" collapsed="false">
      <c r="A19" s="7" t="s">
        <v>87</v>
      </c>
      <c r="B19" s="19" t="n">
        <f aca="false">CashOut*DebtShare</f>
        <v>120720000</v>
      </c>
    </row>
    <row r="20" customFormat="false" ht="15" hidden="false" customHeight="false" outlineLevel="0" collapsed="false">
      <c r="A20" s="7" t="s">
        <v>88</v>
      </c>
      <c r="B20" s="19" t="n">
        <f aca="false">CashOut-NewDebt</f>
        <v>80480000</v>
      </c>
    </row>
    <row r="22" customFormat="false" ht="15" hidden="false" customHeight="false" outlineLevel="0" collapsed="false">
      <c r="A22" s="4" t="s">
        <v>89</v>
      </c>
      <c r="B22" s="6"/>
      <c r="C22" s="6"/>
      <c r="D22" s="6"/>
      <c r="E22" s="6"/>
      <c r="F22" s="6"/>
      <c r="G22" s="6"/>
      <c r="H22" s="6"/>
      <c r="I22" s="6"/>
      <c r="J22" s="6"/>
    </row>
    <row r="24" customFormat="false" ht="15" hidden="false" customHeight="false" outlineLevel="0" collapsed="false">
      <c r="A24" s="7" t="s">
        <v>90</v>
      </c>
      <c r="B24" s="20" t="n">
        <f aca="false">BaseRate+LOOKUP(2,LadThr,LadMar)</f>
        <v>0.05</v>
      </c>
      <c r="C24" s="20" t="n">
        <f aca="false">BaseRate+LOOKUP((A_Debt+NewDebt+T_NetDebt+DLcov+EoMax*EoProb/(1+B24)^EoYear)/CombEb,LadThr,LadMar)</f>
        <v>0.0525</v>
      </c>
      <c r="D24" s="20" t="n">
        <f aca="false">BaseRate+LOOKUP((A_Debt+NewDebt+T_NetDebt+DLcov+EoMax*EoProb/(1+C24)^EoYear)/CombEb,LadThr,LadMar)</f>
        <v>0.0525</v>
      </c>
      <c r="E24" s="20" t="n">
        <f aca="false">BaseRate+LOOKUP((A_Debt+NewDebt+T_NetDebt+DLcov+EoMax*EoProb/(1+D24)^EoYear)/CombEb,LadThr,LadMar)</f>
        <v>0.0525</v>
      </c>
      <c r="F24" s="20" t="n">
        <f aca="false">BaseRate+LOOKUP((A_Debt+NewDebt+T_NetDebt+DLcov+EoMax*EoProb/(1+E24)^EoYear)/CombEb,LadThr,LadMar)</f>
        <v>0.0525</v>
      </c>
      <c r="G24" s="20" t="n">
        <f aca="false">BaseRate+LOOKUP((A_Debt+NewDebt+T_NetDebt+DLcov+EoMax*EoProb/(1+F24)^EoYear)/CombEb,LadThr,LadMar)</f>
        <v>0.0525</v>
      </c>
      <c r="H24" s="20" t="n">
        <f aca="false">BaseRate+LOOKUP((A_Debt+NewDebt+T_NetDebt+DLcov+EoMax*EoProb/(1+G24)^EoYear)/CombEb,LadThr,LadMar)</f>
        <v>0.0525</v>
      </c>
      <c r="I24" s="20" t="n">
        <f aca="false">BaseRate+LOOKUP((A_Debt+NewDebt+T_NetDebt+DLcov+EoMax*EoProb/(1+H24)^EoYear)/CombEb,LadThr,LadMar)</f>
        <v>0.0525</v>
      </c>
      <c r="J24" s="20" t="n">
        <f aca="false">BaseRate+LOOKUP((A_Debt+NewDebt+T_NetDebt+DLcov+EoMax*EoProb/(1+I24)^EoYear)/CombEb,LadThr,LadMar)</f>
        <v>0.0525</v>
      </c>
    </row>
    <row r="25" customFormat="false" ht="15" hidden="false" customHeight="false" outlineLevel="0" collapsed="false">
      <c r="A25" s="17" t="s">
        <v>91</v>
      </c>
    </row>
    <row r="26" customFormat="false" ht="15" hidden="false" customHeight="false" outlineLevel="0" collapsed="false">
      <c r="A26" s="7" t="s">
        <v>92</v>
      </c>
      <c r="B26" s="21" t="str">
        <f aca="false">IF(I24=J24,"yes","no")</f>
        <v>yes</v>
      </c>
    </row>
    <row r="27" customFormat="false" ht="15" hidden="false" customHeight="false" outlineLevel="0" collapsed="false">
      <c r="A27" s="7" t="s">
        <v>93</v>
      </c>
      <c r="B27" s="20" t="n">
        <f aca="false">MAX(I24,J24)</f>
        <v>0.0525</v>
      </c>
    </row>
    <row r="28" customFormat="false" ht="15" hidden="false" customHeight="false" outlineLevel="0" collapsed="false">
      <c r="A28" s="7" t="s">
        <v>94</v>
      </c>
      <c r="B28" s="20" t="n">
        <f aca="false">DebtRate-BaseRate</f>
        <v>0.0125</v>
      </c>
    </row>
    <row r="29" customFormat="false" ht="15" hidden="false" customHeight="false" outlineLevel="0" collapsed="false">
      <c r="A29" s="7" t="s">
        <v>95</v>
      </c>
      <c r="B29" s="22" t="n">
        <f aca="false">EoMax*EoProb/(1+DebtRate)^EoYear</f>
        <v>9649086.70523237</v>
      </c>
    </row>
    <row r="30" customFormat="false" ht="15" hidden="false" customHeight="false" outlineLevel="0" collapsed="false">
      <c r="A30" s="7" t="s">
        <v>96</v>
      </c>
      <c r="B30" s="23" t="n">
        <f aca="false">(A_Debt+NewDebt+T_NetDebt+DLcov+EoFV)/CombEb</f>
        <v>2.96941008661191</v>
      </c>
    </row>
    <row r="32" customFormat="false" ht="15" hidden="false" customHeight="false" outlineLevel="0" collapsed="false">
      <c r="A32" s="4" t="s">
        <v>97</v>
      </c>
      <c r="B32" s="6"/>
      <c r="C32" s="6"/>
      <c r="D32" s="6"/>
      <c r="E32" s="6"/>
      <c r="F32" s="6"/>
      <c r="G32" s="6"/>
      <c r="H32" s="6"/>
      <c r="I32" s="6"/>
      <c r="J32" s="6"/>
    </row>
    <row r="34" customFormat="false" ht="15" hidden="false" customHeight="false" outlineLevel="0" collapsed="false">
      <c r="A34" s="7" t="s">
        <v>98</v>
      </c>
      <c r="B34" s="19" t="n">
        <f aca="false">Pdl+EoFV</f>
        <v>203949086.705232</v>
      </c>
    </row>
    <row r="35" customFormat="false" ht="15" hidden="false" customHeight="false" outlineLevel="0" collapsed="false">
      <c r="A35" s="7" t="s">
        <v>99</v>
      </c>
      <c r="B35" s="19" t="n">
        <f aca="false">CashOut+EoMax*EoProb</f>
        <v>212450000</v>
      </c>
    </row>
    <row r="36" customFormat="false" ht="15" hidden="false" customHeight="false" outlineLevel="0" collapsed="false">
      <c r="A36" s="7" t="s">
        <v>100</v>
      </c>
      <c r="B36" s="19" t="n">
        <f aca="false">CashOut+EoMax</f>
        <v>226200000</v>
      </c>
    </row>
    <row r="38" customFormat="false" ht="15" hidden="false" customHeight="false" outlineLevel="0" collapsed="false">
      <c r="A38" s="4" t="s">
        <v>101</v>
      </c>
      <c r="B38" s="6"/>
      <c r="C38" s="6"/>
      <c r="D38" s="6"/>
      <c r="E38" s="6"/>
      <c r="F38" s="6"/>
      <c r="G38" s="6"/>
      <c r="H38" s="6"/>
      <c r="I38" s="6"/>
      <c r="J38" s="6"/>
    </row>
    <row r="40" customFormat="false" ht="15" hidden="false" customHeight="false" outlineLevel="0" collapsed="false">
      <c r="A40" s="7" t="s">
        <v>102</v>
      </c>
      <c r="B40" s="22" t="n">
        <f aca="false">A_Price*(1-IssueDisc)</f>
        <v>7.9265</v>
      </c>
    </row>
    <row r="41" customFormat="false" ht="15" hidden="false" customHeight="false" outlineLevel="0" collapsed="false">
      <c r="A41" s="7" t="s">
        <v>103</v>
      </c>
      <c r="B41" s="24" t="n">
        <f aca="false">EqRaise/IssPrice</f>
        <v>10153283.290229</v>
      </c>
    </row>
    <row r="42" customFormat="false" ht="15" hidden="false" customHeight="false" outlineLevel="0" collapsed="false">
      <c r="A42" s="7" t="s">
        <v>104</v>
      </c>
      <c r="B42" s="24" t="n">
        <f aca="false">A_Shares+NewSh</f>
        <v>128153283.290229</v>
      </c>
    </row>
    <row r="43" customFormat="false" ht="15" hidden="false" customHeight="false" outlineLevel="0" collapsed="false">
      <c r="A43" s="7" t="s">
        <v>105</v>
      </c>
      <c r="B43" s="25" t="n">
        <f aca="false">NewSh/ShAfter</f>
        <v>0.0792276485592243</v>
      </c>
    </row>
    <row r="45" customFormat="false" ht="15" hidden="false" customHeight="false" outlineLevel="0" collapsed="false">
      <c r="A45" s="4" t="s">
        <v>106</v>
      </c>
      <c r="B45" s="6"/>
      <c r="C45" s="6"/>
      <c r="D45" s="6"/>
      <c r="E45" s="6"/>
      <c r="F45" s="6"/>
      <c r="G45" s="6"/>
      <c r="H45" s="6"/>
      <c r="I45" s="6"/>
      <c r="J45" s="6"/>
    </row>
    <row r="47" customFormat="false" ht="15" hidden="false" customHeight="false" outlineLevel="0" collapsed="false">
      <c r="A47" s="7" t="s">
        <v>107</v>
      </c>
      <c r="B47" s="23" t="n">
        <f aca="false">A_Debt/A_Ebitda</f>
        <v>1.94479166666667</v>
      </c>
    </row>
    <row r="48" customFormat="false" ht="15" hidden="false" customHeight="false" outlineLevel="0" collapsed="false">
      <c r="A48" s="7" t="s">
        <v>108</v>
      </c>
      <c r="B48" s="20" t="n">
        <f aca="false">BaseRate+LOOKUP(ALevPre,LadThr,LadMar)</f>
        <v>0.05</v>
      </c>
    </row>
    <row r="49" customFormat="false" ht="15" hidden="false" customHeight="false" outlineLevel="0" collapsed="false">
      <c r="A49" s="7" t="s">
        <v>109</v>
      </c>
      <c r="B49" s="19" t="n">
        <f aca="false">A_Debt*ARatePre</f>
        <v>9335000</v>
      </c>
    </row>
    <row r="50" customFormat="false" ht="15" hidden="false" customHeight="false" outlineLevel="0" collapsed="false">
      <c r="A50" s="7" t="s">
        <v>110</v>
      </c>
      <c r="B50" s="19" t="n">
        <f aca="false">A_Debt*DebtRate</f>
        <v>9801750</v>
      </c>
    </row>
    <row r="51" customFormat="false" ht="15" hidden="false" customHeight="false" outlineLevel="0" collapsed="false">
      <c r="A51" s="7" t="s">
        <v>111</v>
      </c>
      <c r="B51" s="19" t="n">
        <f aca="false">AInt-AIntPre</f>
        <v>466750.000000002</v>
      </c>
    </row>
    <row r="52" customFormat="false" ht="15" hidden="false" customHeight="false" outlineLevel="0" collapsed="false">
      <c r="A52" s="7" t="s">
        <v>112</v>
      </c>
      <c r="B52" s="19" t="n">
        <f aca="false">A_Ebitda-A_DA</f>
        <v>75000000</v>
      </c>
    </row>
    <row r="53" customFormat="false" ht="15" hidden="false" customHeight="false" outlineLevel="0" collapsed="false">
      <c r="A53" s="7" t="s">
        <v>113</v>
      </c>
      <c r="B53" s="19" t="n">
        <f aca="false">(AEbit-AIntPre)*(1-Tax)</f>
        <v>49248750</v>
      </c>
    </row>
    <row r="54" customFormat="false" ht="15" hidden="false" customHeight="false" outlineLevel="0" collapsed="false">
      <c r="A54" s="7" t="s">
        <v>114</v>
      </c>
      <c r="B54" s="26" t="n">
        <f aca="false">ANI/A_Shares</f>
        <v>0.417362288135593</v>
      </c>
    </row>
    <row r="55" customFormat="false" ht="15" hidden="false" customHeight="false" outlineLevel="0" collapsed="false">
      <c r="A55" s="7" t="s">
        <v>115</v>
      </c>
      <c r="B55" s="19" t="n">
        <f aca="false">A_Price*A_Shares</f>
        <v>979400000</v>
      </c>
    </row>
    <row r="56" customFormat="false" ht="15" hidden="false" customHeight="false" outlineLevel="0" collapsed="false">
      <c r="A56" s="7" t="s">
        <v>116</v>
      </c>
      <c r="B56" s="19" t="n">
        <f aca="false">AMcap+A_Debt</f>
        <v>1166100000</v>
      </c>
    </row>
    <row r="57" customFormat="false" ht="15" hidden="false" customHeight="false" outlineLevel="0" collapsed="false">
      <c r="A57" s="7" t="s">
        <v>117</v>
      </c>
      <c r="B57" s="27" t="n">
        <f aca="false">AEV/A_Ebitda</f>
        <v>12.146875</v>
      </c>
    </row>
    <row r="59" customFormat="false" ht="15" hidden="false" customHeight="false" outlineLevel="0" collapsed="false">
      <c r="A59" s="4" t="s">
        <v>118</v>
      </c>
      <c r="B59" s="6"/>
      <c r="C59" s="6"/>
      <c r="D59" s="6"/>
      <c r="E59" s="6"/>
      <c r="F59" s="6"/>
      <c r="G59" s="6"/>
      <c r="H59" s="6"/>
      <c r="I59" s="6"/>
      <c r="J59" s="6"/>
    </row>
    <row r="61" customFormat="false" ht="15" hidden="false" customHeight="false" outlineLevel="0" collapsed="false">
      <c r="A61" s="7" t="s">
        <v>112</v>
      </c>
      <c r="B61" s="19" t="n">
        <f aca="false">T_Ebitda-T_DA</f>
        <v>21200000</v>
      </c>
    </row>
    <row r="62" customFormat="false" ht="15" hidden="false" customHeight="false" outlineLevel="0" collapsed="false">
      <c r="A62" s="7" t="s">
        <v>119</v>
      </c>
      <c r="B62" s="19" t="n">
        <f aca="false">TEbit*(1-Tax)+T_DA-T_Capex-T_DWC</f>
        <v>13900000</v>
      </c>
    </row>
    <row r="63" customFormat="false" ht="15" hidden="false" customHeight="false" outlineLevel="0" collapsed="false">
      <c r="A63" s="7" t="s">
        <v>120</v>
      </c>
      <c r="B63" s="19" t="n">
        <f aca="false">TFcf*(1+Grow)/(Wacc-Grow)</f>
        <v>188576666.666667</v>
      </c>
    </row>
    <row r="64" customFormat="false" ht="15" hidden="false" customHeight="false" outlineLevel="0" collapsed="false">
      <c r="A64" s="7" t="s">
        <v>121</v>
      </c>
      <c r="B64" s="19" t="n">
        <f aca="false">EVh-Intrin</f>
        <v>59823333.3333333</v>
      </c>
    </row>
    <row r="65" customFormat="false" ht="15" hidden="false" customHeight="false" outlineLevel="0" collapsed="false">
      <c r="A65" s="7" t="s">
        <v>122</v>
      </c>
      <c r="B65" s="25" t="n">
        <f aca="false">Prem/Intrin</f>
        <v>0.317236137380022</v>
      </c>
    </row>
    <row r="67" customFormat="false" ht="15" hidden="false" customHeight="false" outlineLevel="0" collapsed="false">
      <c r="A67" s="4" t="s">
        <v>123</v>
      </c>
      <c r="B67" s="6"/>
      <c r="C67" s="6"/>
      <c r="D67" s="6"/>
      <c r="E67" s="6"/>
      <c r="F67" s="6"/>
      <c r="G67" s="6"/>
      <c r="H67" s="6"/>
      <c r="I67" s="6"/>
      <c r="J67" s="6"/>
    </row>
    <row r="69" customFormat="false" ht="15" hidden="false" customHeight="false" outlineLevel="0" collapsed="false">
      <c r="A69" s="7" t="s">
        <v>124</v>
      </c>
      <c r="B69" s="19" t="n">
        <f aca="false">T_BookEq-DLoff</f>
        <v>34950000</v>
      </c>
    </row>
    <row r="70" customFormat="false" ht="15" hidden="false" customHeight="false" outlineLevel="0" collapsed="false">
      <c r="A70" s="7" t="s">
        <v>125</v>
      </c>
      <c r="B70" s="19" t="n">
        <f aca="false">Pfv-NetAss</f>
        <v>168999086.705232</v>
      </c>
    </row>
    <row r="71" customFormat="false" ht="15" hidden="false" customHeight="false" outlineLevel="0" collapsed="false">
      <c r="A71" s="7" t="s">
        <v>126</v>
      </c>
      <c r="B71" s="19" t="n">
        <f aca="false">Excess*IntangSh</f>
        <v>64219652.9479883</v>
      </c>
    </row>
    <row r="72" customFormat="false" ht="15" hidden="false" customHeight="false" outlineLevel="0" collapsed="false">
      <c r="A72" s="7" t="s">
        <v>127</v>
      </c>
      <c r="B72" s="19" t="n">
        <f aca="false">Tax*Intang</f>
        <v>16054913.2369971</v>
      </c>
    </row>
    <row r="73" customFormat="false" ht="15" hidden="false" customHeight="false" outlineLevel="0" collapsed="false">
      <c r="A73" s="7" t="s">
        <v>128</v>
      </c>
      <c r="B73" s="19" t="n">
        <f aca="false">Excess+DTL-Intang</f>
        <v>120834346.994241</v>
      </c>
    </row>
    <row r="74" customFormat="false" ht="15" hidden="false" customHeight="false" outlineLevel="0" collapsed="false">
      <c r="A74" s="7" t="s">
        <v>129</v>
      </c>
      <c r="B74" s="19" t="n">
        <f aca="false">Intang/PpaLife</f>
        <v>7135516.99422092</v>
      </c>
    </row>
    <row r="76" customFormat="false" ht="15" hidden="false" customHeight="false" outlineLevel="0" collapsed="false">
      <c r="A76" s="4" t="s">
        <v>130</v>
      </c>
      <c r="B76" s="6"/>
      <c r="C76" s="6"/>
      <c r="D76" s="6"/>
      <c r="E76" s="6"/>
      <c r="F76" s="6"/>
      <c r="G76" s="6"/>
      <c r="H76" s="6"/>
      <c r="I76" s="6"/>
      <c r="J76" s="6"/>
    </row>
    <row r="78" customFormat="false" ht="15" hidden="false" customHeight="false" outlineLevel="0" collapsed="false">
      <c r="A78" s="7" t="s">
        <v>131</v>
      </c>
      <c r="B78" s="26" t="n">
        <f aca="false">Ramp1*(1-Tax)/(1+Wacc)+Ramp2*(1-Tax)/(1+Wacc)^2+Ramp3*(1-Tax)/(1+Wacc)^3+(1-Tax)*(1+Grow)/(Wacc-Grow)/(1+Wacc)^3</f>
        <v>9.02413480722002</v>
      </c>
    </row>
    <row r="79" customFormat="false" ht="15" hidden="false" customHeight="false" outlineLevel="0" collapsed="false">
      <c r="A79" s="7" t="s">
        <v>132</v>
      </c>
      <c r="B79" s="19" t="n">
        <f aca="false">SynCost*((1-Tax)*(CostY1/(1+Wacc)+CostY2/(1+Wacc)^2+CostY3/(1+Wacc)^3))</f>
        <v>6132205.44631029</v>
      </c>
    </row>
    <row r="80" customFormat="false" ht="15" hidden="false" customHeight="false" outlineLevel="0" collapsed="false">
      <c r="A80" s="7" t="s">
        <v>133</v>
      </c>
      <c r="B80" s="19" t="n">
        <f aca="false">((SynRR*Ramp1-SynCost*CostY1)*(1-Tax))/(1+Wacc)+((SynRR*Ramp2-SynCost*CostY2)*(1-Tax))/(1+Wacc)^2+((SynRR*Ramp3-SynCost*CostY3)*(1-Tax))/(1+Wacc)^3</f>
        <v>2658868.9266099</v>
      </c>
    </row>
    <row r="81" customFormat="false" ht="15" hidden="false" customHeight="false" outlineLevel="0" collapsed="false">
      <c r="A81" s="7" t="s">
        <v>134</v>
      </c>
      <c r="B81" s="19" t="n">
        <f aca="false">(SynRR*(1-Tax)*(1+Grow)/(Wacc-Grow))/(1+Wacc)^3</f>
        <v>56182696.2390639</v>
      </c>
    </row>
    <row r="82" customFormat="false" ht="15" hidden="false" customHeight="false" outlineLevel="0" collapsed="false">
      <c r="A82" s="7" t="s">
        <v>135</v>
      </c>
      <c r="B82" s="19" t="n">
        <f aca="false">SynPV3+SynTerm</f>
        <v>58841565.1656738</v>
      </c>
    </row>
    <row r="83" customFormat="false" ht="15" hidden="false" customHeight="false" outlineLevel="0" collapsed="false">
      <c r="A83" s="7" t="s">
        <v>136</v>
      </c>
      <c r="B83" s="19" t="n">
        <f aca="false">Prem+TxnCost+EoFV</f>
        <v>76372420.0385657</v>
      </c>
    </row>
    <row r="84" customFormat="false" ht="15" hidden="false" customHeight="false" outlineLevel="0" collapsed="false">
      <c r="A84" s="7" t="s">
        <v>137</v>
      </c>
      <c r="B84" s="19" t="n">
        <f aca="false">SynVal-Shortf</f>
        <v>-17530854.8728918</v>
      </c>
    </row>
    <row r="86" customFormat="false" ht="15" hidden="false" customHeight="false" outlineLevel="0" collapsed="false">
      <c r="A86" s="4" t="s">
        <v>138</v>
      </c>
      <c r="B86" s="6"/>
      <c r="C86" s="6"/>
      <c r="D86" s="6"/>
      <c r="E86" s="6"/>
      <c r="F86" s="6"/>
      <c r="G86" s="6"/>
      <c r="H86" s="6"/>
      <c r="I86" s="6"/>
      <c r="J86" s="6"/>
    </row>
    <row r="88" customFormat="false" ht="15" hidden="false" customHeight="false" outlineLevel="0" collapsed="false">
      <c r="A88" s="7" t="s">
        <v>139</v>
      </c>
      <c r="B88" s="19" t="n">
        <f aca="false">A_Ebitda+T_Ebitda+SynRR*Ramp1</f>
        <v>125760000</v>
      </c>
    </row>
    <row r="89" customFormat="false" ht="15" hidden="false" customHeight="false" outlineLevel="0" collapsed="false">
      <c r="A89" s="7" t="s">
        <v>140</v>
      </c>
      <c r="B89" s="19" t="n">
        <f aca="false">SynCost*CostY1</f>
        <v>5170000</v>
      </c>
    </row>
    <row r="90" customFormat="false" ht="15" hidden="false" customHeight="false" outlineLevel="0" collapsed="false">
      <c r="A90" s="7" t="s">
        <v>141</v>
      </c>
      <c r="B90" s="19" t="n">
        <f aca="false">A_DA+T_DA+PpaAm</f>
        <v>34535516.9942209</v>
      </c>
    </row>
    <row r="91" customFormat="false" ht="15" hidden="false" customHeight="false" outlineLevel="0" collapsed="false">
      <c r="A91" s="7" t="s">
        <v>142</v>
      </c>
      <c r="B91" s="19" t="n">
        <f aca="false">AInt+(NewDebt+T_NetDebt+DLbear)*DebtRate+EoFV*DebtRate</f>
        <v>19045377.0520247</v>
      </c>
    </row>
    <row r="92" customFormat="false" ht="15" hidden="false" customHeight="false" outlineLevel="0" collapsed="false">
      <c r="A92" s="7" t="s">
        <v>143</v>
      </c>
      <c r="B92" s="19" t="n">
        <f aca="false">Eb1-Cost1-TxnCost-DA1-Int1</f>
        <v>60109105.9537544</v>
      </c>
    </row>
    <row r="93" customFormat="false" ht="15" hidden="false" customHeight="false" outlineLevel="0" collapsed="false">
      <c r="A93" s="7" t="s">
        <v>144</v>
      </c>
      <c r="B93" s="26" t="n">
        <f aca="false">PBT1*(1-Tax)/ShAfter</f>
        <v>0.351780526474838</v>
      </c>
    </row>
    <row r="94" customFormat="false" ht="15" hidden="false" customHeight="false" outlineLevel="0" collapsed="false">
      <c r="A94" s="7" t="s">
        <v>145</v>
      </c>
      <c r="B94" s="25" t="n">
        <f aca="false">EPS1/AEPS-1</f>
        <v>-0.157133894280954</v>
      </c>
    </row>
    <row r="96" customFormat="false" ht="15" hidden="false" customHeight="false" outlineLevel="0" collapsed="false">
      <c r="A96" s="4" t="s">
        <v>146</v>
      </c>
      <c r="B96" s="6"/>
      <c r="C96" s="6"/>
      <c r="D96" s="6"/>
      <c r="E96" s="6"/>
      <c r="F96" s="6"/>
      <c r="G96" s="6"/>
      <c r="H96" s="6"/>
      <c r="I96" s="6"/>
      <c r="J96" s="6"/>
    </row>
    <row r="98" customFormat="false" ht="15" hidden="false" customHeight="false" outlineLevel="0" collapsed="false">
      <c r="A98" s="7" t="s">
        <v>147</v>
      </c>
      <c r="B98" s="19" t="n">
        <f aca="false">AInt+(NewDebt+T_NetDebt+DLbear)*DebtRate+EoFV*(1+DebtRate)*DebtRate</f>
        <v>19071972.347256</v>
      </c>
    </row>
    <row r="99" customFormat="false" ht="15" hidden="false" customHeight="false" outlineLevel="0" collapsed="false">
      <c r="A99" s="7" t="s">
        <v>143</v>
      </c>
      <c r="B99" s="19" t="n">
        <f aca="false">A_Ebitda+T_Ebitda+SynRR*Ramp2-SynCost*CostY2-(A_DA+T_DA+PpaAm)-Int2</f>
        <v>72212510.6585231</v>
      </c>
    </row>
    <row r="100" customFormat="false" ht="15" hidden="false" customHeight="false" outlineLevel="0" collapsed="false">
      <c r="A100" s="7" t="s">
        <v>144</v>
      </c>
      <c r="B100" s="26" t="n">
        <f aca="false">PBT2*(1-Tax)/ShAfter</f>
        <v>0.422614088405659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20"/>
    <col collapsed="false" customWidth="true" hidden="false" outlineLevel="0" max="3" min="3" style="0" width="18"/>
  </cols>
  <sheetData>
    <row r="1" customFormat="false" ht="24" hidden="false" customHeight="true" outlineLevel="0" collapsed="false">
      <c r="A1" s="1" t="s">
        <v>148</v>
      </c>
    </row>
    <row r="2" customFormat="false" ht="15" hidden="false" customHeight="false" outlineLevel="0" collapsed="false">
      <c r="A2" s="2" t="s">
        <v>149</v>
      </c>
    </row>
    <row r="3" customFormat="false" ht="15" hidden="false" customHeight="false" outlineLevel="0" collapsed="false">
      <c r="A3" s="3"/>
      <c r="B3" s="3"/>
      <c r="C3" s="3"/>
    </row>
    <row r="5" customFormat="false" ht="15" hidden="false" customHeight="false" outlineLevel="0" collapsed="false">
      <c r="A5" s="4" t="s">
        <v>150</v>
      </c>
      <c r="B5" s="6"/>
      <c r="C5" s="6"/>
    </row>
    <row r="7" customFormat="false" ht="15" hidden="false" customHeight="false" outlineLevel="0" collapsed="false">
      <c r="A7" s="7" t="s">
        <v>86</v>
      </c>
      <c r="B7" s="19" t="n">
        <f aca="false">CashOut</f>
        <v>201200000</v>
      </c>
    </row>
    <row r="8" customFormat="false" ht="15" hidden="false" customHeight="false" outlineLevel="0" collapsed="false">
      <c r="A8" s="7" t="s">
        <v>87</v>
      </c>
      <c r="B8" s="19" t="n">
        <f aca="false">NewDebt</f>
        <v>120720000</v>
      </c>
    </row>
    <row r="9" customFormat="false" ht="15" hidden="false" customHeight="false" outlineLevel="0" collapsed="false">
      <c r="A9" s="7" t="s">
        <v>88</v>
      </c>
      <c r="B9" s="19" t="n">
        <f aca="false">EqRaise</f>
        <v>80480000</v>
      </c>
    </row>
    <row r="10" customFormat="false" ht="15" hidden="false" customHeight="false" outlineLevel="0" collapsed="false">
      <c r="A10" s="7" t="s">
        <v>151</v>
      </c>
      <c r="B10" s="22" t="n">
        <f aca="false">IssPrice</f>
        <v>7.9265</v>
      </c>
    </row>
    <row r="11" customFormat="false" ht="15" hidden="false" customHeight="false" outlineLevel="0" collapsed="false">
      <c r="A11" s="7" t="s">
        <v>103</v>
      </c>
      <c r="B11" s="24" t="n">
        <f aca="false">NewSh</f>
        <v>10153283.290229</v>
      </c>
    </row>
    <row r="12" customFormat="false" ht="15" hidden="false" customHeight="false" outlineLevel="0" collapsed="false">
      <c r="A12" s="7" t="s">
        <v>104</v>
      </c>
      <c r="B12" s="24" t="n">
        <f aca="false">ShAfter</f>
        <v>128153283.290229</v>
      </c>
    </row>
    <row r="13" customFormat="false" ht="15" hidden="false" customHeight="false" outlineLevel="0" collapsed="false">
      <c r="A13" s="7" t="s">
        <v>105</v>
      </c>
      <c r="B13" s="25" t="n">
        <f aca="false">Dilut</f>
        <v>0.0792276485592243</v>
      </c>
    </row>
    <row r="14" customFormat="false" ht="15" hidden="false" customHeight="false" outlineLevel="0" collapsed="false">
      <c r="A14" s="17" t="s">
        <v>152</v>
      </c>
    </row>
    <row r="16" customFormat="false" ht="15" hidden="false" customHeight="false" outlineLevel="0" collapsed="false">
      <c r="A16" s="4" t="s">
        <v>153</v>
      </c>
      <c r="B16" s="6"/>
      <c r="C16" s="6"/>
    </row>
    <row r="18" customFormat="false" ht="15" hidden="false" customHeight="false" outlineLevel="0" collapsed="false">
      <c r="A18" s="7" t="s">
        <v>96</v>
      </c>
      <c r="B18" s="23" t="n">
        <f aca="false">Lev</f>
        <v>2.96941008661191</v>
      </c>
    </row>
    <row r="19" customFormat="false" ht="15" hidden="false" customHeight="false" outlineLevel="0" collapsed="false">
      <c r="A19" s="7" t="s">
        <v>154</v>
      </c>
      <c r="B19" s="20" t="n">
        <f aca="false">Marg</f>
        <v>0.0125</v>
      </c>
    </row>
    <row r="20" customFormat="false" ht="15" hidden="false" customHeight="false" outlineLevel="0" collapsed="false">
      <c r="A20" s="7" t="s">
        <v>155</v>
      </c>
      <c r="B20" s="20" t="n">
        <f aca="false">DebtRate</f>
        <v>0.0525</v>
      </c>
    </row>
    <row r="21" customFormat="false" ht="15" hidden="false" customHeight="false" outlineLevel="0" collapsed="false">
      <c r="A21" s="7" t="s">
        <v>156</v>
      </c>
      <c r="B21" s="19" t="n">
        <f aca="false">Int1</f>
        <v>19045377.0520247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20"/>
    <col collapsed="false" customWidth="true" hidden="false" outlineLevel="0" max="3" min="3" style="0" width="18"/>
  </cols>
  <sheetData>
    <row r="1" customFormat="false" ht="24" hidden="false" customHeight="true" outlineLevel="0" collapsed="false">
      <c r="A1" s="1" t="s">
        <v>157</v>
      </c>
    </row>
    <row r="2" customFormat="false" ht="15" hidden="false" customHeight="false" outlineLevel="0" collapsed="false">
      <c r="A2" s="2" t="s">
        <v>158</v>
      </c>
    </row>
    <row r="3" customFormat="false" ht="15" hidden="false" customHeight="false" outlineLevel="0" collapsed="false">
      <c r="A3" s="3"/>
      <c r="B3" s="3"/>
      <c r="C3" s="3"/>
    </row>
    <row r="5" customFormat="false" ht="15" hidden="false" customHeight="false" outlineLevel="0" collapsed="false">
      <c r="A5" s="7" t="s">
        <v>159</v>
      </c>
      <c r="B5" s="19" t="n">
        <f aca="false">Pfv</f>
        <v>203949086.705232</v>
      </c>
    </row>
    <row r="6" customFormat="false" ht="15" hidden="false" customHeight="false" outlineLevel="0" collapsed="false">
      <c r="A6" s="7" t="s">
        <v>160</v>
      </c>
      <c r="B6" s="19" t="n">
        <f aca="false">NetAss</f>
        <v>34950000</v>
      </c>
    </row>
    <row r="7" customFormat="false" ht="15" hidden="false" customHeight="false" outlineLevel="0" collapsed="false">
      <c r="A7" s="7" t="s">
        <v>125</v>
      </c>
      <c r="B7" s="19" t="n">
        <f aca="false">Excess</f>
        <v>168999086.705232</v>
      </c>
    </row>
    <row r="8" customFormat="false" ht="15" hidden="false" customHeight="false" outlineLevel="0" collapsed="false">
      <c r="A8" s="7" t="s">
        <v>126</v>
      </c>
      <c r="B8" s="19" t="n">
        <f aca="false">Intang</f>
        <v>64219652.9479883</v>
      </c>
    </row>
    <row r="9" customFormat="false" ht="15" hidden="false" customHeight="false" outlineLevel="0" collapsed="false">
      <c r="A9" s="7" t="s">
        <v>127</v>
      </c>
      <c r="B9" s="19" t="n">
        <f aca="false">DTL</f>
        <v>16054913.2369971</v>
      </c>
    </row>
    <row r="10" customFormat="false" ht="15" hidden="false" customHeight="false" outlineLevel="0" collapsed="false">
      <c r="A10" s="7" t="s">
        <v>128</v>
      </c>
      <c r="B10" s="19" t="n">
        <f aca="false">Gwill</f>
        <v>120834346.994241</v>
      </c>
    </row>
    <row r="11" customFormat="false" ht="15" hidden="false" customHeight="false" outlineLevel="0" collapsed="false">
      <c r="A11" s="7" t="s">
        <v>129</v>
      </c>
      <c r="B11" s="19" t="n">
        <f aca="false">PpaAm</f>
        <v>7135516.99422092</v>
      </c>
    </row>
    <row r="12" customFormat="false" ht="15" hidden="false" customHeight="false" outlineLevel="0" collapsed="false">
      <c r="A12" s="7" t="s">
        <v>161</v>
      </c>
      <c r="B12" s="19" t="n">
        <f aca="false">DTL/PpaLife</f>
        <v>1783879.24855523</v>
      </c>
    </row>
    <row r="13" customFormat="false" ht="15" hidden="false" customHeight="false" outlineLevel="0" collapsed="false">
      <c r="A13" s="17" t="s">
        <v>162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6" min="2" style="0" width="15"/>
  </cols>
  <sheetData>
    <row r="1" customFormat="false" ht="24" hidden="false" customHeight="true" outlineLevel="0" collapsed="false">
      <c r="A1" s="1" t="s">
        <v>163</v>
      </c>
    </row>
    <row r="2" customFormat="false" ht="15" hidden="false" customHeight="false" outlineLevel="0" collapsed="false">
      <c r="A2" s="2" t="s">
        <v>164</v>
      </c>
    </row>
    <row r="3" customFormat="false" ht="15" hidden="false" customHeight="false" outlineLevel="0" collapsed="false">
      <c r="A3" s="3"/>
      <c r="B3" s="3"/>
      <c r="C3" s="3"/>
      <c r="D3" s="3"/>
      <c r="E3" s="3"/>
      <c r="F3" s="3"/>
    </row>
    <row r="5" customFormat="false" ht="15" hidden="false" customHeight="false" outlineLevel="0" collapsed="false">
      <c r="A5" s="28" t="s">
        <v>165</v>
      </c>
      <c r="B5" s="29" t="n">
        <v>1</v>
      </c>
      <c r="C5" s="29" t="n">
        <v>2</v>
      </c>
      <c r="D5" s="29" t="n">
        <v>3</v>
      </c>
      <c r="E5" s="29" t="n">
        <v>4</v>
      </c>
      <c r="F5" s="29" t="n">
        <v>5</v>
      </c>
    </row>
    <row r="6" customFormat="false" ht="15" hidden="false" customHeight="false" outlineLevel="0" collapsed="false">
      <c r="A6" s="7" t="s">
        <v>166</v>
      </c>
      <c r="B6" s="20" t="n">
        <f aca="false">Ramp1</f>
        <v>0.3</v>
      </c>
      <c r="C6" s="20" t="n">
        <f aca="false">Ramp2</f>
        <v>0.7</v>
      </c>
      <c r="D6" s="20" t="n">
        <f aca="false">Ramp3</f>
        <v>1</v>
      </c>
      <c r="E6" s="20" t="n">
        <f aca="false">1</f>
        <v>1</v>
      </c>
      <c r="F6" s="20" t="n">
        <f aca="false">1</f>
        <v>1</v>
      </c>
    </row>
    <row r="7" customFormat="false" ht="15" hidden="false" customHeight="false" outlineLevel="0" collapsed="false">
      <c r="A7" s="7" t="s">
        <v>167</v>
      </c>
      <c r="B7" s="19" t="n">
        <f aca="false">SynRR*B6</f>
        <v>2160000</v>
      </c>
      <c r="C7" s="19" t="n">
        <f aca="false">SynRR*C6</f>
        <v>5040000</v>
      </c>
      <c r="D7" s="19" t="n">
        <f aca="false">SynRR*D6</f>
        <v>7200000</v>
      </c>
      <c r="E7" s="19" t="n">
        <f aca="false">SynRR*E6</f>
        <v>7200000</v>
      </c>
      <c r="F7" s="19" t="n">
        <f aca="false">SynRR*F6</f>
        <v>7200000</v>
      </c>
    </row>
    <row r="8" customFormat="false" ht="15" hidden="false" customHeight="false" outlineLevel="0" collapsed="false">
      <c r="A8" s="7" t="s">
        <v>44</v>
      </c>
      <c r="B8" s="19" t="n">
        <f aca="false">SynCost*CostY1</f>
        <v>5170000</v>
      </c>
      <c r="C8" s="19" t="n">
        <f aca="false">SynCost*CostY2</f>
        <v>2820000</v>
      </c>
      <c r="D8" s="19" t="n">
        <f aca="false">SynCost*CostY3</f>
        <v>1410000</v>
      </c>
      <c r="E8" s="19" t="n">
        <f aca="false">0</f>
        <v>0</v>
      </c>
      <c r="F8" s="19" t="n">
        <f aca="false">0</f>
        <v>0</v>
      </c>
    </row>
    <row r="9" customFormat="false" ht="15" hidden="false" customHeight="false" outlineLevel="0" collapsed="false">
      <c r="A9" s="7" t="s">
        <v>168</v>
      </c>
      <c r="B9" s="19" t="n">
        <f aca="false">TxnCost</f>
        <v>6900000</v>
      </c>
      <c r="C9" s="19" t="n">
        <f aca="false">0</f>
        <v>0</v>
      </c>
      <c r="D9" s="19" t="n">
        <f aca="false">0</f>
        <v>0</v>
      </c>
      <c r="E9" s="19" t="n">
        <f aca="false">0</f>
        <v>0</v>
      </c>
      <c r="F9" s="19" t="n">
        <f aca="false">0</f>
        <v>0</v>
      </c>
    </row>
    <row r="10" customFormat="false" ht="15" hidden="false" customHeight="false" outlineLevel="0" collapsed="false">
      <c r="A10" s="7" t="s">
        <v>169</v>
      </c>
      <c r="B10" s="19" t="n">
        <f aca="false">IF(1&gt;EoYear,EoMax/Mult*EoProb,0)</f>
        <v>0</v>
      </c>
      <c r="C10" s="19" t="n">
        <f aca="false">IF(2&gt;EoYear,EoMax/Mult*EoProb,0)</f>
        <v>0</v>
      </c>
      <c r="D10" s="19" t="n">
        <f aca="false">IF(3&gt;EoYear,EoMax/Mult*EoProb,0)</f>
        <v>0</v>
      </c>
      <c r="E10" s="19" t="n">
        <f aca="false">IF(4&gt;EoYear,EoMax/Mult*EoProb,0)</f>
        <v>1250000</v>
      </c>
      <c r="F10" s="19" t="n">
        <f aca="false">IF(5&gt;EoYear,EoMax/Mult*EoProb,0)</f>
        <v>1250000</v>
      </c>
    </row>
    <row r="11" customFormat="false" ht="15" hidden="false" customHeight="false" outlineLevel="0" collapsed="false">
      <c r="A11" s="7" t="s">
        <v>82</v>
      </c>
      <c r="B11" s="19" t="n">
        <f aca="false">A_Ebitda+T_Ebitda+B7+B10</f>
        <v>125760000</v>
      </c>
      <c r="C11" s="19" t="n">
        <f aca="false">A_Ebitda+T_Ebitda+C7+C10</f>
        <v>128640000</v>
      </c>
      <c r="D11" s="19" t="n">
        <f aca="false">A_Ebitda+T_Ebitda+D7+D10</f>
        <v>130800000</v>
      </c>
      <c r="E11" s="19" t="n">
        <f aca="false">A_Ebitda+T_Ebitda+E7+E10</f>
        <v>132050000</v>
      </c>
      <c r="F11" s="19" t="n">
        <f aca="false">A_Ebitda+T_Ebitda+F7+F10</f>
        <v>132050000</v>
      </c>
    </row>
    <row r="12" customFormat="false" ht="15" hidden="false" customHeight="false" outlineLevel="0" collapsed="false">
      <c r="A12" s="7" t="s">
        <v>170</v>
      </c>
      <c r="B12" s="19" t="n">
        <f aca="false">B10*T_DA/T_Ebitda</f>
        <v>0</v>
      </c>
      <c r="C12" s="19" t="n">
        <f aca="false">C10*T_DA/T_Ebitda</f>
        <v>0</v>
      </c>
      <c r="D12" s="19" t="n">
        <f aca="false">D10*T_DA/T_Ebitda</f>
        <v>0</v>
      </c>
      <c r="E12" s="19" t="n">
        <f aca="false">E10*T_DA/T_Ebitda</f>
        <v>289855.072463768</v>
      </c>
      <c r="F12" s="19" t="n">
        <f aca="false">F10*T_DA/T_Ebitda</f>
        <v>289855.072463768</v>
      </c>
    </row>
    <row r="13" customFormat="false" ht="15" hidden="false" customHeight="false" outlineLevel="0" collapsed="false">
      <c r="A13" s="7" t="s">
        <v>141</v>
      </c>
      <c r="B13" s="19" t="n">
        <f aca="false">A_DA+T_DA+B12+PpaAm</f>
        <v>34535516.9942209</v>
      </c>
      <c r="C13" s="19" t="n">
        <f aca="false">A_DA+T_DA+C12+PpaAm</f>
        <v>34535516.9942209</v>
      </c>
      <c r="D13" s="19" t="n">
        <f aca="false">A_DA+T_DA+D12+PpaAm</f>
        <v>34535516.9942209</v>
      </c>
      <c r="E13" s="19" t="n">
        <f aca="false">A_DA+T_DA+E12+PpaAm</f>
        <v>34825372.0666847</v>
      </c>
      <c r="F13" s="19" t="n">
        <f aca="false">A_DA+T_DA+F12+PpaAm</f>
        <v>34825372.0666847</v>
      </c>
    </row>
    <row r="14" customFormat="false" ht="15" hidden="false" customHeight="false" outlineLevel="0" collapsed="false">
      <c r="A14" s="7" t="s">
        <v>171</v>
      </c>
      <c r="B14" s="19" t="n">
        <f aca="false">IF(1&gt;EoYear,0,EoFV*(1+DebtRate)^(1-1)*DebtRate)</f>
        <v>506577.052024699</v>
      </c>
      <c r="C14" s="19" t="n">
        <f aca="false">IF(2&gt;EoYear,0,EoFV*(1+DebtRate)^(2-1)*DebtRate)</f>
        <v>533172.347255996</v>
      </c>
      <c r="D14" s="19" t="n">
        <f aca="false">IF(3&gt;EoYear,0,EoFV*(1+DebtRate)^(3-1)*DebtRate)</f>
        <v>561163.895486936</v>
      </c>
      <c r="E14" s="19" t="n">
        <f aca="false">IF(4&gt;EoYear,0,EoFV*(1+DebtRate)^(4-1)*DebtRate)</f>
        <v>0</v>
      </c>
      <c r="F14" s="19" t="n">
        <f aca="false">IF(5&gt;EoYear,0,EoFV*(1+DebtRate)^(5-1)*DebtRate)</f>
        <v>0</v>
      </c>
    </row>
    <row r="15" customFormat="false" ht="15" hidden="false" customHeight="false" outlineLevel="0" collapsed="false">
      <c r="A15" s="7" t="s">
        <v>147</v>
      </c>
      <c r="B15" s="19" t="n">
        <f aca="false">AInt+(NewDebt+T_NetDebt+DLbear+IF(1&gt;EoYear,EoMax*EoProb,0))*DebtRate+B14</f>
        <v>19045377.0520247</v>
      </c>
      <c r="C15" s="19" t="n">
        <f aca="false">AInt+(NewDebt+T_NetDebt+DLbear+IF(2&gt;EoYear,EoMax*EoProb,0))*DebtRate+C14</f>
        <v>19071972.347256</v>
      </c>
      <c r="D15" s="19" t="n">
        <f aca="false">AInt+(NewDebt+T_NetDebt+DLbear+IF(3&gt;EoYear,EoMax*EoProb,0))*DebtRate+D14</f>
        <v>19099963.8954869</v>
      </c>
      <c r="E15" s="19" t="n">
        <f aca="false">AInt+(NewDebt+T_NetDebt+DLbear+IF(4&gt;EoYear,EoMax*EoProb,0))*DebtRate+E14</f>
        <v>19129425</v>
      </c>
      <c r="F15" s="19" t="n">
        <f aca="false">AInt+(NewDebt+T_NetDebt+DLbear+IF(5&gt;EoYear,EoMax*EoProb,0))*DebtRate+F14</f>
        <v>19129425</v>
      </c>
    </row>
    <row r="16" customFormat="false" ht="15" hidden="false" customHeight="false" outlineLevel="0" collapsed="false">
      <c r="A16" s="7" t="s">
        <v>143</v>
      </c>
      <c r="B16" s="19" t="n">
        <f aca="false">B11-B8-B9-B13-B15</f>
        <v>60109105.9537544</v>
      </c>
      <c r="C16" s="19" t="n">
        <f aca="false">C11-C8-C9-C13-C15</f>
        <v>72212510.6585231</v>
      </c>
      <c r="D16" s="19" t="n">
        <f aca="false">D11-D8-D9-D13-D15</f>
        <v>75754519.1102921</v>
      </c>
      <c r="E16" s="19" t="n">
        <f aca="false">E11-E8-E9-E13-E15</f>
        <v>78095202.9333153</v>
      </c>
      <c r="F16" s="19" t="n">
        <f aca="false">F11-F8-F9-F13-F15</f>
        <v>78095202.9333153</v>
      </c>
    </row>
    <row r="17" customFormat="false" ht="15" hidden="false" customHeight="false" outlineLevel="0" collapsed="false">
      <c r="A17" s="7" t="s">
        <v>113</v>
      </c>
      <c r="B17" s="19" t="n">
        <f aca="false">B16*(1-Tax)</f>
        <v>45081829.4653158</v>
      </c>
      <c r="C17" s="19" t="n">
        <f aca="false">C16*(1-Tax)</f>
        <v>54159382.9938923</v>
      </c>
      <c r="D17" s="19" t="n">
        <f aca="false">D16*(1-Tax)</f>
        <v>56815889.3327191</v>
      </c>
      <c r="E17" s="19" t="n">
        <f aca="false">E16*(1-Tax)</f>
        <v>58571402.1999865</v>
      </c>
      <c r="F17" s="19" t="n">
        <f aca="false">F16*(1-Tax)</f>
        <v>58571402.1999865</v>
      </c>
    </row>
    <row r="18" customFormat="false" ht="15" hidden="false" customHeight="false" outlineLevel="0" collapsed="false">
      <c r="A18" s="7" t="s">
        <v>144</v>
      </c>
      <c r="B18" s="26" t="n">
        <f aca="false">B17/ShAfter</f>
        <v>0.351780526474838</v>
      </c>
      <c r="C18" s="26" t="n">
        <f aca="false">C17/ShAfter</f>
        <v>0.422614088405659</v>
      </c>
      <c r="D18" s="26" t="n">
        <f aca="false">D17/ShAfter</f>
        <v>0.443343220509209</v>
      </c>
      <c r="E18" s="26" t="n">
        <f aca="false">E17/ShAfter</f>
        <v>0.457041760431059</v>
      </c>
      <c r="F18" s="26" t="n">
        <f aca="false">F17/ShAfter</f>
        <v>0.457041760431059</v>
      </c>
    </row>
    <row r="19" customFormat="false" ht="15" hidden="false" customHeight="false" outlineLevel="0" collapsed="false">
      <c r="A19" s="7" t="s">
        <v>172</v>
      </c>
      <c r="B19" s="25" t="n">
        <f aca="false">B18/AEPS-1</f>
        <v>-0.157133894280954</v>
      </c>
      <c r="C19" s="25" t="n">
        <f aca="false">C18/AEPS-1</f>
        <v>0.0125833129138868</v>
      </c>
      <c r="D19" s="25" t="n">
        <f aca="false">D18/AEPS-1</f>
        <v>0.0622503113294581</v>
      </c>
      <c r="E19" s="25" t="n">
        <f aca="false">E18/AEPS-1</f>
        <v>0.0950720115914612</v>
      </c>
      <c r="F19" s="25" t="n">
        <f aca="false">F18/AEPS-1</f>
        <v>0.0950720115914612</v>
      </c>
    </row>
    <row r="20" customFormat="false" ht="15" hidden="false" customHeight="false" outlineLevel="0" collapsed="false">
      <c r="A20" s="7" t="s">
        <v>173</v>
      </c>
      <c r="B20" s="26" t="n">
        <f aca="false">B18+(B9+B8)*(1-Tax)/ShAfter</f>
        <v>0.422418591825835</v>
      </c>
      <c r="C20" s="26" t="n">
        <f aca="false">C18+(C9+C8)*(1-Tax)/ShAfter</f>
        <v>0.439117762331907</v>
      </c>
      <c r="D20" s="26" t="n">
        <f aca="false">D18+(D9+D8)*(1-Tax)/ShAfter</f>
        <v>0.451595057472333</v>
      </c>
      <c r="E20" s="26" t="n">
        <f aca="false">E18+(E9+E8)*(1-Tax)/ShAfter</f>
        <v>0.457041760431059</v>
      </c>
      <c r="F20" s="26" t="n">
        <f aca="false">F18+(F9+F8)*(1-Tax)/ShAfter</f>
        <v>0.457041760431059</v>
      </c>
    </row>
    <row r="21" customFormat="false" ht="15" hidden="false" customHeight="false" outlineLevel="0" collapsed="false">
      <c r="A21" s="7" t="s">
        <v>174</v>
      </c>
      <c r="B21" s="25" t="n">
        <f aca="false">B20/AEPS-1</f>
        <v>0.0121149031284749</v>
      </c>
      <c r="C21" s="25" t="n">
        <f aca="false">C20/AEPS-1</f>
        <v>0.0521261139656342</v>
      </c>
      <c r="D21" s="25" t="n">
        <f aca="false">D20/AEPS-1</f>
        <v>0.0820217118553317</v>
      </c>
      <c r="E21" s="25" t="n">
        <f aca="false">E20/AEPS-1</f>
        <v>0.0950720115914612</v>
      </c>
      <c r="F21" s="25" t="n">
        <f aca="false">F20/AEPS-1</f>
        <v>0.0950720115914612</v>
      </c>
    </row>
    <row r="22" customFormat="false" ht="15" hidden="false" customHeight="false" outlineLevel="0" collapsed="false">
      <c r="A22" s="7" t="s">
        <v>175</v>
      </c>
      <c r="B22" s="26" t="n">
        <f aca="false">(B16+PpaAm)*(1-Tax)/ShAfter</f>
        <v>0.393540188094633</v>
      </c>
      <c r="C22" s="26" t="n">
        <f aca="false">(C16+PpaAm)*(1-Tax)/ShAfter</f>
        <v>0.464373750025454</v>
      </c>
      <c r="D22" s="26" t="n">
        <f aca="false">(D16+PpaAm)*(1-Tax)/ShAfter</f>
        <v>0.485102882129004</v>
      </c>
      <c r="E22" s="26" t="n">
        <f aca="false">(E16+PpaAm)*(1-Tax)/ShAfter</f>
        <v>0.498801422050854</v>
      </c>
      <c r="F22" s="26" t="n">
        <f aca="false">(F16+PpaAm)*(1-Tax)/ShAfter</f>
        <v>0.498801422050854</v>
      </c>
    </row>
    <row r="23" customFormat="false" ht="15" hidden="false" customHeight="false" outlineLevel="0" collapsed="false">
      <c r="A23" s="7" t="s">
        <v>176</v>
      </c>
      <c r="B23" s="25" t="n">
        <f aca="false">B22/AEPS-1</f>
        <v>-0.0570777492795924</v>
      </c>
      <c r="C23" s="25" t="n">
        <f aca="false">C22/AEPS-1</f>
        <v>0.112639457915249</v>
      </c>
      <c r="D23" s="25" t="n">
        <f aca="false">D22/AEPS-1</f>
        <v>0.16230645633082</v>
      </c>
      <c r="E23" s="25" t="n">
        <f aca="false">E22/AEPS-1</f>
        <v>0.195128156592823</v>
      </c>
      <c r="F23" s="25" t="n">
        <f aca="false">F22/AEPS-1</f>
        <v>0.195128156592823</v>
      </c>
    </row>
    <row r="24" customFormat="false" ht="15" hidden="false" customHeight="false" outlineLevel="0" collapsed="false">
      <c r="A24" s="7" t="s">
        <v>177</v>
      </c>
      <c r="B24" s="25" t="n">
        <f aca="false">(B22+(B9+B8)*(1-Tax)/ShAfter)/AEPS-1</f>
        <v>0.112171048129837</v>
      </c>
      <c r="C24" s="25" t="n">
        <f aca="false">(C22+(C9+C8)*(1-Tax)/ShAfter)/AEPS-1</f>
        <v>0.152182258966996</v>
      </c>
      <c r="D24" s="25" t="n">
        <f aca="false">(D22+(D9+D8)*(1-Tax)/ShAfter)/AEPS-1</f>
        <v>0.182077856856694</v>
      </c>
      <c r="E24" s="25" t="n">
        <f aca="false">(E22+(E9+E8)*(1-Tax)/ShAfter)/AEPS-1</f>
        <v>0.195128156592823</v>
      </c>
      <c r="F24" s="25" t="n">
        <f aca="false">(F22+(F9+F8)*(1-Tax)/ShAfter)/AEPS-1</f>
        <v>0.195128156592823</v>
      </c>
    </row>
    <row r="26" customFormat="false" ht="15" hidden="false" customHeight="false" outlineLevel="0" collapsed="false">
      <c r="A26" s="17" t="s">
        <v>178</v>
      </c>
    </row>
    <row r="27" customFormat="false" ht="15" hidden="false" customHeight="false" outlineLevel="0" collapsed="false">
      <c r="A27" s="17" t="s">
        <v>179</v>
      </c>
    </row>
    <row r="29" customFormat="false" ht="15" hidden="false" customHeight="false" outlineLevel="0" collapsed="false">
      <c r="A29" s="4" t="s">
        <v>180</v>
      </c>
      <c r="B29" s="6"/>
      <c r="C29" s="6"/>
      <c r="D29" s="6"/>
      <c r="E29" s="6"/>
      <c r="F29" s="6"/>
    </row>
    <row r="31" customFormat="false" ht="15" hidden="false" customHeight="false" outlineLevel="0" collapsed="false">
      <c r="A31" s="7" t="s">
        <v>181</v>
      </c>
      <c r="B31" s="25" t="n">
        <f aca="false">(AEPS*ShAfter/(1-Tax)-(A_Ebitda+T_Ebitda-Cost1-TxnCost-DA1-Int1))/SynRR</f>
        <v>1.85639223718205</v>
      </c>
    </row>
    <row r="32" customFormat="false" ht="15" hidden="false" customHeight="false" outlineLevel="0" collapsed="false">
      <c r="A32" s="7" t="s">
        <v>182</v>
      </c>
      <c r="B32" s="25" t="n">
        <f aca="false">(AEPS*ShAfter/(1-Tax)-(A_Ebitda+T_Ebitda-Cost1-TxnCost-(DA1-PpaAm)-Int1))/SynRR</f>
        <v>0.865348210206921</v>
      </c>
    </row>
    <row r="33" customFormat="false" ht="15" hidden="false" customHeight="false" outlineLevel="0" collapsed="false">
      <c r="A33" s="17" t="s">
        <v>183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3" min="2" style="0" width="18"/>
  </cols>
  <sheetData>
    <row r="1" customFormat="false" ht="24" hidden="false" customHeight="true" outlineLevel="0" collapsed="false">
      <c r="A1" s="1" t="s">
        <v>184</v>
      </c>
    </row>
    <row r="2" customFormat="false" ht="15" hidden="false" customHeight="false" outlineLevel="0" collapsed="false">
      <c r="A2" s="2" t="s">
        <v>185</v>
      </c>
    </row>
    <row r="3" customFormat="false" ht="15" hidden="false" customHeight="false" outlineLevel="0" collapsed="false">
      <c r="A3" s="3"/>
      <c r="B3" s="3"/>
      <c r="C3" s="3"/>
    </row>
    <row r="5" customFormat="false" ht="30" hidden="false" customHeight="true" outlineLevel="0" collapsed="false">
      <c r="A5" s="14" t="s">
        <v>186</v>
      </c>
      <c r="B5" s="15" t="s">
        <v>187</v>
      </c>
      <c r="C5" s="15" t="s">
        <v>188</v>
      </c>
    </row>
    <row r="6" customFormat="false" ht="15" hidden="false" customHeight="false" outlineLevel="0" collapsed="false">
      <c r="A6" s="7" t="s">
        <v>189</v>
      </c>
      <c r="C6" s="26" t="n">
        <f aca="false">AEPS</f>
        <v>0.417362288135593</v>
      </c>
    </row>
    <row r="7" customFormat="false" ht="15" hidden="false" customHeight="false" outlineLevel="0" collapsed="false">
      <c r="A7" s="7" t="s">
        <v>190</v>
      </c>
      <c r="B7" s="26" t="n">
        <f aca="false">ANI/ShAfter-AEPS</f>
        <v>-0.0330666326862805</v>
      </c>
      <c r="C7" s="26" t="n">
        <f aca="false">C6+B7</f>
        <v>0.384295655449313</v>
      </c>
    </row>
    <row r="8" customFormat="false" ht="15" hidden="false" customHeight="false" outlineLevel="0" collapsed="false">
      <c r="A8" s="7" t="s">
        <v>191</v>
      </c>
      <c r="B8" s="26" t="n">
        <f aca="false">-Repric*(1-Tax)/ShAfter</f>
        <v>-0.00273159212945964</v>
      </c>
      <c r="C8" s="26" t="n">
        <f aca="false">C7+B8</f>
        <v>0.381564063319853</v>
      </c>
    </row>
    <row r="9" customFormat="false" ht="15" hidden="false" customHeight="false" outlineLevel="0" collapsed="false">
      <c r="A9" s="7" t="s">
        <v>192</v>
      </c>
      <c r="B9" s="26" t="n">
        <f aca="false">TEbit*(1-Tax)/ShAfter</f>
        <v>0.124070172778884</v>
      </c>
      <c r="C9" s="26" t="n">
        <f aca="false">C8+B9</f>
        <v>0.505634236098737</v>
      </c>
    </row>
    <row r="10" customFormat="false" ht="15" hidden="false" customHeight="false" outlineLevel="0" collapsed="false">
      <c r="A10" s="7" t="s">
        <v>193</v>
      </c>
      <c r="B10" s="26" t="n">
        <f aca="false">SynRR*Ramp1*(1-Tax)/ShAfter</f>
        <v>0.012641111943509</v>
      </c>
      <c r="C10" s="26" t="n">
        <f aca="false">C9+B10</f>
        <v>0.518275348042246</v>
      </c>
    </row>
    <row r="11" customFormat="false" ht="15" hidden="false" customHeight="false" outlineLevel="0" collapsed="false">
      <c r="A11" s="7" t="s">
        <v>194</v>
      </c>
      <c r="B11" s="26" t="n">
        <f aca="false">-Cost1*(1-Tax)/ShAfter</f>
        <v>-0.0302567355314543</v>
      </c>
      <c r="C11" s="26" t="n">
        <f aca="false">C10+B11</f>
        <v>0.488018612510792</v>
      </c>
    </row>
    <row r="12" customFormat="false" ht="15" hidden="false" customHeight="false" outlineLevel="0" collapsed="false">
      <c r="A12" s="7" t="s">
        <v>195</v>
      </c>
      <c r="B12" s="26" t="n">
        <f aca="false">-TxnCost*(1-Tax)/ShAfter</f>
        <v>-0.0403813298195425</v>
      </c>
      <c r="C12" s="26" t="n">
        <f aca="false">C11+B12</f>
        <v>0.447637282691249</v>
      </c>
    </row>
    <row r="13" customFormat="false" ht="15" hidden="false" customHeight="false" outlineLevel="0" collapsed="false">
      <c r="A13" s="7" t="s">
        <v>196</v>
      </c>
      <c r="B13" s="26" t="n">
        <f aca="false">-PpaAm*(1-Tax)/ShAfter</f>
        <v>-0.041759661619795</v>
      </c>
      <c r="C13" s="26" t="n">
        <f aca="false">C12+B13</f>
        <v>0.405877621071454</v>
      </c>
    </row>
    <row r="14" customFormat="false" ht="15" hidden="false" customHeight="false" outlineLevel="0" collapsed="false">
      <c r="A14" s="7" t="s">
        <v>197</v>
      </c>
      <c r="B14" s="26" t="n">
        <f aca="false">-T_NetDebt*DebtRate*(1-Tax)/ShAfter</f>
        <v>-0.0118290960721377</v>
      </c>
      <c r="C14" s="26" t="n">
        <f aca="false">C13+B14</f>
        <v>0.394048524999317</v>
      </c>
    </row>
    <row r="15" customFormat="false" ht="15" hidden="false" customHeight="false" outlineLevel="0" collapsed="false">
      <c r="A15" s="7" t="s">
        <v>198</v>
      </c>
      <c r="B15" s="26" t="n">
        <f aca="false">-NewDebt*DebtRate*(1-Tax)/ShAfter</f>
        <v>-0.0370911292942459</v>
      </c>
      <c r="C15" s="26" t="n">
        <f aca="false">C14+B15</f>
        <v>0.356957395705071</v>
      </c>
    </row>
    <row r="16" customFormat="false" ht="15" hidden="false" customHeight="false" outlineLevel="0" collapsed="false">
      <c r="A16" s="7" t="s">
        <v>199</v>
      </c>
      <c r="B16" s="26" t="n">
        <f aca="false">-DLbear*DebtRate*(1-Tax)/ShAfter</f>
        <v>-0.00221219459011407</v>
      </c>
      <c r="C16" s="26" t="n">
        <f aca="false">C15+B16</f>
        <v>0.354745201114957</v>
      </c>
    </row>
    <row r="17" customFormat="false" ht="15" hidden="false" customHeight="false" outlineLevel="0" collapsed="false">
      <c r="A17" s="7" t="s">
        <v>171</v>
      </c>
      <c r="B17" s="26" t="n">
        <f aca="false">-EoFV*DebtRate*(1-Tax)/ShAfter</f>
        <v>-0.00296467464011897</v>
      </c>
      <c r="C17" s="26" t="n">
        <f aca="false">C16+B17</f>
        <v>0.351780526474838</v>
      </c>
    </row>
    <row r="18" customFormat="false" ht="15" hidden="false" customHeight="false" outlineLevel="0" collapsed="false">
      <c r="A18" s="28" t="s">
        <v>200</v>
      </c>
      <c r="C18" s="30" t="n">
        <f aca="false">EPS1</f>
        <v>0.351780526474838</v>
      </c>
    </row>
    <row r="19" customFormat="false" ht="15" hidden="false" customHeight="false" outlineLevel="0" collapsed="false">
      <c r="A19" s="28" t="s">
        <v>201</v>
      </c>
      <c r="C19" s="31" t="n">
        <f aca="false">C17-C18</f>
        <v>0</v>
      </c>
    </row>
    <row r="20" customFormat="false" ht="15" hidden="false" customHeight="false" outlineLevel="0" collapsed="false">
      <c r="A20" s="17" t="s">
        <v>202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3" min="3" style="0" width="22"/>
  </cols>
  <sheetData>
    <row r="1" customFormat="false" ht="24" hidden="false" customHeight="true" outlineLevel="0" collapsed="false">
      <c r="A1" s="1" t="s">
        <v>203</v>
      </c>
    </row>
    <row r="2" customFormat="false" ht="15" hidden="false" customHeight="false" outlineLevel="0" collapsed="false">
      <c r="A2" s="2" t="s">
        <v>204</v>
      </c>
    </row>
    <row r="3" customFormat="false" ht="15" hidden="false" customHeight="false" outlineLevel="0" collapsed="false">
      <c r="A3" s="3"/>
      <c r="B3" s="3"/>
      <c r="C3" s="3"/>
    </row>
    <row r="5" customFormat="false" ht="30" hidden="false" customHeight="true" outlineLevel="0" collapsed="false">
      <c r="A5" s="14" t="s">
        <v>205</v>
      </c>
      <c r="B5" s="15" t="s">
        <v>206</v>
      </c>
      <c r="C5" s="15" t="s">
        <v>207</v>
      </c>
    </row>
    <row r="6" customFormat="false" ht="15" hidden="false" customHeight="false" outlineLevel="0" collapsed="false">
      <c r="A6" s="7" t="s">
        <v>208</v>
      </c>
      <c r="B6" s="26" t="n">
        <f aca="false">ROUND(PpaAm*(1-Tax)/ShAfter,6)</f>
        <v>0.04176</v>
      </c>
      <c r="C6" s="25" t="n">
        <f aca="false">ROUND(B6/ROUND(AEPS,6),6)</f>
        <v>0.100057</v>
      </c>
    </row>
    <row r="7" customFormat="false" ht="15" hidden="false" customHeight="false" outlineLevel="0" collapsed="false">
      <c r="A7" s="7" t="s">
        <v>195</v>
      </c>
      <c r="B7" s="26" t="n">
        <f aca="false">ROUND(TxnCost*(1-Tax)/ShAfter,6)</f>
        <v>0.040381</v>
      </c>
      <c r="C7" s="25" t="n">
        <f aca="false">ROUND(B7/ROUND(AEPS,6),6)</f>
        <v>0.096753</v>
      </c>
    </row>
    <row r="8" customFormat="false" ht="15" hidden="false" customHeight="false" outlineLevel="0" collapsed="false">
      <c r="A8" s="7" t="s">
        <v>198</v>
      </c>
      <c r="B8" s="26" t="n">
        <f aca="false">ROUND(NewDebt*DebtRate*(1-Tax)/ShAfter,6)</f>
        <v>0.037091</v>
      </c>
      <c r="C8" s="25" t="n">
        <f aca="false">ROUND(B8/ROUND(AEPS,6),6)</f>
        <v>0.08887</v>
      </c>
    </row>
    <row r="9" customFormat="false" ht="15" hidden="false" customHeight="false" outlineLevel="0" collapsed="false">
      <c r="A9" s="7" t="s">
        <v>190</v>
      </c>
      <c r="B9" s="26" t="n">
        <f aca="false">ROUND(AEPS-ANI/ShAfter,6)</f>
        <v>0.033067</v>
      </c>
      <c r="C9" s="25" t="n">
        <f aca="false">ROUND(B9/ROUND(AEPS,6),6)</f>
        <v>0.079229</v>
      </c>
    </row>
    <row r="10" customFormat="false" ht="15" hidden="false" customHeight="false" outlineLevel="0" collapsed="false">
      <c r="A10" s="7" t="s">
        <v>209</v>
      </c>
      <c r="B10" s="26" t="n">
        <f aca="false">ROUND(Cost1*(1-Tax)/ShAfter,6)</f>
        <v>0.030257</v>
      </c>
      <c r="C10" s="25" t="n">
        <f aca="false">ROUND(B10/ROUND(AEPS,6),6)</f>
        <v>0.072496</v>
      </c>
    </row>
    <row r="11" customFormat="false" ht="15" hidden="false" customHeight="false" outlineLevel="0" collapsed="false">
      <c r="A11" s="7" t="s">
        <v>171</v>
      </c>
      <c r="B11" s="26" t="n">
        <f aca="false">ROUND(EoFV*DebtRate*(1-Tax)/ShAfter,6)</f>
        <v>0.002965</v>
      </c>
      <c r="C11" s="25" t="n">
        <f aca="false">ROUND(B11/ROUND(AEPS,6),6)</f>
        <v>0.007104</v>
      </c>
    </row>
    <row r="12" customFormat="false" ht="15" hidden="false" customHeight="false" outlineLevel="0" collapsed="false">
      <c r="A12" s="7" t="s">
        <v>191</v>
      </c>
      <c r="B12" s="26" t="n">
        <f aca="false">ROUND(Repric*(1-Tax)/ShAfter,6)</f>
        <v>0.002732</v>
      </c>
      <c r="C12" s="25" t="n">
        <f aca="false">ROUND(B12/ROUND(AEPS,6),6)</f>
        <v>0.006546</v>
      </c>
    </row>
    <row r="13" customFormat="false" ht="15" hidden="false" customHeight="false" outlineLevel="0" collapsed="false">
      <c r="A13" s="7" t="s">
        <v>199</v>
      </c>
      <c r="B13" s="26" t="n">
        <f aca="false">ROUND(DLbear*DebtRate*(1-Tax)/ShAfter,6)</f>
        <v>0.002212</v>
      </c>
      <c r="C13" s="25" t="n">
        <f aca="false">ROUND(B13/ROUND(AEPS,6),6)</f>
        <v>0.0053</v>
      </c>
    </row>
    <row r="14" customFormat="false" ht="15" hidden="false" customHeight="false" outlineLevel="0" collapsed="false">
      <c r="A14" s="28" t="s">
        <v>210</v>
      </c>
      <c r="B14" s="30" t="n">
        <f aca="false">SUM(B6:B13)</f>
        <v>0.190465</v>
      </c>
      <c r="C14" s="32" t="n">
        <f aca="false">SUM(C6:C13)</f>
        <v>0.456355</v>
      </c>
    </row>
    <row r="16" customFormat="false" ht="15" hidden="false" customHeight="false" outlineLevel="0" collapsed="false">
      <c r="A16" s="7" t="s">
        <v>211</v>
      </c>
      <c r="B16" s="26" t="n">
        <f aca="false">ROUND(T_NetDebt*DebtRate*(1-Tax)/ShAfter,6)</f>
        <v>0.011829</v>
      </c>
      <c r="C16" s="25" t="n">
        <f aca="false">B16/ROUND(AEPS,6)</f>
        <v>0.0283423023658119</v>
      </c>
    </row>
    <row r="17" customFormat="false" ht="15" hidden="false" customHeight="false" outlineLevel="0" collapsed="false">
      <c r="A17" s="17" t="s">
        <v>212</v>
      </c>
    </row>
    <row r="18" customFormat="false" ht="15" hidden="false" customHeight="false" outlineLevel="0" collapsed="false">
      <c r="A18" s="17" t="s">
        <v>213</v>
      </c>
    </row>
    <row r="19" customFormat="false" ht="15" hidden="false" customHeight="false" outlineLevel="0" collapsed="false">
      <c r="A19" s="17" t="s">
        <v>214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215</v>
      </c>
    </row>
    <row r="2" customFormat="false" ht="15" hidden="false" customHeight="false" outlineLevel="0" collapsed="false">
      <c r="A2" s="2" t="s">
        <v>216</v>
      </c>
    </row>
    <row r="3" customFormat="false" ht="15" hidden="false" customHeight="false" outlineLevel="0" collapsed="false">
      <c r="A3" s="3" t="s">
        <v>217</v>
      </c>
      <c r="B3" s="3"/>
      <c r="C3" s="3"/>
      <c r="D3" s="3"/>
      <c r="E3" s="3"/>
      <c r="F3" s="3"/>
    </row>
    <row r="5" customFormat="false" ht="15" hidden="false" customHeight="false" outlineLevel="0" collapsed="false">
      <c r="A5" s="17" t="s">
        <v>218</v>
      </c>
    </row>
    <row r="7" customFormat="false" ht="30" hidden="false" customHeight="true" outlineLevel="0" collapsed="false">
      <c r="A7" s="14" t="s">
        <v>219</v>
      </c>
      <c r="B7" s="15" t="s">
        <v>220</v>
      </c>
      <c r="C7" s="15" t="s">
        <v>221</v>
      </c>
      <c r="D7" s="15" t="s">
        <v>222</v>
      </c>
      <c r="E7" s="15" t="s">
        <v>223</v>
      </c>
      <c r="F7" s="15" t="s">
        <v>224</v>
      </c>
    </row>
    <row r="8" customFormat="false" ht="15" hidden="false" customHeight="false" outlineLevel="0" collapsed="false">
      <c r="A8" s="7" t="s">
        <v>225</v>
      </c>
      <c r="B8" s="7" t="s">
        <v>226</v>
      </c>
      <c r="C8" s="19" t="n">
        <v>120720000</v>
      </c>
      <c r="D8" s="19" t="n">
        <f aca="false">Financing!B8</f>
        <v>120720000</v>
      </c>
      <c r="E8" s="33" t="n">
        <f aca="false">D8-C8</f>
        <v>0</v>
      </c>
      <c r="F8" s="34" t="str">
        <f aca="false">IF(ABS(E8)&lt;=0.5,"PASS","FAIL")</f>
        <v>PASS</v>
      </c>
    </row>
    <row r="9" customFormat="false" ht="15" hidden="false" customHeight="false" outlineLevel="0" collapsed="false">
      <c r="A9" s="35" t="s">
        <v>225</v>
      </c>
      <c r="B9" s="35" t="s">
        <v>227</v>
      </c>
      <c r="C9" s="36" t="n">
        <v>80480000</v>
      </c>
      <c r="D9" s="36" t="n">
        <f aca="false">Financing!B9</f>
        <v>80480000</v>
      </c>
      <c r="E9" s="37" t="n">
        <f aca="false">D9-C9</f>
        <v>0</v>
      </c>
      <c r="F9" s="38" t="str">
        <f aca="false">IF(ABS(E9)&lt;=0.5,"PASS","FAIL")</f>
        <v>PASS</v>
      </c>
    </row>
    <row r="10" customFormat="false" ht="15" hidden="false" customHeight="false" outlineLevel="0" collapsed="false">
      <c r="A10" s="7" t="s">
        <v>225</v>
      </c>
      <c r="B10" s="7" t="s">
        <v>228</v>
      </c>
      <c r="C10" s="22" t="n">
        <v>7.9265</v>
      </c>
      <c r="D10" s="22" t="n">
        <f aca="false">Financing!B10</f>
        <v>7.9265</v>
      </c>
      <c r="E10" s="33" t="n">
        <f aca="false">D10-C10</f>
        <v>0</v>
      </c>
      <c r="F10" s="34" t="str">
        <f aca="false">IF(ABS(E10)&lt;=0.00005,"PASS","FAIL")</f>
        <v>PASS</v>
      </c>
    </row>
    <row r="11" customFormat="false" ht="15" hidden="false" customHeight="false" outlineLevel="0" collapsed="false">
      <c r="A11" s="35" t="s">
        <v>225</v>
      </c>
      <c r="B11" s="35" t="s">
        <v>103</v>
      </c>
      <c r="C11" s="39" t="n">
        <v>10153283</v>
      </c>
      <c r="D11" s="39" t="n">
        <f aca="false">Financing!B11</f>
        <v>10153283.290229</v>
      </c>
      <c r="E11" s="37" t="n">
        <f aca="false">D11-C11</f>
        <v>0.290228977799416</v>
      </c>
      <c r="F11" s="38" t="str">
        <f aca="false">IF(ABS(E11)&lt;=0.5,"PASS","FAIL")</f>
        <v>PASS</v>
      </c>
    </row>
    <row r="12" customFormat="false" ht="15" hidden="false" customHeight="false" outlineLevel="0" collapsed="false">
      <c r="A12" s="7" t="s">
        <v>225</v>
      </c>
      <c r="B12" s="7" t="s">
        <v>104</v>
      </c>
      <c r="C12" s="24" t="n">
        <v>128153283</v>
      </c>
      <c r="D12" s="24" t="n">
        <f aca="false">Financing!B12</f>
        <v>128153283.290229</v>
      </c>
      <c r="E12" s="33" t="n">
        <f aca="false">D12-C12</f>
        <v>0.290228977799416</v>
      </c>
      <c r="F12" s="34" t="str">
        <f aca="false">IF(ABS(E12)&lt;=0.5,"PASS","FAIL")</f>
        <v>PASS</v>
      </c>
    </row>
    <row r="13" customFormat="false" ht="15" hidden="false" customHeight="false" outlineLevel="0" collapsed="false">
      <c r="A13" s="35" t="s">
        <v>225</v>
      </c>
      <c r="B13" s="35" t="s">
        <v>105</v>
      </c>
      <c r="C13" s="40" t="n">
        <v>0.079228</v>
      </c>
      <c r="D13" s="40" t="n">
        <f aca="false">Financing!B13</f>
        <v>0.0792276485592243</v>
      </c>
      <c r="E13" s="37" t="n">
        <f aca="false">D13-C13</f>
        <v>-3.51440775675504E-007</v>
      </c>
      <c r="F13" s="38" t="str">
        <f aca="false">IF(ABS(E13)&lt;=0.0000005,"PASS","FAIL")</f>
        <v>PASS</v>
      </c>
    </row>
    <row r="14" customFormat="false" ht="15" hidden="false" customHeight="false" outlineLevel="0" collapsed="false">
      <c r="A14" s="7" t="s">
        <v>229</v>
      </c>
      <c r="B14" s="7" t="s">
        <v>124</v>
      </c>
      <c r="C14" s="19" t="n">
        <v>34950000</v>
      </c>
      <c r="D14" s="19" t="n">
        <f aca="false">Allocation!B6</f>
        <v>34950000</v>
      </c>
      <c r="E14" s="33" t="n">
        <f aca="false">D14-C14</f>
        <v>0</v>
      </c>
      <c r="F14" s="34" t="str">
        <f aca="false">IF(ABS(E14)&lt;=0.5,"PASS","FAIL")</f>
        <v>PASS</v>
      </c>
    </row>
    <row r="15" customFormat="false" ht="15" hidden="false" customHeight="false" outlineLevel="0" collapsed="false">
      <c r="A15" s="35" t="s">
        <v>229</v>
      </c>
      <c r="B15" s="35" t="s">
        <v>125</v>
      </c>
      <c r="C15" s="36" t="n">
        <v>168999087</v>
      </c>
      <c r="D15" s="36" t="n">
        <f aca="false">Allocation!B7</f>
        <v>168999086.705232</v>
      </c>
      <c r="E15" s="37" t="n">
        <f aca="false">D15-C15</f>
        <v>-0.294767618179321</v>
      </c>
      <c r="F15" s="38" t="str">
        <f aca="false">IF(ABS(E15)&lt;=0.5,"PASS","FAIL")</f>
        <v>PASS</v>
      </c>
    </row>
    <row r="16" customFormat="false" ht="15" hidden="false" customHeight="false" outlineLevel="0" collapsed="false">
      <c r="A16" s="7" t="s">
        <v>229</v>
      </c>
      <c r="B16" s="7" t="s">
        <v>230</v>
      </c>
      <c r="C16" s="19" t="n">
        <v>64219653</v>
      </c>
      <c r="D16" s="19" t="n">
        <f aca="false">Allocation!B8</f>
        <v>64219652.9479883</v>
      </c>
      <c r="E16" s="33" t="n">
        <f aca="false">D16-C16</f>
        <v>-0.0520116910338402</v>
      </c>
      <c r="F16" s="34" t="str">
        <f aca="false">IF(ABS(E16)&lt;=0.5,"PASS","FAIL")</f>
        <v>PASS</v>
      </c>
    </row>
    <row r="17" customFormat="false" ht="15" hidden="false" customHeight="false" outlineLevel="0" collapsed="false">
      <c r="A17" s="35" t="s">
        <v>229</v>
      </c>
      <c r="B17" s="35" t="s">
        <v>231</v>
      </c>
      <c r="C17" s="36" t="n">
        <v>16054913</v>
      </c>
      <c r="D17" s="36" t="n">
        <f aca="false">Allocation!B9</f>
        <v>16054913.2369971</v>
      </c>
      <c r="E17" s="37" t="n">
        <f aca="false">D17-C17</f>
        <v>0.23699707724154</v>
      </c>
      <c r="F17" s="38" t="str">
        <f aca="false">IF(ABS(E17)&lt;=0.5,"PASS","FAIL")</f>
        <v>PASS</v>
      </c>
    </row>
    <row r="18" customFormat="false" ht="15" hidden="false" customHeight="false" outlineLevel="0" collapsed="false">
      <c r="A18" s="7" t="s">
        <v>229</v>
      </c>
      <c r="B18" s="7" t="s">
        <v>128</v>
      </c>
      <c r="C18" s="19" t="n">
        <v>120834347</v>
      </c>
      <c r="D18" s="19" t="n">
        <f aca="false">Allocation!B10</f>
        <v>120834346.994241</v>
      </c>
      <c r="E18" s="33" t="n">
        <f aca="false">D18-C18</f>
        <v>-0.0057588517665863</v>
      </c>
      <c r="F18" s="34" t="str">
        <f aca="false">IF(ABS(E18)&lt;=0.5,"PASS","FAIL")</f>
        <v>PASS</v>
      </c>
    </row>
    <row r="19" customFormat="false" ht="15" hidden="false" customHeight="false" outlineLevel="0" collapsed="false">
      <c r="A19" s="35" t="s">
        <v>229</v>
      </c>
      <c r="B19" s="35" t="s">
        <v>232</v>
      </c>
      <c r="C19" s="36" t="n">
        <v>7135517</v>
      </c>
      <c r="D19" s="36" t="n">
        <f aca="false">Allocation!B11</f>
        <v>7135516.99422092</v>
      </c>
      <c r="E19" s="37" t="n">
        <f aca="false">D19-C19</f>
        <v>-0.00577907636761665</v>
      </c>
      <c r="F19" s="38" t="str">
        <f aca="false">IF(ABS(E19)&lt;=0.5,"PASS","FAIL")</f>
        <v>PASS</v>
      </c>
    </row>
    <row r="20" customFormat="false" ht="15" hidden="false" customHeight="false" outlineLevel="0" collapsed="false">
      <c r="A20" s="7" t="s">
        <v>229</v>
      </c>
      <c r="B20" s="7" t="s">
        <v>233</v>
      </c>
      <c r="C20" s="19" t="n">
        <v>1783879</v>
      </c>
      <c r="D20" s="19" t="n">
        <f aca="false">Allocation!B12</f>
        <v>1783879.24855523</v>
      </c>
      <c r="E20" s="33" t="n">
        <f aca="false">D20-C20</f>
        <v>0.248555230908096</v>
      </c>
      <c r="F20" s="34" t="str">
        <f aca="false">IF(ABS(E20)&lt;=0.5,"PASS","FAIL")</f>
        <v>PASS</v>
      </c>
    </row>
    <row r="21" customFormat="false" ht="15" hidden="false" customHeight="false" outlineLevel="0" collapsed="false">
      <c r="A21" s="35" t="s">
        <v>234</v>
      </c>
      <c r="B21" s="35" t="s">
        <v>235</v>
      </c>
      <c r="C21" s="41" t="n">
        <v>0.3518</v>
      </c>
      <c r="D21" s="41" t="n">
        <f aca="false">Accretion!B18</f>
        <v>0.351780526474838</v>
      </c>
      <c r="E21" s="37" t="n">
        <f aca="false">D21-C21</f>
        <v>-1.94735251622391E-005</v>
      </c>
      <c r="F21" s="38" t="str">
        <f aca="false">IF(ABS(E21)&lt;=0.00005,"PASS","FAIL")</f>
        <v>PASS</v>
      </c>
    </row>
    <row r="22" customFormat="false" ht="15" hidden="false" customHeight="false" outlineLevel="0" collapsed="false">
      <c r="A22" s="7" t="s">
        <v>234</v>
      </c>
      <c r="B22" s="7" t="s">
        <v>236</v>
      </c>
      <c r="C22" s="25" t="n">
        <v>-0.157134</v>
      </c>
      <c r="D22" s="25" t="n">
        <f aca="false">Accretion!B19</f>
        <v>-0.157133894280954</v>
      </c>
      <c r="E22" s="33" t="n">
        <f aca="false">D22-C22</f>
        <v>1.0571904573986E-007</v>
      </c>
      <c r="F22" s="34" t="str">
        <f aca="false">IF(ABS(E22)&lt;=0.0000005,"PASS","FAIL")</f>
        <v>PASS</v>
      </c>
    </row>
    <row r="23" customFormat="false" ht="15" hidden="false" customHeight="false" outlineLevel="0" collapsed="false">
      <c r="A23" s="35" t="s">
        <v>234</v>
      </c>
      <c r="B23" s="35" t="s">
        <v>237</v>
      </c>
      <c r="C23" s="40" t="n">
        <v>0.012115</v>
      </c>
      <c r="D23" s="40" t="n">
        <f aca="false">Accretion!B21</f>
        <v>0.0121149031284749</v>
      </c>
      <c r="E23" s="37" t="n">
        <f aca="false">D23-C23</f>
        <v>-9.68715251487007E-008</v>
      </c>
      <c r="F23" s="38" t="str">
        <f aca="false">IF(ABS(E23)&lt;=0.0000005,"PASS","FAIL")</f>
        <v>PASS</v>
      </c>
    </row>
    <row r="24" customFormat="false" ht="15" hidden="false" customHeight="false" outlineLevel="0" collapsed="false">
      <c r="A24" s="7" t="s">
        <v>234</v>
      </c>
      <c r="B24" s="7" t="s">
        <v>238</v>
      </c>
      <c r="C24" s="25" t="n">
        <v>-0.057078</v>
      </c>
      <c r="D24" s="25" t="n">
        <f aca="false">Accretion!B23</f>
        <v>-0.0570777492795924</v>
      </c>
      <c r="E24" s="33" t="n">
        <f aca="false">D24-C24</f>
        <v>2.50720407581062E-007</v>
      </c>
      <c r="F24" s="34" t="str">
        <f aca="false">IF(ABS(E24)&lt;=0.0000005,"PASS","FAIL")</f>
        <v>PASS</v>
      </c>
    </row>
    <row r="25" customFormat="false" ht="15" hidden="false" customHeight="false" outlineLevel="0" collapsed="false">
      <c r="A25" s="35" t="s">
        <v>234</v>
      </c>
      <c r="B25" s="35" t="s">
        <v>239</v>
      </c>
      <c r="C25" s="40" t="n">
        <v>0.112171</v>
      </c>
      <c r="D25" s="40" t="n">
        <f aca="false">Accretion!B24</f>
        <v>0.112171048129837</v>
      </c>
      <c r="E25" s="37" t="n">
        <f aca="false">D25-C25</f>
        <v>4.81298367965843E-008</v>
      </c>
      <c r="F25" s="38" t="str">
        <f aca="false">IF(ABS(E25)&lt;=0.0000005,"PASS","FAIL")</f>
        <v>PASS</v>
      </c>
    </row>
    <row r="26" customFormat="false" ht="15" hidden="false" customHeight="false" outlineLevel="0" collapsed="false">
      <c r="A26" s="7" t="s">
        <v>234</v>
      </c>
      <c r="B26" s="7" t="s">
        <v>240</v>
      </c>
      <c r="C26" s="25" t="n">
        <v>1.856392</v>
      </c>
      <c r="D26" s="25" t="n">
        <f aca="false">Accretion!B31</f>
        <v>1.85639223718205</v>
      </c>
      <c r="E26" s="33" t="n">
        <f aca="false">D26-C26</f>
        <v>2.37182049556139E-007</v>
      </c>
      <c r="F26" s="34" t="str">
        <f aca="false">IF(ABS(E26)&lt;=0.0000005,"PASS","FAIL")</f>
        <v>PASS</v>
      </c>
    </row>
    <row r="27" customFormat="false" ht="15" hidden="false" customHeight="false" outlineLevel="0" collapsed="false">
      <c r="A27" s="35" t="s">
        <v>234</v>
      </c>
      <c r="B27" s="35" t="s">
        <v>241</v>
      </c>
      <c r="C27" s="40" t="n">
        <v>0.865348</v>
      </c>
      <c r="D27" s="40" t="n">
        <f aca="false">Accretion!B32</f>
        <v>0.865348210206921</v>
      </c>
      <c r="E27" s="37" t="n">
        <f aca="false">D27-C27</f>
        <v>2.10206920647771E-007</v>
      </c>
      <c r="F27" s="38" t="str">
        <f aca="false">IF(ABS(E27)&lt;=0.0000005,"PASS","FAIL")</f>
        <v>PASS</v>
      </c>
    </row>
    <row r="28" customFormat="false" ht="15" hidden="false" customHeight="false" outlineLevel="0" collapsed="false">
      <c r="A28" s="7" t="s">
        <v>242</v>
      </c>
      <c r="B28" s="7" t="s">
        <v>189</v>
      </c>
      <c r="C28" s="26" t="n">
        <v>0.417362</v>
      </c>
      <c r="D28" s="26" t="n">
        <f aca="false">'Year 1 bridge'!C6</f>
        <v>0.417362288135593</v>
      </c>
      <c r="E28" s="33" t="n">
        <f aca="false">D28-C28</f>
        <v>2.88135593218275E-007</v>
      </c>
      <c r="F28" s="34" t="str">
        <f aca="false">IF(ABS(E28)&lt;=0.0000005,"PASS","FAIL")</f>
        <v>PASS</v>
      </c>
    </row>
    <row r="29" customFormat="false" ht="15" hidden="false" customHeight="false" outlineLevel="0" collapsed="false">
      <c r="A29" s="35" t="s">
        <v>242</v>
      </c>
      <c r="B29" s="35" t="s">
        <v>190</v>
      </c>
      <c r="C29" s="42" t="n">
        <v>-0.033067</v>
      </c>
      <c r="D29" s="42" t="n">
        <f aca="false">'Year 1 bridge'!B7</f>
        <v>-0.0330666326862805</v>
      </c>
      <c r="E29" s="37" t="n">
        <f aca="false">D29-C29</f>
        <v>3.67313719482065E-007</v>
      </c>
      <c r="F29" s="38" t="str">
        <f aca="false">IF(ABS(E29)&lt;=0.0000005,"PASS","FAIL")</f>
        <v>PASS</v>
      </c>
    </row>
    <row r="30" customFormat="false" ht="15" hidden="false" customHeight="false" outlineLevel="0" collapsed="false">
      <c r="A30" s="7" t="s">
        <v>242</v>
      </c>
      <c r="B30" s="7" t="s">
        <v>191</v>
      </c>
      <c r="C30" s="26" t="n">
        <v>-0.002732</v>
      </c>
      <c r="D30" s="26" t="n">
        <f aca="false">'Year 1 bridge'!B8</f>
        <v>-0.00273159212945964</v>
      </c>
      <c r="E30" s="33" t="n">
        <f aca="false">D30-C30</f>
        <v>4.07870540357694E-007</v>
      </c>
      <c r="F30" s="34" t="str">
        <f aca="false">IF(ABS(E30)&lt;=0.0000005,"PASS","FAIL")</f>
        <v>PASS</v>
      </c>
    </row>
    <row r="31" customFormat="false" ht="15" hidden="false" customHeight="false" outlineLevel="0" collapsed="false">
      <c r="A31" s="35" t="s">
        <v>242</v>
      </c>
      <c r="B31" s="35" t="s">
        <v>192</v>
      </c>
      <c r="C31" s="42" t="n">
        <v>0.12407</v>
      </c>
      <c r="D31" s="42" t="n">
        <f aca="false">'Year 1 bridge'!B9</f>
        <v>0.124070172778884</v>
      </c>
      <c r="E31" s="37" t="n">
        <f aca="false">D31-C31</f>
        <v>1.72778884172109E-007</v>
      </c>
      <c r="F31" s="38" t="str">
        <f aca="false">IF(ABS(E31)&lt;=0.0000005,"PASS","FAIL")</f>
        <v>PASS</v>
      </c>
    </row>
    <row r="32" customFormat="false" ht="15" hidden="false" customHeight="false" outlineLevel="0" collapsed="false">
      <c r="A32" s="7" t="s">
        <v>242</v>
      </c>
      <c r="B32" s="7" t="s">
        <v>193</v>
      </c>
      <c r="C32" s="26" t="n">
        <v>0.012641</v>
      </c>
      <c r="D32" s="26" t="n">
        <f aca="false">'Year 1 bridge'!B10</f>
        <v>0.012641111943509</v>
      </c>
      <c r="E32" s="33" t="n">
        <f aca="false">D32-C32</f>
        <v>1.11943508953813E-007</v>
      </c>
      <c r="F32" s="34" t="str">
        <f aca="false">IF(ABS(E32)&lt;=0.0000005,"PASS","FAIL")</f>
        <v>PASS</v>
      </c>
    </row>
    <row r="33" customFormat="false" ht="15" hidden="false" customHeight="false" outlineLevel="0" collapsed="false">
      <c r="A33" s="35" t="s">
        <v>242</v>
      </c>
      <c r="B33" s="35" t="s">
        <v>194</v>
      </c>
      <c r="C33" s="42" t="n">
        <v>-0.030257</v>
      </c>
      <c r="D33" s="42" t="n">
        <f aca="false">'Year 1 bridge'!B11</f>
        <v>-0.0302567355314543</v>
      </c>
      <c r="E33" s="37" t="n">
        <f aca="false">D33-C33</f>
        <v>2.64468545698587E-007</v>
      </c>
      <c r="F33" s="38" t="str">
        <f aca="false">IF(ABS(E33)&lt;=0.0000005,"PASS","FAIL")</f>
        <v>PASS</v>
      </c>
    </row>
    <row r="34" customFormat="false" ht="15" hidden="false" customHeight="false" outlineLevel="0" collapsed="false">
      <c r="A34" s="7" t="s">
        <v>242</v>
      </c>
      <c r="B34" s="7" t="s">
        <v>195</v>
      </c>
      <c r="C34" s="26" t="n">
        <v>-0.040381</v>
      </c>
      <c r="D34" s="26" t="n">
        <f aca="false">'Year 1 bridge'!B12</f>
        <v>-0.0403813298195425</v>
      </c>
      <c r="E34" s="33" t="n">
        <f aca="false">D34-C34</f>
        <v>-3.29819542489729E-007</v>
      </c>
      <c r="F34" s="34" t="str">
        <f aca="false">IF(ABS(E34)&lt;=0.0000005,"PASS","FAIL")</f>
        <v>PASS</v>
      </c>
    </row>
    <row r="35" customFormat="false" ht="15" hidden="false" customHeight="false" outlineLevel="0" collapsed="false">
      <c r="A35" s="35" t="s">
        <v>242</v>
      </c>
      <c r="B35" s="35" t="s">
        <v>196</v>
      </c>
      <c r="C35" s="42" t="n">
        <v>-0.04176</v>
      </c>
      <c r="D35" s="42" t="n">
        <f aca="false">'Year 1 bridge'!B13</f>
        <v>-0.041759661619795</v>
      </c>
      <c r="E35" s="37" t="n">
        <f aca="false">D35-C35</f>
        <v>3.38380204988054E-007</v>
      </c>
      <c r="F35" s="38" t="str">
        <f aca="false">IF(ABS(E35)&lt;=0.0000005,"PASS","FAIL")</f>
        <v>PASS</v>
      </c>
    </row>
    <row r="36" customFormat="false" ht="15" hidden="false" customHeight="false" outlineLevel="0" collapsed="false">
      <c r="A36" s="7" t="s">
        <v>242</v>
      </c>
      <c r="B36" s="7" t="s">
        <v>198</v>
      </c>
      <c r="C36" s="26" t="n">
        <v>-0.037091</v>
      </c>
      <c r="D36" s="26" t="n">
        <f aca="false">'Year 1 bridge'!B15</f>
        <v>-0.0370911292942459</v>
      </c>
      <c r="E36" s="33" t="n">
        <f aca="false">D36-C36</f>
        <v>-1.29294245865275E-007</v>
      </c>
      <c r="F36" s="34" t="str">
        <f aca="false">IF(ABS(E36)&lt;=0.0000005,"PASS","FAIL")</f>
        <v>PASS</v>
      </c>
    </row>
    <row r="37" customFormat="false" ht="15" hidden="false" customHeight="false" outlineLevel="0" collapsed="false">
      <c r="A37" s="35" t="s">
        <v>242</v>
      </c>
      <c r="B37" s="35" t="s">
        <v>199</v>
      </c>
      <c r="C37" s="42" t="n">
        <v>-0.002212</v>
      </c>
      <c r="D37" s="42" t="n">
        <f aca="false">'Year 1 bridge'!B16</f>
        <v>-0.00221219459011407</v>
      </c>
      <c r="E37" s="37" t="n">
        <f aca="false">D37-C37</f>
        <v>-1.94590114067222E-007</v>
      </c>
      <c r="F37" s="38" t="str">
        <f aca="false">IF(ABS(E37)&lt;=0.0000005,"PASS","FAIL")</f>
        <v>PASS</v>
      </c>
    </row>
    <row r="38" customFormat="false" ht="15" hidden="false" customHeight="false" outlineLevel="0" collapsed="false">
      <c r="A38" s="7" t="s">
        <v>242</v>
      </c>
      <c r="B38" s="7" t="s">
        <v>171</v>
      </c>
      <c r="C38" s="26" t="n">
        <v>-0.002965</v>
      </c>
      <c r="D38" s="26" t="n">
        <f aca="false">'Year 1 bridge'!B17</f>
        <v>-0.00296467464011897</v>
      </c>
      <c r="E38" s="33" t="n">
        <f aca="false">D38-C38</f>
        <v>3.25359881025826E-007</v>
      </c>
      <c r="F38" s="34" t="str">
        <f aca="false">IF(ABS(E38)&lt;=0.0000005,"PASS","FAIL")</f>
        <v>PASS</v>
      </c>
    </row>
    <row r="39" customFormat="false" ht="15" hidden="false" customHeight="false" outlineLevel="0" collapsed="false">
      <c r="A39" s="35" t="s">
        <v>242</v>
      </c>
      <c r="B39" s="35" t="s">
        <v>243</v>
      </c>
      <c r="C39" s="42" t="n">
        <v>0.351781</v>
      </c>
      <c r="D39" s="42" t="n">
        <f aca="false">'Year 1 bridge'!C18</f>
        <v>0.351780526474838</v>
      </c>
      <c r="E39" s="37" t="n">
        <f aca="false">D39-C39</f>
        <v>-4.73525162247856E-007</v>
      </c>
      <c r="F39" s="38" t="str">
        <f aca="false">IF(ABS(E39)&lt;=0.0000005,"PASS","FAIL")</f>
        <v>PASS</v>
      </c>
    </row>
    <row r="40" customFormat="false" ht="15" hidden="false" customHeight="false" outlineLevel="0" collapsed="false">
      <c r="A40" s="7" t="s">
        <v>242</v>
      </c>
      <c r="B40" s="7" t="s">
        <v>244</v>
      </c>
      <c r="C40" s="33" t="n">
        <v>0</v>
      </c>
      <c r="D40" s="33" t="n">
        <f aca="false">'Year 1 bridge'!C19</f>
        <v>0</v>
      </c>
      <c r="E40" s="33" t="n">
        <f aca="false">D40-C40</f>
        <v>0</v>
      </c>
      <c r="F40" s="34" t="str">
        <f aca="false">IF(ABS(E40)&lt;=0.0000000001,"PASS","FAIL")</f>
        <v>PASS</v>
      </c>
    </row>
    <row r="41" customFormat="false" ht="15" hidden="false" customHeight="false" outlineLevel="0" collapsed="false">
      <c r="A41" s="35" t="s">
        <v>245</v>
      </c>
      <c r="B41" s="35" t="s">
        <v>246</v>
      </c>
      <c r="C41" s="42" t="n">
        <v>0.190465</v>
      </c>
      <c r="D41" s="42" t="n">
        <f aca="false">Charges!B14</f>
        <v>0.190465</v>
      </c>
      <c r="E41" s="37" t="n">
        <f aca="false">D41-C41</f>
        <v>0</v>
      </c>
      <c r="F41" s="38" t="str">
        <f aca="false">IF(ABS(E41)&lt;=0.0000005,"PASS","FAIL")</f>
        <v>PASS</v>
      </c>
    </row>
    <row r="42" customFormat="false" ht="15" hidden="false" customHeight="false" outlineLevel="0" collapsed="false">
      <c r="A42" s="7" t="s">
        <v>245</v>
      </c>
      <c r="B42" s="7" t="s">
        <v>247</v>
      </c>
      <c r="C42" s="25" t="n">
        <v>0.456355</v>
      </c>
      <c r="D42" s="25" t="n">
        <f aca="false">Charges!C14</f>
        <v>0.456355</v>
      </c>
      <c r="E42" s="33" t="n">
        <f aca="false">D42-C42</f>
        <v>0</v>
      </c>
      <c r="F42" s="34" t="str">
        <f aca="false">IF(ABS(E42)&lt;=0.0000005,"PASS","FAIL")</f>
        <v>PASS</v>
      </c>
    </row>
    <row r="43" customFormat="false" ht="15" hidden="false" customHeight="false" outlineLevel="0" collapsed="false">
      <c r="A43" s="35" t="s">
        <v>245</v>
      </c>
      <c r="B43" s="35" t="s">
        <v>248</v>
      </c>
      <c r="C43" s="42" t="n">
        <v>0.011829</v>
      </c>
      <c r="D43" s="42" t="n">
        <f aca="false">Charges!B16</f>
        <v>0.011829</v>
      </c>
      <c r="E43" s="37" t="n">
        <f aca="false">D43-C43</f>
        <v>0</v>
      </c>
      <c r="F43" s="38" t="str">
        <f aca="false">IF(ABS(E43)&lt;=0.0000005,"PASS","FAIL")</f>
        <v>PASS</v>
      </c>
    </row>
    <row r="44" customFormat="false" ht="15" hidden="false" customHeight="false" outlineLevel="0" collapsed="false">
      <c r="A44" s="35" t="s">
        <v>225</v>
      </c>
      <c r="B44" s="35" t="s">
        <v>249</v>
      </c>
      <c r="C44" s="42" t="n">
        <v>0.310636</v>
      </c>
      <c r="D44" s="42" t="n">
        <f aca="false">EoMax/EqRaise</f>
        <v>0.310636182902585</v>
      </c>
      <c r="E44" s="37" t="n">
        <f aca="false">D44-C44</f>
        <v>1.82902584466849E-007</v>
      </c>
      <c r="F44" s="38" t="str">
        <f aca="false">IF(ABS(E44)&lt;=0.0000005,"PASS","FAIL")</f>
        <v>PASS</v>
      </c>
    </row>
    <row r="45" customFormat="false" ht="15" hidden="false" customHeight="false" outlineLevel="0" collapsed="false">
      <c r="A45" s="35" t="s">
        <v>225</v>
      </c>
      <c r="B45" s="35" t="s">
        <v>250</v>
      </c>
      <c r="C45" s="42" t="n">
        <v>0.004024</v>
      </c>
      <c r="D45" s="42" t="n">
        <f aca="false">NewDebt*DebtRate*(1-Tax)/ShAfter-(AEPS-ANI/ShAfter)</f>
        <v>0.00402449660796535</v>
      </c>
      <c r="E45" s="37" t="n">
        <f aca="false">D45-C45</f>
        <v>4.9660796534734E-007</v>
      </c>
      <c r="F45" s="38" t="str">
        <f aca="false">IF(ABS(E45)&lt;=0.0000005,"PASS","FAIL")</f>
        <v>PASS</v>
      </c>
    </row>
    <row r="46" customFormat="false" ht="15" hidden="false" customHeight="false" outlineLevel="0" collapsed="false">
      <c r="A46" s="35" t="s">
        <v>229</v>
      </c>
      <c r="B46" s="35" t="s">
        <v>251</v>
      </c>
      <c r="C46" s="39" t="n">
        <v>-2749087</v>
      </c>
      <c r="D46" s="39" t="n">
        <f aca="false">CashOut-Pfv</f>
        <v>-2749086.70523238</v>
      </c>
      <c r="E46" s="37" t="n">
        <f aca="false">D46-C46</f>
        <v>0.294767618179321</v>
      </c>
      <c r="F46" s="38" t="str">
        <f aca="false">IF(ABS(E46)&lt;=0.5,"PASS","FAIL")</f>
        <v>PASS</v>
      </c>
    </row>
    <row r="47" customFormat="false" ht="15" hidden="false" customHeight="false" outlineLevel="0" collapsed="false">
      <c r="A47" s="35" t="s">
        <v>229</v>
      </c>
      <c r="B47" s="35" t="s">
        <v>252</v>
      </c>
      <c r="C47" s="42" t="n">
        <v>0.263025</v>
      </c>
      <c r="D47" s="42" t="n">
        <f aca="false">(EVh-Pfv)*IntangSh/PpaLife/PpaAm</f>
        <v>0.263024577004364</v>
      </c>
      <c r="E47" s="37" t="n">
        <f aca="false">D47-C47</f>
        <v>-4.22995635851464E-007</v>
      </c>
      <c r="F47" s="38" t="str">
        <f aca="false">IF(ABS(E47)&lt;=0.0000005,"PASS","FAIL")</f>
        <v>PASS</v>
      </c>
    </row>
    <row r="48" customFormat="false" ht="15" hidden="false" customHeight="false" outlineLevel="0" collapsed="false">
      <c r="A48" s="35" t="s">
        <v>229</v>
      </c>
      <c r="B48" s="35" t="s">
        <v>253</v>
      </c>
      <c r="C48" s="39" t="n">
        <v>-64483</v>
      </c>
      <c r="D48" s="39" t="n">
        <f aca="false">PpaAm-SynRR</f>
        <v>-64483.0057790764</v>
      </c>
      <c r="E48" s="37" t="n">
        <f aca="false">D48-C48</f>
        <v>-0.00577907636761665</v>
      </c>
      <c r="F48" s="38" t="str">
        <f aca="false">IF(ABS(E48)&lt;=0.5,"PASS","FAIL")</f>
        <v>PASS</v>
      </c>
    </row>
    <row r="49" customFormat="false" ht="15" hidden="false" customHeight="false" outlineLevel="0" collapsed="false">
      <c r="A49" s="35" t="s">
        <v>229</v>
      </c>
      <c r="B49" s="35" t="s">
        <v>254</v>
      </c>
      <c r="C49" s="39" t="n">
        <v>6877585</v>
      </c>
      <c r="D49" s="39" t="n">
        <f aca="false">5*PpaAm-SynRR*(Ramp1+Ramp2+Ramp3+2)</f>
        <v>6877584.97110462</v>
      </c>
      <c r="E49" s="37" t="n">
        <f aca="false">D49-C49</f>
        <v>-0.028895378112793</v>
      </c>
      <c r="F49" s="38" t="str">
        <f aca="false">IF(ABS(E49)&lt;=0.5,"PASS","FAIL")</f>
        <v>PASS</v>
      </c>
    </row>
    <row r="50" customFormat="false" ht="15" hidden="false" customHeight="false" outlineLevel="0" collapsed="false">
      <c r="A50" s="35" t="s">
        <v>242</v>
      </c>
      <c r="B50" s="35" t="s">
        <v>255</v>
      </c>
      <c r="C50" s="42" t="n">
        <v>0.541432</v>
      </c>
      <c r="D50" s="42" t="n">
        <f aca="false">AEPS+TEbit*(1-Tax)/ShAfter</f>
        <v>0.541432460914477</v>
      </c>
      <c r="E50" s="37" t="n">
        <f aca="false">D50-C50</f>
        <v>4.60914477362628E-007</v>
      </c>
      <c r="F50" s="38" t="str">
        <f aca="false">IF(ABS(E50)&lt;=0.0000005,"PASS","FAIL")</f>
        <v>PASS</v>
      </c>
    </row>
    <row r="51" customFormat="false" ht="15" hidden="false" customHeight="false" outlineLevel="0" collapsed="false">
      <c r="A51" s="35" t="s">
        <v>256</v>
      </c>
      <c r="B51" s="35" t="s">
        <v>257</v>
      </c>
      <c r="C51" s="42" t="n">
        <v>0.000233</v>
      </c>
      <c r="D51" s="42" t="n">
        <f aca="false">EoFV*DebtRate*(1-Tax)/ShAfter-Repric*(1-Tax)/ShAfter</f>
        <v>0.000233082510659332</v>
      </c>
      <c r="E51" s="37" t="n">
        <f aca="false">D51-C51</f>
        <v>8.25106593320033E-008</v>
      </c>
      <c r="F51" s="38" t="str">
        <f aca="false">IF(ABS(E51)&lt;=0.0000005,"PASS","FAIL")</f>
        <v>PASS</v>
      </c>
    </row>
    <row r="53" customFormat="false" ht="15" hidden="false" customHeight="false" outlineLevel="0" collapsed="false">
      <c r="B53" s="7" t="s">
        <v>258</v>
      </c>
      <c r="C53" s="7" t="n">
        <f aca="false">COUNTIF(F8:F51,"PASS")</f>
        <v>44</v>
      </c>
    </row>
    <row r="54" customFormat="false" ht="15" hidden="false" customHeight="false" outlineLevel="0" collapsed="false">
      <c r="B54" s="7" t="s">
        <v>259</v>
      </c>
      <c r="C54" s="7" t="n">
        <f aca="false">COUNTIF(F8:F51,"FAIL")</f>
        <v>0</v>
      </c>
    </row>
    <row r="55" customFormat="false" ht="15" hidden="false" customHeight="false" outlineLevel="0" collapsed="false">
      <c r="B55" s="7" t="s">
        <v>260</v>
      </c>
      <c r="C55" s="7" t="str">
        <f aca="false">IF(C53=44,"ALL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2026-08-29T23:24:52Z</dcterms:created>
  <dc:creator>openpyxl</dc:creator>
  <dc:description/>
  <dc:language>en-US</dc:language>
  <cp:lastModifiedBy/>
  <dcterms:modified xsi:type="dcterms:W3CDTF">2026-09-24T01:14:41Z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