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Inputs" sheetId="2" state="visible" r:id="rId4"/>
    <sheet name="Monthly" sheetId="3" state="visible" r:id="rId5"/>
    <sheet name="Staffing" sheetId="4" state="visible" r:id="rId6"/>
    <sheet name="Power_SLA" sheetId="5" state="visible" r:id="rId7"/>
    <sheet name="Annual" sheetId="6" state="visible" r:id="rId8"/>
    <sheet name="Cooling" sheetId="7" state="visible" r:id="rId9"/>
    <sheet name="Maintenance" sheetId="8" state="visible" r:id="rId10"/>
    <sheet name="Capacity" sheetId="9" state="visible" r:id="rId11"/>
    <sheet name="Pricing" sheetId="10" state="visible" r:id="rId12"/>
    <sheet name="Retrofit" sheetId="11" state="visible" r:id="rId13"/>
    <sheet name="Checks" sheetId="12" state="visible" r:id="rId1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<sst xmlns="http://schemas.openxmlformats.org/spreadsheetml/2006/main" count="527" uniqueCount="499">
  <si>
    <t xml:space="preserve">The Data Center Operations Handbook: companion workbook (Varden Point)</t>
  </si>
  <si>
    <t xml:space="preserve">This workbook rebuilds the fictional 36 MW colocation campus the book follows, month by month for 36 months from handover.</t>
  </si>
  <si>
    <t xml:space="preserve">Every figure the book prints about Varden Point is computed here by live formula. Blue cells on a light blue background are inputs (all on the Inputs sheet).</t>
  </si>
  <si>
    <t xml:space="preserve">Everything else is a formula. There is no macro, no data table and no circular reference. Amounts are US dollars unless stated.</t>
  </si>
  <si>
    <t xml:space="preserve">Sheets:</t>
  </si>
  <si>
    <t xml:space="preserve">  Inputs        : every assumption: capacity, lease-up, prices, energy terms, PUE curve, staffing, contracts, loan, test program, retrofit.</t>
  </si>
  <si>
    <t xml:space="preserve">  Monthly       : 36 months: sold and drawn kW, PUE by building, rent, cross-connects, services, energy billed, energy cost, energy margin, churn, commissions.</t>
  </si>
  <si>
    <t xml:space="preserve">  Annual        : the three-year budget of Chapter 11, per-MW measures, the loan and DSCR of Chapter 15, breakevens, emissions and water.</t>
  </si>
  <si>
    <t xml:space="preserve">  Cooling       : Chapter 5: halls conditioned as needed versus all four, warmer supply air, and the breakeven for opening a hall.</t>
  </si>
  <si>
    <t xml:space="preserve">  Staffing      : Chapter 2: seats, FTE per seat, the organization, and the in-house, hybrid and outsourced models.</t>
  </si>
  <si>
    <t xml:space="preserve">  Power_SLA     : Chapters 3, 4 and 7: the nines, generator test fuel, fuel autonomy, circuits, the month-7 incident and its credit.</t>
  </si>
  <si>
    <t xml:space="preserve">  Maintenance   : Chapter 6: the preventive program in work orders and person-hours.</t>
  </si>
  <si>
    <t xml:space="preserve">  Capacity      : Chapter 10: oversubscription and the UPS block mapping of Building B.</t>
  </si>
  <si>
    <t xml:space="preserve">  Pricing       : Chapters 8 and 9: the price floor, the energy billing structures, the hyperscale ramp.</t>
  </si>
  <si>
    <t xml:space="preserve">  Retrofit      : Chapter 14: suite B8, air-cooled or liquid-cooled, in the two market cases.</t>
  </si>
  <si>
    <t xml:space="preserve">  Checks        : the book's printed figures beside the live formulas. At the default inputs every line reads OK.</t>
  </si>
  <si>
    <t xml:space="preserve">How to use it:</t>
  </si>
  <si>
    <t xml:space="preserve">  1. Change any blue input on the Inputs sheet and every dependent figure moves (lease-up, prices, PUE terms, tariff, staffing, loan).</t>
  </si>
  <si>
    <t xml:space="preserve">  2. Set 'Condition all four retail halls from day one' to 1 to see the cost of opening halls before they are needed.</t>
  </si>
  <si>
    <t xml:space="preserve">  3. Set the utility price shock (for example 20%) to see why a pass-through business barely notices it.</t>
  </si>
  <si>
    <t xml:space="preserve">  4. The Checks sheet compares with the book at the DEFAULT inputs; after you change an input some checks read DIFF. That is expected.</t>
  </si>
  <si>
    <t xml:space="preserve">Varden Point is fictional. Every input is an illustrative teaching assumption, not a market statistic.</t>
  </si>
  <si>
    <t xml:space="preserve">Inputs (blue cells may be changed)</t>
  </si>
  <si>
    <t xml:space="preserve">CAPACITY AND LEASE-UP</t>
  </si>
  <si>
    <t xml:space="preserve">Design critical IT capacity per building (kW)</t>
  </si>
  <si>
    <t xml:space="preserve">Retail hall size, Building A (kW)</t>
  </si>
  <si>
    <t xml:space="preserve">Number of retail halls</t>
  </si>
  <si>
    <t xml:space="preserve">Building A sold kW at month 0</t>
  </si>
  <si>
    <t xml:space="preserve">Building A sold kW at month 12</t>
  </si>
  <si>
    <t xml:space="preserve">Building A sold kW at month 24</t>
  </si>
  <si>
    <t xml:space="preserve">Building A sold kW at month 36</t>
  </si>
  <si>
    <t xml:space="preserve">Building B sold kW at month 0</t>
  </si>
  <si>
    <t xml:space="preserve">Building B sold kW at month 12</t>
  </si>
  <si>
    <t xml:space="preserve">Building B sold kW at month 24</t>
  </si>
  <si>
    <t xml:space="preserve">Building B sold kW at month 36</t>
  </si>
  <si>
    <t xml:space="preserve">Building C billable kW, lease year 1</t>
  </si>
  <si>
    <t xml:space="preserve">Building C billable kW, lease year 2</t>
  </si>
  <si>
    <t xml:space="preserve">Building C billable kW, lease year 3</t>
  </si>
  <si>
    <t xml:space="preserve">Retail churn, share of sold kW per month</t>
  </si>
  <si>
    <t xml:space="preserve">Drawn load as share of sold, Building A</t>
  </si>
  <si>
    <t xml:space="preserve">Drawn load as share of sold, Building B</t>
  </si>
  <si>
    <t xml:space="preserve">Drawn load as share of sold, Building C</t>
  </si>
  <si>
    <t xml:space="preserve">PRICES</t>
  </si>
  <si>
    <t xml:space="preserve">Price year 1, Building A ($ per kW-month)</t>
  </si>
  <si>
    <t xml:space="preserve">Annual escalator, Building A</t>
  </si>
  <si>
    <t xml:space="preserve">Price year 1, Building B ($ per kW-month)</t>
  </si>
  <si>
    <t xml:space="preserve">Annual escalator, Building B</t>
  </si>
  <si>
    <t xml:space="preserve">Price year 1, Building C ($ per kW-month)</t>
  </si>
  <si>
    <t xml:space="preserve">Annual escalator, Building C</t>
  </si>
  <si>
    <t xml:space="preserve">Cross-connects per MW sold, Building A</t>
  </si>
  <si>
    <t xml:space="preserve">Cross-connect price ($ per month)</t>
  </si>
  <si>
    <t xml:space="preserve">Remote hands revenue ($ per MW sold per month, A and B)</t>
  </si>
  <si>
    <t xml:space="preserve">ENERGY</t>
  </si>
  <si>
    <t xml:space="preserve">Utility cost year 1 ($ per MWh)</t>
  </si>
  <si>
    <t xml:space="preserve">Utility cost escalator</t>
  </si>
  <si>
    <t xml:space="preserve">Utility price shock (stress)</t>
  </si>
  <si>
    <t xml:space="preserve">e.g. 20% for Chapter 11</t>
  </si>
  <si>
    <t xml:space="preserve">Proportional overhead, Building A</t>
  </si>
  <si>
    <t xml:space="preserve">Proportional overhead, Building B</t>
  </si>
  <si>
    <t xml:space="preserve">Proportional overhead, Building C</t>
  </si>
  <si>
    <t xml:space="preserve">Fixed overhead per conditioned retail hall (kW)</t>
  </si>
  <si>
    <t xml:space="preserve">Fixed overhead, Building B (kW)</t>
  </si>
  <si>
    <t xml:space="preserve">Fixed overhead, Building C (kW)</t>
  </si>
  <si>
    <t xml:space="preserve">Condition all four retail halls from day one (1 = yes)</t>
  </si>
  <si>
    <t xml:space="preserve">Chapter 5: 0 is the base case</t>
  </si>
  <si>
    <t xml:space="preserve">Proportional overhead A with warmer supply air</t>
  </si>
  <si>
    <t xml:space="preserve">Chapter 5: 20 to 24 degrees C</t>
  </si>
  <si>
    <t xml:space="preserve">Retail energy multiplier (Building A)</t>
  </si>
  <si>
    <t xml:space="preserve">Wholesale PUE cap (Building B)</t>
  </si>
  <si>
    <t xml:space="preserve">Wholesale energy fee ($ per MWh of IT energy)</t>
  </si>
  <si>
    <t xml:space="preserve">OPERATING COSTS</t>
  </si>
  <si>
    <t xml:space="preserve">Staff and security cost escalator</t>
  </si>
  <si>
    <t xml:space="preserve">Productive hours per FTE per year</t>
  </si>
  <si>
    <t xml:space="preserve">Contracted security seats (24x7)</t>
  </si>
  <si>
    <t xml:space="preserve">Security rate ($ per hour)</t>
  </si>
  <si>
    <t xml:space="preserve">Contract, repairs, tax and insurance escalator</t>
  </si>
  <si>
    <t xml:space="preserve">Repairs and consumables year 1 ($)</t>
  </si>
  <si>
    <t xml:space="preserve">Insurance year 1 ($)</t>
  </si>
  <si>
    <t xml:space="preserve">Property tax year 1 ($)</t>
  </si>
  <si>
    <t xml:space="preserve">Building C's share of insurance and tax</t>
  </si>
  <si>
    <t xml:space="preserve">Audits year 1 ($)</t>
  </si>
  <si>
    <t xml:space="preserve">Platform management fee (share of recurring revenue)</t>
  </si>
  <si>
    <t xml:space="preserve">Commission (months of MRC per gross kW sold, A and B)</t>
  </si>
  <si>
    <t xml:space="preserve">Lifecycle reserve ($ per design kW per year)</t>
  </si>
  <si>
    <t xml:space="preserve">Water use, Building A (liters per kWh of IT energy)</t>
  </si>
  <si>
    <t xml:space="preserve">Water use, Building B (liters per kWh of IT energy)</t>
  </si>
  <si>
    <t xml:space="preserve">Water use, Building C (liters per kWh of IT energy)</t>
  </si>
  <si>
    <t xml:space="preserve">Water and sewer ($ per cubic meter)</t>
  </si>
  <si>
    <t xml:space="preserve">GENERATORS AND FUEL</t>
  </si>
  <si>
    <t xml:space="preserve">Generators</t>
  </si>
  <si>
    <t xml:space="preserve">Generator rating (kW)</t>
  </si>
  <si>
    <t xml:space="preserve">kWh per gallon of diesel</t>
  </si>
  <si>
    <t xml:space="preserve">Diesel price ($ per gallon)</t>
  </si>
  <si>
    <t xml:space="preserve">Monthly run hours per generator</t>
  </si>
  <si>
    <t xml:space="preserve">Monthly run load (share of rating)</t>
  </si>
  <si>
    <t xml:space="preserve">Annual load bank hours per generator</t>
  </si>
  <si>
    <t xml:space="preserve">Annual load bank load (share of rating)</t>
  </si>
  <si>
    <t xml:space="preserve">Fuel autonomy (hours)</t>
  </si>
  <si>
    <t xml:space="preserve">Facility load of one building at design (kW)</t>
  </si>
  <si>
    <t xml:space="preserve">LOAN</t>
  </si>
  <si>
    <t xml:space="preserve">Term loan ($)</t>
  </si>
  <si>
    <t xml:space="preserve">Interest rate</t>
  </si>
  <si>
    <t xml:space="preserve">Amortization in year 3 (share of principal)</t>
  </si>
  <si>
    <t xml:space="preserve">DSCR lock-up</t>
  </si>
  <si>
    <t xml:space="preserve">DSCR default</t>
  </si>
  <si>
    <t xml:space="preserve">EMISSIONS</t>
  </si>
  <si>
    <t xml:space="preserve">Grid emission factor (tCO2e per MWh)</t>
  </si>
  <si>
    <t xml:space="preserve">Share of facility MWh under the renewable contract</t>
  </si>
  <si>
    <t xml:space="preserve">kg CO2 per gallon of diesel</t>
  </si>
  <si>
    <t xml:space="preserve">PRICE FLOOR AND RETROFIT</t>
  </si>
  <si>
    <t xml:space="preserve">Build cost ($ per MW)</t>
  </si>
  <si>
    <t xml:space="preserve">Required unlevered yield</t>
  </si>
  <si>
    <t xml:space="preserve">Suite B8 size, block-limited (kW)</t>
  </si>
  <si>
    <t xml:space="preserve">Liquid-cooling capex ($ per MW)</t>
  </si>
  <si>
    <t xml:space="preserve">Air-cooled fit-out ($)</t>
  </si>
  <si>
    <t xml:space="preserve">Liquid-cooled price ($ per kW-month)</t>
  </si>
  <si>
    <t xml:space="preserve">Discount rate</t>
  </si>
  <si>
    <t xml:space="preserve">Rent escalator after year 3</t>
  </si>
  <si>
    <t xml:space="preserve">Years</t>
  </si>
  <si>
    <t xml:space="preserve">Weeks of works before the liquid suite bills</t>
  </si>
  <si>
    <t xml:space="preserve">INCIDENT (CHAPTER 7)</t>
  </si>
  <si>
    <t xml:space="preserve">Contracted kW of the affected customers</t>
  </si>
  <si>
    <t xml:space="preserve">Minutes without power</t>
  </si>
  <si>
    <t xml:space="preserve">Their price ($ per kW-month)</t>
  </si>
  <si>
    <t xml:space="preserve">Month of the incident</t>
  </si>
  <si>
    <t xml:space="preserve">Monthly model: 36 months from handover</t>
  </si>
  <si>
    <t xml:space="preserve">Sold kW at mid-month, interpolated between the year-end values on Inputs.</t>
  </si>
  <si>
    <t xml:space="preserve">Month</t>
  </si>
  <si>
    <t xml:space="preserve">Year</t>
  </si>
  <si>
    <t xml:space="preserve">Share of year</t>
  </si>
  <si>
    <t xml:space="preserve">Sold A</t>
  </si>
  <si>
    <t xml:space="preserve">Sold B</t>
  </si>
  <si>
    <t xml:space="preserve">Sold C</t>
  </si>
  <si>
    <t xml:space="preserve">Halls A</t>
  </si>
  <si>
    <t xml:space="preserve">Drawn A</t>
  </si>
  <si>
    <t xml:space="preserve">Drawn B</t>
  </si>
  <si>
    <t xml:space="preserve">Drawn C</t>
  </si>
  <si>
    <t xml:space="preserve">PUE A</t>
  </si>
  <si>
    <t xml:space="preserve">PUE B</t>
  </si>
  <si>
    <t xml:space="preserve">PUE C</t>
  </si>
  <si>
    <t xml:space="preserve">Tariff</t>
  </si>
  <si>
    <t xml:space="preserve">Price A</t>
  </si>
  <si>
    <t xml:space="preserve">Price B</t>
  </si>
  <si>
    <t xml:space="preserve">Price C</t>
  </si>
  <si>
    <t xml:space="preserve">Rent A</t>
  </si>
  <si>
    <t xml:space="preserve">Rent B</t>
  </si>
  <si>
    <t xml:space="preserve">Rent C</t>
  </si>
  <si>
    <t xml:space="preserve">Cross-connects</t>
  </si>
  <si>
    <t xml:space="preserve">Services</t>
  </si>
  <si>
    <t xml:space="preserve">IT MWh A</t>
  </si>
  <si>
    <t xml:space="preserve">IT MWh B</t>
  </si>
  <si>
    <t xml:space="preserve">IT MWh C</t>
  </si>
  <si>
    <t xml:space="preserve">Fac MWh A</t>
  </si>
  <si>
    <t xml:space="preserve">Fac MWh B</t>
  </si>
  <si>
    <t xml:space="preserve">Fac MWh C</t>
  </si>
  <si>
    <t xml:space="preserve">Cost A</t>
  </si>
  <si>
    <t xml:space="preserve">Cost B</t>
  </si>
  <si>
    <t xml:space="preserve">Cost C</t>
  </si>
  <si>
    <t xml:space="preserve">Billed A</t>
  </si>
  <si>
    <t xml:space="preserve">Billed B</t>
  </si>
  <si>
    <t xml:space="preserve">Billed C</t>
  </si>
  <si>
    <t xml:space="preserve">Margin A</t>
  </si>
  <si>
    <t xml:space="preserve">Margin B</t>
  </si>
  <si>
    <t xml:space="preserve">Margin C</t>
  </si>
  <si>
    <t xml:space="preserve">Churn A</t>
  </si>
  <si>
    <t xml:space="preserve">Gross A</t>
  </si>
  <si>
    <t xml:space="preserve">Gross B</t>
  </si>
  <si>
    <t xml:space="preserve">Commission</t>
  </si>
  <si>
    <t xml:space="preserve">Water m3</t>
  </si>
  <si>
    <t xml:space="preserve">Staffing and operating models (Chapter 2)</t>
  </si>
  <si>
    <t xml:space="preserve">Role</t>
  </si>
  <si>
    <t xml:space="preserve">FTE</t>
  </si>
  <si>
    <t xml:space="preserve">Loaded cost ($k)</t>
  </si>
  <si>
    <t xml:space="preserve">Cost year 1 ($)</t>
  </si>
  <si>
    <t xml:space="preserve">Group</t>
  </si>
  <si>
    <t xml:space="preserve">Site director</t>
  </si>
  <si>
    <t xml:space="preserve">core</t>
  </si>
  <si>
    <t xml:space="preserve">Operations manager</t>
  </si>
  <si>
    <t xml:space="preserve">Shift leads (one 24x7 seat)</t>
  </si>
  <si>
    <t xml:space="preserve">other</t>
  </si>
  <si>
    <t xml:space="preserve">Critical facility technicians (two 24x7 seats)</t>
  </si>
  <si>
    <t xml:space="preserve">technician</t>
  </si>
  <si>
    <t xml:space="preserve">Day engineers: electrical, mechanical, controls</t>
  </si>
  <si>
    <t xml:space="preserve">Maintenance planner</t>
  </si>
  <si>
    <t xml:space="preserve">EHS and compliance lead</t>
  </si>
  <si>
    <t xml:space="preserve">Customer operations technicians (one 24x7 seat)</t>
  </si>
  <si>
    <t xml:space="preserve">Customer operations manager</t>
  </si>
  <si>
    <t xml:space="preserve">TOTAL</t>
  </si>
  <si>
    <t xml:space="preserve">FTE per round-the-clock seat</t>
  </si>
  <si>
    <t xml:space="preserve">FTE per design MW</t>
  </si>
  <si>
    <t xml:space="preserve">Staff cost per design kW-month</t>
  </si>
  <si>
    <t xml:space="preserve">Security, year 1 ($)</t>
  </si>
  <si>
    <t xml:space="preserve">Retained core (in-house leadership) ($)</t>
  </si>
  <si>
    <t xml:space="preserve">Vendor cost factor</t>
  </si>
  <si>
    <t xml:space="preserve">Vendor fee</t>
  </si>
  <si>
    <t xml:space="preserve">In-house model ($)</t>
  </si>
  <si>
    <t xml:space="preserve">Outsourced model ($)</t>
  </si>
  <si>
    <t xml:space="preserve">Hybrid model, technicians outsourced ($)</t>
  </si>
  <si>
    <t xml:space="preserve">Power, generators, circuits and the SLA (Chapters 3, 4, 7)</t>
  </si>
  <si>
    <t xml:space="preserve">NINES</t>
  </si>
  <si>
    <t xml:space="preserve">Three nines: minutes a year</t>
  </si>
  <si>
    <t xml:space="preserve">Four nines: minutes a year</t>
  </si>
  <si>
    <t xml:space="preserve">Five nines: minutes a year</t>
  </si>
  <si>
    <t xml:space="preserve">Six nines: minutes a year</t>
  </si>
  <si>
    <t xml:space="preserve">GENERATOR TESTING</t>
  </si>
  <si>
    <t xml:space="preserve">Monthly runs: gallons a year</t>
  </si>
  <si>
    <t xml:space="preserve">Annual load bank: gallons a year</t>
  </si>
  <si>
    <t xml:space="preserve">Total test fuel: gallons a year</t>
  </si>
  <si>
    <t xml:space="preserve">Test fuel cost, year 1 ($)</t>
  </si>
  <si>
    <t xml:space="preserve">Scope 1 from testing (tCO2)</t>
  </si>
  <si>
    <t xml:space="preserve">FUEL AUTONOMY</t>
  </si>
  <si>
    <t xml:space="preserve">Burn rate at design load, one building (gallons per hour)</t>
  </si>
  <si>
    <t xml:space="preserve">Fuel for the autonomy period, one building (gallons)</t>
  </si>
  <si>
    <t xml:space="preserve">CIRCUITS</t>
  </si>
  <si>
    <t xml:space="preserve">208 V three-phase 30 A at 80 percent (kW)</t>
  </si>
  <si>
    <t xml:space="preserve">208 V three-phase 60 A at 80 percent (kW)</t>
  </si>
  <si>
    <t xml:space="preserve">INCIDENT, MONTH 7 (CHAPTER 7)</t>
  </si>
  <si>
    <t xml:space="preserve">MRC of the affected customers ($)</t>
  </si>
  <si>
    <t xml:space="preserve">Credit tier (share of MRC)</t>
  </si>
  <si>
    <t xml:space="preserve">Credit ($)</t>
  </si>
  <si>
    <t xml:space="preserve">Sold kW at the time (campus)</t>
  </si>
  <si>
    <t xml:space="preserve">Campus kW-weighted availability, month</t>
  </si>
  <si>
    <t xml:space="preserve">Campus kW-weighted availability, year</t>
  </si>
  <si>
    <t xml:space="preserve">Affected customer availability, month</t>
  </si>
  <si>
    <t xml:space="preserve">Affected customer availability, year</t>
  </si>
  <si>
    <t xml:space="preserve">Three-year budget, loan and reporting measures (Chapters 11, 13, 15)</t>
  </si>
  <si>
    <t xml:space="preserve">Amounts in $ unless stated. Columns B to D are years 1 to 3.</t>
  </si>
  <si>
    <t xml:space="preserve">Line</t>
  </si>
  <si>
    <t xml:space="preserve">Year 1</t>
  </si>
  <si>
    <t xml:space="preserve">Year 2</t>
  </si>
  <si>
    <t xml:space="preserve">Year 3</t>
  </si>
  <si>
    <t xml:space="preserve">Rent, Building A (retail)</t>
  </si>
  <si>
    <t xml:space="preserve">Rent, Building B (wholesale)</t>
  </si>
  <si>
    <t xml:space="preserve">Rent, Building C (hyperscale)</t>
  </si>
  <si>
    <t xml:space="preserve">Remote hands and services</t>
  </si>
  <si>
    <t xml:space="preserve">RECURRING REVENUE</t>
  </si>
  <si>
    <t xml:space="preserve">Energy billed to customers</t>
  </si>
  <si>
    <t xml:space="preserve">TOTAL REVENUE</t>
  </si>
  <si>
    <t xml:space="preserve">Energy bought from the utility</t>
  </si>
  <si>
    <t xml:space="preserve">Staff</t>
  </si>
  <si>
    <t xml:space="preserve">Security (contracted)</t>
  </si>
  <si>
    <t xml:space="preserve">Maintenance contracts</t>
  </si>
  <si>
    <t xml:space="preserve">Repairs and consumables</t>
  </si>
  <si>
    <t xml:space="preserve">Generator test fuel</t>
  </si>
  <si>
    <t xml:space="preserve">Insurance and property tax, gross</t>
  </si>
  <si>
    <t xml:space="preserve">Recovered from Building C</t>
  </si>
  <si>
    <t xml:space="preserve">Audits</t>
  </si>
  <si>
    <t xml:space="preserve">Water and sewer</t>
  </si>
  <si>
    <t xml:space="preserve">Platform management fee</t>
  </si>
  <si>
    <t xml:space="preserve">Sales commissions</t>
  </si>
  <si>
    <t xml:space="preserve">OPERATING COSTS EXCLUDING ENERGY</t>
  </si>
  <si>
    <t xml:space="preserve">SITE EBITDA</t>
  </si>
  <si>
    <t xml:space="preserve">Energy margin, Building A</t>
  </si>
  <si>
    <t xml:space="preserve">Energy margin, Building B</t>
  </si>
  <si>
    <t xml:space="preserve">Energy margin, Building C</t>
  </si>
  <si>
    <t xml:space="preserve">Net revenue (recurring plus energy margin)</t>
  </si>
  <si>
    <t xml:space="preserve">EBITDA margin on total revenue</t>
  </si>
  <si>
    <t xml:space="preserve">EBITDA margin on net revenue</t>
  </si>
  <si>
    <t xml:space="preserve">Fixed costs (staff, security, contracts, repairs, fuel, net tax, audits)</t>
  </si>
  <si>
    <t xml:space="preserve">Average sold kW, A</t>
  </si>
  <si>
    <t xml:space="preserve">Average sold kW, B</t>
  </si>
  <si>
    <t xml:space="preserve">Average sold kW, C</t>
  </si>
  <si>
    <t xml:space="preserve">EBITDA per design MW</t>
  </si>
  <si>
    <t xml:space="preserve">EBITDA per sold MW</t>
  </si>
  <si>
    <t xml:space="preserve">IT MWh, A</t>
  </si>
  <si>
    <t xml:space="preserve">Facility MWh, A</t>
  </si>
  <si>
    <t xml:space="preserve">IT MWh, B</t>
  </si>
  <si>
    <t xml:space="preserve">Facility MWh, B</t>
  </si>
  <si>
    <t xml:space="preserve">IT MWh, C</t>
  </si>
  <si>
    <t xml:space="preserve">Facility MWh, C</t>
  </si>
  <si>
    <t xml:space="preserve">PUE, Building A</t>
  </si>
  <si>
    <t xml:space="preserve">PUE, Building B</t>
  </si>
  <si>
    <t xml:space="preserve">PUE, Building C</t>
  </si>
  <si>
    <t xml:space="preserve">PUE, campus</t>
  </si>
  <si>
    <t xml:space="preserve">Water (cubic meters)</t>
  </si>
  <si>
    <t xml:space="preserve">WUE, campus (liters per kWh of IT energy)</t>
  </si>
  <si>
    <t xml:space="preserve">Scope 2, location-based (tCO2e)</t>
  </si>
  <si>
    <t xml:space="preserve">Scope 2, market-based (tCO2e)</t>
  </si>
  <si>
    <t xml:space="preserve">Lifecycle reserve</t>
  </si>
  <si>
    <t xml:space="preserve">CASH FLOW AVAILABLE FOR DEBT SERVICE</t>
  </si>
  <si>
    <t xml:space="preserve">Interest</t>
  </si>
  <si>
    <t xml:space="preserve">Principal</t>
  </si>
  <si>
    <t xml:space="preserve">Debt service</t>
  </si>
  <si>
    <t xml:space="preserve">DSCR</t>
  </si>
  <si>
    <t xml:space="preserve">Gross kW sold, A</t>
  </si>
  <si>
    <t xml:space="preserve">kW churned, A</t>
  </si>
  <si>
    <t xml:space="preserve">Gross kW sold, B</t>
  </si>
  <si>
    <t xml:space="preserve">Interest reserve needed in year 1 (debt service less CFADS)</t>
  </si>
  <si>
    <t xml:space="preserve">Year 3: recurring revenue cut to lock-up ($)</t>
  </si>
  <si>
    <t xml:space="preserve">Year 3: same as share of recurring revenue</t>
  </si>
  <si>
    <t xml:space="preserve">Year 3: recurring revenue cut to default ($)</t>
  </si>
  <si>
    <t xml:space="preserve">Year 1 net revenue per sold kW-month</t>
  </si>
  <si>
    <t xml:space="preserve">Contribution after the management fee</t>
  </si>
  <si>
    <t xml:space="preserve">Fixed costs and water, year 1</t>
  </si>
  <si>
    <t xml:space="preserve">EBITDA breakeven, sold kW (year 1)</t>
  </si>
  <si>
    <t xml:space="preserve">Sold kW to cover fixed costs, lifecycle and interest (year 1)</t>
  </si>
  <si>
    <t xml:space="preserve">Building C's share of year-3 recurring revenue</t>
  </si>
  <si>
    <t xml:space="preserve">Year-1 value of conditioning halls as needed (energy margin)</t>
  </si>
  <si>
    <t xml:space="preserve">Cooling levers in Building A (Chapter 5)</t>
  </si>
  <si>
    <t xml:space="preserve">Halls conditioned as needed (base), all four halls conditioned, and warmer supply air.</t>
  </si>
  <si>
    <t xml:space="preserve">Measure</t>
  </si>
  <si>
    <t xml:space="preserve">Base (as needed)</t>
  </si>
  <si>
    <t xml:space="preserve">All four halls</t>
  </si>
  <si>
    <t xml:space="preserve">Warmer air</t>
  </si>
  <si>
    <t xml:space="preserve">PUE A, year 1</t>
  </si>
  <si>
    <t xml:space="preserve">PUE A, year 2</t>
  </si>
  <si>
    <t xml:space="preserve">PUE A, year 3</t>
  </si>
  <si>
    <t xml:space="preserve">Energy margin A, year 1</t>
  </si>
  <si>
    <t xml:space="preserve">Energy margin A, year 2</t>
  </si>
  <si>
    <t xml:space="preserve">Energy margin A, year 3</t>
  </si>
  <si>
    <t xml:space="preserve">Year-1 energy margin: base / all halls</t>
  </si>
  <si>
    <t xml:space="preserve">Month-1 PUE A, base</t>
  </si>
  <si>
    <t xml:space="preserve">Month-1 PUE A, all four halls</t>
  </si>
  <si>
    <t xml:space="preserve">Hall breakeven: drawn kW per conditioned hall</t>
  </si>
  <si>
    <t xml:space="preserve">Hall breakeven: sold kW per conditioned hall</t>
  </si>
  <si>
    <t xml:space="preserve">PUE all halls</t>
  </si>
  <si>
    <t xml:space="preserve">PUE warmer</t>
  </si>
  <si>
    <t xml:space="preserve">Fac MWh all</t>
  </si>
  <si>
    <t xml:space="preserve">Margin all</t>
  </si>
  <si>
    <t xml:space="preserve">Fac MWh warm</t>
  </si>
  <si>
    <t xml:space="preserve">Margin warm</t>
  </si>
  <si>
    <t xml:space="preserve">Preventive maintenance program (Chapter 6)</t>
  </si>
  <si>
    <t xml:space="preserve">Asset family</t>
  </si>
  <si>
    <t xml:space="preserve">Assets</t>
  </si>
  <si>
    <t xml:space="preserve">Visits a year</t>
  </si>
  <si>
    <t xml:space="preserve">Hours per visit</t>
  </si>
  <si>
    <t xml:space="preserve">Crew</t>
  </si>
  <si>
    <t xml:space="preserve">By</t>
  </si>
  <si>
    <t xml:space="preserve">Work orders</t>
  </si>
  <si>
    <t xml:space="preserve">Person-hours</t>
  </si>
  <si>
    <t xml:space="preserve">Generators, monthly run and inspection</t>
  </si>
  <si>
    <t xml:space="preserve">in-house</t>
  </si>
  <si>
    <t xml:space="preserve">Generators, annual load bank and service</t>
  </si>
  <si>
    <t xml:space="preserve">vendor</t>
  </si>
  <si>
    <t xml:space="preserve">UPS modules</t>
  </si>
  <si>
    <t xml:space="preserve">Battery strings, impedance and visual</t>
  </si>
  <si>
    <t xml:space="preserve">Chillers</t>
  </si>
  <si>
    <t xml:space="preserve">CRAH units and fan walls</t>
  </si>
  <si>
    <t xml:space="preserve">Pumps</t>
  </si>
  <si>
    <t xml:space="preserve">Medium-voltage switchgear</t>
  </si>
  <si>
    <t xml:space="preserve">Switchboards and PDUs, infrared scan</t>
  </si>
  <si>
    <t xml:space="preserve">Transfer scheme functional tests</t>
  </si>
  <si>
    <t xml:space="preserve">Fire detection and suppression zones</t>
  </si>
  <si>
    <t xml:space="preserve">Cooling towers and dry coolers</t>
  </si>
  <si>
    <t xml:space="preserve">Work orders a year</t>
  </si>
  <si>
    <t xml:space="preserve">Work orders per working day (250 days)</t>
  </si>
  <si>
    <t xml:space="preserve">Person-hours a year</t>
  </si>
  <si>
    <t xml:space="preserve">In-house person-hours</t>
  </si>
  <si>
    <t xml:space="preserve">Vendor person-hours</t>
  </si>
  <si>
    <t xml:space="preserve">Productive hours of the three day engineers</t>
  </si>
  <si>
    <t xml:space="preserve">In-house PM share of day-engineer hours</t>
  </si>
  <si>
    <t xml:space="preserve">Maintainable assets (generators counted once)</t>
  </si>
  <si>
    <t xml:space="preserve">Capacity management (Chapter 10)</t>
  </si>
  <si>
    <t xml:space="preserve">OVERSUBSCRIPTION, BUILDING A</t>
  </si>
  <si>
    <t xml:space="preserve">Sell ratio</t>
  </si>
  <si>
    <t xml:space="preserve">Sold kW</t>
  </si>
  <si>
    <t xml:space="preserve">Breakeven draw (share of commitments)</t>
  </si>
  <si>
    <t xml:space="preserve">Draw (share of commitments)</t>
  </si>
  <si>
    <t xml:space="preserve">Load (kW)</t>
  </si>
  <si>
    <t xml:space="preserve">Share of design</t>
  </si>
  <si>
    <t xml:space="preserve">UPS BLOCKS, BUILDING B</t>
  </si>
  <si>
    <t xml:space="preserve">Block rating (kW)</t>
  </si>
  <si>
    <t xml:space="preserve">Safe loading limit</t>
  </si>
  <si>
    <t xml:space="preserve">Safe limit per block (kW)</t>
  </si>
  <si>
    <t xml:space="preserve">Critical capacity, four blocks (kW)</t>
  </si>
  <si>
    <t xml:space="preserve">Block</t>
  </si>
  <si>
    <t xml:space="preserve">Load at contracted capacity (kW)</t>
  </si>
  <si>
    <t xml:space="preserve">Headroom (kW)</t>
  </si>
  <si>
    <t xml:space="preserve">After a 1,200 kW suite on B3 and B4</t>
  </si>
  <si>
    <t xml:space="preserve">B1</t>
  </si>
  <si>
    <t xml:space="preserve">B2</t>
  </si>
  <si>
    <t xml:space="preserve">B3</t>
  </si>
  <si>
    <t xml:space="preserve">B4</t>
  </si>
  <si>
    <t xml:space="preserve">Sold (kW)</t>
  </si>
  <si>
    <t xml:space="preserve">Unsold on paper (kW)</t>
  </si>
  <si>
    <t xml:space="preserve">Blocks with 750 kW of headroom (a 1,500 kW suite needs two)</t>
  </si>
  <si>
    <t xml:space="preserve">Blocks with 600 kW of headroom (a 1,200 kW suite needs two)</t>
  </si>
  <si>
    <t xml:space="preserve">Stranded after a 1,200 kW suite on B3 and B4 (kW)</t>
  </si>
  <si>
    <t xml:space="preserve">Load on B3 and B4 with the suite at full load (kW)</t>
  </si>
  <si>
    <t xml:space="preserve">MONTH 30 SNAPSHOT</t>
  </si>
  <si>
    <t xml:space="preserve">Sold kW, campus</t>
  </si>
  <si>
    <t xml:space="preserve">Drawn kW, campus</t>
  </si>
  <si>
    <t xml:space="preserve">Drawn as share of sold</t>
  </si>
  <si>
    <t xml:space="preserve">Sold as share of design</t>
  </si>
  <si>
    <t xml:space="preserve">Recurring revenue in month 30</t>
  </si>
  <si>
    <t xml:space="preserve">Price floor, energy structures and the hyperscale ramp (Chapters 8 and 9)</t>
  </si>
  <si>
    <t xml:space="preserve">Build cost per kW</t>
  </si>
  <si>
    <t xml:space="preserve">Capital charge per kW-month at the required yield</t>
  </si>
  <si>
    <t xml:space="preserve">Year-3 operating cost per design kW-month (excl. energy and commissions)</t>
  </si>
  <si>
    <t xml:space="preserve">Price floor per kW-month</t>
  </si>
  <si>
    <t xml:space="preserve">Per 1,000 MWh of IT energy at the year-1 tariff</t>
  </si>
  <si>
    <t xml:space="preserve">Fixed multiplier</t>
  </si>
  <si>
    <t xml:space="preserve">Fee pass-through</t>
  </si>
  <si>
    <t xml:space="preserve">HYPERSCALE RAMP</t>
  </si>
  <si>
    <t xml:space="preserve">Year-1 rent had 12 MW been billable from day one</t>
  </si>
  <si>
    <t xml:space="preserve">Rent given up by the ramp in years 1 and 2</t>
  </si>
  <si>
    <t xml:space="preserve">Backlog in lease year 2 (annual rent of capacity signed, not billable)</t>
  </si>
  <si>
    <t xml:space="preserve">Suite B8: air-cooled or liquid-cooled (Chapter 14)</t>
  </si>
  <si>
    <t xml:space="preserve">Air-cooled price, year 3 ($ per kW-month)</t>
  </si>
  <si>
    <t xml:space="preserve">Liquid-cooling capex</t>
  </si>
  <si>
    <t xml:space="preserve">Annual rent, air-cooled</t>
  </si>
  <si>
    <t xml:space="preserve">Annual rent, liquid-cooled</t>
  </si>
  <si>
    <t xml:space="preserve">Annuity factor (escalating rent, discounted)</t>
  </si>
  <si>
    <t xml:space="preserve">PV of liquid rent lost to the works in year 1</t>
  </si>
  <si>
    <t xml:space="preserve">CASE 1: an air-cooled buyer exists</t>
  </si>
  <si>
    <t xml:space="preserve">Annual increment (full year)</t>
  </si>
  <si>
    <t xml:space="preserve">Additional capex</t>
  </si>
  <si>
    <t xml:space="preserve">Simple payback on a full year (years)</t>
  </si>
  <si>
    <t xml:space="preserve">Ten-year NPV (with the works delay)</t>
  </si>
  <si>
    <t xml:space="preserve">Liquid price for NPV zero</t>
  </si>
  <si>
    <t xml:space="preserve">CASE 2: no air-cooled buyer</t>
  </si>
  <si>
    <t xml:space="preserve">Capex</t>
  </si>
  <si>
    <t xml:space="preserve">Simple payback (years)</t>
  </si>
  <si>
    <t xml:space="preserve">The book's printed figures beside the live formulas (default inputs)</t>
  </si>
  <si>
    <t xml:space="preserve">Figure</t>
  </si>
  <si>
    <t xml:space="preserve">Printed in the book</t>
  </si>
  <si>
    <t xml:space="preserve">Live formula</t>
  </si>
  <si>
    <t xml:space="preserve">Status</t>
  </si>
  <si>
    <t xml:space="preserve">Tolerance</t>
  </si>
  <si>
    <t xml:space="preserve">Recurring revenue, year 1 ($m)</t>
  </si>
  <si>
    <t xml:space="preserve">Total revenue, year 1 ($m)</t>
  </si>
  <si>
    <t xml:space="preserve">Energy cost, year 1 ($m)</t>
  </si>
  <si>
    <t xml:space="preserve">Site EBITDA, year 1 ($m)</t>
  </si>
  <si>
    <t xml:space="preserve">Energy margin A, year 1 ($m)</t>
  </si>
  <si>
    <t xml:space="preserve">Energy margin B, year 1 ($m)</t>
  </si>
  <si>
    <t xml:space="preserve">PUE campus, year 1</t>
  </si>
  <si>
    <t xml:space="preserve">PUE B, year 1</t>
  </si>
  <si>
    <t xml:space="preserve">PUE C, year 1</t>
  </si>
  <si>
    <t xml:space="preserve">DSCR, year 1</t>
  </si>
  <si>
    <t xml:space="preserve">EBITDA per design MW, year 1 ($m)</t>
  </si>
  <si>
    <t xml:space="preserve">Scope 2 location-based, year 1 (t)</t>
  </si>
  <si>
    <t xml:space="preserve">Water, year 1 (m3)</t>
  </si>
  <si>
    <t xml:space="preserve">WUE campus, year 1</t>
  </si>
  <si>
    <t xml:space="preserve">Recurring revenue, year 2 ($m)</t>
  </si>
  <si>
    <t xml:space="preserve">Total revenue, year 2 ($m)</t>
  </si>
  <si>
    <t xml:space="preserve">Energy cost, year 2 ($m)</t>
  </si>
  <si>
    <t xml:space="preserve">Site EBITDA, year 2 ($m)</t>
  </si>
  <si>
    <t xml:space="preserve">Energy margin A, year 2 ($m)</t>
  </si>
  <si>
    <t xml:space="preserve">Energy margin B, year 2 ($m)</t>
  </si>
  <si>
    <t xml:space="preserve">PUE campus, year 2</t>
  </si>
  <si>
    <t xml:space="preserve">PUE B, year 2</t>
  </si>
  <si>
    <t xml:space="preserve">PUE C, year 2</t>
  </si>
  <si>
    <t xml:space="preserve">DSCR, year 2</t>
  </si>
  <si>
    <t xml:space="preserve">EBITDA per design MW, year 2 ($m)</t>
  </si>
  <si>
    <t xml:space="preserve">Scope 2 location-based, year 2 (t)</t>
  </si>
  <si>
    <t xml:space="preserve">Water, year 2 (m3)</t>
  </si>
  <si>
    <t xml:space="preserve">WUE campus, year 2</t>
  </si>
  <si>
    <t xml:space="preserve">Recurring revenue, year 3 ($m)</t>
  </si>
  <si>
    <t xml:space="preserve">Total revenue, year 3 ($m)</t>
  </si>
  <si>
    <t xml:space="preserve">Energy cost, year 3 ($m)</t>
  </si>
  <si>
    <t xml:space="preserve">Site EBITDA, year 3 ($m)</t>
  </si>
  <si>
    <t xml:space="preserve">Energy margin A, year 3 ($m)</t>
  </si>
  <si>
    <t xml:space="preserve">Energy margin B, year 3 ($m)</t>
  </si>
  <si>
    <t xml:space="preserve">PUE campus, year 3</t>
  </si>
  <si>
    <t xml:space="preserve">PUE B, year 3</t>
  </si>
  <si>
    <t xml:space="preserve">PUE C, year 3</t>
  </si>
  <si>
    <t xml:space="preserve">DSCR, year 3</t>
  </si>
  <si>
    <t xml:space="preserve">EBITDA per design MW, year 3 ($m)</t>
  </si>
  <si>
    <t xml:space="preserve">Scope 2 location-based, year 3 (t)</t>
  </si>
  <si>
    <t xml:space="preserve">Water, year 3 (m3)</t>
  </si>
  <si>
    <t xml:space="preserve">WUE campus, year 3</t>
  </si>
  <si>
    <t xml:space="preserve">EBITDA margin on net revenue, year 3</t>
  </si>
  <si>
    <t xml:space="preserve">Interest reserve, year 1 ($m)</t>
  </si>
  <si>
    <t xml:space="preserve">Year 3 cut to lock-up ($m)</t>
  </si>
  <si>
    <t xml:space="preserve">Year 3 cut to default ($m)</t>
  </si>
  <si>
    <t xml:space="preserve">EBITDA breakeven, sold kW</t>
  </si>
  <si>
    <t xml:space="preserve">Sold kW to cover fixed, lifecycle, interest</t>
  </si>
  <si>
    <t xml:space="preserve">Building C share of year-3 recurring revenue</t>
  </si>
  <si>
    <t xml:space="preserve">Value of conditioning halls as needed, year 1 ($m)</t>
  </si>
  <si>
    <t xml:space="preserve">Year-1 energy margin A, all halls ($m)</t>
  </si>
  <si>
    <t xml:space="preserve">Year-3 energy margin A, warmer air ($m)</t>
  </si>
  <si>
    <t xml:space="preserve">Hall breakeven, sold kW</t>
  </si>
  <si>
    <t xml:space="preserve">Staff cost, year 1 ($m)</t>
  </si>
  <si>
    <t xml:space="preserve">Outsourced model ($m)</t>
  </si>
  <si>
    <t xml:space="preserve">Hybrid model ($m)</t>
  </si>
  <si>
    <t xml:space="preserve">FTE per 24x7 seat</t>
  </si>
  <si>
    <t xml:space="preserve">Five nines, minutes a year</t>
  </si>
  <si>
    <t xml:space="preserve">Test fuel, gallons a year</t>
  </si>
  <si>
    <t xml:space="preserve">Fuel for 48 hours, one building (gallons)</t>
  </si>
  <si>
    <t xml:space="preserve">Circuit 208 V 30 A (kW)</t>
  </si>
  <si>
    <t xml:space="preserve">Incident credit ($)</t>
  </si>
  <si>
    <t xml:space="preserve">Campus availability in month 7</t>
  </si>
  <si>
    <t xml:space="preserve">PM work orders a year</t>
  </si>
  <si>
    <t xml:space="preserve">PM person-hours a year</t>
  </si>
  <si>
    <t xml:space="preserve">Breakeven draw when 110 percent sold</t>
  </si>
  <si>
    <t xml:space="preserve">Stranded kW in Building B</t>
  </si>
  <si>
    <t xml:space="preserve">Month 30 sold kW</t>
  </si>
  <si>
    <t xml:space="preserve">Month 30 drawn kW</t>
  </si>
  <si>
    <t xml:space="preserve">Month 30 recurring revenue ($m)</t>
  </si>
  <si>
    <t xml:space="preserve">Price floor ($ per kW-month)</t>
  </si>
  <si>
    <t xml:space="preserve">Fixed multiplier at PUE 1.70 ($)</t>
  </si>
  <si>
    <t xml:space="preserve">Rent given up by the ramp ($m)</t>
  </si>
  <si>
    <t xml:space="preserve">Backlog, lease year 2 ($m)</t>
  </si>
  <si>
    <t xml:space="preserve">Retrofit case 1 NPV ($m)</t>
  </si>
  <si>
    <t xml:space="preserve">Retrofit case 1 payback (years)</t>
  </si>
  <si>
    <t xml:space="preserve">Retrofit case 2 NPV ($m)</t>
  </si>
  <si>
    <t xml:space="preserve">Retrofit breakeven price</t>
  </si>
  <si>
    <t xml:space="preserve">Scope 1 from testing (t)</t>
  </si>
  <si>
    <t xml:space="preserve">RESULT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</si>
</sst>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"/>
    <numFmt numFmtId="166" formatCode="0"/>
    <numFmt numFmtId="167" formatCode="0.00%"/>
    <numFmt numFmtId="168" formatCode="0.0%"/>
    <numFmt numFmtId="169" formatCode="#,##0.00"/>
    <numFmt numFmtId="170" formatCode="0.000"/>
    <numFmt numFmtId="171" formatCode="0.00"/>
    <numFmt numFmtId="172" formatCode="0.00\x"/>
    <numFmt numFmtId="173" formatCode="0.00000%"/>
    <numFmt numFmtId="174" formatCode="0.000000%"/>
    <numFmt numFmtId="175" formatCode="0.000%"/>
    <numFmt numFmtId="176" formatCode="0.00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F4E9E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0FA"/>
        <bgColor rgb="FFFFFFFF"/>
      </patternFill>
    </fill>
    <fill>
      <patternFill patternType="solid">
        <fgColor rgb="FF17323F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9E"/>
      <rgbColor rgb="FF1732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 t="s">
        <v>15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 t="s">
        <v>18</v>
      </c>
    </row>
    <row r="23" customFormat="false" ht="15" hidden="false" customHeight="false" outlineLevel="0" collapsed="false">
      <c r="A23" s="2" t="s">
        <v>19</v>
      </c>
    </row>
    <row r="24" customFormat="false" ht="15" hidden="false" customHeight="false" outlineLevel="0" collapsed="false">
      <c r="A24" s="2" t="s">
        <v>20</v>
      </c>
    </row>
    <row r="25" customFormat="false" ht="15" hidden="false" customHeight="false" outlineLevel="0" collapsed="false">
      <c r="A25" s="2"/>
    </row>
    <row r="26" customFormat="false" ht="15" hidden="false" customHeight="false" outlineLevel="0" collapsed="false">
      <c r="A26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3" t="s">
        <v>22</v>
      </c>
    </row>
    <row r="3" customFormat="false" ht="15" hidden="false" customHeight="false" outlineLevel="0" collapsed="false">
      <c r="A3" s="4" t="s">
        <v>23</v>
      </c>
    </row>
    <row r="4" customFormat="false" ht="15" hidden="false" customHeight="false" outlineLevel="0" collapsed="false">
      <c r="A4" s="2" t="s">
        <v>24</v>
      </c>
      <c r="B4" s="5" t="n">
        <v>12000</v>
      </c>
    </row>
    <row r="5" customFormat="false" ht="15" hidden="false" customHeight="false" outlineLevel="0" collapsed="false">
      <c r="A5" s="2" t="s">
        <v>25</v>
      </c>
      <c r="B5" s="5" t="n">
        <v>3000</v>
      </c>
    </row>
    <row r="6" customFormat="false" ht="15" hidden="false" customHeight="false" outlineLevel="0" collapsed="false">
      <c r="A6" s="2" t="s">
        <v>26</v>
      </c>
      <c r="B6" s="6" t="n">
        <v>4</v>
      </c>
    </row>
    <row r="7" customFormat="false" ht="15" hidden="false" customHeight="false" outlineLevel="0" collapsed="false">
      <c r="A7" s="2" t="s">
        <v>27</v>
      </c>
      <c r="B7" s="5" t="n">
        <v>1800</v>
      </c>
    </row>
    <row r="8" customFormat="false" ht="15" hidden="false" customHeight="false" outlineLevel="0" collapsed="false">
      <c r="A8" s="2" t="s">
        <v>28</v>
      </c>
      <c r="B8" s="5" t="n">
        <v>4800</v>
      </c>
    </row>
    <row r="9" customFormat="false" ht="15" hidden="false" customHeight="false" outlineLevel="0" collapsed="false">
      <c r="A9" s="2" t="s">
        <v>29</v>
      </c>
      <c r="B9" s="5" t="n">
        <v>7800</v>
      </c>
    </row>
    <row r="10" customFormat="false" ht="15" hidden="false" customHeight="false" outlineLevel="0" collapsed="false">
      <c r="A10" s="2" t="s">
        <v>30</v>
      </c>
      <c r="B10" s="5" t="n">
        <v>9600</v>
      </c>
    </row>
    <row r="11" customFormat="false" ht="15" hidden="false" customHeight="false" outlineLevel="0" collapsed="false">
      <c r="A11" s="2" t="s">
        <v>31</v>
      </c>
      <c r="B11" s="5" t="n">
        <v>3000</v>
      </c>
    </row>
    <row r="12" customFormat="false" ht="15" hidden="false" customHeight="false" outlineLevel="0" collapsed="false">
      <c r="A12" s="2" t="s">
        <v>32</v>
      </c>
      <c r="B12" s="5" t="n">
        <v>6000</v>
      </c>
    </row>
    <row r="13" customFormat="false" ht="15" hidden="false" customHeight="false" outlineLevel="0" collapsed="false">
      <c r="A13" s="2" t="s">
        <v>33</v>
      </c>
      <c r="B13" s="5" t="n">
        <v>9000</v>
      </c>
    </row>
    <row r="14" customFormat="false" ht="15" hidden="false" customHeight="false" outlineLevel="0" collapsed="false">
      <c r="A14" s="2" t="s">
        <v>34</v>
      </c>
      <c r="B14" s="5" t="n">
        <v>10500</v>
      </c>
    </row>
    <row r="15" customFormat="false" ht="15" hidden="false" customHeight="false" outlineLevel="0" collapsed="false">
      <c r="A15" s="2" t="s">
        <v>35</v>
      </c>
      <c r="B15" s="5" t="n">
        <v>6000</v>
      </c>
    </row>
    <row r="16" customFormat="false" ht="15" hidden="false" customHeight="false" outlineLevel="0" collapsed="false">
      <c r="A16" s="2" t="s">
        <v>36</v>
      </c>
      <c r="B16" s="5" t="n">
        <v>9000</v>
      </c>
    </row>
    <row r="17" customFormat="false" ht="15" hidden="false" customHeight="false" outlineLevel="0" collapsed="false">
      <c r="A17" s="2" t="s">
        <v>37</v>
      </c>
      <c r="B17" s="5" t="n">
        <v>12000</v>
      </c>
    </row>
    <row r="18" customFormat="false" ht="15" hidden="false" customHeight="false" outlineLevel="0" collapsed="false">
      <c r="A18" s="2" t="s">
        <v>38</v>
      </c>
      <c r="B18" s="7" t="n">
        <v>0.006</v>
      </c>
    </row>
    <row r="19" customFormat="false" ht="15" hidden="false" customHeight="false" outlineLevel="0" collapsed="false">
      <c r="A19" s="2" t="s">
        <v>39</v>
      </c>
      <c r="B19" s="8" t="n">
        <v>0.55</v>
      </c>
    </row>
    <row r="20" customFormat="false" ht="15" hidden="false" customHeight="false" outlineLevel="0" collapsed="false">
      <c r="A20" s="2" t="s">
        <v>40</v>
      </c>
      <c r="B20" s="8" t="n">
        <v>0.65</v>
      </c>
    </row>
    <row r="21" customFormat="false" ht="15" hidden="false" customHeight="false" outlineLevel="0" collapsed="false">
      <c r="A21" s="2" t="s">
        <v>41</v>
      </c>
      <c r="B21" s="8" t="n">
        <v>0.75</v>
      </c>
    </row>
    <row r="22" customFormat="false" ht="15" hidden="false" customHeight="false" outlineLevel="0" collapsed="false">
      <c r="A22" s="4" t="s">
        <v>42</v>
      </c>
    </row>
    <row r="23" customFormat="false" ht="15" hidden="false" customHeight="false" outlineLevel="0" collapsed="false">
      <c r="A23" s="2" t="s">
        <v>43</v>
      </c>
      <c r="B23" s="9" t="n">
        <v>195</v>
      </c>
    </row>
    <row r="24" customFormat="false" ht="15" hidden="false" customHeight="false" outlineLevel="0" collapsed="false">
      <c r="A24" s="2" t="s">
        <v>44</v>
      </c>
      <c r="B24" s="8" t="n">
        <v>0.03</v>
      </c>
    </row>
    <row r="25" customFormat="false" ht="15" hidden="false" customHeight="false" outlineLevel="0" collapsed="false">
      <c r="A25" s="2" t="s">
        <v>45</v>
      </c>
      <c r="B25" s="9" t="n">
        <v>135</v>
      </c>
    </row>
    <row r="26" customFormat="false" ht="15" hidden="false" customHeight="false" outlineLevel="0" collapsed="false">
      <c r="A26" s="2" t="s">
        <v>46</v>
      </c>
      <c r="B26" s="8" t="n">
        <v>0.03</v>
      </c>
    </row>
    <row r="27" customFormat="false" ht="15" hidden="false" customHeight="false" outlineLevel="0" collapsed="false">
      <c r="A27" s="2" t="s">
        <v>47</v>
      </c>
      <c r="B27" s="9" t="n">
        <v>118</v>
      </c>
    </row>
    <row r="28" customFormat="false" ht="15" hidden="false" customHeight="false" outlineLevel="0" collapsed="false">
      <c r="A28" s="2" t="s">
        <v>48</v>
      </c>
      <c r="B28" s="8" t="n">
        <v>0.025</v>
      </c>
    </row>
    <row r="29" customFormat="false" ht="15" hidden="false" customHeight="false" outlineLevel="0" collapsed="false">
      <c r="A29" s="2" t="s">
        <v>49</v>
      </c>
      <c r="B29" s="6" t="n">
        <v>30</v>
      </c>
    </row>
    <row r="30" customFormat="false" ht="15" hidden="false" customHeight="false" outlineLevel="0" collapsed="false">
      <c r="A30" s="2" t="s">
        <v>50</v>
      </c>
      <c r="B30" s="5" t="n">
        <v>300</v>
      </c>
    </row>
    <row r="31" customFormat="false" ht="15" hidden="false" customHeight="false" outlineLevel="0" collapsed="false">
      <c r="A31" s="2" t="s">
        <v>51</v>
      </c>
      <c r="B31" s="5" t="n">
        <v>1500</v>
      </c>
    </row>
    <row r="32" customFormat="false" ht="15" hidden="false" customHeight="false" outlineLevel="0" collapsed="false">
      <c r="A32" s="4" t="s">
        <v>52</v>
      </c>
    </row>
    <row r="33" customFormat="false" ht="15" hidden="false" customHeight="false" outlineLevel="0" collapsed="false">
      <c r="A33" s="2" t="s">
        <v>53</v>
      </c>
      <c r="B33" s="9" t="n">
        <v>74</v>
      </c>
    </row>
    <row r="34" customFormat="false" ht="15" hidden="false" customHeight="false" outlineLevel="0" collapsed="false">
      <c r="A34" s="2" t="s">
        <v>54</v>
      </c>
      <c r="B34" s="8" t="n">
        <v>0.03</v>
      </c>
    </row>
    <row r="35" customFormat="false" ht="15" hidden="false" customHeight="false" outlineLevel="0" collapsed="false">
      <c r="A35" s="2" t="s">
        <v>55</v>
      </c>
      <c r="B35" s="8" t="n">
        <v>0</v>
      </c>
      <c r="C35" s="2" t="s">
        <v>56</v>
      </c>
    </row>
    <row r="36" customFormat="false" ht="15" hidden="false" customHeight="false" outlineLevel="0" collapsed="false">
      <c r="A36" s="2" t="s">
        <v>57</v>
      </c>
      <c r="B36" s="10" t="n">
        <v>0.24</v>
      </c>
    </row>
    <row r="37" customFormat="false" ht="15" hidden="false" customHeight="false" outlineLevel="0" collapsed="false">
      <c r="A37" s="2" t="s">
        <v>58</v>
      </c>
      <c r="B37" s="10" t="n">
        <v>0.2</v>
      </c>
    </row>
    <row r="38" customFormat="false" ht="15" hidden="false" customHeight="false" outlineLevel="0" collapsed="false">
      <c r="A38" s="2" t="s">
        <v>59</v>
      </c>
      <c r="B38" s="10" t="n">
        <v>0.14</v>
      </c>
    </row>
    <row r="39" customFormat="false" ht="15" hidden="false" customHeight="false" outlineLevel="0" collapsed="false">
      <c r="A39" s="2" t="s">
        <v>60</v>
      </c>
      <c r="B39" s="5" t="n">
        <v>225</v>
      </c>
    </row>
    <row r="40" customFormat="false" ht="15" hidden="false" customHeight="false" outlineLevel="0" collapsed="false">
      <c r="A40" s="2" t="s">
        <v>61</v>
      </c>
      <c r="B40" s="5" t="n">
        <v>600</v>
      </c>
    </row>
    <row r="41" customFormat="false" ht="15" hidden="false" customHeight="false" outlineLevel="0" collapsed="false">
      <c r="A41" s="2" t="s">
        <v>62</v>
      </c>
      <c r="B41" s="5" t="n">
        <v>300</v>
      </c>
    </row>
    <row r="42" customFormat="false" ht="15" hidden="false" customHeight="false" outlineLevel="0" collapsed="false">
      <c r="A42" s="2" t="s">
        <v>63</v>
      </c>
      <c r="B42" s="6" t="n">
        <v>0</v>
      </c>
      <c r="C42" s="2" t="s">
        <v>64</v>
      </c>
    </row>
    <row r="43" customFormat="false" ht="15" hidden="false" customHeight="false" outlineLevel="0" collapsed="false">
      <c r="A43" s="2" t="s">
        <v>65</v>
      </c>
      <c r="B43" s="10" t="n">
        <v>0.21</v>
      </c>
      <c r="C43" s="2" t="s">
        <v>66</v>
      </c>
    </row>
    <row r="44" customFormat="false" ht="15" hidden="false" customHeight="false" outlineLevel="0" collapsed="false">
      <c r="A44" s="2" t="s">
        <v>67</v>
      </c>
      <c r="B44" s="11" t="n">
        <v>1.55</v>
      </c>
    </row>
    <row r="45" customFormat="false" ht="15" hidden="false" customHeight="false" outlineLevel="0" collapsed="false">
      <c r="A45" s="2" t="s">
        <v>68</v>
      </c>
      <c r="B45" s="11" t="n">
        <v>1.45</v>
      </c>
    </row>
    <row r="46" customFormat="false" ht="15" hidden="false" customHeight="false" outlineLevel="0" collapsed="false">
      <c r="A46" s="2" t="s">
        <v>69</v>
      </c>
      <c r="B46" s="9" t="n">
        <v>5</v>
      </c>
    </row>
    <row r="47" customFormat="false" ht="15" hidden="false" customHeight="false" outlineLevel="0" collapsed="false">
      <c r="A47" s="4" t="s">
        <v>70</v>
      </c>
    </row>
    <row r="48" customFormat="false" ht="15" hidden="false" customHeight="false" outlineLevel="0" collapsed="false">
      <c r="A48" s="2" t="s">
        <v>71</v>
      </c>
      <c r="B48" s="8" t="n">
        <v>0.035</v>
      </c>
    </row>
    <row r="49" customFormat="false" ht="15" hidden="false" customHeight="false" outlineLevel="0" collapsed="false">
      <c r="A49" s="2" t="s">
        <v>72</v>
      </c>
      <c r="B49" s="5" t="n">
        <v>1800</v>
      </c>
    </row>
    <row r="50" customFormat="false" ht="15" hidden="false" customHeight="false" outlineLevel="0" collapsed="false">
      <c r="A50" s="2" t="s">
        <v>73</v>
      </c>
      <c r="B50" s="6" t="n">
        <v>2</v>
      </c>
    </row>
    <row r="51" customFormat="false" ht="15" hidden="false" customHeight="false" outlineLevel="0" collapsed="false">
      <c r="A51" s="2" t="s">
        <v>74</v>
      </c>
      <c r="B51" s="9" t="n">
        <v>38</v>
      </c>
    </row>
    <row r="52" customFormat="false" ht="15" hidden="false" customHeight="false" outlineLevel="0" collapsed="false">
      <c r="A52" s="2" t="s">
        <v>75</v>
      </c>
      <c r="B52" s="8" t="n">
        <v>0.03</v>
      </c>
    </row>
    <row r="53" customFormat="false" ht="15" hidden="false" customHeight="false" outlineLevel="0" collapsed="false">
      <c r="A53" s="2" t="s">
        <v>76</v>
      </c>
      <c r="B53" s="5" t="n">
        <v>450000</v>
      </c>
    </row>
    <row r="54" customFormat="false" ht="15" hidden="false" customHeight="false" outlineLevel="0" collapsed="false">
      <c r="A54" s="2" t="s">
        <v>77</v>
      </c>
      <c r="B54" s="5" t="n">
        <v>1100000</v>
      </c>
    </row>
    <row r="55" customFormat="false" ht="15" hidden="false" customHeight="false" outlineLevel="0" collapsed="false">
      <c r="A55" s="2" t="s">
        <v>78</v>
      </c>
      <c r="B55" s="5" t="n">
        <v>2200000</v>
      </c>
    </row>
    <row r="56" customFormat="false" ht="15" hidden="false" customHeight="false" outlineLevel="0" collapsed="false">
      <c r="A56" s="2" t="s">
        <v>79</v>
      </c>
      <c r="B56" s="8" t="n">
        <v>0.333333333333333</v>
      </c>
    </row>
    <row r="57" customFormat="false" ht="15" hidden="false" customHeight="false" outlineLevel="0" collapsed="false">
      <c r="A57" s="2" t="s">
        <v>80</v>
      </c>
      <c r="B57" s="5" t="n">
        <v>160000</v>
      </c>
    </row>
    <row r="58" customFormat="false" ht="15" hidden="false" customHeight="false" outlineLevel="0" collapsed="false">
      <c r="A58" s="2" t="s">
        <v>81</v>
      </c>
      <c r="B58" s="8" t="n">
        <v>0.03</v>
      </c>
    </row>
    <row r="59" customFormat="false" ht="15" hidden="false" customHeight="false" outlineLevel="0" collapsed="false">
      <c r="A59" s="2" t="s">
        <v>82</v>
      </c>
      <c r="B59" s="11" t="n">
        <v>1</v>
      </c>
    </row>
    <row r="60" customFormat="false" ht="15" hidden="false" customHeight="false" outlineLevel="0" collapsed="false">
      <c r="A60" s="2" t="s">
        <v>83</v>
      </c>
      <c r="B60" s="9" t="n">
        <v>35</v>
      </c>
    </row>
    <row r="61" customFormat="false" ht="15" hidden="false" customHeight="false" outlineLevel="0" collapsed="false">
      <c r="A61" s="2" t="s">
        <v>84</v>
      </c>
      <c r="B61" s="11" t="n">
        <v>1.1</v>
      </c>
    </row>
    <row r="62" customFormat="false" ht="15" hidden="false" customHeight="false" outlineLevel="0" collapsed="false">
      <c r="A62" s="2" t="s">
        <v>85</v>
      </c>
      <c r="B62" s="11" t="n">
        <v>1.1</v>
      </c>
    </row>
    <row r="63" customFormat="false" ht="15" hidden="false" customHeight="false" outlineLevel="0" collapsed="false">
      <c r="A63" s="2" t="s">
        <v>86</v>
      </c>
      <c r="B63" s="11" t="n">
        <v>0.15</v>
      </c>
    </row>
    <row r="64" customFormat="false" ht="15" hidden="false" customHeight="false" outlineLevel="0" collapsed="false">
      <c r="A64" s="2" t="s">
        <v>87</v>
      </c>
      <c r="B64" s="9" t="n">
        <v>8</v>
      </c>
    </row>
    <row r="65" customFormat="false" ht="15" hidden="false" customHeight="false" outlineLevel="0" collapsed="false">
      <c r="A65" s="4" t="s">
        <v>88</v>
      </c>
    </row>
    <row r="66" customFormat="false" ht="15" hidden="false" customHeight="false" outlineLevel="0" collapsed="false">
      <c r="A66" s="2" t="s">
        <v>89</v>
      </c>
      <c r="B66" s="6" t="n">
        <v>21</v>
      </c>
    </row>
    <row r="67" customFormat="false" ht="15" hidden="false" customHeight="false" outlineLevel="0" collapsed="false">
      <c r="A67" s="2" t="s">
        <v>90</v>
      </c>
      <c r="B67" s="5" t="n">
        <v>3000</v>
      </c>
    </row>
    <row r="68" customFormat="false" ht="15" hidden="false" customHeight="false" outlineLevel="0" collapsed="false">
      <c r="A68" s="2" t="s">
        <v>91</v>
      </c>
      <c r="B68" s="11" t="n">
        <v>14</v>
      </c>
    </row>
    <row r="69" customFormat="false" ht="15" hidden="false" customHeight="false" outlineLevel="0" collapsed="false">
      <c r="A69" s="2" t="s">
        <v>92</v>
      </c>
      <c r="B69" s="9" t="n">
        <v>3.8</v>
      </c>
    </row>
    <row r="70" customFormat="false" ht="15" hidden="false" customHeight="false" outlineLevel="0" collapsed="false">
      <c r="A70" s="2" t="s">
        <v>93</v>
      </c>
      <c r="B70" s="11" t="n">
        <v>0.5</v>
      </c>
    </row>
    <row r="71" customFormat="false" ht="15" hidden="false" customHeight="false" outlineLevel="0" collapsed="false">
      <c r="A71" s="2" t="s">
        <v>94</v>
      </c>
      <c r="B71" s="8" t="n">
        <v>0.35</v>
      </c>
    </row>
    <row r="72" customFormat="false" ht="15" hidden="false" customHeight="false" outlineLevel="0" collapsed="false">
      <c r="A72" s="2" t="s">
        <v>95</v>
      </c>
      <c r="B72" s="11" t="n">
        <v>4</v>
      </c>
    </row>
    <row r="73" customFormat="false" ht="15" hidden="false" customHeight="false" outlineLevel="0" collapsed="false">
      <c r="A73" s="2" t="s">
        <v>96</v>
      </c>
      <c r="B73" s="8" t="n">
        <v>0.75</v>
      </c>
    </row>
    <row r="74" customFormat="false" ht="15" hidden="false" customHeight="false" outlineLevel="0" collapsed="false">
      <c r="A74" s="2" t="s">
        <v>97</v>
      </c>
      <c r="B74" s="6" t="n">
        <v>48</v>
      </c>
    </row>
    <row r="75" customFormat="false" ht="15" hidden="false" customHeight="false" outlineLevel="0" collapsed="false">
      <c r="A75" s="2" t="s">
        <v>98</v>
      </c>
      <c r="B75" s="5" t="n">
        <v>16200</v>
      </c>
    </row>
    <row r="76" customFormat="false" ht="15" hidden="false" customHeight="false" outlineLevel="0" collapsed="false">
      <c r="A76" s="4" t="s">
        <v>99</v>
      </c>
    </row>
    <row r="77" customFormat="false" ht="15" hidden="false" customHeight="false" outlineLevel="0" collapsed="false">
      <c r="A77" s="2" t="s">
        <v>100</v>
      </c>
      <c r="B77" s="5" t="n">
        <v>300000000</v>
      </c>
    </row>
    <row r="78" customFormat="false" ht="15" hidden="false" customHeight="false" outlineLevel="0" collapsed="false">
      <c r="A78" s="2" t="s">
        <v>101</v>
      </c>
      <c r="B78" s="7" t="n">
        <v>0.064</v>
      </c>
    </row>
    <row r="79" customFormat="false" ht="15" hidden="false" customHeight="false" outlineLevel="0" collapsed="false">
      <c r="A79" s="2" t="s">
        <v>102</v>
      </c>
      <c r="B79" s="8" t="n">
        <v>0.03</v>
      </c>
    </row>
    <row r="80" customFormat="false" ht="15" hidden="false" customHeight="false" outlineLevel="0" collapsed="false">
      <c r="A80" s="2" t="s">
        <v>103</v>
      </c>
      <c r="B80" s="12" t="n">
        <v>1.25</v>
      </c>
    </row>
    <row r="81" customFormat="false" ht="15" hidden="false" customHeight="false" outlineLevel="0" collapsed="false">
      <c r="A81" s="2" t="s">
        <v>104</v>
      </c>
      <c r="B81" s="12" t="n">
        <v>1.1</v>
      </c>
    </row>
    <row r="82" customFormat="false" ht="15" hidden="false" customHeight="false" outlineLevel="0" collapsed="false">
      <c r="A82" s="4" t="s">
        <v>105</v>
      </c>
    </row>
    <row r="83" customFormat="false" ht="15" hidden="false" customHeight="false" outlineLevel="0" collapsed="false">
      <c r="A83" s="2" t="s">
        <v>106</v>
      </c>
      <c r="B83" s="10" t="n">
        <v>0.38</v>
      </c>
    </row>
    <row r="84" customFormat="false" ht="15" hidden="false" customHeight="false" outlineLevel="0" collapsed="false">
      <c r="A84" s="2" t="s">
        <v>107</v>
      </c>
      <c r="B84" s="8" t="n">
        <v>0.6</v>
      </c>
    </row>
    <row r="85" customFormat="false" ht="15" hidden="false" customHeight="false" outlineLevel="0" collapsed="false">
      <c r="A85" s="2" t="s">
        <v>108</v>
      </c>
      <c r="B85" s="11" t="n">
        <v>10.21</v>
      </c>
    </row>
    <row r="86" customFormat="false" ht="15" hidden="false" customHeight="false" outlineLevel="0" collapsed="false">
      <c r="A86" s="4" t="s">
        <v>109</v>
      </c>
    </row>
    <row r="87" customFormat="false" ht="15" hidden="false" customHeight="false" outlineLevel="0" collapsed="false">
      <c r="A87" s="2" t="s">
        <v>110</v>
      </c>
      <c r="B87" s="5" t="n">
        <v>11000000</v>
      </c>
    </row>
    <row r="88" customFormat="false" ht="15" hidden="false" customHeight="false" outlineLevel="0" collapsed="false">
      <c r="A88" s="2" t="s">
        <v>111</v>
      </c>
      <c r="B88" s="8" t="n">
        <v>0.09</v>
      </c>
    </row>
    <row r="89" customFormat="false" ht="15" hidden="false" customHeight="false" outlineLevel="0" collapsed="false">
      <c r="A89" s="2" t="s">
        <v>112</v>
      </c>
      <c r="B89" s="5" t="n">
        <v>1200</v>
      </c>
    </row>
    <row r="90" customFormat="false" ht="15" hidden="false" customHeight="false" outlineLevel="0" collapsed="false">
      <c r="A90" s="2" t="s">
        <v>113</v>
      </c>
      <c r="B90" s="5" t="n">
        <v>3200000</v>
      </c>
    </row>
    <row r="91" customFormat="false" ht="15" hidden="false" customHeight="false" outlineLevel="0" collapsed="false">
      <c r="A91" s="2" t="s">
        <v>114</v>
      </c>
      <c r="B91" s="5" t="n">
        <v>150000</v>
      </c>
    </row>
    <row r="92" customFormat="false" ht="15" hidden="false" customHeight="false" outlineLevel="0" collapsed="false">
      <c r="A92" s="2" t="s">
        <v>115</v>
      </c>
      <c r="B92" s="9" t="n">
        <v>175</v>
      </c>
    </row>
    <row r="93" customFormat="false" ht="15" hidden="false" customHeight="false" outlineLevel="0" collapsed="false">
      <c r="A93" s="2" t="s">
        <v>116</v>
      </c>
      <c r="B93" s="8" t="n">
        <v>0.09</v>
      </c>
    </row>
    <row r="94" customFormat="false" ht="15" hidden="false" customHeight="false" outlineLevel="0" collapsed="false">
      <c r="A94" s="2" t="s">
        <v>117</v>
      </c>
      <c r="B94" s="8" t="n">
        <v>0.03</v>
      </c>
    </row>
    <row r="95" customFormat="false" ht="15" hidden="false" customHeight="false" outlineLevel="0" collapsed="false">
      <c r="A95" s="2" t="s">
        <v>118</v>
      </c>
      <c r="B95" s="6" t="n">
        <v>10</v>
      </c>
    </row>
    <row r="96" customFormat="false" ht="15" hidden="false" customHeight="false" outlineLevel="0" collapsed="false">
      <c r="A96" s="2" t="s">
        <v>119</v>
      </c>
      <c r="B96" s="6" t="n">
        <v>26</v>
      </c>
    </row>
    <row r="97" customFormat="false" ht="15" hidden="false" customHeight="false" outlineLevel="0" collapsed="false">
      <c r="A97" s="4" t="s">
        <v>120</v>
      </c>
    </row>
    <row r="98" customFormat="false" ht="15" hidden="false" customHeight="false" outlineLevel="0" collapsed="false">
      <c r="A98" s="2" t="s">
        <v>121</v>
      </c>
      <c r="B98" s="5" t="n">
        <v>610</v>
      </c>
    </row>
    <row r="99" customFormat="false" ht="15" hidden="false" customHeight="false" outlineLevel="0" collapsed="false">
      <c r="A99" s="2" t="s">
        <v>122</v>
      </c>
      <c r="B99" s="6" t="n">
        <v>11</v>
      </c>
    </row>
    <row r="100" customFormat="false" ht="15" hidden="false" customHeight="false" outlineLevel="0" collapsed="false">
      <c r="A100" s="2" t="s">
        <v>123</v>
      </c>
      <c r="B100" s="9" t="n">
        <v>195</v>
      </c>
    </row>
    <row r="101" customFormat="false" ht="15" hidden="false" customHeight="false" outlineLevel="0" collapsed="false">
      <c r="A101" s="2" t="s">
        <v>124</v>
      </c>
      <c r="B101" s="6" t="n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2" min="1" style="0" width="12"/>
  </cols>
  <sheetData>
    <row r="1" customFormat="false" ht="16.15" hidden="false" customHeight="false" outlineLevel="0" collapsed="false">
      <c r="A1" s="3" t="s">
        <v>125</v>
      </c>
    </row>
    <row r="2" customFormat="false" ht="15" hidden="false" customHeight="false" outlineLevel="0" collapsed="false">
      <c r="A2" s="2" t="s">
        <v>126</v>
      </c>
    </row>
    <row r="4" customFormat="false" ht="26.85" hidden="false" customHeight="false" outlineLevel="0" collapsed="false">
      <c r="A4" s="13" t="s">
        <v>127</v>
      </c>
      <c r="B4" s="13" t="s">
        <v>128</v>
      </c>
      <c r="C4" s="13" t="s">
        <v>129</v>
      </c>
      <c r="D4" s="13" t="s">
        <v>130</v>
      </c>
      <c r="E4" s="13" t="s">
        <v>131</v>
      </c>
      <c r="F4" s="13" t="s">
        <v>132</v>
      </c>
      <c r="G4" s="13" t="s">
        <v>133</v>
      </c>
      <c r="H4" s="13" t="s">
        <v>134</v>
      </c>
      <c r="I4" s="13" t="s">
        <v>135</v>
      </c>
      <c r="J4" s="13" t="s">
        <v>136</v>
      </c>
      <c r="K4" s="13" t="s">
        <v>137</v>
      </c>
      <c r="L4" s="13" t="s">
        <v>138</v>
      </c>
      <c r="M4" s="13" t="s">
        <v>139</v>
      </c>
      <c r="N4" s="13" t="s">
        <v>140</v>
      </c>
      <c r="O4" s="13" t="s">
        <v>141</v>
      </c>
      <c r="P4" s="13" t="s">
        <v>142</v>
      </c>
      <c r="Q4" s="13" t="s">
        <v>143</v>
      </c>
      <c r="R4" s="13" t="s">
        <v>144</v>
      </c>
      <c r="S4" s="13" t="s">
        <v>145</v>
      </c>
      <c r="T4" s="13" t="s">
        <v>146</v>
      </c>
      <c r="U4" s="13" t="s">
        <v>147</v>
      </c>
      <c r="V4" s="13" t="s">
        <v>148</v>
      </c>
      <c r="W4" s="13" t="s">
        <v>149</v>
      </c>
      <c r="X4" s="13" t="s">
        <v>150</v>
      </c>
      <c r="Y4" s="13" t="s">
        <v>151</v>
      </c>
      <c r="Z4" s="13" t="s">
        <v>152</v>
      </c>
      <c r="AA4" s="13" t="s">
        <v>153</v>
      </c>
      <c r="AB4" s="13" t="s">
        <v>154</v>
      </c>
      <c r="AC4" s="13" t="s">
        <v>155</v>
      </c>
      <c r="AD4" s="13" t="s">
        <v>156</v>
      </c>
      <c r="AE4" s="13" t="s">
        <v>157</v>
      </c>
      <c r="AF4" s="13" t="s">
        <v>158</v>
      </c>
      <c r="AG4" s="13" t="s">
        <v>159</v>
      </c>
      <c r="AH4" s="13" t="s">
        <v>160</v>
      </c>
      <c r="AI4" s="13" t="s">
        <v>161</v>
      </c>
      <c r="AJ4" s="13" t="s">
        <v>162</v>
      </c>
      <c r="AK4" s="13" t="s">
        <v>163</v>
      </c>
      <c r="AL4" s="13" t="s">
        <v>164</v>
      </c>
      <c r="AM4" s="13" t="s">
        <v>165</v>
      </c>
      <c r="AN4" s="13" t="s">
        <v>166</v>
      </c>
      <c r="AO4" s="13" t="s">
        <v>167</v>
      </c>
      <c r="AP4" s="13" t="s">
        <v>168</v>
      </c>
    </row>
    <row r="5" customFormat="false" ht="15" hidden="false" customHeight="false" outlineLevel="0" collapsed="false">
      <c r="A5" s="0" t="n">
        <v>1</v>
      </c>
      <c r="B5" s="0" t="n">
        <f aca="false">INT((A5-1)/12)+1</f>
        <v>1</v>
      </c>
      <c r="C5" s="0" t="n">
        <f aca="false">(A5-0.5-12*(B5-1))/12</f>
        <v>0.0416666666666667</v>
      </c>
      <c r="D5" s="14" t="n">
        <f aca="false">CHOOSE(B5,Inputs!$B$7,Inputs!$B$8,Inputs!$B$9)+(CHOOSE(B5,Inputs!$B$8,Inputs!$B$9,Inputs!$B$10)-CHOOSE(B5,Inputs!$B$7,Inputs!$B$8,Inputs!$B$9))*C5</f>
        <v>1925</v>
      </c>
      <c r="E5" s="14" t="n">
        <f aca="false">CHOOSE(B5,Inputs!$B$11,Inputs!$B$12,Inputs!$B$13)+(CHOOSE(B5,Inputs!$B$12,Inputs!$B$13,Inputs!$B$14)-CHOOSE(B5,Inputs!$B$11,Inputs!$B$12,Inputs!$B$13))*C5</f>
        <v>3125</v>
      </c>
      <c r="F5" s="14" t="n">
        <f aca="false">CHOOSE(B5,Inputs!$B$15,Inputs!$B$16,Inputs!$B$17)</f>
        <v>6000</v>
      </c>
      <c r="G5" s="14" t="n">
        <f aca="false">IF(Inputs!$B$42=1,Inputs!$B$6,ROUNDUP(D5/Inputs!$B$5,0))</f>
        <v>1</v>
      </c>
      <c r="H5" s="14" t="n">
        <f aca="false">D5*Inputs!$B$19</f>
        <v>1058.75</v>
      </c>
      <c r="I5" s="14" t="n">
        <f aca="false">E5*Inputs!$B$20</f>
        <v>2031.25</v>
      </c>
      <c r="J5" s="14" t="n">
        <f aca="false">F5*Inputs!$B$21</f>
        <v>4500</v>
      </c>
      <c r="K5" s="15" t="n">
        <f aca="false">1+Inputs!$B$36+Inputs!$B$39*G5/H5</f>
        <v>1.4525147579693</v>
      </c>
      <c r="L5" s="15" t="n">
        <f aca="false">1+Inputs!$B$37+Inputs!$B$40/I5</f>
        <v>1.49538461538462</v>
      </c>
      <c r="M5" s="15" t="n">
        <f aca="false">1+Inputs!$B$38+Inputs!$B$41/J5</f>
        <v>1.20666666666667</v>
      </c>
      <c r="N5" s="16" t="n">
        <f aca="false">Inputs!$B$33*(1+Inputs!$B$34)^(B5-1)*(1+Inputs!$B$35)</f>
        <v>74</v>
      </c>
      <c r="O5" s="16" t="n">
        <f aca="false">Inputs!$B$23*(1+Inputs!$B$24)^(B5-1)</f>
        <v>195</v>
      </c>
      <c r="P5" s="16" t="n">
        <f aca="false">Inputs!$B$25*(1+Inputs!$B$26)^(B5-1)</f>
        <v>135</v>
      </c>
      <c r="Q5" s="16" t="n">
        <f aca="false">Inputs!$B$27*(1+Inputs!$B$28)^(B5-1)</f>
        <v>118</v>
      </c>
      <c r="R5" s="14" t="n">
        <f aca="false">D5*O5</f>
        <v>375375</v>
      </c>
      <c r="S5" s="14" t="n">
        <f aca="false">E5*P5</f>
        <v>421875</v>
      </c>
      <c r="T5" s="14" t="n">
        <f aca="false">F5*Q5</f>
        <v>708000</v>
      </c>
      <c r="U5" s="14" t="n">
        <f aca="false">D5/1000*Inputs!$B$29*Inputs!$B$30</f>
        <v>17325</v>
      </c>
      <c r="V5" s="14" t="n">
        <f aca="false">(D5+E5)/1000*Inputs!$B$31</f>
        <v>7575</v>
      </c>
      <c r="W5" s="14" t="n">
        <f aca="false">H5*8760/12/1000</f>
        <v>772.8875</v>
      </c>
      <c r="X5" s="14" t="n">
        <f aca="false">I5*8760/12/1000</f>
        <v>1482.8125</v>
      </c>
      <c r="Y5" s="14" t="n">
        <f aca="false">J5*8760/12/1000</f>
        <v>3285</v>
      </c>
      <c r="Z5" s="14" t="n">
        <f aca="false">W5*K5</f>
        <v>1122.6305</v>
      </c>
      <c r="AA5" s="14" t="n">
        <f aca="false">X5*L5</f>
        <v>2217.375</v>
      </c>
      <c r="AB5" s="14" t="n">
        <f aca="false">Y5*M5</f>
        <v>3963.9</v>
      </c>
      <c r="AC5" s="14" t="n">
        <f aca="false">Z5*N5</f>
        <v>83074.657</v>
      </c>
      <c r="AD5" s="14" t="n">
        <f aca="false">AA5*N5</f>
        <v>164085.75</v>
      </c>
      <c r="AE5" s="14" t="n">
        <f aca="false">AB5*N5</f>
        <v>293328.6</v>
      </c>
      <c r="AF5" s="14" t="n">
        <f aca="false">W5*Inputs!$B$44*N5</f>
        <v>88650.19625</v>
      </c>
      <c r="AG5" s="14" t="n">
        <f aca="false">X5*MIN(L5,Inputs!$B$45)*N5+X5*Inputs!$B$46</f>
        <v>166519.84375</v>
      </c>
      <c r="AH5" s="14" t="n">
        <f aca="false">AE5</f>
        <v>293328.6</v>
      </c>
      <c r="AI5" s="14" t="n">
        <f aca="false">AF5-AC5</f>
        <v>5575.53925000002</v>
      </c>
      <c r="AJ5" s="14" t="n">
        <f aca="false">AG5-AD5</f>
        <v>2434.09375</v>
      </c>
      <c r="AK5" s="14" t="n">
        <f aca="false">AH5-AE5</f>
        <v>0</v>
      </c>
      <c r="AL5" s="14" t="n">
        <f aca="false">Inputs!$B$7*Inputs!$B$18</f>
        <v>10.8</v>
      </c>
      <c r="AM5" s="14" t="n">
        <f aca="false">D5-Inputs!$B$7+AL5</f>
        <v>135.8</v>
      </c>
      <c r="AN5" s="14" t="n">
        <f aca="false">E5-Inputs!$B$11</f>
        <v>125</v>
      </c>
      <c r="AO5" s="14" t="n">
        <f aca="false">Inputs!$B$59*(AM5*O5+AN5*P5)</f>
        <v>43356</v>
      </c>
      <c r="AP5" s="14" t="n">
        <f aca="false">(W5*Inputs!$B$61+X5*Inputs!$B$62+Y5*Inputs!$B$63)</f>
        <v>2974.02</v>
      </c>
    </row>
    <row r="6" customFormat="false" ht="15" hidden="false" customHeight="false" outlineLevel="0" collapsed="false">
      <c r="A6" s="0" t="n">
        <v>2</v>
      </c>
      <c r="B6" s="0" t="n">
        <f aca="false">INT((A6-1)/12)+1</f>
        <v>1</v>
      </c>
      <c r="C6" s="0" t="n">
        <f aca="false">(A6-0.5-12*(B6-1))/12</f>
        <v>0.125</v>
      </c>
      <c r="D6" s="14" t="n">
        <f aca="false">CHOOSE(B6,Inputs!$B$7,Inputs!$B$8,Inputs!$B$9)+(CHOOSE(B6,Inputs!$B$8,Inputs!$B$9,Inputs!$B$10)-CHOOSE(B6,Inputs!$B$7,Inputs!$B$8,Inputs!$B$9))*C6</f>
        <v>2175</v>
      </c>
      <c r="E6" s="14" t="n">
        <f aca="false">CHOOSE(B6,Inputs!$B$11,Inputs!$B$12,Inputs!$B$13)+(CHOOSE(B6,Inputs!$B$12,Inputs!$B$13,Inputs!$B$14)-CHOOSE(B6,Inputs!$B$11,Inputs!$B$12,Inputs!$B$13))*C6</f>
        <v>3375</v>
      </c>
      <c r="F6" s="14" t="n">
        <f aca="false">CHOOSE(B6,Inputs!$B$15,Inputs!$B$16,Inputs!$B$17)</f>
        <v>6000</v>
      </c>
      <c r="G6" s="14" t="n">
        <f aca="false">IF(Inputs!$B$42=1,Inputs!$B$6,ROUNDUP(D6/Inputs!$B$5,0))</f>
        <v>1</v>
      </c>
      <c r="H6" s="14" t="n">
        <f aca="false">D6*Inputs!$B$19</f>
        <v>1196.25</v>
      </c>
      <c r="I6" s="14" t="n">
        <f aca="false">E6*Inputs!$B$20</f>
        <v>2193.75</v>
      </c>
      <c r="J6" s="14" t="n">
        <f aca="false">F6*Inputs!$B$21</f>
        <v>4500</v>
      </c>
      <c r="K6" s="15" t="n">
        <f aca="false">1+Inputs!$B$36+Inputs!$B$39*G6/H6</f>
        <v>1.42808777429467</v>
      </c>
      <c r="L6" s="15" t="n">
        <f aca="false">1+Inputs!$B$37+Inputs!$B$40/I6</f>
        <v>1.47350427350427</v>
      </c>
      <c r="M6" s="15" t="n">
        <f aca="false">1+Inputs!$B$38+Inputs!$B$41/J6</f>
        <v>1.20666666666667</v>
      </c>
      <c r="N6" s="16" t="n">
        <f aca="false">Inputs!$B$33*(1+Inputs!$B$34)^(B6-1)*(1+Inputs!$B$35)</f>
        <v>74</v>
      </c>
      <c r="O6" s="16" t="n">
        <f aca="false">Inputs!$B$23*(1+Inputs!$B$24)^(B6-1)</f>
        <v>195</v>
      </c>
      <c r="P6" s="16" t="n">
        <f aca="false">Inputs!$B$25*(1+Inputs!$B$26)^(B6-1)</f>
        <v>135</v>
      </c>
      <c r="Q6" s="16" t="n">
        <f aca="false">Inputs!$B$27*(1+Inputs!$B$28)^(B6-1)</f>
        <v>118</v>
      </c>
      <c r="R6" s="14" t="n">
        <f aca="false">D6*O6</f>
        <v>424125</v>
      </c>
      <c r="S6" s="14" t="n">
        <f aca="false">E6*P6</f>
        <v>455625</v>
      </c>
      <c r="T6" s="14" t="n">
        <f aca="false">F6*Q6</f>
        <v>708000</v>
      </c>
      <c r="U6" s="14" t="n">
        <f aca="false">D6/1000*Inputs!$B$29*Inputs!$B$30</f>
        <v>19575</v>
      </c>
      <c r="V6" s="14" t="n">
        <f aca="false">(D6+E6)/1000*Inputs!$B$31</f>
        <v>8325</v>
      </c>
      <c r="W6" s="14" t="n">
        <f aca="false">H6*8760/12/1000</f>
        <v>873.2625</v>
      </c>
      <c r="X6" s="14" t="n">
        <f aca="false">I6*8760/12/1000</f>
        <v>1601.4375</v>
      </c>
      <c r="Y6" s="14" t="n">
        <f aca="false">J6*8760/12/1000</f>
        <v>3285</v>
      </c>
      <c r="Z6" s="14" t="n">
        <f aca="false">W6*K6</f>
        <v>1247.0955</v>
      </c>
      <c r="AA6" s="14" t="n">
        <f aca="false">X6*L6</f>
        <v>2359.725</v>
      </c>
      <c r="AB6" s="14" t="n">
        <f aca="false">Y6*M6</f>
        <v>3963.9</v>
      </c>
      <c r="AC6" s="14" t="n">
        <f aca="false">Z6*N6</f>
        <v>92285.067</v>
      </c>
      <c r="AD6" s="14" t="n">
        <f aca="false">AA6*N6</f>
        <v>174619.65</v>
      </c>
      <c r="AE6" s="14" t="n">
        <f aca="false">AB6*N6</f>
        <v>293328.6</v>
      </c>
      <c r="AF6" s="14" t="n">
        <f aca="false">W6*Inputs!$B$44*N6</f>
        <v>100163.20875</v>
      </c>
      <c r="AG6" s="14" t="n">
        <f aca="false">X6*MIN(L6,Inputs!$B$45)*N6+X6*Inputs!$B$46</f>
        <v>179841.43125</v>
      </c>
      <c r="AH6" s="14" t="n">
        <f aca="false">AE6</f>
        <v>293328.6</v>
      </c>
      <c r="AI6" s="14" t="n">
        <f aca="false">AF6-AC6</f>
        <v>7878.14175000001</v>
      </c>
      <c r="AJ6" s="14" t="n">
        <f aca="false">AG6-AD6</f>
        <v>5221.78124999997</v>
      </c>
      <c r="AK6" s="14" t="n">
        <f aca="false">AH6-AE6</f>
        <v>0</v>
      </c>
      <c r="AL6" s="14" t="n">
        <f aca="false">D5*Inputs!$B$18</f>
        <v>11.55</v>
      </c>
      <c r="AM6" s="14" t="n">
        <f aca="false">D6-D5+AL6</f>
        <v>261.55</v>
      </c>
      <c r="AN6" s="14" t="n">
        <f aca="false">E6-E5</f>
        <v>250</v>
      </c>
      <c r="AO6" s="14" t="n">
        <f aca="false">Inputs!$B$59*(AM6*O6+AN6*P6)</f>
        <v>84752.25</v>
      </c>
      <c r="AP6" s="14" t="n">
        <f aca="false">(W6*Inputs!$B$61+X6*Inputs!$B$62+Y6*Inputs!$B$63)</f>
        <v>3214.92</v>
      </c>
    </row>
    <row r="7" customFormat="false" ht="15" hidden="false" customHeight="false" outlineLevel="0" collapsed="false">
      <c r="A7" s="0" t="n">
        <v>3</v>
      </c>
      <c r="B7" s="0" t="n">
        <f aca="false">INT((A7-1)/12)+1</f>
        <v>1</v>
      </c>
      <c r="C7" s="0" t="n">
        <f aca="false">(A7-0.5-12*(B7-1))/12</f>
        <v>0.208333333333333</v>
      </c>
      <c r="D7" s="14" t="n">
        <f aca="false">CHOOSE(B7,Inputs!$B$7,Inputs!$B$8,Inputs!$B$9)+(CHOOSE(B7,Inputs!$B$8,Inputs!$B$9,Inputs!$B$10)-CHOOSE(B7,Inputs!$B$7,Inputs!$B$8,Inputs!$B$9))*C7</f>
        <v>2425</v>
      </c>
      <c r="E7" s="14" t="n">
        <f aca="false">CHOOSE(B7,Inputs!$B$11,Inputs!$B$12,Inputs!$B$13)+(CHOOSE(B7,Inputs!$B$12,Inputs!$B$13,Inputs!$B$14)-CHOOSE(B7,Inputs!$B$11,Inputs!$B$12,Inputs!$B$13))*C7</f>
        <v>3625</v>
      </c>
      <c r="F7" s="14" t="n">
        <f aca="false">CHOOSE(B7,Inputs!$B$15,Inputs!$B$16,Inputs!$B$17)</f>
        <v>6000</v>
      </c>
      <c r="G7" s="14" t="n">
        <f aca="false">IF(Inputs!$B$42=1,Inputs!$B$6,ROUNDUP(D7/Inputs!$B$5,0))</f>
        <v>1</v>
      </c>
      <c r="H7" s="14" t="n">
        <f aca="false">D7*Inputs!$B$19</f>
        <v>1333.75</v>
      </c>
      <c r="I7" s="14" t="n">
        <f aca="false">E7*Inputs!$B$20</f>
        <v>2356.25</v>
      </c>
      <c r="J7" s="14" t="n">
        <f aca="false">F7*Inputs!$B$21</f>
        <v>4500</v>
      </c>
      <c r="K7" s="15" t="n">
        <f aca="false">1+Inputs!$B$36+Inputs!$B$39*G7/H7</f>
        <v>1.40869728209934</v>
      </c>
      <c r="L7" s="15" t="n">
        <f aca="false">1+Inputs!$B$37+Inputs!$B$40/I7</f>
        <v>1.45464190981432</v>
      </c>
      <c r="M7" s="15" t="n">
        <f aca="false">1+Inputs!$B$38+Inputs!$B$41/J7</f>
        <v>1.20666666666667</v>
      </c>
      <c r="N7" s="16" t="n">
        <f aca="false">Inputs!$B$33*(1+Inputs!$B$34)^(B7-1)*(1+Inputs!$B$35)</f>
        <v>74</v>
      </c>
      <c r="O7" s="16" t="n">
        <f aca="false">Inputs!$B$23*(1+Inputs!$B$24)^(B7-1)</f>
        <v>195</v>
      </c>
      <c r="P7" s="16" t="n">
        <f aca="false">Inputs!$B$25*(1+Inputs!$B$26)^(B7-1)</f>
        <v>135</v>
      </c>
      <c r="Q7" s="16" t="n">
        <f aca="false">Inputs!$B$27*(1+Inputs!$B$28)^(B7-1)</f>
        <v>118</v>
      </c>
      <c r="R7" s="14" t="n">
        <f aca="false">D7*O7</f>
        <v>472875</v>
      </c>
      <c r="S7" s="14" t="n">
        <f aca="false">E7*P7</f>
        <v>489375</v>
      </c>
      <c r="T7" s="14" t="n">
        <f aca="false">F7*Q7</f>
        <v>708000</v>
      </c>
      <c r="U7" s="14" t="n">
        <f aca="false">D7/1000*Inputs!$B$29*Inputs!$B$30</f>
        <v>21825</v>
      </c>
      <c r="V7" s="14" t="n">
        <f aca="false">(D7+E7)/1000*Inputs!$B$31</f>
        <v>9075</v>
      </c>
      <c r="W7" s="14" t="n">
        <f aca="false">H7*8760/12/1000</f>
        <v>973.6375</v>
      </c>
      <c r="X7" s="14" t="n">
        <f aca="false">I7*8760/12/1000</f>
        <v>1720.0625</v>
      </c>
      <c r="Y7" s="14" t="n">
        <f aca="false">J7*8760/12/1000</f>
        <v>3285</v>
      </c>
      <c r="Z7" s="14" t="n">
        <f aca="false">W7*K7</f>
        <v>1371.5605</v>
      </c>
      <c r="AA7" s="14" t="n">
        <f aca="false">X7*L7</f>
        <v>2502.075</v>
      </c>
      <c r="AB7" s="14" t="n">
        <f aca="false">Y7*M7</f>
        <v>3963.9</v>
      </c>
      <c r="AC7" s="14" t="n">
        <f aca="false">Z7*N7</f>
        <v>101495.477</v>
      </c>
      <c r="AD7" s="14" t="n">
        <f aca="false">AA7*N7</f>
        <v>185153.55</v>
      </c>
      <c r="AE7" s="14" t="n">
        <f aca="false">AB7*N7</f>
        <v>293328.6</v>
      </c>
      <c r="AF7" s="14" t="n">
        <f aca="false">W7*Inputs!$B$44*N7</f>
        <v>111676.22125</v>
      </c>
      <c r="AG7" s="14" t="n">
        <f aca="false">X7*MIN(L7,Inputs!$B$45)*N7+X7*Inputs!$B$46</f>
        <v>193163.01875</v>
      </c>
      <c r="AH7" s="14" t="n">
        <f aca="false">AE7</f>
        <v>293328.6</v>
      </c>
      <c r="AI7" s="14" t="n">
        <f aca="false">AF7-AC7</f>
        <v>10180.74425</v>
      </c>
      <c r="AJ7" s="14" t="n">
        <f aca="false">AG7-AD7</f>
        <v>8009.46875</v>
      </c>
      <c r="AK7" s="14" t="n">
        <f aca="false">AH7-AE7</f>
        <v>0</v>
      </c>
      <c r="AL7" s="14" t="n">
        <f aca="false">D6*Inputs!$B$18</f>
        <v>13.05</v>
      </c>
      <c r="AM7" s="14" t="n">
        <f aca="false">D7-D6+AL7</f>
        <v>263.05</v>
      </c>
      <c r="AN7" s="14" t="n">
        <f aca="false">E7-E6</f>
        <v>250</v>
      </c>
      <c r="AO7" s="14" t="n">
        <f aca="false">Inputs!$B$59*(AM7*O7+AN7*P7)</f>
        <v>85044.75</v>
      </c>
      <c r="AP7" s="14" t="n">
        <f aca="false">(W7*Inputs!$B$61+X7*Inputs!$B$62+Y7*Inputs!$B$63)</f>
        <v>3455.82</v>
      </c>
    </row>
    <row r="8" customFormat="false" ht="15" hidden="false" customHeight="false" outlineLevel="0" collapsed="false">
      <c r="A8" s="0" t="n">
        <v>4</v>
      </c>
      <c r="B8" s="0" t="n">
        <f aca="false">INT((A8-1)/12)+1</f>
        <v>1</v>
      </c>
      <c r="C8" s="0" t="n">
        <f aca="false">(A8-0.5-12*(B8-1))/12</f>
        <v>0.291666666666667</v>
      </c>
      <c r="D8" s="14" t="n">
        <f aca="false">CHOOSE(B8,Inputs!$B$7,Inputs!$B$8,Inputs!$B$9)+(CHOOSE(B8,Inputs!$B$8,Inputs!$B$9,Inputs!$B$10)-CHOOSE(B8,Inputs!$B$7,Inputs!$B$8,Inputs!$B$9))*C8</f>
        <v>2675</v>
      </c>
      <c r="E8" s="14" t="n">
        <f aca="false">CHOOSE(B8,Inputs!$B$11,Inputs!$B$12,Inputs!$B$13)+(CHOOSE(B8,Inputs!$B$12,Inputs!$B$13,Inputs!$B$14)-CHOOSE(B8,Inputs!$B$11,Inputs!$B$12,Inputs!$B$13))*C8</f>
        <v>3875</v>
      </c>
      <c r="F8" s="14" t="n">
        <f aca="false">CHOOSE(B8,Inputs!$B$15,Inputs!$B$16,Inputs!$B$17)</f>
        <v>6000</v>
      </c>
      <c r="G8" s="14" t="n">
        <f aca="false">IF(Inputs!$B$42=1,Inputs!$B$6,ROUNDUP(D8/Inputs!$B$5,0))</f>
        <v>1</v>
      </c>
      <c r="H8" s="14" t="n">
        <f aca="false">D8*Inputs!$B$19</f>
        <v>1471.25</v>
      </c>
      <c r="I8" s="14" t="n">
        <f aca="false">E8*Inputs!$B$20</f>
        <v>2518.75</v>
      </c>
      <c r="J8" s="14" t="n">
        <f aca="false">F8*Inputs!$B$21</f>
        <v>4500</v>
      </c>
      <c r="K8" s="15" t="n">
        <f aca="false">1+Inputs!$B$36+Inputs!$B$39*G8/H8</f>
        <v>1.39293118096856</v>
      </c>
      <c r="L8" s="15" t="n">
        <f aca="false">1+Inputs!$B$37+Inputs!$B$40/I8</f>
        <v>1.43821339950372</v>
      </c>
      <c r="M8" s="15" t="n">
        <f aca="false">1+Inputs!$B$38+Inputs!$B$41/J8</f>
        <v>1.20666666666667</v>
      </c>
      <c r="N8" s="16" t="n">
        <f aca="false">Inputs!$B$33*(1+Inputs!$B$34)^(B8-1)*(1+Inputs!$B$35)</f>
        <v>74</v>
      </c>
      <c r="O8" s="16" t="n">
        <f aca="false">Inputs!$B$23*(1+Inputs!$B$24)^(B8-1)</f>
        <v>195</v>
      </c>
      <c r="P8" s="16" t="n">
        <f aca="false">Inputs!$B$25*(1+Inputs!$B$26)^(B8-1)</f>
        <v>135</v>
      </c>
      <c r="Q8" s="16" t="n">
        <f aca="false">Inputs!$B$27*(1+Inputs!$B$28)^(B8-1)</f>
        <v>118</v>
      </c>
      <c r="R8" s="14" t="n">
        <f aca="false">D8*O8</f>
        <v>521625</v>
      </c>
      <c r="S8" s="14" t="n">
        <f aca="false">E8*P8</f>
        <v>523125</v>
      </c>
      <c r="T8" s="14" t="n">
        <f aca="false">F8*Q8</f>
        <v>708000</v>
      </c>
      <c r="U8" s="14" t="n">
        <f aca="false">D8/1000*Inputs!$B$29*Inputs!$B$30</f>
        <v>24075</v>
      </c>
      <c r="V8" s="14" t="n">
        <f aca="false">(D8+E8)/1000*Inputs!$B$31</f>
        <v>9825</v>
      </c>
      <c r="W8" s="14" t="n">
        <f aca="false">H8*8760/12/1000</f>
        <v>1074.0125</v>
      </c>
      <c r="X8" s="14" t="n">
        <f aca="false">I8*8760/12/1000</f>
        <v>1838.6875</v>
      </c>
      <c r="Y8" s="14" t="n">
        <f aca="false">J8*8760/12/1000</f>
        <v>3285</v>
      </c>
      <c r="Z8" s="14" t="n">
        <f aca="false">W8*K8</f>
        <v>1496.0255</v>
      </c>
      <c r="AA8" s="14" t="n">
        <f aca="false">X8*L8</f>
        <v>2644.425</v>
      </c>
      <c r="AB8" s="14" t="n">
        <f aca="false">Y8*M8</f>
        <v>3963.9</v>
      </c>
      <c r="AC8" s="14" t="n">
        <f aca="false">Z8*N8</f>
        <v>110705.887</v>
      </c>
      <c r="AD8" s="14" t="n">
        <f aca="false">AA8*N8</f>
        <v>195687.45</v>
      </c>
      <c r="AE8" s="14" t="n">
        <f aca="false">AB8*N8</f>
        <v>293328.6</v>
      </c>
      <c r="AF8" s="14" t="n">
        <f aca="false">W8*Inputs!$B$44*N8</f>
        <v>123189.23375</v>
      </c>
      <c r="AG8" s="14" t="n">
        <f aca="false">X8*MIN(L8,Inputs!$B$45)*N8+X8*Inputs!$B$46</f>
        <v>204880.8875</v>
      </c>
      <c r="AH8" s="14" t="n">
        <f aca="false">AE8</f>
        <v>293328.6</v>
      </c>
      <c r="AI8" s="14" t="n">
        <f aca="false">AF8-AC8</f>
        <v>12483.34675</v>
      </c>
      <c r="AJ8" s="14" t="n">
        <f aca="false">AG8-AD8</f>
        <v>9193.4375</v>
      </c>
      <c r="AK8" s="14" t="n">
        <f aca="false">AH8-AE8</f>
        <v>0</v>
      </c>
      <c r="AL8" s="14" t="n">
        <f aca="false">D7*Inputs!$B$18</f>
        <v>14.55</v>
      </c>
      <c r="AM8" s="14" t="n">
        <f aca="false">D8-D7+AL8</f>
        <v>264.55</v>
      </c>
      <c r="AN8" s="14" t="n">
        <f aca="false">E8-E7</f>
        <v>250</v>
      </c>
      <c r="AO8" s="14" t="n">
        <f aca="false">Inputs!$B$59*(AM8*O8+AN8*P8)</f>
        <v>85337.25</v>
      </c>
      <c r="AP8" s="14" t="n">
        <f aca="false">(W8*Inputs!$B$61+X8*Inputs!$B$62+Y8*Inputs!$B$63)</f>
        <v>3696.72</v>
      </c>
    </row>
    <row r="9" customFormat="false" ht="15" hidden="false" customHeight="false" outlineLevel="0" collapsed="false">
      <c r="A9" s="0" t="n">
        <v>5</v>
      </c>
      <c r="B9" s="0" t="n">
        <f aca="false">INT((A9-1)/12)+1</f>
        <v>1</v>
      </c>
      <c r="C9" s="0" t="n">
        <f aca="false">(A9-0.5-12*(B9-1))/12</f>
        <v>0.375</v>
      </c>
      <c r="D9" s="14" t="n">
        <f aca="false">CHOOSE(B9,Inputs!$B$7,Inputs!$B$8,Inputs!$B$9)+(CHOOSE(B9,Inputs!$B$8,Inputs!$B$9,Inputs!$B$10)-CHOOSE(B9,Inputs!$B$7,Inputs!$B$8,Inputs!$B$9))*C9</f>
        <v>2925</v>
      </c>
      <c r="E9" s="14" t="n">
        <f aca="false">CHOOSE(B9,Inputs!$B$11,Inputs!$B$12,Inputs!$B$13)+(CHOOSE(B9,Inputs!$B$12,Inputs!$B$13,Inputs!$B$14)-CHOOSE(B9,Inputs!$B$11,Inputs!$B$12,Inputs!$B$13))*C9</f>
        <v>4125</v>
      </c>
      <c r="F9" s="14" t="n">
        <f aca="false">CHOOSE(B9,Inputs!$B$15,Inputs!$B$16,Inputs!$B$17)</f>
        <v>6000</v>
      </c>
      <c r="G9" s="14" t="n">
        <f aca="false">IF(Inputs!$B$42=1,Inputs!$B$6,ROUNDUP(D9/Inputs!$B$5,0))</f>
        <v>1</v>
      </c>
      <c r="H9" s="14" t="n">
        <f aca="false">D9*Inputs!$B$19</f>
        <v>1608.75</v>
      </c>
      <c r="I9" s="14" t="n">
        <f aca="false">E9*Inputs!$B$20</f>
        <v>2681.25</v>
      </c>
      <c r="J9" s="14" t="n">
        <f aca="false">F9*Inputs!$B$21</f>
        <v>4500</v>
      </c>
      <c r="K9" s="15" t="n">
        <f aca="false">1+Inputs!$B$36+Inputs!$B$39*G9/H9</f>
        <v>1.37986013986014</v>
      </c>
      <c r="L9" s="15" t="n">
        <f aca="false">1+Inputs!$B$37+Inputs!$B$40/I9</f>
        <v>1.42377622377622</v>
      </c>
      <c r="M9" s="15" t="n">
        <f aca="false">1+Inputs!$B$38+Inputs!$B$41/J9</f>
        <v>1.20666666666667</v>
      </c>
      <c r="N9" s="16" t="n">
        <f aca="false">Inputs!$B$33*(1+Inputs!$B$34)^(B9-1)*(1+Inputs!$B$35)</f>
        <v>74</v>
      </c>
      <c r="O9" s="16" t="n">
        <f aca="false">Inputs!$B$23*(1+Inputs!$B$24)^(B9-1)</f>
        <v>195</v>
      </c>
      <c r="P9" s="16" t="n">
        <f aca="false">Inputs!$B$25*(1+Inputs!$B$26)^(B9-1)</f>
        <v>135</v>
      </c>
      <c r="Q9" s="16" t="n">
        <f aca="false">Inputs!$B$27*(1+Inputs!$B$28)^(B9-1)</f>
        <v>118</v>
      </c>
      <c r="R9" s="14" t="n">
        <f aca="false">D9*O9</f>
        <v>570375</v>
      </c>
      <c r="S9" s="14" t="n">
        <f aca="false">E9*P9</f>
        <v>556875</v>
      </c>
      <c r="T9" s="14" t="n">
        <f aca="false">F9*Q9</f>
        <v>708000</v>
      </c>
      <c r="U9" s="14" t="n">
        <f aca="false">D9/1000*Inputs!$B$29*Inputs!$B$30</f>
        <v>26325</v>
      </c>
      <c r="V9" s="14" t="n">
        <f aca="false">(D9+E9)/1000*Inputs!$B$31</f>
        <v>10575</v>
      </c>
      <c r="W9" s="14" t="n">
        <f aca="false">H9*8760/12/1000</f>
        <v>1174.3875</v>
      </c>
      <c r="X9" s="14" t="n">
        <f aca="false">I9*8760/12/1000</f>
        <v>1957.3125</v>
      </c>
      <c r="Y9" s="14" t="n">
        <f aca="false">J9*8760/12/1000</f>
        <v>3285</v>
      </c>
      <c r="Z9" s="14" t="n">
        <f aca="false">W9*K9</f>
        <v>1620.4905</v>
      </c>
      <c r="AA9" s="14" t="n">
        <f aca="false">X9*L9</f>
        <v>2786.775</v>
      </c>
      <c r="AB9" s="14" t="n">
        <f aca="false">Y9*M9</f>
        <v>3963.9</v>
      </c>
      <c r="AC9" s="14" t="n">
        <f aca="false">Z9*N9</f>
        <v>119916.297</v>
      </c>
      <c r="AD9" s="14" t="n">
        <f aca="false">AA9*N9</f>
        <v>206221.35</v>
      </c>
      <c r="AE9" s="14" t="n">
        <f aca="false">AB9*N9</f>
        <v>293328.6</v>
      </c>
      <c r="AF9" s="14" t="n">
        <f aca="false">W9*Inputs!$B$44*N9</f>
        <v>134702.24625</v>
      </c>
      <c r="AG9" s="14" t="n">
        <f aca="false">X9*MIN(L9,Inputs!$B$45)*N9+X9*Inputs!$B$46</f>
        <v>216007.9125</v>
      </c>
      <c r="AH9" s="14" t="n">
        <f aca="false">AE9</f>
        <v>293328.6</v>
      </c>
      <c r="AI9" s="14" t="n">
        <f aca="false">AF9-AC9</f>
        <v>14785.94925</v>
      </c>
      <c r="AJ9" s="14" t="n">
        <f aca="false">AG9-AD9</f>
        <v>9786.5625</v>
      </c>
      <c r="AK9" s="14" t="n">
        <f aca="false">AH9-AE9</f>
        <v>0</v>
      </c>
      <c r="AL9" s="14" t="n">
        <f aca="false">D8*Inputs!$B$18</f>
        <v>16.05</v>
      </c>
      <c r="AM9" s="14" t="n">
        <f aca="false">D9-D8+AL9</f>
        <v>266.05</v>
      </c>
      <c r="AN9" s="14" t="n">
        <f aca="false">E9-E8</f>
        <v>250</v>
      </c>
      <c r="AO9" s="14" t="n">
        <f aca="false">Inputs!$B$59*(AM9*O9+AN9*P9)</f>
        <v>85629.75</v>
      </c>
      <c r="AP9" s="14" t="n">
        <f aca="false">(W9*Inputs!$B$61+X9*Inputs!$B$62+Y9*Inputs!$B$63)</f>
        <v>3937.62</v>
      </c>
    </row>
    <row r="10" customFormat="false" ht="15" hidden="false" customHeight="false" outlineLevel="0" collapsed="false">
      <c r="A10" s="0" t="n">
        <v>6</v>
      </c>
      <c r="B10" s="0" t="n">
        <f aca="false">INT((A10-1)/12)+1</f>
        <v>1</v>
      </c>
      <c r="C10" s="0" t="n">
        <f aca="false">(A10-0.5-12*(B10-1))/12</f>
        <v>0.458333333333333</v>
      </c>
      <c r="D10" s="14" t="n">
        <f aca="false">CHOOSE(B10,Inputs!$B$7,Inputs!$B$8,Inputs!$B$9)+(CHOOSE(B10,Inputs!$B$8,Inputs!$B$9,Inputs!$B$10)-CHOOSE(B10,Inputs!$B$7,Inputs!$B$8,Inputs!$B$9))*C10</f>
        <v>3175</v>
      </c>
      <c r="E10" s="14" t="n">
        <f aca="false">CHOOSE(B10,Inputs!$B$11,Inputs!$B$12,Inputs!$B$13)+(CHOOSE(B10,Inputs!$B$12,Inputs!$B$13,Inputs!$B$14)-CHOOSE(B10,Inputs!$B$11,Inputs!$B$12,Inputs!$B$13))*C10</f>
        <v>4375</v>
      </c>
      <c r="F10" s="14" t="n">
        <f aca="false">CHOOSE(B10,Inputs!$B$15,Inputs!$B$16,Inputs!$B$17)</f>
        <v>6000</v>
      </c>
      <c r="G10" s="14" t="n">
        <f aca="false">IF(Inputs!$B$42=1,Inputs!$B$6,ROUNDUP(D10/Inputs!$B$5,0))</f>
        <v>2</v>
      </c>
      <c r="H10" s="14" t="n">
        <f aca="false">D10*Inputs!$B$19</f>
        <v>1746.25</v>
      </c>
      <c r="I10" s="14" t="n">
        <f aca="false">E10*Inputs!$B$20</f>
        <v>2843.75</v>
      </c>
      <c r="J10" s="14" t="n">
        <f aca="false">F10*Inputs!$B$21</f>
        <v>4500</v>
      </c>
      <c r="K10" s="15" t="n">
        <f aca="false">1+Inputs!$B$36+Inputs!$B$39*G10/H10</f>
        <v>1.49769506084467</v>
      </c>
      <c r="L10" s="15" t="n">
        <f aca="false">1+Inputs!$B$37+Inputs!$B$40/I10</f>
        <v>1.41098901098901</v>
      </c>
      <c r="M10" s="15" t="n">
        <f aca="false">1+Inputs!$B$38+Inputs!$B$41/J10</f>
        <v>1.20666666666667</v>
      </c>
      <c r="N10" s="16" t="n">
        <f aca="false">Inputs!$B$33*(1+Inputs!$B$34)^(B10-1)*(1+Inputs!$B$35)</f>
        <v>74</v>
      </c>
      <c r="O10" s="16" t="n">
        <f aca="false">Inputs!$B$23*(1+Inputs!$B$24)^(B10-1)</f>
        <v>195</v>
      </c>
      <c r="P10" s="16" t="n">
        <f aca="false">Inputs!$B$25*(1+Inputs!$B$26)^(B10-1)</f>
        <v>135</v>
      </c>
      <c r="Q10" s="16" t="n">
        <f aca="false">Inputs!$B$27*(1+Inputs!$B$28)^(B10-1)</f>
        <v>118</v>
      </c>
      <c r="R10" s="14" t="n">
        <f aca="false">D10*O10</f>
        <v>619125</v>
      </c>
      <c r="S10" s="14" t="n">
        <f aca="false">E10*P10</f>
        <v>590625</v>
      </c>
      <c r="T10" s="14" t="n">
        <f aca="false">F10*Q10</f>
        <v>708000</v>
      </c>
      <c r="U10" s="14" t="n">
        <f aca="false">D10/1000*Inputs!$B$29*Inputs!$B$30</f>
        <v>28575</v>
      </c>
      <c r="V10" s="14" t="n">
        <f aca="false">(D10+E10)/1000*Inputs!$B$31</f>
        <v>11325</v>
      </c>
      <c r="W10" s="14" t="n">
        <f aca="false">H10*8760/12/1000</f>
        <v>1274.7625</v>
      </c>
      <c r="X10" s="14" t="n">
        <f aca="false">I10*8760/12/1000</f>
        <v>2075.9375</v>
      </c>
      <c r="Y10" s="14" t="n">
        <f aca="false">J10*8760/12/1000</f>
        <v>3285</v>
      </c>
      <c r="Z10" s="14" t="n">
        <f aca="false">W10*K10</f>
        <v>1909.2055</v>
      </c>
      <c r="AA10" s="14" t="n">
        <f aca="false">X10*L10</f>
        <v>2929.125</v>
      </c>
      <c r="AB10" s="14" t="n">
        <f aca="false">Y10*M10</f>
        <v>3963.9</v>
      </c>
      <c r="AC10" s="14" t="n">
        <f aca="false">Z10*N10</f>
        <v>141281.207</v>
      </c>
      <c r="AD10" s="14" t="n">
        <f aca="false">AA10*N10</f>
        <v>216755.25</v>
      </c>
      <c r="AE10" s="14" t="n">
        <f aca="false">AB10*N10</f>
        <v>293328.6</v>
      </c>
      <c r="AF10" s="14" t="n">
        <f aca="false">W10*Inputs!$B$44*N10</f>
        <v>146215.25875</v>
      </c>
      <c r="AG10" s="14" t="n">
        <f aca="false">X10*MIN(L10,Inputs!$B$45)*N10+X10*Inputs!$B$46</f>
        <v>227134.9375</v>
      </c>
      <c r="AH10" s="14" t="n">
        <f aca="false">AE10</f>
        <v>293328.6</v>
      </c>
      <c r="AI10" s="14" t="n">
        <f aca="false">AF10-AC10</f>
        <v>4934.05175000001</v>
      </c>
      <c r="AJ10" s="14" t="n">
        <f aca="false">AG10-AD10</f>
        <v>10379.6875</v>
      </c>
      <c r="AK10" s="14" t="n">
        <f aca="false">AH10-AE10</f>
        <v>0</v>
      </c>
      <c r="AL10" s="14" t="n">
        <f aca="false">D9*Inputs!$B$18</f>
        <v>17.55</v>
      </c>
      <c r="AM10" s="14" t="n">
        <f aca="false">D10-D9+AL10</f>
        <v>267.55</v>
      </c>
      <c r="AN10" s="14" t="n">
        <f aca="false">E10-E9</f>
        <v>250</v>
      </c>
      <c r="AO10" s="14" t="n">
        <f aca="false">Inputs!$B$59*(AM10*O10+AN10*P10)</f>
        <v>85922.25</v>
      </c>
      <c r="AP10" s="14" t="n">
        <f aca="false">(W10*Inputs!$B$61+X10*Inputs!$B$62+Y10*Inputs!$B$63)</f>
        <v>4178.52</v>
      </c>
    </row>
    <row r="11" customFormat="false" ht="15" hidden="false" customHeight="false" outlineLevel="0" collapsed="false">
      <c r="A11" s="0" t="n">
        <v>7</v>
      </c>
      <c r="B11" s="0" t="n">
        <f aca="false">INT((A11-1)/12)+1</f>
        <v>1</v>
      </c>
      <c r="C11" s="0" t="n">
        <f aca="false">(A11-0.5-12*(B11-1))/12</f>
        <v>0.541666666666667</v>
      </c>
      <c r="D11" s="14" t="n">
        <f aca="false">CHOOSE(B11,Inputs!$B$7,Inputs!$B$8,Inputs!$B$9)+(CHOOSE(B11,Inputs!$B$8,Inputs!$B$9,Inputs!$B$10)-CHOOSE(B11,Inputs!$B$7,Inputs!$B$8,Inputs!$B$9))*C11</f>
        <v>3425</v>
      </c>
      <c r="E11" s="14" t="n">
        <f aca="false">CHOOSE(B11,Inputs!$B$11,Inputs!$B$12,Inputs!$B$13)+(CHOOSE(B11,Inputs!$B$12,Inputs!$B$13,Inputs!$B$14)-CHOOSE(B11,Inputs!$B$11,Inputs!$B$12,Inputs!$B$13))*C11</f>
        <v>4625</v>
      </c>
      <c r="F11" s="14" t="n">
        <f aca="false">CHOOSE(B11,Inputs!$B$15,Inputs!$B$16,Inputs!$B$17)</f>
        <v>6000</v>
      </c>
      <c r="G11" s="14" t="n">
        <f aca="false">IF(Inputs!$B$42=1,Inputs!$B$6,ROUNDUP(D11/Inputs!$B$5,0))</f>
        <v>2</v>
      </c>
      <c r="H11" s="14" t="n">
        <f aca="false">D11*Inputs!$B$19</f>
        <v>1883.75</v>
      </c>
      <c r="I11" s="14" t="n">
        <f aca="false">E11*Inputs!$B$20</f>
        <v>3006.25</v>
      </c>
      <c r="J11" s="14" t="n">
        <f aca="false">F11*Inputs!$B$21</f>
        <v>4500</v>
      </c>
      <c r="K11" s="15" t="n">
        <f aca="false">1+Inputs!$B$36+Inputs!$B$39*G11/H11</f>
        <v>1.47888520238885</v>
      </c>
      <c r="L11" s="15" t="n">
        <f aca="false">1+Inputs!$B$37+Inputs!$B$40/I11</f>
        <v>1.3995841995842</v>
      </c>
      <c r="M11" s="15" t="n">
        <f aca="false">1+Inputs!$B$38+Inputs!$B$41/J11</f>
        <v>1.20666666666667</v>
      </c>
      <c r="N11" s="16" t="n">
        <f aca="false">Inputs!$B$33*(1+Inputs!$B$34)^(B11-1)*(1+Inputs!$B$35)</f>
        <v>74</v>
      </c>
      <c r="O11" s="16" t="n">
        <f aca="false">Inputs!$B$23*(1+Inputs!$B$24)^(B11-1)</f>
        <v>195</v>
      </c>
      <c r="P11" s="16" t="n">
        <f aca="false">Inputs!$B$25*(1+Inputs!$B$26)^(B11-1)</f>
        <v>135</v>
      </c>
      <c r="Q11" s="16" t="n">
        <f aca="false">Inputs!$B$27*(1+Inputs!$B$28)^(B11-1)</f>
        <v>118</v>
      </c>
      <c r="R11" s="14" t="n">
        <f aca="false">D11*O11</f>
        <v>667875</v>
      </c>
      <c r="S11" s="14" t="n">
        <f aca="false">E11*P11</f>
        <v>624375</v>
      </c>
      <c r="T11" s="14" t="n">
        <f aca="false">F11*Q11</f>
        <v>708000</v>
      </c>
      <c r="U11" s="14" t="n">
        <f aca="false">D11/1000*Inputs!$B$29*Inputs!$B$30</f>
        <v>30825</v>
      </c>
      <c r="V11" s="14" t="n">
        <f aca="false">(D11+E11)/1000*Inputs!$B$31</f>
        <v>12075</v>
      </c>
      <c r="W11" s="14" t="n">
        <f aca="false">H11*8760/12/1000</f>
        <v>1375.1375</v>
      </c>
      <c r="X11" s="14" t="n">
        <f aca="false">I11*8760/12/1000</f>
        <v>2194.5625</v>
      </c>
      <c r="Y11" s="14" t="n">
        <f aca="false">J11*8760/12/1000</f>
        <v>3285</v>
      </c>
      <c r="Z11" s="14" t="n">
        <f aca="false">W11*K11</f>
        <v>2033.6705</v>
      </c>
      <c r="AA11" s="14" t="n">
        <f aca="false">X11*L11</f>
        <v>3071.475</v>
      </c>
      <c r="AB11" s="14" t="n">
        <f aca="false">Y11*M11</f>
        <v>3963.9</v>
      </c>
      <c r="AC11" s="14" t="n">
        <f aca="false">Z11*N11</f>
        <v>150491.617</v>
      </c>
      <c r="AD11" s="14" t="n">
        <f aca="false">AA11*N11</f>
        <v>227289.15</v>
      </c>
      <c r="AE11" s="14" t="n">
        <f aca="false">AB11*N11</f>
        <v>293328.6</v>
      </c>
      <c r="AF11" s="14" t="n">
        <f aca="false">W11*Inputs!$B$44*N11</f>
        <v>157728.27125</v>
      </c>
      <c r="AG11" s="14" t="n">
        <f aca="false">X11*MIN(L11,Inputs!$B$45)*N11+X11*Inputs!$B$46</f>
        <v>238261.9625</v>
      </c>
      <c r="AH11" s="14" t="n">
        <f aca="false">AE11</f>
        <v>293328.6</v>
      </c>
      <c r="AI11" s="14" t="n">
        <f aca="false">AF11-AC11</f>
        <v>7236.65425000002</v>
      </c>
      <c r="AJ11" s="14" t="n">
        <f aca="false">AG11-AD11</f>
        <v>10972.8125</v>
      </c>
      <c r="AK11" s="14" t="n">
        <f aca="false">AH11-AE11</f>
        <v>0</v>
      </c>
      <c r="AL11" s="14" t="n">
        <f aca="false">D10*Inputs!$B$18</f>
        <v>19.05</v>
      </c>
      <c r="AM11" s="14" t="n">
        <f aca="false">D11-D10+AL11</f>
        <v>269.05</v>
      </c>
      <c r="AN11" s="14" t="n">
        <f aca="false">E11-E10</f>
        <v>250</v>
      </c>
      <c r="AO11" s="14" t="n">
        <f aca="false">Inputs!$B$59*(AM11*O11+AN11*P11)</f>
        <v>86214.75</v>
      </c>
      <c r="AP11" s="14" t="n">
        <f aca="false">(W11*Inputs!$B$61+X11*Inputs!$B$62+Y11*Inputs!$B$63)</f>
        <v>4419.42</v>
      </c>
    </row>
    <row r="12" customFormat="false" ht="15" hidden="false" customHeight="false" outlineLevel="0" collapsed="false">
      <c r="A12" s="0" t="n">
        <v>8</v>
      </c>
      <c r="B12" s="0" t="n">
        <f aca="false">INT((A12-1)/12)+1</f>
        <v>1</v>
      </c>
      <c r="C12" s="0" t="n">
        <f aca="false">(A12-0.5-12*(B12-1))/12</f>
        <v>0.625</v>
      </c>
      <c r="D12" s="14" t="n">
        <f aca="false">CHOOSE(B12,Inputs!$B$7,Inputs!$B$8,Inputs!$B$9)+(CHOOSE(B12,Inputs!$B$8,Inputs!$B$9,Inputs!$B$10)-CHOOSE(B12,Inputs!$B$7,Inputs!$B$8,Inputs!$B$9))*C12</f>
        <v>3675</v>
      </c>
      <c r="E12" s="14" t="n">
        <f aca="false">CHOOSE(B12,Inputs!$B$11,Inputs!$B$12,Inputs!$B$13)+(CHOOSE(B12,Inputs!$B$12,Inputs!$B$13,Inputs!$B$14)-CHOOSE(B12,Inputs!$B$11,Inputs!$B$12,Inputs!$B$13))*C12</f>
        <v>4875</v>
      </c>
      <c r="F12" s="14" t="n">
        <f aca="false">CHOOSE(B12,Inputs!$B$15,Inputs!$B$16,Inputs!$B$17)</f>
        <v>6000</v>
      </c>
      <c r="G12" s="14" t="n">
        <f aca="false">IF(Inputs!$B$42=1,Inputs!$B$6,ROUNDUP(D12/Inputs!$B$5,0))</f>
        <v>2</v>
      </c>
      <c r="H12" s="14" t="n">
        <f aca="false">D12*Inputs!$B$19</f>
        <v>2021.25</v>
      </c>
      <c r="I12" s="14" t="n">
        <f aca="false">E12*Inputs!$B$20</f>
        <v>3168.75</v>
      </c>
      <c r="J12" s="14" t="n">
        <f aca="false">F12*Inputs!$B$21</f>
        <v>4500</v>
      </c>
      <c r="K12" s="15" t="n">
        <f aca="false">1+Inputs!$B$36+Inputs!$B$39*G12/H12</f>
        <v>1.46263450834879</v>
      </c>
      <c r="L12" s="15" t="n">
        <f aca="false">1+Inputs!$B$37+Inputs!$B$40/I12</f>
        <v>1.38934911242604</v>
      </c>
      <c r="M12" s="15" t="n">
        <f aca="false">1+Inputs!$B$38+Inputs!$B$41/J12</f>
        <v>1.20666666666667</v>
      </c>
      <c r="N12" s="16" t="n">
        <f aca="false">Inputs!$B$33*(1+Inputs!$B$34)^(B12-1)*(1+Inputs!$B$35)</f>
        <v>74</v>
      </c>
      <c r="O12" s="16" t="n">
        <f aca="false">Inputs!$B$23*(1+Inputs!$B$24)^(B12-1)</f>
        <v>195</v>
      </c>
      <c r="P12" s="16" t="n">
        <f aca="false">Inputs!$B$25*(1+Inputs!$B$26)^(B12-1)</f>
        <v>135</v>
      </c>
      <c r="Q12" s="16" t="n">
        <f aca="false">Inputs!$B$27*(1+Inputs!$B$28)^(B12-1)</f>
        <v>118</v>
      </c>
      <c r="R12" s="14" t="n">
        <f aca="false">D12*O12</f>
        <v>716625</v>
      </c>
      <c r="S12" s="14" t="n">
        <f aca="false">E12*P12</f>
        <v>658125</v>
      </c>
      <c r="T12" s="14" t="n">
        <f aca="false">F12*Q12</f>
        <v>708000</v>
      </c>
      <c r="U12" s="14" t="n">
        <f aca="false">D12/1000*Inputs!$B$29*Inputs!$B$30</f>
        <v>33075</v>
      </c>
      <c r="V12" s="14" t="n">
        <f aca="false">(D12+E12)/1000*Inputs!$B$31</f>
        <v>12825</v>
      </c>
      <c r="W12" s="14" t="n">
        <f aca="false">H12*8760/12/1000</f>
        <v>1475.5125</v>
      </c>
      <c r="X12" s="14" t="n">
        <f aca="false">I12*8760/12/1000</f>
        <v>2313.1875</v>
      </c>
      <c r="Y12" s="14" t="n">
        <f aca="false">J12*8760/12/1000</f>
        <v>3285</v>
      </c>
      <c r="Z12" s="14" t="n">
        <f aca="false">W12*K12</f>
        <v>2158.1355</v>
      </c>
      <c r="AA12" s="14" t="n">
        <f aca="false">X12*L12</f>
        <v>3213.825</v>
      </c>
      <c r="AB12" s="14" t="n">
        <f aca="false">Y12*M12</f>
        <v>3963.9</v>
      </c>
      <c r="AC12" s="14" t="n">
        <f aca="false">Z12*N12</f>
        <v>159702.027</v>
      </c>
      <c r="AD12" s="14" t="n">
        <f aca="false">AA12*N12</f>
        <v>237823.05</v>
      </c>
      <c r="AE12" s="14" t="n">
        <f aca="false">AB12*N12</f>
        <v>293328.6</v>
      </c>
      <c r="AF12" s="14" t="n">
        <f aca="false">W12*Inputs!$B$44*N12</f>
        <v>169241.28375</v>
      </c>
      <c r="AG12" s="14" t="n">
        <f aca="false">X12*MIN(L12,Inputs!$B$45)*N12+X12*Inputs!$B$46</f>
        <v>249388.9875</v>
      </c>
      <c r="AH12" s="14" t="n">
        <f aca="false">AE12</f>
        <v>293328.6</v>
      </c>
      <c r="AI12" s="14" t="n">
        <f aca="false">AF12-AC12</f>
        <v>9539.25675</v>
      </c>
      <c r="AJ12" s="14" t="n">
        <f aca="false">AG12-AD12</f>
        <v>11565.9375</v>
      </c>
      <c r="AK12" s="14" t="n">
        <f aca="false">AH12-AE12</f>
        <v>0</v>
      </c>
      <c r="AL12" s="14" t="n">
        <f aca="false">D11*Inputs!$B$18</f>
        <v>20.55</v>
      </c>
      <c r="AM12" s="14" t="n">
        <f aca="false">D12-D11+AL12</f>
        <v>270.55</v>
      </c>
      <c r="AN12" s="14" t="n">
        <f aca="false">E12-E11</f>
        <v>250</v>
      </c>
      <c r="AO12" s="14" t="n">
        <f aca="false">Inputs!$B$59*(AM12*O12+AN12*P12)</f>
        <v>86507.25</v>
      </c>
      <c r="AP12" s="14" t="n">
        <f aca="false">(W12*Inputs!$B$61+X12*Inputs!$B$62+Y12*Inputs!$B$63)</f>
        <v>4660.32</v>
      </c>
    </row>
    <row r="13" customFormat="false" ht="15" hidden="false" customHeight="false" outlineLevel="0" collapsed="false">
      <c r="A13" s="0" t="n">
        <v>9</v>
      </c>
      <c r="B13" s="0" t="n">
        <f aca="false">INT((A13-1)/12)+1</f>
        <v>1</v>
      </c>
      <c r="C13" s="0" t="n">
        <f aca="false">(A13-0.5-12*(B13-1))/12</f>
        <v>0.708333333333333</v>
      </c>
      <c r="D13" s="14" t="n">
        <f aca="false">CHOOSE(B13,Inputs!$B$7,Inputs!$B$8,Inputs!$B$9)+(CHOOSE(B13,Inputs!$B$8,Inputs!$B$9,Inputs!$B$10)-CHOOSE(B13,Inputs!$B$7,Inputs!$B$8,Inputs!$B$9))*C13</f>
        <v>3925</v>
      </c>
      <c r="E13" s="14" t="n">
        <f aca="false">CHOOSE(B13,Inputs!$B$11,Inputs!$B$12,Inputs!$B$13)+(CHOOSE(B13,Inputs!$B$12,Inputs!$B$13,Inputs!$B$14)-CHOOSE(B13,Inputs!$B$11,Inputs!$B$12,Inputs!$B$13))*C13</f>
        <v>5125</v>
      </c>
      <c r="F13" s="14" t="n">
        <f aca="false">CHOOSE(B13,Inputs!$B$15,Inputs!$B$16,Inputs!$B$17)</f>
        <v>6000</v>
      </c>
      <c r="G13" s="14" t="n">
        <f aca="false">IF(Inputs!$B$42=1,Inputs!$B$6,ROUNDUP(D13/Inputs!$B$5,0))</f>
        <v>2</v>
      </c>
      <c r="H13" s="14" t="n">
        <f aca="false">D13*Inputs!$B$19</f>
        <v>2158.75</v>
      </c>
      <c r="I13" s="14" t="n">
        <f aca="false">E13*Inputs!$B$20</f>
        <v>3331.25</v>
      </c>
      <c r="J13" s="14" t="n">
        <f aca="false">F13*Inputs!$B$21</f>
        <v>4500</v>
      </c>
      <c r="K13" s="15" t="n">
        <f aca="false">1+Inputs!$B$36+Inputs!$B$39*G13/H13</f>
        <v>1.44845396641575</v>
      </c>
      <c r="L13" s="15" t="n">
        <f aca="false">1+Inputs!$B$37+Inputs!$B$40/I13</f>
        <v>1.38011257035647</v>
      </c>
      <c r="M13" s="15" t="n">
        <f aca="false">1+Inputs!$B$38+Inputs!$B$41/J13</f>
        <v>1.20666666666667</v>
      </c>
      <c r="N13" s="16" t="n">
        <f aca="false">Inputs!$B$33*(1+Inputs!$B$34)^(B13-1)*(1+Inputs!$B$35)</f>
        <v>74</v>
      </c>
      <c r="O13" s="16" t="n">
        <f aca="false">Inputs!$B$23*(1+Inputs!$B$24)^(B13-1)</f>
        <v>195</v>
      </c>
      <c r="P13" s="16" t="n">
        <f aca="false">Inputs!$B$25*(1+Inputs!$B$26)^(B13-1)</f>
        <v>135</v>
      </c>
      <c r="Q13" s="16" t="n">
        <f aca="false">Inputs!$B$27*(1+Inputs!$B$28)^(B13-1)</f>
        <v>118</v>
      </c>
      <c r="R13" s="14" t="n">
        <f aca="false">D13*O13</f>
        <v>765375</v>
      </c>
      <c r="S13" s="14" t="n">
        <f aca="false">E13*P13</f>
        <v>691875</v>
      </c>
      <c r="T13" s="14" t="n">
        <f aca="false">F13*Q13</f>
        <v>708000</v>
      </c>
      <c r="U13" s="14" t="n">
        <f aca="false">D13/1000*Inputs!$B$29*Inputs!$B$30</f>
        <v>35325</v>
      </c>
      <c r="V13" s="14" t="n">
        <f aca="false">(D13+E13)/1000*Inputs!$B$31</f>
        <v>13575</v>
      </c>
      <c r="W13" s="14" t="n">
        <f aca="false">H13*8760/12/1000</f>
        <v>1575.8875</v>
      </c>
      <c r="X13" s="14" t="n">
        <f aca="false">I13*8760/12/1000</f>
        <v>2431.8125</v>
      </c>
      <c r="Y13" s="14" t="n">
        <f aca="false">J13*8760/12/1000</f>
        <v>3285</v>
      </c>
      <c r="Z13" s="14" t="n">
        <f aca="false">W13*K13</f>
        <v>2282.6005</v>
      </c>
      <c r="AA13" s="14" t="n">
        <f aca="false">X13*L13</f>
        <v>3356.175</v>
      </c>
      <c r="AB13" s="14" t="n">
        <f aca="false">Y13*M13</f>
        <v>3963.9</v>
      </c>
      <c r="AC13" s="14" t="n">
        <f aca="false">Z13*N13</f>
        <v>168912.437</v>
      </c>
      <c r="AD13" s="14" t="n">
        <f aca="false">AA13*N13</f>
        <v>248356.95</v>
      </c>
      <c r="AE13" s="14" t="n">
        <f aca="false">AB13*N13</f>
        <v>293328.6</v>
      </c>
      <c r="AF13" s="14" t="n">
        <f aca="false">W13*Inputs!$B$44*N13</f>
        <v>180754.29625</v>
      </c>
      <c r="AG13" s="14" t="n">
        <f aca="false">X13*MIN(L13,Inputs!$B$45)*N13+X13*Inputs!$B$46</f>
        <v>260516.0125</v>
      </c>
      <c r="AH13" s="14" t="n">
        <f aca="false">AE13</f>
        <v>293328.6</v>
      </c>
      <c r="AI13" s="14" t="n">
        <f aca="false">AF13-AC13</f>
        <v>11841.85925</v>
      </c>
      <c r="AJ13" s="14" t="n">
        <f aca="false">AG13-AD13</f>
        <v>12159.0625</v>
      </c>
      <c r="AK13" s="14" t="n">
        <f aca="false">AH13-AE13</f>
        <v>0</v>
      </c>
      <c r="AL13" s="14" t="n">
        <f aca="false">D12*Inputs!$B$18</f>
        <v>22.05</v>
      </c>
      <c r="AM13" s="14" t="n">
        <f aca="false">D13-D12+AL13</f>
        <v>272.05</v>
      </c>
      <c r="AN13" s="14" t="n">
        <f aca="false">E13-E12</f>
        <v>250</v>
      </c>
      <c r="AO13" s="14" t="n">
        <f aca="false">Inputs!$B$59*(AM13*O13+AN13*P13)</f>
        <v>86799.75</v>
      </c>
      <c r="AP13" s="14" t="n">
        <f aca="false">(W13*Inputs!$B$61+X13*Inputs!$B$62+Y13*Inputs!$B$63)</f>
        <v>4901.22</v>
      </c>
    </row>
    <row r="14" customFormat="false" ht="15" hidden="false" customHeight="false" outlineLevel="0" collapsed="false">
      <c r="A14" s="0" t="n">
        <v>10</v>
      </c>
      <c r="B14" s="0" t="n">
        <f aca="false">INT((A14-1)/12)+1</f>
        <v>1</v>
      </c>
      <c r="C14" s="0" t="n">
        <f aca="false">(A14-0.5-12*(B14-1))/12</f>
        <v>0.791666666666667</v>
      </c>
      <c r="D14" s="14" t="n">
        <f aca="false">CHOOSE(B14,Inputs!$B$7,Inputs!$B$8,Inputs!$B$9)+(CHOOSE(B14,Inputs!$B$8,Inputs!$B$9,Inputs!$B$10)-CHOOSE(B14,Inputs!$B$7,Inputs!$B$8,Inputs!$B$9))*C14</f>
        <v>4175</v>
      </c>
      <c r="E14" s="14" t="n">
        <f aca="false">CHOOSE(B14,Inputs!$B$11,Inputs!$B$12,Inputs!$B$13)+(CHOOSE(B14,Inputs!$B$12,Inputs!$B$13,Inputs!$B$14)-CHOOSE(B14,Inputs!$B$11,Inputs!$B$12,Inputs!$B$13))*C14</f>
        <v>5375</v>
      </c>
      <c r="F14" s="14" t="n">
        <f aca="false">CHOOSE(B14,Inputs!$B$15,Inputs!$B$16,Inputs!$B$17)</f>
        <v>6000</v>
      </c>
      <c r="G14" s="14" t="n">
        <f aca="false">IF(Inputs!$B$42=1,Inputs!$B$6,ROUNDUP(D14/Inputs!$B$5,0))</f>
        <v>2</v>
      </c>
      <c r="H14" s="14" t="n">
        <f aca="false">D14*Inputs!$B$19</f>
        <v>2296.25</v>
      </c>
      <c r="I14" s="14" t="n">
        <f aca="false">E14*Inputs!$B$20</f>
        <v>3493.75</v>
      </c>
      <c r="J14" s="14" t="n">
        <f aca="false">F14*Inputs!$B$21</f>
        <v>4500</v>
      </c>
      <c r="K14" s="15" t="n">
        <f aca="false">1+Inputs!$B$36+Inputs!$B$39*G14/H14</f>
        <v>1.43597169297768</v>
      </c>
      <c r="L14" s="15" t="n">
        <f aca="false">1+Inputs!$B$37+Inputs!$B$40/I14</f>
        <v>1.37173524150268</v>
      </c>
      <c r="M14" s="15" t="n">
        <f aca="false">1+Inputs!$B$38+Inputs!$B$41/J14</f>
        <v>1.20666666666667</v>
      </c>
      <c r="N14" s="16" t="n">
        <f aca="false">Inputs!$B$33*(1+Inputs!$B$34)^(B14-1)*(1+Inputs!$B$35)</f>
        <v>74</v>
      </c>
      <c r="O14" s="16" t="n">
        <f aca="false">Inputs!$B$23*(1+Inputs!$B$24)^(B14-1)</f>
        <v>195</v>
      </c>
      <c r="P14" s="16" t="n">
        <f aca="false">Inputs!$B$25*(1+Inputs!$B$26)^(B14-1)</f>
        <v>135</v>
      </c>
      <c r="Q14" s="16" t="n">
        <f aca="false">Inputs!$B$27*(1+Inputs!$B$28)^(B14-1)</f>
        <v>118</v>
      </c>
      <c r="R14" s="14" t="n">
        <f aca="false">D14*O14</f>
        <v>814125</v>
      </c>
      <c r="S14" s="14" t="n">
        <f aca="false">E14*P14</f>
        <v>725625</v>
      </c>
      <c r="T14" s="14" t="n">
        <f aca="false">F14*Q14</f>
        <v>708000</v>
      </c>
      <c r="U14" s="14" t="n">
        <f aca="false">D14/1000*Inputs!$B$29*Inputs!$B$30</f>
        <v>37575</v>
      </c>
      <c r="V14" s="14" t="n">
        <f aca="false">(D14+E14)/1000*Inputs!$B$31</f>
        <v>14325</v>
      </c>
      <c r="W14" s="14" t="n">
        <f aca="false">H14*8760/12/1000</f>
        <v>1676.2625</v>
      </c>
      <c r="X14" s="14" t="n">
        <f aca="false">I14*8760/12/1000</f>
        <v>2550.4375</v>
      </c>
      <c r="Y14" s="14" t="n">
        <f aca="false">J14*8760/12/1000</f>
        <v>3285</v>
      </c>
      <c r="Z14" s="14" t="n">
        <f aca="false">W14*K14</f>
        <v>2407.0655</v>
      </c>
      <c r="AA14" s="14" t="n">
        <f aca="false">X14*L14</f>
        <v>3498.525</v>
      </c>
      <c r="AB14" s="14" t="n">
        <f aca="false">Y14*M14</f>
        <v>3963.9</v>
      </c>
      <c r="AC14" s="14" t="n">
        <f aca="false">Z14*N14</f>
        <v>178122.847</v>
      </c>
      <c r="AD14" s="14" t="n">
        <f aca="false">AA14*N14</f>
        <v>258890.85</v>
      </c>
      <c r="AE14" s="14" t="n">
        <f aca="false">AB14*N14</f>
        <v>293328.6</v>
      </c>
      <c r="AF14" s="14" t="n">
        <f aca="false">W14*Inputs!$B$44*N14</f>
        <v>192267.30875</v>
      </c>
      <c r="AG14" s="14" t="n">
        <f aca="false">X14*MIN(L14,Inputs!$B$45)*N14+X14*Inputs!$B$46</f>
        <v>271643.0375</v>
      </c>
      <c r="AH14" s="14" t="n">
        <f aca="false">AE14</f>
        <v>293328.6</v>
      </c>
      <c r="AI14" s="14" t="n">
        <f aca="false">AF14-AC14</f>
        <v>14144.46175</v>
      </c>
      <c r="AJ14" s="14" t="n">
        <f aca="false">AG14-AD14</f>
        <v>12752.1875</v>
      </c>
      <c r="AK14" s="14" t="n">
        <f aca="false">AH14-AE14</f>
        <v>0</v>
      </c>
      <c r="AL14" s="14" t="n">
        <f aca="false">D13*Inputs!$B$18</f>
        <v>23.55</v>
      </c>
      <c r="AM14" s="14" t="n">
        <f aca="false">D14-D13+AL14</f>
        <v>273.55</v>
      </c>
      <c r="AN14" s="14" t="n">
        <f aca="false">E14-E13</f>
        <v>250</v>
      </c>
      <c r="AO14" s="14" t="n">
        <f aca="false">Inputs!$B$59*(AM14*O14+AN14*P14)</f>
        <v>87092.25</v>
      </c>
      <c r="AP14" s="14" t="n">
        <f aca="false">(W14*Inputs!$B$61+X14*Inputs!$B$62+Y14*Inputs!$B$63)</f>
        <v>5142.12</v>
      </c>
    </row>
    <row r="15" customFormat="false" ht="15" hidden="false" customHeight="false" outlineLevel="0" collapsed="false">
      <c r="A15" s="0" t="n">
        <v>11</v>
      </c>
      <c r="B15" s="0" t="n">
        <f aca="false">INT((A15-1)/12)+1</f>
        <v>1</v>
      </c>
      <c r="C15" s="0" t="n">
        <f aca="false">(A15-0.5-12*(B15-1))/12</f>
        <v>0.875</v>
      </c>
      <c r="D15" s="14" t="n">
        <f aca="false">CHOOSE(B15,Inputs!$B$7,Inputs!$B$8,Inputs!$B$9)+(CHOOSE(B15,Inputs!$B$8,Inputs!$B$9,Inputs!$B$10)-CHOOSE(B15,Inputs!$B$7,Inputs!$B$8,Inputs!$B$9))*C15</f>
        <v>4425</v>
      </c>
      <c r="E15" s="14" t="n">
        <f aca="false">CHOOSE(B15,Inputs!$B$11,Inputs!$B$12,Inputs!$B$13)+(CHOOSE(B15,Inputs!$B$12,Inputs!$B$13,Inputs!$B$14)-CHOOSE(B15,Inputs!$B$11,Inputs!$B$12,Inputs!$B$13))*C15</f>
        <v>5625</v>
      </c>
      <c r="F15" s="14" t="n">
        <f aca="false">CHOOSE(B15,Inputs!$B$15,Inputs!$B$16,Inputs!$B$17)</f>
        <v>6000</v>
      </c>
      <c r="G15" s="14" t="n">
        <f aca="false">IF(Inputs!$B$42=1,Inputs!$B$6,ROUNDUP(D15/Inputs!$B$5,0))</f>
        <v>2</v>
      </c>
      <c r="H15" s="14" t="n">
        <f aca="false">D15*Inputs!$B$19</f>
        <v>2433.75</v>
      </c>
      <c r="I15" s="14" t="n">
        <f aca="false">E15*Inputs!$B$20</f>
        <v>3656.25</v>
      </c>
      <c r="J15" s="14" t="n">
        <f aca="false">F15*Inputs!$B$21</f>
        <v>4500</v>
      </c>
      <c r="K15" s="15" t="n">
        <f aca="false">1+Inputs!$B$36+Inputs!$B$39*G15/H15</f>
        <v>1.4248998459168</v>
      </c>
      <c r="L15" s="15" t="n">
        <f aca="false">1+Inputs!$B$37+Inputs!$B$40/I15</f>
        <v>1.36410256410256</v>
      </c>
      <c r="M15" s="15" t="n">
        <f aca="false">1+Inputs!$B$38+Inputs!$B$41/J15</f>
        <v>1.20666666666667</v>
      </c>
      <c r="N15" s="16" t="n">
        <f aca="false">Inputs!$B$33*(1+Inputs!$B$34)^(B15-1)*(1+Inputs!$B$35)</f>
        <v>74</v>
      </c>
      <c r="O15" s="16" t="n">
        <f aca="false">Inputs!$B$23*(1+Inputs!$B$24)^(B15-1)</f>
        <v>195</v>
      </c>
      <c r="P15" s="16" t="n">
        <f aca="false">Inputs!$B$25*(1+Inputs!$B$26)^(B15-1)</f>
        <v>135</v>
      </c>
      <c r="Q15" s="16" t="n">
        <f aca="false">Inputs!$B$27*(1+Inputs!$B$28)^(B15-1)</f>
        <v>118</v>
      </c>
      <c r="R15" s="14" t="n">
        <f aca="false">D15*O15</f>
        <v>862875</v>
      </c>
      <c r="S15" s="14" t="n">
        <f aca="false">E15*P15</f>
        <v>759375</v>
      </c>
      <c r="T15" s="14" t="n">
        <f aca="false">F15*Q15</f>
        <v>708000</v>
      </c>
      <c r="U15" s="14" t="n">
        <f aca="false">D15/1000*Inputs!$B$29*Inputs!$B$30</f>
        <v>39825</v>
      </c>
      <c r="V15" s="14" t="n">
        <f aca="false">(D15+E15)/1000*Inputs!$B$31</f>
        <v>15075</v>
      </c>
      <c r="W15" s="14" t="n">
        <f aca="false">H15*8760/12/1000</f>
        <v>1776.6375</v>
      </c>
      <c r="X15" s="14" t="n">
        <f aca="false">I15*8760/12/1000</f>
        <v>2669.0625</v>
      </c>
      <c r="Y15" s="14" t="n">
        <f aca="false">J15*8760/12/1000</f>
        <v>3285</v>
      </c>
      <c r="Z15" s="14" t="n">
        <f aca="false">W15*K15</f>
        <v>2531.5305</v>
      </c>
      <c r="AA15" s="14" t="n">
        <f aca="false">X15*L15</f>
        <v>3640.875</v>
      </c>
      <c r="AB15" s="14" t="n">
        <f aca="false">Y15*M15</f>
        <v>3963.9</v>
      </c>
      <c r="AC15" s="14" t="n">
        <f aca="false">Z15*N15</f>
        <v>187333.257</v>
      </c>
      <c r="AD15" s="14" t="n">
        <f aca="false">AA15*N15</f>
        <v>269424.75</v>
      </c>
      <c r="AE15" s="14" t="n">
        <f aca="false">AB15*N15</f>
        <v>293328.6</v>
      </c>
      <c r="AF15" s="14" t="n">
        <f aca="false">W15*Inputs!$B$44*N15</f>
        <v>203780.32125</v>
      </c>
      <c r="AG15" s="14" t="n">
        <f aca="false">X15*MIN(L15,Inputs!$B$45)*N15+X15*Inputs!$B$46</f>
        <v>282770.0625</v>
      </c>
      <c r="AH15" s="14" t="n">
        <f aca="false">AE15</f>
        <v>293328.6</v>
      </c>
      <c r="AI15" s="14" t="n">
        <f aca="false">AF15-AC15</f>
        <v>16447.06425</v>
      </c>
      <c r="AJ15" s="14" t="n">
        <f aca="false">AG15-AD15</f>
        <v>13345.3125</v>
      </c>
      <c r="AK15" s="14" t="n">
        <f aca="false">AH15-AE15</f>
        <v>0</v>
      </c>
      <c r="AL15" s="14" t="n">
        <f aca="false">D14*Inputs!$B$18</f>
        <v>25.05</v>
      </c>
      <c r="AM15" s="14" t="n">
        <f aca="false">D15-D14+AL15</f>
        <v>275.05</v>
      </c>
      <c r="AN15" s="14" t="n">
        <f aca="false">E15-E14</f>
        <v>250</v>
      </c>
      <c r="AO15" s="14" t="n">
        <f aca="false">Inputs!$B$59*(AM15*O15+AN15*P15)</f>
        <v>87384.75</v>
      </c>
      <c r="AP15" s="14" t="n">
        <f aca="false">(W15*Inputs!$B$61+X15*Inputs!$B$62+Y15*Inputs!$B$63)</f>
        <v>5383.02</v>
      </c>
    </row>
    <row r="16" customFormat="false" ht="15" hidden="false" customHeight="false" outlineLevel="0" collapsed="false">
      <c r="A16" s="0" t="n">
        <v>12</v>
      </c>
      <c r="B16" s="0" t="n">
        <f aca="false">INT((A16-1)/12)+1</f>
        <v>1</v>
      </c>
      <c r="C16" s="0" t="n">
        <f aca="false">(A16-0.5-12*(B16-1))/12</f>
        <v>0.958333333333333</v>
      </c>
      <c r="D16" s="14" t="n">
        <f aca="false">CHOOSE(B16,Inputs!$B$7,Inputs!$B$8,Inputs!$B$9)+(CHOOSE(B16,Inputs!$B$8,Inputs!$B$9,Inputs!$B$10)-CHOOSE(B16,Inputs!$B$7,Inputs!$B$8,Inputs!$B$9))*C16</f>
        <v>4675</v>
      </c>
      <c r="E16" s="14" t="n">
        <f aca="false">CHOOSE(B16,Inputs!$B$11,Inputs!$B$12,Inputs!$B$13)+(CHOOSE(B16,Inputs!$B$12,Inputs!$B$13,Inputs!$B$14)-CHOOSE(B16,Inputs!$B$11,Inputs!$B$12,Inputs!$B$13))*C16</f>
        <v>5875</v>
      </c>
      <c r="F16" s="14" t="n">
        <f aca="false">CHOOSE(B16,Inputs!$B$15,Inputs!$B$16,Inputs!$B$17)</f>
        <v>6000</v>
      </c>
      <c r="G16" s="14" t="n">
        <f aca="false">IF(Inputs!$B$42=1,Inputs!$B$6,ROUNDUP(D16/Inputs!$B$5,0))</f>
        <v>2</v>
      </c>
      <c r="H16" s="14" t="n">
        <f aca="false">D16*Inputs!$B$19</f>
        <v>2571.25</v>
      </c>
      <c r="I16" s="14" t="n">
        <f aca="false">E16*Inputs!$B$20</f>
        <v>3818.75</v>
      </c>
      <c r="J16" s="14" t="n">
        <f aca="false">F16*Inputs!$B$21</f>
        <v>4500</v>
      </c>
      <c r="K16" s="15" t="n">
        <f aca="false">1+Inputs!$B$36+Inputs!$B$39*G16/H16</f>
        <v>1.41501215362178</v>
      </c>
      <c r="L16" s="15" t="n">
        <f aca="false">1+Inputs!$B$37+Inputs!$B$40/I16</f>
        <v>1.35711947626841</v>
      </c>
      <c r="M16" s="15" t="n">
        <f aca="false">1+Inputs!$B$38+Inputs!$B$41/J16</f>
        <v>1.20666666666667</v>
      </c>
      <c r="N16" s="16" t="n">
        <f aca="false">Inputs!$B$33*(1+Inputs!$B$34)^(B16-1)*(1+Inputs!$B$35)</f>
        <v>74</v>
      </c>
      <c r="O16" s="16" t="n">
        <f aca="false">Inputs!$B$23*(1+Inputs!$B$24)^(B16-1)</f>
        <v>195</v>
      </c>
      <c r="P16" s="16" t="n">
        <f aca="false">Inputs!$B$25*(1+Inputs!$B$26)^(B16-1)</f>
        <v>135</v>
      </c>
      <c r="Q16" s="16" t="n">
        <f aca="false">Inputs!$B$27*(1+Inputs!$B$28)^(B16-1)</f>
        <v>118</v>
      </c>
      <c r="R16" s="14" t="n">
        <f aca="false">D16*O16</f>
        <v>911625</v>
      </c>
      <c r="S16" s="14" t="n">
        <f aca="false">E16*P16</f>
        <v>793125</v>
      </c>
      <c r="T16" s="14" t="n">
        <f aca="false">F16*Q16</f>
        <v>708000</v>
      </c>
      <c r="U16" s="14" t="n">
        <f aca="false">D16/1000*Inputs!$B$29*Inputs!$B$30</f>
        <v>42075</v>
      </c>
      <c r="V16" s="14" t="n">
        <f aca="false">(D16+E16)/1000*Inputs!$B$31</f>
        <v>15825</v>
      </c>
      <c r="W16" s="14" t="n">
        <f aca="false">H16*8760/12/1000</f>
        <v>1877.0125</v>
      </c>
      <c r="X16" s="14" t="n">
        <f aca="false">I16*8760/12/1000</f>
        <v>2787.6875</v>
      </c>
      <c r="Y16" s="14" t="n">
        <f aca="false">J16*8760/12/1000</f>
        <v>3285</v>
      </c>
      <c r="Z16" s="14" t="n">
        <f aca="false">W16*K16</f>
        <v>2655.9955</v>
      </c>
      <c r="AA16" s="14" t="n">
        <f aca="false">X16*L16</f>
        <v>3783.225</v>
      </c>
      <c r="AB16" s="14" t="n">
        <f aca="false">Y16*M16</f>
        <v>3963.9</v>
      </c>
      <c r="AC16" s="14" t="n">
        <f aca="false">Z16*N16</f>
        <v>196543.667</v>
      </c>
      <c r="AD16" s="14" t="n">
        <f aca="false">AA16*N16</f>
        <v>279958.65</v>
      </c>
      <c r="AE16" s="14" t="n">
        <f aca="false">AB16*N16</f>
        <v>293328.6</v>
      </c>
      <c r="AF16" s="14" t="n">
        <f aca="false">W16*Inputs!$B$44*N16</f>
        <v>215293.33375</v>
      </c>
      <c r="AG16" s="14" t="n">
        <f aca="false">X16*MIN(L16,Inputs!$B$45)*N16+X16*Inputs!$B$46</f>
        <v>293897.0875</v>
      </c>
      <c r="AH16" s="14" t="n">
        <f aca="false">AE16</f>
        <v>293328.6</v>
      </c>
      <c r="AI16" s="14" t="n">
        <f aca="false">AF16-AC16</f>
        <v>18749.66675</v>
      </c>
      <c r="AJ16" s="14" t="n">
        <f aca="false">AG16-AD16</f>
        <v>13938.4375</v>
      </c>
      <c r="AK16" s="14" t="n">
        <f aca="false">AH16-AE16</f>
        <v>0</v>
      </c>
      <c r="AL16" s="14" t="n">
        <f aca="false">D15*Inputs!$B$18</f>
        <v>26.55</v>
      </c>
      <c r="AM16" s="14" t="n">
        <f aca="false">D16-D15+AL16</f>
        <v>276.55</v>
      </c>
      <c r="AN16" s="14" t="n">
        <f aca="false">E16-E15</f>
        <v>250</v>
      </c>
      <c r="AO16" s="14" t="n">
        <f aca="false">Inputs!$B$59*(AM16*O16+AN16*P16)</f>
        <v>87677.25</v>
      </c>
      <c r="AP16" s="14" t="n">
        <f aca="false">(W16*Inputs!$B$61+X16*Inputs!$B$62+Y16*Inputs!$B$63)</f>
        <v>5623.92</v>
      </c>
    </row>
    <row r="17" customFormat="false" ht="15" hidden="false" customHeight="false" outlineLevel="0" collapsed="false">
      <c r="A17" s="0" t="n">
        <v>13</v>
      </c>
      <c r="B17" s="0" t="n">
        <f aca="false">INT((A17-1)/12)+1</f>
        <v>2</v>
      </c>
      <c r="C17" s="0" t="n">
        <f aca="false">(A17-0.5-12*(B17-1))/12</f>
        <v>0.0416666666666667</v>
      </c>
      <c r="D17" s="14" t="n">
        <f aca="false">CHOOSE(B17,Inputs!$B$7,Inputs!$B$8,Inputs!$B$9)+(CHOOSE(B17,Inputs!$B$8,Inputs!$B$9,Inputs!$B$10)-CHOOSE(B17,Inputs!$B$7,Inputs!$B$8,Inputs!$B$9))*C17</f>
        <v>4925</v>
      </c>
      <c r="E17" s="14" t="n">
        <f aca="false">CHOOSE(B17,Inputs!$B$11,Inputs!$B$12,Inputs!$B$13)+(CHOOSE(B17,Inputs!$B$12,Inputs!$B$13,Inputs!$B$14)-CHOOSE(B17,Inputs!$B$11,Inputs!$B$12,Inputs!$B$13))*C17</f>
        <v>6125</v>
      </c>
      <c r="F17" s="14" t="n">
        <f aca="false">CHOOSE(B17,Inputs!$B$15,Inputs!$B$16,Inputs!$B$17)</f>
        <v>9000</v>
      </c>
      <c r="G17" s="14" t="n">
        <f aca="false">IF(Inputs!$B$42=1,Inputs!$B$6,ROUNDUP(D17/Inputs!$B$5,0))</f>
        <v>2</v>
      </c>
      <c r="H17" s="14" t="n">
        <f aca="false">D17*Inputs!$B$19</f>
        <v>2708.75</v>
      </c>
      <c r="I17" s="14" t="n">
        <f aca="false">E17*Inputs!$B$20</f>
        <v>3981.25</v>
      </c>
      <c r="J17" s="14" t="n">
        <f aca="false">F17*Inputs!$B$21</f>
        <v>6750</v>
      </c>
      <c r="K17" s="15" t="n">
        <f aca="false">1+Inputs!$B$36+Inputs!$B$39*G17/H17</f>
        <v>1.4061282879557</v>
      </c>
      <c r="L17" s="15" t="n">
        <f aca="false">1+Inputs!$B$37+Inputs!$B$40/I17</f>
        <v>1.35070643642072</v>
      </c>
      <c r="M17" s="15" t="n">
        <f aca="false">1+Inputs!$B$38+Inputs!$B$41/J17</f>
        <v>1.18444444444444</v>
      </c>
      <c r="N17" s="16" t="n">
        <f aca="false">Inputs!$B$33*(1+Inputs!$B$34)^(B17-1)*(1+Inputs!$B$35)</f>
        <v>76.22</v>
      </c>
      <c r="O17" s="16" t="n">
        <f aca="false">Inputs!$B$23*(1+Inputs!$B$24)^(B17-1)</f>
        <v>200.85</v>
      </c>
      <c r="P17" s="16" t="n">
        <f aca="false">Inputs!$B$25*(1+Inputs!$B$26)^(B17-1)</f>
        <v>139.05</v>
      </c>
      <c r="Q17" s="16" t="n">
        <f aca="false">Inputs!$B$27*(1+Inputs!$B$28)^(B17-1)</f>
        <v>120.95</v>
      </c>
      <c r="R17" s="14" t="n">
        <f aca="false">D17*O17</f>
        <v>989186.25</v>
      </c>
      <c r="S17" s="14" t="n">
        <f aca="false">E17*P17</f>
        <v>851681.25</v>
      </c>
      <c r="T17" s="14" t="n">
        <f aca="false">F17*Q17</f>
        <v>1088550</v>
      </c>
      <c r="U17" s="14" t="n">
        <f aca="false">D17/1000*Inputs!$B$29*Inputs!$B$30</f>
        <v>44325</v>
      </c>
      <c r="V17" s="14" t="n">
        <f aca="false">(D17+E17)/1000*Inputs!$B$31</f>
        <v>16575</v>
      </c>
      <c r="W17" s="14" t="n">
        <f aca="false">H17*8760/12/1000</f>
        <v>1977.3875</v>
      </c>
      <c r="X17" s="14" t="n">
        <f aca="false">I17*8760/12/1000</f>
        <v>2906.3125</v>
      </c>
      <c r="Y17" s="14" t="n">
        <f aca="false">J17*8760/12/1000</f>
        <v>4927.5</v>
      </c>
      <c r="Z17" s="14" t="n">
        <f aca="false">W17*K17</f>
        <v>2780.4605</v>
      </c>
      <c r="AA17" s="14" t="n">
        <f aca="false">X17*L17</f>
        <v>3925.575</v>
      </c>
      <c r="AB17" s="14" t="n">
        <f aca="false">Y17*M17</f>
        <v>5836.35</v>
      </c>
      <c r="AC17" s="14" t="n">
        <f aca="false">Z17*N17</f>
        <v>211926.69931</v>
      </c>
      <c r="AD17" s="14" t="n">
        <f aca="false">AA17*N17</f>
        <v>299207.3265</v>
      </c>
      <c r="AE17" s="14" t="n">
        <f aca="false">AB17*N17</f>
        <v>444846.597</v>
      </c>
      <c r="AF17" s="14" t="n">
        <f aca="false">W17*Inputs!$B$44*N17</f>
        <v>233610.5366375</v>
      </c>
      <c r="AG17" s="14" t="n">
        <f aca="false">X17*MIN(L17,Inputs!$B$45)*N17+X17*Inputs!$B$46</f>
        <v>313738.889</v>
      </c>
      <c r="AH17" s="14" t="n">
        <f aca="false">AE17</f>
        <v>444846.597</v>
      </c>
      <c r="AI17" s="14" t="n">
        <f aca="false">AF17-AC17</f>
        <v>21683.8373275</v>
      </c>
      <c r="AJ17" s="14" t="n">
        <f aca="false">AG17-AD17</f>
        <v>14531.5625</v>
      </c>
      <c r="AK17" s="14" t="n">
        <f aca="false">AH17-AE17</f>
        <v>0</v>
      </c>
      <c r="AL17" s="14" t="n">
        <f aca="false">D16*Inputs!$B$18</f>
        <v>28.05</v>
      </c>
      <c r="AM17" s="14" t="n">
        <f aca="false">D17-D16+AL17</f>
        <v>278.05</v>
      </c>
      <c r="AN17" s="14" t="n">
        <f aca="false">E17-E16</f>
        <v>250</v>
      </c>
      <c r="AO17" s="14" t="n">
        <f aca="false">Inputs!$B$59*(AM17*O17+AN17*P17)</f>
        <v>90608.8425</v>
      </c>
      <c r="AP17" s="14" t="n">
        <f aca="false">(W17*Inputs!$B$61+X17*Inputs!$B$62+Y17*Inputs!$B$63)</f>
        <v>6111.195</v>
      </c>
    </row>
    <row r="18" customFormat="false" ht="15" hidden="false" customHeight="false" outlineLevel="0" collapsed="false">
      <c r="A18" s="0" t="n">
        <v>14</v>
      </c>
      <c r="B18" s="0" t="n">
        <f aca="false">INT((A18-1)/12)+1</f>
        <v>2</v>
      </c>
      <c r="C18" s="0" t="n">
        <f aca="false">(A18-0.5-12*(B18-1))/12</f>
        <v>0.125</v>
      </c>
      <c r="D18" s="14" t="n">
        <f aca="false">CHOOSE(B18,Inputs!$B$7,Inputs!$B$8,Inputs!$B$9)+(CHOOSE(B18,Inputs!$B$8,Inputs!$B$9,Inputs!$B$10)-CHOOSE(B18,Inputs!$B$7,Inputs!$B$8,Inputs!$B$9))*C18</f>
        <v>5175</v>
      </c>
      <c r="E18" s="14" t="n">
        <f aca="false">CHOOSE(B18,Inputs!$B$11,Inputs!$B$12,Inputs!$B$13)+(CHOOSE(B18,Inputs!$B$12,Inputs!$B$13,Inputs!$B$14)-CHOOSE(B18,Inputs!$B$11,Inputs!$B$12,Inputs!$B$13))*C18</f>
        <v>6375</v>
      </c>
      <c r="F18" s="14" t="n">
        <f aca="false">CHOOSE(B18,Inputs!$B$15,Inputs!$B$16,Inputs!$B$17)</f>
        <v>9000</v>
      </c>
      <c r="G18" s="14" t="n">
        <f aca="false">IF(Inputs!$B$42=1,Inputs!$B$6,ROUNDUP(D18/Inputs!$B$5,0))</f>
        <v>2</v>
      </c>
      <c r="H18" s="14" t="n">
        <f aca="false">D18*Inputs!$B$19</f>
        <v>2846.25</v>
      </c>
      <c r="I18" s="14" t="n">
        <f aca="false">E18*Inputs!$B$20</f>
        <v>4143.75</v>
      </c>
      <c r="J18" s="14" t="n">
        <f aca="false">F18*Inputs!$B$21</f>
        <v>6750</v>
      </c>
      <c r="K18" s="15" t="n">
        <f aca="false">1+Inputs!$B$36+Inputs!$B$39*G18/H18</f>
        <v>1.39810276679842</v>
      </c>
      <c r="L18" s="15" t="n">
        <f aca="false">1+Inputs!$B$37+Inputs!$B$40/I18</f>
        <v>1.3447963800905</v>
      </c>
      <c r="M18" s="15" t="n">
        <f aca="false">1+Inputs!$B$38+Inputs!$B$41/J18</f>
        <v>1.18444444444444</v>
      </c>
      <c r="N18" s="16" t="n">
        <f aca="false">Inputs!$B$33*(1+Inputs!$B$34)^(B18-1)*(1+Inputs!$B$35)</f>
        <v>76.22</v>
      </c>
      <c r="O18" s="16" t="n">
        <f aca="false">Inputs!$B$23*(1+Inputs!$B$24)^(B18-1)</f>
        <v>200.85</v>
      </c>
      <c r="P18" s="16" t="n">
        <f aca="false">Inputs!$B$25*(1+Inputs!$B$26)^(B18-1)</f>
        <v>139.05</v>
      </c>
      <c r="Q18" s="16" t="n">
        <f aca="false">Inputs!$B$27*(1+Inputs!$B$28)^(B18-1)</f>
        <v>120.95</v>
      </c>
      <c r="R18" s="14" t="n">
        <f aca="false">D18*O18</f>
        <v>1039398.75</v>
      </c>
      <c r="S18" s="14" t="n">
        <f aca="false">E18*P18</f>
        <v>886443.75</v>
      </c>
      <c r="T18" s="14" t="n">
        <f aca="false">F18*Q18</f>
        <v>1088550</v>
      </c>
      <c r="U18" s="14" t="n">
        <f aca="false">D18/1000*Inputs!$B$29*Inputs!$B$30</f>
        <v>46575</v>
      </c>
      <c r="V18" s="14" t="n">
        <f aca="false">(D18+E18)/1000*Inputs!$B$31</f>
        <v>17325</v>
      </c>
      <c r="W18" s="14" t="n">
        <f aca="false">H18*8760/12/1000</f>
        <v>2077.7625</v>
      </c>
      <c r="X18" s="14" t="n">
        <f aca="false">I18*8760/12/1000</f>
        <v>3024.9375</v>
      </c>
      <c r="Y18" s="14" t="n">
        <f aca="false">J18*8760/12/1000</f>
        <v>4927.5</v>
      </c>
      <c r="Z18" s="14" t="n">
        <f aca="false">W18*K18</f>
        <v>2904.9255</v>
      </c>
      <c r="AA18" s="14" t="n">
        <f aca="false">X18*L18</f>
        <v>4067.925</v>
      </c>
      <c r="AB18" s="14" t="n">
        <f aca="false">Y18*M18</f>
        <v>5836.35</v>
      </c>
      <c r="AC18" s="14" t="n">
        <f aca="false">Z18*N18</f>
        <v>221413.42161</v>
      </c>
      <c r="AD18" s="14" t="n">
        <f aca="false">AA18*N18</f>
        <v>310057.2435</v>
      </c>
      <c r="AE18" s="14" t="n">
        <f aca="false">AB18*N18</f>
        <v>444846.597</v>
      </c>
      <c r="AF18" s="14" t="n">
        <f aca="false">W18*Inputs!$B$44*N18</f>
        <v>245468.9395125</v>
      </c>
      <c r="AG18" s="14" t="n">
        <f aca="false">X18*MIN(L18,Inputs!$B$45)*N18+X18*Inputs!$B$46</f>
        <v>325181.931</v>
      </c>
      <c r="AH18" s="14" t="n">
        <f aca="false">AE18</f>
        <v>444846.597</v>
      </c>
      <c r="AI18" s="14" t="n">
        <f aca="false">AF18-AC18</f>
        <v>24055.5179025</v>
      </c>
      <c r="AJ18" s="14" t="n">
        <f aca="false">AG18-AD18</f>
        <v>15124.6875</v>
      </c>
      <c r="AK18" s="14" t="n">
        <f aca="false">AH18-AE18</f>
        <v>0</v>
      </c>
      <c r="AL18" s="14" t="n">
        <f aca="false">D17*Inputs!$B$18</f>
        <v>29.55</v>
      </c>
      <c r="AM18" s="14" t="n">
        <f aca="false">D18-D17+AL18</f>
        <v>279.55</v>
      </c>
      <c r="AN18" s="14" t="n">
        <f aca="false">E18-E17</f>
        <v>250</v>
      </c>
      <c r="AO18" s="14" t="n">
        <f aca="false">Inputs!$B$59*(AM18*O18+AN18*P18)</f>
        <v>90910.1175</v>
      </c>
      <c r="AP18" s="14" t="n">
        <f aca="false">(W18*Inputs!$B$61+X18*Inputs!$B$62+Y18*Inputs!$B$63)</f>
        <v>6352.095</v>
      </c>
    </row>
    <row r="19" customFormat="false" ht="15" hidden="false" customHeight="false" outlineLevel="0" collapsed="false">
      <c r="A19" s="0" t="n">
        <v>15</v>
      </c>
      <c r="B19" s="0" t="n">
        <f aca="false">INT((A19-1)/12)+1</f>
        <v>2</v>
      </c>
      <c r="C19" s="0" t="n">
        <f aca="false">(A19-0.5-12*(B19-1))/12</f>
        <v>0.208333333333333</v>
      </c>
      <c r="D19" s="14" t="n">
        <f aca="false">CHOOSE(B19,Inputs!$B$7,Inputs!$B$8,Inputs!$B$9)+(CHOOSE(B19,Inputs!$B$8,Inputs!$B$9,Inputs!$B$10)-CHOOSE(B19,Inputs!$B$7,Inputs!$B$8,Inputs!$B$9))*C19</f>
        <v>5425</v>
      </c>
      <c r="E19" s="14" t="n">
        <f aca="false">CHOOSE(B19,Inputs!$B$11,Inputs!$B$12,Inputs!$B$13)+(CHOOSE(B19,Inputs!$B$12,Inputs!$B$13,Inputs!$B$14)-CHOOSE(B19,Inputs!$B$11,Inputs!$B$12,Inputs!$B$13))*C19</f>
        <v>6625</v>
      </c>
      <c r="F19" s="14" t="n">
        <f aca="false">CHOOSE(B19,Inputs!$B$15,Inputs!$B$16,Inputs!$B$17)</f>
        <v>9000</v>
      </c>
      <c r="G19" s="14" t="n">
        <f aca="false">IF(Inputs!$B$42=1,Inputs!$B$6,ROUNDUP(D19/Inputs!$B$5,0))</f>
        <v>2</v>
      </c>
      <c r="H19" s="14" t="n">
        <f aca="false">D19*Inputs!$B$19</f>
        <v>2983.75</v>
      </c>
      <c r="I19" s="14" t="n">
        <f aca="false">E19*Inputs!$B$20</f>
        <v>4306.25</v>
      </c>
      <c r="J19" s="14" t="n">
        <f aca="false">F19*Inputs!$B$21</f>
        <v>6750</v>
      </c>
      <c r="K19" s="15" t="n">
        <f aca="false">1+Inputs!$B$36+Inputs!$B$39*G19/H19</f>
        <v>1.39081692501047</v>
      </c>
      <c r="L19" s="15" t="n">
        <f aca="false">1+Inputs!$B$37+Inputs!$B$40/I19</f>
        <v>1.33933236574746</v>
      </c>
      <c r="M19" s="15" t="n">
        <f aca="false">1+Inputs!$B$38+Inputs!$B$41/J19</f>
        <v>1.18444444444444</v>
      </c>
      <c r="N19" s="16" t="n">
        <f aca="false">Inputs!$B$33*(1+Inputs!$B$34)^(B19-1)*(1+Inputs!$B$35)</f>
        <v>76.22</v>
      </c>
      <c r="O19" s="16" t="n">
        <f aca="false">Inputs!$B$23*(1+Inputs!$B$24)^(B19-1)</f>
        <v>200.85</v>
      </c>
      <c r="P19" s="16" t="n">
        <f aca="false">Inputs!$B$25*(1+Inputs!$B$26)^(B19-1)</f>
        <v>139.05</v>
      </c>
      <c r="Q19" s="16" t="n">
        <f aca="false">Inputs!$B$27*(1+Inputs!$B$28)^(B19-1)</f>
        <v>120.95</v>
      </c>
      <c r="R19" s="14" t="n">
        <f aca="false">D19*O19</f>
        <v>1089611.25</v>
      </c>
      <c r="S19" s="14" t="n">
        <f aca="false">E19*P19</f>
        <v>921206.25</v>
      </c>
      <c r="T19" s="14" t="n">
        <f aca="false">F19*Q19</f>
        <v>1088550</v>
      </c>
      <c r="U19" s="14" t="n">
        <f aca="false">D19/1000*Inputs!$B$29*Inputs!$B$30</f>
        <v>48825</v>
      </c>
      <c r="V19" s="14" t="n">
        <f aca="false">(D19+E19)/1000*Inputs!$B$31</f>
        <v>18075</v>
      </c>
      <c r="W19" s="14" t="n">
        <f aca="false">H19*8760/12/1000</f>
        <v>2178.1375</v>
      </c>
      <c r="X19" s="14" t="n">
        <f aca="false">I19*8760/12/1000</f>
        <v>3143.5625</v>
      </c>
      <c r="Y19" s="14" t="n">
        <f aca="false">J19*8760/12/1000</f>
        <v>4927.5</v>
      </c>
      <c r="Z19" s="14" t="n">
        <f aca="false">W19*K19</f>
        <v>3029.3905</v>
      </c>
      <c r="AA19" s="14" t="n">
        <f aca="false">X19*L19</f>
        <v>4210.275</v>
      </c>
      <c r="AB19" s="14" t="n">
        <f aca="false">Y19*M19</f>
        <v>5836.35</v>
      </c>
      <c r="AC19" s="14" t="n">
        <f aca="false">Z19*N19</f>
        <v>230900.14391</v>
      </c>
      <c r="AD19" s="14" t="n">
        <f aca="false">AA19*N19</f>
        <v>320907.1605</v>
      </c>
      <c r="AE19" s="14" t="n">
        <f aca="false">AB19*N19</f>
        <v>444846.597</v>
      </c>
      <c r="AF19" s="14" t="n">
        <f aca="false">W19*Inputs!$B$44*N19</f>
        <v>257327.3423875</v>
      </c>
      <c r="AG19" s="14" t="n">
        <f aca="false">X19*MIN(L19,Inputs!$B$45)*N19+X19*Inputs!$B$46</f>
        <v>336624.973</v>
      </c>
      <c r="AH19" s="14" t="n">
        <f aca="false">AE19</f>
        <v>444846.597</v>
      </c>
      <c r="AI19" s="14" t="n">
        <f aca="false">AF19-AC19</f>
        <v>26427.1984775</v>
      </c>
      <c r="AJ19" s="14" t="n">
        <f aca="false">AG19-AD19</f>
        <v>15717.8125</v>
      </c>
      <c r="AK19" s="14" t="n">
        <f aca="false">AH19-AE19</f>
        <v>0</v>
      </c>
      <c r="AL19" s="14" t="n">
        <f aca="false">D18*Inputs!$B$18</f>
        <v>31.05</v>
      </c>
      <c r="AM19" s="14" t="n">
        <f aca="false">D19-D18+AL19</f>
        <v>281.05</v>
      </c>
      <c r="AN19" s="14" t="n">
        <f aca="false">E19-E18</f>
        <v>250</v>
      </c>
      <c r="AO19" s="14" t="n">
        <f aca="false">Inputs!$B$59*(AM19*O19+AN19*P19)</f>
        <v>91211.3925</v>
      </c>
      <c r="AP19" s="14" t="n">
        <f aca="false">(W19*Inputs!$B$61+X19*Inputs!$B$62+Y19*Inputs!$B$63)</f>
        <v>6592.995</v>
      </c>
    </row>
    <row r="20" customFormat="false" ht="15" hidden="false" customHeight="false" outlineLevel="0" collapsed="false">
      <c r="A20" s="0" t="n">
        <v>16</v>
      </c>
      <c r="B20" s="0" t="n">
        <f aca="false">INT((A20-1)/12)+1</f>
        <v>2</v>
      </c>
      <c r="C20" s="0" t="n">
        <f aca="false">(A20-0.5-12*(B20-1))/12</f>
        <v>0.291666666666667</v>
      </c>
      <c r="D20" s="14" t="n">
        <f aca="false">CHOOSE(B20,Inputs!$B$7,Inputs!$B$8,Inputs!$B$9)+(CHOOSE(B20,Inputs!$B$8,Inputs!$B$9,Inputs!$B$10)-CHOOSE(B20,Inputs!$B$7,Inputs!$B$8,Inputs!$B$9))*C20</f>
        <v>5675</v>
      </c>
      <c r="E20" s="14" t="n">
        <f aca="false">CHOOSE(B20,Inputs!$B$11,Inputs!$B$12,Inputs!$B$13)+(CHOOSE(B20,Inputs!$B$12,Inputs!$B$13,Inputs!$B$14)-CHOOSE(B20,Inputs!$B$11,Inputs!$B$12,Inputs!$B$13))*C20</f>
        <v>6875</v>
      </c>
      <c r="F20" s="14" t="n">
        <f aca="false">CHOOSE(B20,Inputs!$B$15,Inputs!$B$16,Inputs!$B$17)</f>
        <v>9000</v>
      </c>
      <c r="G20" s="14" t="n">
        <f aca="false">IF(Inputs!$B$42=1,Inputs!$B$6,ROUNDUP(D20/Inputs!$B$5,0))</f>
        <v>2</v>
      </c>
      <c r="H20" s="14" t="n">
        <f aca="false">D20*Inputs!$B$19</f>
        <v>3121.25</v>
      </c>
      <c r="I20" s="14" t="n">
        <f aca="false">E20*Inputs!$B$20</f>
        <v>4468.75</v>
      </c>
      <c r="J20" s="14" t="n">
        <f aca="false">F20*Inputs!$B$21</f>
        <v>6750</v>
      </c>
      <c r="K20" s="15" t="n">
        <f aca="false">1+Inputs!$B$36+Inputs!$B$39*G20/H20</f>
        <v>1.38417300760913</v>
      </c>
      <c r="L20" s="15" t="n">
        <f aca="false">1+Inputs!$B$37+Inputs!$B$40/I20</f>
        <v>1.33426573426573</v>
      </c>
      <c r="M20" s="15" t="n">
        <f aca="false">1+Inputs!$B$38+Inputs!$B$41/J20</f>
        <v>1.18444444444444</v>
      </c>
      <c r="N20" s="16" t="n">
        <f aca="false">Inputs!$B$33*(1+Inputs!$B$34)^(B20-1)*(1+Inputs!$B$35)</f>
        <v>76.22</v>
      </c>
      <c r="O20" s="16" t="n">
        <f aca="false">Inputs!$B$23*(1+Inputs!$B$24)^(B20-1)</f>
        <v>200.85</v>
      </c>
      <c r="P20" s="16" t="n">
        <f aca="false">Inputs!$B$25*(1+Inputs!$B$26)^(B20-1)</f>
        <v>139.05</v>
      </c>
      <c r="Q20" s="16" t="n">
        <f aca="false">Inputs!$B$27*(1+Inputs!$B$28)^(B20-1)</f>
        <v>120.95</v>
      </c>
      <c r="R20" s="14" t="n">
        <f aca="false">D20*O20</f>
        <v>1139823.75</v>
      </c>
      <c r="S20" s="14" t="n">
        <f aca="false">E20*P20</f>
        <v>955968.75</v>
      </c>
      <c r="T20" s="14" t="n">
        <f aca="false">F20*Q20</f>
        <v>1088550</v>
      </c>
      <c r="U20" s="14" t="n">
        <f aca="false">D20/1000*Inputs!$B$29*Inputs!$B$30</f>
        <v>51075</v>
      </c>
      <c r="V20" s="14" t="n">
        <f aca="false">(D20+E20)/1000*Inputs!$B$31</f>
        <v>18825</v>
      </c>
      <c r="W20" s="14" t="n">
        <f aca="false">H20*8760/12/1000</f>
        <v>2278.5125</v>
      </c>
      <c r="X20" s="14" t="n">
        <f aca="false">I20*8760/12/1000</f>
        <v>3262.1875</v>
      </c>
      <c r="Y20" s="14" t="n">
        <f aca="false">J20*8760/12/1000</f>
        <v>4927.5</v>
      </c>
      <c r="Z20" s="14" t="n">
        <f aca="false">W20*K20</f>
        <v>3153.8555</v>
      </c>
      <c r="AA20" s="14" t="n">
        <f aca="false">X20*L20</f>
        <v>4352.625</v>
      </c>
      <c r="AB20" s="14" t="n">
        <f aca="false">Y20*M20</f>
        <v>5836.35</v>
      </c>
      <c r="AC20" s="14" t="n">
        <f aca="false">Z20*N20</f>
        <v>240386.86621</v>
      </c>
      <c r="AD20" s="14" t="n">
        <f aca="false">AA20*N20</f>
        <v>331757.0775</v>
      </c>
      <c r="AE20" s="14" t="n">
        <f aca="false">AB20*N20</f>
        <v>444846.597</v>
      </c>
      <c r="AF20" s="14" t="n">
        <f aca="false">W20*Inputs!$B$44*N20</f>
        <v>269185.7452625</v>
      </c>
      <c r="AG20" s="14" t="n">
        <f aca="false">X20*MIN(L20,Inputs!$B$45)*N20+X20*Inputs!$B$46</f>
        <v>348068.015</v>
      </c>
      <c r="AH20" s="14" t="n">
        <f aca="false">AE20</f>
        <v>444846.597</v>
      </c>
      <c r="AI20" s="14" t="n">
        <f aca="false">AF20-AC20</f>
        <v>28798.8790525</v>
      </c>
      <c r="AJ20" s="14" t="n">
        <f aca="false">AG20-AD20</f>
        <v>16310.9375</v>
      </c>
      <c r="AK20" s="14" t="n">
        <f aca="false">AH20-AE20</f>
        <v>0</v>
      </c>
      <c r="AL20" s="14" t="n">
        <f aca="false">D19*Inputs!$B$18</f>
        <v>32.55</v>
      </c>
      <c r="AM20" s="14" t="n">
        <f aca="false">D20-D19+AL20</f>
        <v>282.55</v>
      </c>
      <c r="AN20" s="14" t="n">
        <f aca="false">E20-E19</f>
        <v>250</v>
      </c>
      <c r="AO20" s="14" t="n">
        <f aca="false">Inputs!$B$59*(AM20*O20+AN20*P20)</f>
        <v>91512.6675</v>
      </c>
      <c r="AP20" s="14" t="n">
        <f aca="false">(W20*Inputs!$B$61+X20*Inputs!$B$62+Y20*Inputs!$B$63)</f>
        <v>6833.895</v>
      </c>
    </row>
    <row r="21" customFormat="false" ht="15" hidden="false" customHeight="false" outlineLevel="0" collapsed="false">
      <c r="A21" s="0" t="n">
        <v>17</v>
      </c>
      <c r="B21" s="0" t="n">
        <f aca="false">INT((A21-1)/12)+1</f>
        <v>2</v>
      </c>
      <c r="C21" s="0" t="n">
        <f aca="false">(A21-0.5-12*(B21-1))/12</f>
        <v>0.375</v>
      </c>
      <c r="D21" s="14" t="n">
        <f aca="false">CHOOSE(B21,Inputs!$B$7,Inputs!$B$8,Inputs!$B$9)+(CHOOSE(B21,Inputs!$B$8,Inputs!$B$9,Inputs!$B$10)-CHOOSE(B21,Inputs!$B$7,Inputs!$B$8,Inputs!$B$9))*C21</f>
        <v>5925</v>
      </c>
      <c r="E21" s="14" t="n">
        <f aca="false">CHOOSE(B21,Inputs!$B$11,Inputs!$B$12,Inputs!$B$13)+(CHOOSE(B21,Inputs!$B$12,Inputs!$B$13,Inputs!$B$14)-CHOOSE(B21,Inputs!$B$11,Inputs!$B$12,Inputs!$B$13))*C21</f>
        <v>7125</v>
      </c>
      <c r="F21" s="14" t="n">
        <f aca="false">CHOOSE(B21,Inputs!$B$15,Inputs!$B$16,Inputs!$B$17)</f>
        <v>9000</v>
      </c>
      <c r="G21" s="14" t="n">
        <f aca="false">IF(Inputs!$B$42=1,Inputs!$B$6,ROUNDUP(D21/Inputs!$B$5,0))</f>
        <v>2</v>
      </c>
      <c r="H21" s="14" t="n">
        <f aca="false">D21*Inputs!$B$19</f>
        <v>3258.75</v>
      </c>
      <c r="I21" s="14" t="n">
        <f aca="false">E21*Inputs!$B$20</f>
        <v>4631.25</v>
      </c>
      <c r="J21" s="14" t="n">
        <f aca="false">F21*Inputs!$B$21</f>
        <v>6750</v>
      </c>
      <c r="K21" s="15" t="n">
        <f aca="false">1+Inputs!$B$36+Inputs!$B$39*G21/H21</f>
        <v>1.37808975834292</v>
      </c>
      <c r="L21" s="15" t="n">
        <f aca="false">1+Inputs!$B$37+Inputs!$B$40/I21</f>
        <v>1.32955465587045</v>
      </c>
      <c r="M21" s="15" t="n">
        <f aca="false">1+Inputs!$B$38+Inputs!$B$41/J21</f>
        <v>1.18444444444444</v>
      </c>
      <c r="N21" s="16" t="n">
        <f aca="false">Inputs!$B$33*(1+Inputs!$B$34)^(B21-1)*(1+Inputs!$B$35)</f>
        <v>76.22</v>
      </c>
      <c r="O21" s="16" t="n">
        <f aca="false">Inputs!$B$23*(1+Inputs!$B$24)^(B21-1)</f>
        <v>200.85</v>
      </c>
      <c r="P21" s="16" t="n">
        <f aca="false">Inputs!$B$25*(1+Inputs!$B$26)^(B21-1)</f>
        <v>139.05</v>
      </c>
      <c r="Q21" s="16" t="n">
        <f aca="false">Inputs!$B$27*(1+Inputs!$B$28)^(B21-1)</f>
        <v>120.95</v>
      </c>
      <c r="R21" s="14" t="n">
        <f aca="false">D21*O21</f>
        <v>1190036.25</v>
      </c>
      <c r="S21" s="14" t="n">
        <f aca="false">E21*P21</f>
        <v>990731.25</v>
      </c>
      <c r="T21" s="14" t="n">
        <f aca="false">F21*Q21</f>
        <v>1088550</v>
      </c>
      <c r="U21" s="14" t="n">
        <f aca="false">D21/1000*Inputs!$B$29*Inputs!$B$30</f>
        <v>53325</v>
      </c>
      <c r="V21" s="14" t="n">
        <f aca="false">(D21+E21)/1000*Inputs!$B$31</f>
        <v>19575</v>
      </c>
      <c r="W21" s="14" t="n">
        <f aca="false">H21*8760/12/1000</f>
        <v>2378.8875</v>
      </c>
      <c r="X21" s="14" t="n">
        <f aca="false">I21*8760/12/1000</f>
        <v>3380.8125</v>
      </c>
      <c r="Y21" s="14" t="n">
        <f aca="false">J21*8760/12/1000</f>
        <v>4927.5</v>
      </c>
      <c r="Z21" s="14" t="n">
        <f aca="false">W21*K21</f>
        <v>3278.3205</v>
      </c>
      <c r="AA21" s="14" t="n">
        <f aca="false">X21*L21</f>
        <v>4494.975</v>
      </c>
      <c r="AB21" s="14" t="n">
        <f aca="false">Y21*M21</f>
        <v>5836.35</v>
      </c>
      <c r="AC21" s="14" t="n">
        <f aca="false">Z21*N21</f>
        <v>249873.58851</v>
      </c>
      <c r="AD21" s="14" t="n">
        <f aca="false">AA21*N21</f>
        <v>342606.9945</v>
      </c>
      <c r="AE21" s="14" t="n">
        <f aca="false">AB21*N21</f>
        <v>444846.597</v>
      </c>
      <c r="AF21" s="14" t="n">
        <f aca="false">W21*Inputs!$B$44*N21</f>
        <v>281044.1481375</v>
      </c>
      <c r="AG21" s="14" t="n">
        <f aca="false">X21*MIN(L21,Inputs!$B$45)*N21+X21*Inputs!$B$46</f>
        <v>359511.057</v>
      </c>
      <c r="AH21" s="14" t="n">
        <f aca="false">AE21</f>
        <v>444846.597</v>
      </c>
      <c r="AI21" s="14" t="n">
        <f aca="false">AF21-AC21</f>
        <v>31170.5596275</v>
      </c>
      <c r="AJ21" s="14" t="n">
        <f aca="false">AG21-AD21</f>
        <v>16904.0625</v>
      </c>
      <c r="AK21" s="14" t="n">
        <f aca="false">AH21-AE21</f>
        <v>0</v>
      </c>
      <c r="AL21" s="14" t="n">
        <f aca="false">D20*Inputs!$B$18</f>
        <v>34.05</v>
      </c>
      <c r="AM21" s="14" t="n">
        <f aca="false">D21-D20+AL21</f>
        <v>284.05</v>
      </c>
      <c r="AN21" s="14" t="n">
        <f aca="false">E21-E20</f>
        <v>250</v>
      </c>
      <c r="AO21" s="14" t="n">
        <f aca="false">Inputs!$B$59*(AM21*O21+AN21*P21)</f>
        <v>91813.9425</v>
      </c>
      <c r="AP21" s="14" t="n">
        <f aca="false">(W21*Inputs!$B$61+X21*Inputs!$B$62+Y21*Inputs!$B$63)</f>
        <v>7074.795</v>
      </c>
    </row>
    <row r="22" customFormat="false" ht="15" hidden="false" customHeight="false" outlineLevel="0" collapsed="false">
      <c r="A22" s="0" t="n">
        <v>18</v>
      </c>
      <c r="B22" s="0" t="n">
        <f aca="false">INT((A22-1)/12)+1</f>
        <v>2</v>
      </c>
      <c r="C22" s="0" t="n">
        <f aca="false">(A22-0.5-12*(B22-1))/12</f>
        <v>0.458333333333333</v>
      </c>
      <c r="D22" s="14" t="n">
        <f aca="false">CHOOSE(B22,Inputs!$B$7,Inputs!$B$8,Inputs!$B$9)+(CHOOSE(B22,Inputs!$B$8,Inputs!$B$9,Inputs!$B$10)-CHOOSE(B22,Inputs!$B$7,Inputs!$B$8,Inputs!$B$9))*C22</f>
        <v>6175</v>
      </c>
      <c r="E22" s="14" t="n">
        <f aca="false">CHOOSE(B22,Inputs!$B$11,Inputs!$B$12,Inputs!$B$13)+(CHOOSE(B22,Inputs!$B$12,Inputs!$B$13,Inputs!$B$14)-CHOOSE(B22,Inputs!$B$11,Inputs!$B$12,Inputs!$B$13))*C22</f>
        <v>7375</v>
      </c>
      <c r="F22" s="14" t="n">
        <f aca="false">CHOOSE(B22,Inputs!$B$15,Inputs!$B$16,Inputs!$B$17)</f>
        <v>9000</v>
      </c>
      <c r="G22" s="14" t="n">
        <f aca="false">IF(Inputs!$B$42=1,Inputs!$B$6,ROUNDUP(D22/Inputs!$B$5,0))</f>
        <v>3</v>
      </c>
      <c r="H22" s="14" t="n">
        <f aca="false">D22*Inputs!$B$19</f>
        <v>3396.25</v>
      </c>
      <c r="I22" s="14" t="n">
        <f aca="false">E22*Inputs!$B$20</f>
        <v>4793.75</v>
      </c>
      <c r="J22" s="14" t="n">
        <f aca="false">F22*Inputs!$B$21</f>
        <v>6750</v>
      </c>
      <c r="K22" s="15" t="n">
        <f aca="false">1+Inputs!$B$36+Inputs!$B$39*G22/H22</f>
        <v>1.43874861980125</v>
      </c>
      <c r="L22" s="15" t="n">
        <f aca="false">1+Inputs!$B$37+Inputs!$B$40/I22</f>
        <v>1.3251629726206</v>
      </c>
      <c r="M22" s="15" t="n">
        <f aca="false">1+Inputs!$B$38+Inputs!$B$41/J22</f>
        <v>1.18444444444444</v>
      </c>
      <c r="N22" s="16" t="n">
        <f aca="false">Inputs!$B$33*(1+Inputs!$B$34)^(B22-1)*(1+Inputs!$B$35)</f>
        <v>76.22</v>
      </c>
      <c r="O22" s="16" t="n">
        <f aca="false">Inputs!$B$23*(1+Inputs!$B$24)^(B22-1)</f>
        <v>200.85</v>
      </c>
      <c r="P22" s="16" t="n">
        <f aca="false">Inputs!$B$25*(1+Inputs!$B$26)^(B22-1)</f>
        <v>139.05</v>
      </c>
      <c r="Q22" s="16" t="n">
        <f aca="false">Inputs!$B$27*(1+Inputs!$B$28)^(B22-1)</f>
        <v>120.95</v>
      </c>
      <c r="R22" s="14" t="n">
        <f aca="false">D22*O22</f>
        <v>1240248.75</v>
      </c>
      <c r="S22" s="14" t="n">
        <f aca="false">E22*P22</f>
        <v>1025493.75</v>
      </c>
      <c r="T22" s="14" t="n">
        <f aca="false">F22*Q22</f>
        <v>1088550</v>
      </c>
      <c r="U22" s="14" t="n">
        <f aca="false">D22/1000*Inputs!$B$29*Inputs!$B$30</f>
        <v>55575</v>
      </c>
      <c r="V22" s="14" t="n">
        <f aca="false">(D22+E22)/1000*Inputs!$B$31</f>
        <v>20325</v>
      </c>
      <c r="W22" s="14" t="n">
        <f aca="false">H22*8760/12/1000</f>
        <v>2479.2625</v>
      </c>
      <c r="X22" s="14" t="n">
        <f aca="false">I22*8760/12/1000</f>
        <v>3499.4375</v>
      </c>
      <c r="Y22" s="14" t="n">
        <f aca="false">J22*8760/12/1000</f>
        <v>4927.5</v>
      </c>
      <c r="Z22" s="14" t="n">
        <f aca="false">W22*K22</f>
        <v>3567.0355</v>
      </c>
      <c r="AA22" s="14" t="n">
        <f aca="false">X22*L22</f>
        <v>4637.325</v>
      </c>
      <c r="AB22" s="14" t="n">
        <f aca="false">Y22*M22</f>
        <v>5836.35</v>
      </c>
      <c r="AC22" s="14" t="n">
        <f aca="false">Z22*N22</f>
        <v>271879.44581</v>
      </c>
      <c r="AD22" s="14" t="n">
        <f aca="false">AA22*N22</f>
        <v>353456.9115</v>
      </c>
      <c r="AE22" s="14" t="n">
        <f aca="false">AB22*N22</f>
        <v>444846.597</v>
      </c>
      <c r="AF22" s="14" t="n">
        <f aca="false">W22*Inputs!$B$44*N22</f>
        <v>292902.5510125</v>
      </c>
      <c r="AG22" s="14" t="n">
        <f aca="false">X22*MIN(L22,Inputs!$B$45)*N22+X22*Inputs!$B$46</f>
        <v>370954.099</v>
      </c>
      <c r="AH22" s="14" t="n">
        <f aca="false">AE22</f>
        <v>444846.597</v>
      </c>
      <c r="AI22" s="14" t="n">
        <f aca="false">AF22-AC22</f>
        <v>21023.1052025</v>
      </c>
      <c r="AJ22" s="14" t="n">
        <f aca="false">AG22-AD22</f>
        <v>17497.1875</v>
      </c>
      <c r="AK22" s="14" t="n">
        <f aca="false">AH22-AE22</f>
        <v>0</v>
      </c>
      <c r="AL22" s="14" t="n">
        <f aca="false">D21*Inputs!$B$18</f>
        <v>35.55</v>
      </c>
      <c r="AM22" s="14" t="n">
        <f aca="false">D22-D21+AL22</f>
        <v>285.55</v>
      </c>
      <c r="AN22" s="14" t="n">
        <f aca="false">E22-E21</f>
        <v>250</v>
      </c>
      <c r="AO22" s="14" t="n">
        <f aca="false">Inputs!$B$59*(AM22*O22+AN22*P22)</f>
        <v>92115.2175</v>
      </c>
      <c r="AP22" s="14" t="n">
        <f aca="false">(W22*Inputs!$B$61+X22*Inputs!$B$62+Y22*Inputs!$B$63)</f>
        <v>7315.695</v>
      </c>
    </row>
    <row r="23" customFormat="false" ht="15" hidden="false" customHeight="false" outlineLevel="0" collapsed="false">
      <c r="A23" s="0" t="n">
        <v>19</v>
      </c>
      <c r="B23" s="0" t="n">
        <f aca="false">INT((A23-1)/12)+1</f>
        <v>2</v>
      </c>
      <c r="C23" s="0" t="n">
        <f aca="false">(A23-0.5-12*(B23-1))/12</f>
        <v>0.541666666666667</v>
      </c>
      <c r="D23" s="14" t="n">
        <f aca="false">CHOOSE(B23,Inputs!$B$7,Inputs!$B$8,Inputs!$B$9)+(CHOOSE(B23,Inputs!$B$8,Inputs!$B$9,Inputs!$B$10)-CHOOSE(B23,Inputs!$B$7,Inputs!$B$8,Inputs!$B$9))*C23</f>
        <v>6425</v>
      </c>
      <c r="E23" s="14" t="n">
        <f aca="false">CHOOSE(B23,Inputs!$B$11,Inputs!$B$12,Inputs!$B$13)+(CHOOSE(B23,Inputs!$B$12,Inputs!$B$13,Inputs!$B$14)-CHOOSE(B23,Inputs!$B$11,Inputs!$B$12,Inputs!$B$13))*C23</f>
        <v>7625</v>
      </c>
      <c r="F23" s="14" t="n">
        <f aca="false">CHOOSE(B23,Inputs!$B$15,Inputs!$B$16,Inputs!$B$17)</f>
        <v>9000</v>
      </c>
      <c r="G23" s="14" t="n">
        <f aca="false">IF(Inputs!$B$42=1,Inputs!$B$6,ROUNDUP(D23/Inputs!$B$5,0))</f>
        <v>3</v>
      </c>
      <c r="H23" s="14" t="n">
        <f aca="false">D23*Inputs!$B$19</f>
        <v>3533.75</v>
      </c>
      <c r="I23" s="14" t="n">
        <f aca="false">E23*Inputs!$B$20</f>
        <v>4956.25</v>
      </c>
      <c r="J23" s="14" t="n">
        <f aca="false">F23*Inputs!$B$21</f>
        <v>6750</v>
      </c>
      <c r="K23" s="15" t="n">
        <f aca="false">1+Inputs!$B$36+Inputs!$B$39*G23/H23</f>
        <v>1.43101521047046</v>
      </c>
      <c r="L23" s="15" t="n">
        <f aca="false">1+Inputs!$B$37+Inputs!$B$40/I23</f>
        <v>1.32105926860025</v>
      </c>
      <c r="M23" s="15" t="n">
        <f aca="false">1+Inputs!$B$38+Inputs!$B$41/J23</f>
        <v>1.18444444444444</v>
      </c>
      <c r="N23" s="16" t="n">
        <f aca="false">Inputs!$B$33*(1+Inputs!$B$34)^(B23-1)*(1+Inputs!$B$35)</f>
        <v>76.22</v>
      </c>
      <c r="O23" s="16" t="n">
        <f aca="false">Inputs!$B$23*(1+Inputs!$B$24)^(B23-1)</f>
        <v>200.85</v>
      </c>
      <c r="P23" s="16" t="n">
        <f aca="false">Inputs!$B$25*(1+Inputs!$B$26)^(B23-1)</f>
        <v>139.05</v>
      </c>
      <c r="Q23" s="16" t="n">
        <f aca="false">Inputs!$B$27*(1+Inputs!$B$28)^(B23-1)</f>
        <v>120.95</v>
      </c>
      <c r="R23" s="14" t="n">
        <f aca="false">D23*O23</f>
        <v>1290461.25</v>
      </c>
      <c r="S23" s="14" t="n">
        <f aca="false">E23*P23</f>
        <v>1060256.25</v>
      </c>
      <c r="T23" s="14" t="n">
        <f aca="false">F23*Q23</f>
        <v>1088550</v>
      </c>
      <c r="U23" s="14" t="n">
        <f aca="false">D23/1000*Inputs!$B$29*Inputs!$B$30</f>
        <v>57825</v>
      </c>
      <c r="V23" s="14" t="n">
        <f aca="false">(D23+E23)/1000*Inputs!$B$31</f>
        <v>21075</v>
      </c>
      <c r="W23" s="14" t="n">
        <f aca="false">H23*8760/12/1000</f>
        <v>2579.6375</v>
      </c>
      <c r="X23" s="14" t="n">
        <f aca="false">I23*8760/12/1000</f>
        <v>3618.0625</v>
      </c>
      <c r="Y23" s="14" t="n">
        <f aca="false">J23*8760/12/1000</f>
        <v>4927.5</v>
      </c>
      <c r="Z23" s="14" t="n">
        <f aca="false">W23*K23</f>
        <v>3691.5005</v>
      </c>
      <c r="AA23" s="14" t="n">
        <f aca="false">X23*L23</f>
        <v>4779.675</v>
      </c>
      <c r="AB23" s="14" t="n">
        <f aca="false">Y23*M23</f>
        <v>5836.35</v>
      </c>
      <c r="AC23" s="14" t="n">
        <f aca="false">Z23*N23</f>
        <v>281366.16811</v>
      </c>
      <c r="AD23" s="14" t="n">
        <f aca="false">AA23*N23</f>
        <v>364306.8285</v>
      </c>
      <c r="AE23" s="14" t="n">
        <f aca="false">AB23*N23</f>
        <v>444846.597</v>
      </c>
      <c r="AF23" s="14" t="n">
        <f aca="false">W23*Inputs!$B$44*N23</f>
        <v>304760.9538875</v>
      </c>
      <c r="AG23" s="14" t="n">
        <f aca="false">X23*MIN(L23,Inputs!$B$45)*N23+X23*Inputs!$B$46</f>
        <v>382397.141</v>
      </c>
      <c r="AH23" s="14" t="n">
        <f aca="false">AE23</f>
        <v>444846.597</v>
      </c>
      <c r="AI23" s="14" t="n">
        <f aca="false">AF23-AC23</f>
        <v>23394.7857775</v>
      </c>
      <c r="AJ23" s="14" t="n">
        <f aca="false">AG23-AD23</f>
        <v>18090.3125</v>
      </c>
      <c r="AK23" s="14" t="n">
        <f aca="false">AH23-AE23</f>
        <v>0</v>
      </c>
      <c r="AL23" s="14" t="n">
        <f aca="false">D22*Inputs!$B$18</f>
        <v>37.05</v>
      </c>
      <c r="AM23" s="14" t="n">
        <f aca="false">D23-D22+AL23</f>
        <v>287.05</v>
      </c>
      <c r="AN23" s="14" t="n">
        <f aca="false">E23-E22</f>
        <v>250</v>
      </c>
      <c r="AO23" s="14" t="n">
        <f aca="false">Inputs!$B$59*(AM23*O23+AN23*P23)</f>
        <v>92416.4925</v>
      </c>
      <c r="AP23" s="14" t="n">
        <f aca="false">(W23*Inputs!$B$61+X23*Inputs!$B$62+Y23*Inputs!$B$63)</f>
        <v>7556.595</v>
      </c>
    </row>
    <row r="24" customFormat="false" ht="15" hidden="false" customHeight="false" outlineLevel="0" collapsed="false">
      <c r="A24" s="0" t="n">
        <v>20</v>
      </c>
      <c r="B24" s="0" t="n">
        <f aca="false">INT((A24-1)/12)+1</f>
        <v>2</v>
      </c>
      <c r="C24" s="0" t="n">
        <f aca="false">(A24-0.5-12*(B24-1))/12</f>
        <v>0.625</v>
      </c>
      <c r="D24" s="14" t="n">
        <f aca="false">CHOOSE(B24,Inputs!$B$7,Inputs!$B$8,Inputs!$B$9)+(CHOOSE(B24,Inputs!$B$8,Inputs!$B$9,Inputs!$B$10)-CHOOSE(B24,Inputs!$B$7,Inputs!$B$8,Inputs!$B$9))*C24</f>
        <v>6675</v>
      </c>
      <c r="E24" s="14" t="n">
        <f aca="false">CHOOSE(B24,Inputs!$B$11,Inputs!$B$12,Inputs!$B$13)+(CHOOSE(B24,Inputs!$B$12,Inputs!$B$13,Inputs!$B$14)-CHOOSE(B24,Inputs!$B$11,Inputs!$B$12,Inputs!$B$13))*C24</f>
        <v>7875</v>
      </c>
      <c r="F24" s="14" t="n">
        <f aca="false">CHOOSE(B24,Inputs!$B$15,Inputs!$B$16,Inputs!$B$17)</f>
        <v>9000</v>
      </c>
      <c r="G24" s="14" t="n">
        <f aca="false">IF(Inputs!$B$42=1,Inputs!$B$6,ROUNDUP(D24/Inputs!$B$5,0))</f>
        <v>3</v>
      </c>
      <c r="H24" s="14" t="n">
        <f aca="false">D24*Inputs!$B$19</f>
        <v>3671.25</v>
      </c>
      <c r="I24" s="14" t="n">
        <f aca="false">E24*Inputs!$B$20</f>
        <v>5118.75</v>
      </c>
      <c r="J24" s="14" t="n">
        <f aca="false">F24*Inputs!$B$21</f>
        <v>6750</v>
      </c>
      <c r="K24" s="15" t="n">
        <f aca="false">1+Inputs!$B$36+Inputs!$B$39*G24/H24</f>
        <v>1.42386108273749</v>
      </c>
      <c r="L24" s="15" t="n">
        <f aca="false">1+Inputs!$B$37+Inputs!$B$40/I24</f>
        <v>1.31721611721612</v>
      </c>
      <c r="M24" s="15" t="n">
        <f aca="false">1+Inputs!$B$38+Inputs!$B$41/J24</f>
        <v>1.18444444444444</v>
      </c>
      <c r="N24" s="16" t="n">
        <f aca="false">Inputs!$B$33*(1+Inputs!$B$34)^(B24-1)*(1+Inputs!$B$35)</f>
        <v>76.22</v>
      </c>
      <c r="O24" s="16" t="n">
        <f aca="false">Inputs!$B$23*(1+Inputs!$B$24)^(B24-1)</f>
        <v>200.85</v>
      </c>
      <c r="P24" s="16" t="n">
        <f aca="false">Inputs!$B$25*(1+Inputs!$B$26)^(B24-1)</f>
        <v>139.05</v>
      </c>
      <c r="Q24" s="16" t="n">
        <f aca="false">Inputs!$B$27*(1+Inputs!$B$28)^(B24-1)</f>
        <v>120.95</v>
      </c>
      <c r="R24" s="14" t="n">
        <f aca="false">D24*O24</f>
        <v>1340673.75</v>
      </c>
      <c r="S24" s="14" t="n">
        <f aca="false">E24*P24</f>
        <v>1095018.75</v>
      </c>
      <c r="T24" s="14" t="n">
        <f aca="false">F24*Q24</f>
        <v>1088550</v>
      </c>
      <c r="U24" s="14" t="n">
        <f aca="false">D24/1000*Inputs!$B$29*Inputs!$B$30</f>
        <v>60075</v>
      </c>
      <c r="V24" s="14" t="n">
        <f aca="false">(D24+E24)/1000*Inputs!$B$31</f>
        <v>21825</v>
      </c>
      <c r="W24" s="14" t="n">
        <f aca="false">H24*8760/12/1000</f>
        <v>2680.0125</v>
      </c>
      <c r="X24" s="14" t="n">
        <f aca="false">I24*8760/12/1000</f>
        <v>3736.6875</v>
      </c>
      <c r="Y24" s="14" t="n">
        <f aca="false">J24*8760/12/1000</f>
        <v>4927.5</v>
      </c>
      <c r="Z24" s="14" t="n">
        <f aca="false">W24*K24</f>
        <v>3815.9655</v>
      </c>
      <c r="AA24" s="14" t="n">
        <f aca="false">X24*L24</f>
        <v>4922.025</v>
      </c>
      <c r="AB24" s="14" t="n">
        <f aca="false">Y24*M24</f>
        <v>5836.35</v>
      </c>
      <c r="AC24" s="14" t="n">
        <f aca="false">Z24*N24</f>
        <v>290852.89041</v>
      </c>
      <c r="AD24" s="14" t="n">
        <f aca="false">AA24*N24</f>
        <v>375156.7455</v>
      </c>
      <c r="AE24" s="14" t="n">
        <f aca="false">AB24*N24</f>
        <v>444846.597</v>
      </c>
      <c r="AF24" s="14" t="n">
        <f aca="false">W24*Inputs!$B$44*N24</f>
        <v>316619.3567625</v>
      </c>
      <c r="AG24" s="14" t="n">
        <f aca="false">X24*MIN(L24,Inputs!$B$45)*N24+X24*Inputs!$B$46</f>
        <v>393840.183</v>
      </c>
      <c r="AH24" s="14" t="n">
        <f aca="false">AE24</f>
        <v>444846.597</v>
      </c>
      <c r="AI24" s="14" t="n">
        <f aca="false">AF24-AC24</f>
        <v>25766.4663525001</v>
      </c>
      <c r="AJ24" s="14" t="n">
        <f aca="false">AG24-AD24</f>
        <v>18683.4375</v>
      </c>
      <c r="AK24" s="14" t="n">
        <f aca="false">AH24-AE24</f>
        <v>0</v>
      </c>
      <c r="AL24" s="14" t="n">
        <f aca="false">D23*Inputs!$B$18</f>
        <v>38.55</v>
      </c>
      <c r="AM24" s="14" t="n">
        <f aca="false">D24-D23+AL24</f>
        <v>288.55</v>
      </c>
      <c r="AN24" s="14" t="n">
        <f aca="false">E24-E23</f>
        <v>250</v>
      </c>
      <c r="AO24" s="14" t="n">
        <f aca="false">Inputs!$B$59*(AM24*O24+AN24*P24)</f>
        <v>92717.7675</v>
      </c>
      <c r="AP24" s="14" t="n">
        <f aca="false">(W24*Inputs!$B$61+X24*Inputs!$B$62+Y24*Inputs!$B$63)</f>
        <v>7797.495</v>
      </c>
    </row>
    <row r="25" customFormat="false" ht="15" hidden="false" customHeight="false" outlineLevel="0" collapsed="false">
      <c r="A25" s="0" t="n">
        <v>21</v>
      </c>
      <c r="B25" s="0" t="n">
        <f aca="false">INT((A25-1)/12)+1</f>
        <v>2</v>
      </c>
      <c r="C25" s="0" t="n">
        <f aca="false">(A25-0.5-12*(B25-1))/12</f>
        <v>0.708333333333333</v>
      </c>
      <c r="D25" s="14" t="n">
        <f aca="false">CHOOSE(B25,Inputs!$B$7,Inputs!$B$8,Inputs!$B$9)+(CHOOSE(B25,Inputs!$B$8,Inputs!$B$9,Inputs!$B$10)-CHOOSE(B25,Inputs!$B$7,Inputs!$B$8,Inputs!$B$9))*C25</f>
        <v>6925</v>
      </c>
      <c r="E25" s="14" t="n">
        <f aca="false">CHOOSE(B25,Inputs!$B$11,Inputs!$B$12,Inputs!$B$13)+(CHOOSE(B25,Inputs!$B$12,Inputs!$B$13,Inputs!$B$14)-CHOOSE(B25,Inputs!$B$11,Inputs!$B$12,Inputs!$B$13))*C25</f>
        <v>8125</v>
      </c>
      <c r="F25" s="14" t="n">
        <f aca="false">CHOOSE(B25,Inputs!$B$15,Inputs!$B$16,Inputs!$B$17)</f>
        <v>9000</v>
      </c>
      <c r="G25" s="14" t="n">
        <f aca="false">IF(Inputs!$B$42=1,Inputs!$B$6,ROUNDUP(D25/Inputs!$B$5,0))</f>
        <v>3</v>
      </c>
      <c r="H25" s="14" t="n">
        <f aca="false">D25*Inputs!$B$19</f>
        <v>3808.75</v>
      </c>
      <c r="I25" s="14" t="n">
        <f aca="false">E25*Inputs!$B$20</f>
        <v>5281.25</v>
      </c>
      <c r="J25" s="14" t="n">
        <f aca="false">F25*Inputs!$B$21</f>
        <v>6750</v>
      </c>
      <c r="K25" s="15" t="n">
        <f aca="false">1+Inputs!$B$36+Inputs!$B$39*G25/H25</f>
        <v>1.41722349852314</v>
      </c>
      <c r="L25" s="15" t="n">
        <f aca="false">1+Inputs!$B$37+Inputs!$B$40/I25</f>
        <v>1.31360946745562</v>
      </c>
      <c r="M25" s="15" t="n">
        <f aca="false">1+Inputs!$B$38+Inputs!$B$41/J25</f>
        <v>1.18444444444444</v>
      </c>
      <c r="N25" s="16" t="n">
        <f aca="false">Inputs!$B$33*(1+Inputs!$B$34)^(B25-1)*(1+Inputs!$B$35)</f>
        <v>76.22</v>
      </c>
      <c r="O25" s="16" t="n">
        <f aca="false">Inputs!$B$23*(1+Inputs!$B$24)^(B25-1)</f>
        <v>200.85</v>
      </c>
      <c r="P25" s="16" t="n">
        <f aca="false">Inputs!$B$25*(1+Inputs!$B$26)^(B25-1)</f>
        <v>139.05</v>
      </c>
      <c r="Q25" s="16" t="n">
        <f aca="false">Inputs!$B$27*(1+Inputs!$B$28)^(B25-1)</f>
        <v>120.95</v>
      </c>
      <c r="R25" s="14" t="n">
        <f aca="false">D25*O25</f>
        <v>1390886.25</v>
      </c>
      <c r="S25" s="14" t="n">
        <f aca="false">E25*P25</f>
        <v>1129781.25</v>
      </c>
      <c r="T25" s="14" t="n">
        <f aca="false">F25*Q25</f>
        <v>1088550</v>
      </c>
      <c r="U25" s="14" t="n">
        <f aca="false">D25/1000*Inputs!$B$29*Inputs!$B$30</f>
        <v>62325</v>
      </c>
      <c r="V25" s="14" t="n">
        <f aca="false">(D25+E25)/1000*Inputs!$B$31</f>
        <v>22575</v>
      </c>
      <c r="W25" s="14" t="n">
        <f aca="false">H25*8760/12/1000</f>
        <v>2780.3875</v>
      </c>
      <c r="X25" s="14" t="n">
        <f aca="false">I25*8760/12/1000</f>
        <v>3855.3125</v>
      </c>
      <c r="Y25" s="14" t="n">
        <f aca="false">J25*8760/12/1000</f>
        <v>4927.5</v>
      </c>
      <c r="Z25" s="14" t="n">
        <f aca="false">W25*K25</f>
        <v>3940.4305</v>
      </c>
      <c r="AA25" s="14" t="n">
        <f aca="false">X25*L25</f>
        <v>5064.375</v>
      </c>
      <c r="AB25" s="14" t="n">
        <f aca="false">Y25*M25</f>
        <v>5836.35</v>
      </c>
      <c r="AC25" s="14" t="n">
        <f aca="false">Z25*N25</f>
        <v>300339.61271</v>
      </c>
      <c r="AD25" s="14" t="n">
        <f aca="false">AA25*N25</f>
        <v>386006.6625</v>
      </c>
      <c r="AE25" s="14" t="n">
        <f aca="false">AB25*N25</f>
        <v>444846.597</v>
      </c>
      <c r="AF25" s="14" t="n">
        <f aca="false">W25*Inputs!$B$44*N25</f>
        <v>328477.7596375</v>
      </c>
      <c r="AG25" s="14" t="n">
        <f aca="false">X25*MIN(L25,Inputs!$B$45)*N25+X25*Inputs!$B$46</f>
        <v>405283.225</v>
      </c>
      <c r="AH25" s="14" t="n">
        <f aca="false">AE25</f>
        <v>444846.597</v>
      </c>
      <c r="AI25" s="14" t="n">
        <f aca="false">AF25-AC25</f>
        <v>28138.1469275</v>
      </c>
      <c r="AJ25" s="14" t="n">
        <f aca="false">AG25-AD25</f>
        <v>19276.5625</v>
      </c>
      <c r="AK25" s="14" t="n">
        <f aca="false">AH25-AE25</f>
        <v>0</v>
      </c>
      <c r="AL25" s="14" t="n">
        <f aca="false">D24*Inputs!$B$18</f>
        <v>40.05</v>
      </c>
      <c r="AM25" s="14" t="n">
        <f aca="false">D25-D24+AL25</f>
        <v>290.05</v>
      </c>
      <c r="AN25" s="14" t="n">
        <f aca="false">E25-E24</f>
        <v>250</v>
      </c>
      <c r="AO25" s="14" t="n">
        <f aca="false">Inputs!$B$59*(AM25*O25+AN25*P25)</f>
        <v>93019.0425</v>
      </c>
      <c r="AP25" s="14" t="n">
        <f aca="false">(W25*Inputs!$B$61+X25*Inputs!$B$62+Y25*Inputs!$B$63)</f>
        <v>8038.395</v>
      </c>
    </row>
    <row r="26" customFormat="false" ht="15" hidden="false" customHeight="false" outlineLevel="0" collapsed="false">
      <c r="A26" s="0" t="n">
        <v>22</v>
      </c>
      <c r="B26" s="0" t="n">
        <f aca="false">INT((A26-1)/12)+1</f>
        <v>2</v>
      </c>
      <c r="C26" s="0" t="n">
        <f aca="false">(A26-0.5-12*(B26-1))/12</f>
        <v>0.791666666666667</v>
      </c>
      <c r="D26" s="14" t="n">
        <f aca="false">CHOOSE(B26,Inputs!$B$7,Inputs!$B$8,Inputs!$B$9)+(CHOOSE(B26,Inputs!$B$8,Inputs!$B$9,Inputs!$B$10)-CHOOSE(B26,Inputs!$B$7,Inputs!$B$8,Inputs!$B$9))*C26</f>
        <v>7175</v>
      </c>
      <c r="E26" s="14" t="n">
        <f aca="false">CHOOSE(B26,Inputs!$B$11,Inputs!$B$12,Inputs!$B$13)+(CHOOSE(B26,Inputs!$B$12,Inputs!$B$13,Inputs!$B$14)-CHOOSE(B26,Inputs!$B$11,Inputs!$B$12,Inputs!$B$13))*C26</f>
        <v>8375</v>
      </c>
      <c r="F26" s="14" t="n">
        <f aca="false">CHOOSE(B26,Inputs!$B$15,Inputs!$B$16,Inputs!$B$17)</f>
        <v>9000</v>
      </c>
      <c r="G26" s="14" t="n">
        <f aca="false">IF(Inputs!$B$42=1,Inputs!$B$6,ROUNDUP(D26/Inputs!$B$5,0))</f>
        <v>3</v>
      </c>
      <c r="H26" s="14" t="n">
        <f aca="false">D26*Inputs!$B$19</f>
        <v>3946.25</v>
      </c>
      <c r="I26" s="14" t="n">
        <f aca="false">E26*Inputs!$B$20</f>
        <v>5443.75</v>
      </c>
      <c r="J26" s="14" t="n">
        <f aca="false">F26*Inputs!$B$21</f>
        <v>6750</v>
      </c>
      <c r="K26" s="15" t="n">
        <f aca="false">1+Inputs!$B$36+Inputs!$B$39*G26/H26</f>
        <v>1.41104846373139</v>
      </c>
      <c r="L26" s="15" t="n">
        <f aca="false">1+Inputs!$B$37+Inputs!$B$40/I26</f>
        <v>1.31021814006889</v>
      </c>
      <c r="M26" s="15" t="n">
        <f aca="false">1+Inputs!$B$38+Inputs!$B$41/J26</f>
        <v>1.18444444444444</v>
      </c>
      <c r="N26" s="16" t="n">
        <f aca="false">Inputs!$B$33*(1+Inputs!$B$34)^(B26-1)*(1+Inputs!$B$35)</f>
        <v>76.22</v>
      </c>
      <c r="O26" s="16" t="n">
        <f aca="false">Inputs!$B$23*(1+Inputs!$B$24)^(B26-1)</f>
        <v>200.85</v>
      </c>
      <c r="P26" s="16" t="n">
        <f aca="false">Inputs!$B$25*(1+Inputs!$B$26)^(B26-1)</f>
        <v>139.05</v>
      </c>
      <c r="Q26" s="16" t="n">
        <f aca="false">Inputs!$B$27*(1+Inputs!$B$28)^(B26-1)</f>
        <v>120.95</v>
      </c>
      <c r="R26" s="14" t="n">
        <f aca="false">D26*O26</f>
        <v>1441098.75</v>
      </c>
      <c r="S26" s="14" t="n">
        <f aca="false">E26*P26</f>
        <v>1164543.75</v>
      </c>
      <c r="T26" s="14" t="n">
        <f aca="false">F26*Q26</f>
        <v>1088550</v>
      </c>
      <c r="U26" s="14" t="n">
        <f aca="false">D26/1000*Inputs!$B$29*Inputs!$B$30</f>
        <v>64575</v>
      </c>
      <c r="V26" s="14" t="n">
        <f aca="false">(D26+E26)/1000*Inputs!$B$31</f>
        <v>23325</v>
      </c>
      <c r="W26" s="14" t="n">
        <f aca="false">H26*8760/12/1000</f>
        <v>2880.7625</v>
      </c>
      <c r="X26" s="14" t="n">
        <f aca="false">I26*8760/12/1000</f>
        <v>3973.9375</v>
      </c>
      <c r="Y26" s="14" t="n">
        <f aca="false">J26*8760/12/1000</f>
        <v>4927.5</v>
      </c>
      <c r="Z26" s="14" t="n">
        <f aca="false">W26*K26</f>
        <v>4064.8955</v>
      </c>
      <c r="AA26" s="14" t="n">
        <f aca="false">X26*L26</f>
        <v>5206.725</v>
      </c>
      <c r="AB26" s="14" t="n">
        <f aca="false">Y26*M26</f>
        <v>5836.35</v>
      </c>
      <c r="AC26" s="14" t="n">
        <f aca="false">Z26*N26</f>
        <v>309826.33501</v>
      </c>
      <c r="AD26" s="14" t="n">
        <f aca="false">AA26*N26</f>
        <v>396856.5795</v>
      </c>
      <c r="AE26" s="14" t="n">
        <f aca="false">AB26*N26</f>
        <v>444846.597</v>
      </c>
      <c r="AF26" s="14" t="n">
        <f aca="false">W26*Inputs!$B$44*N26</f>
        <v>340336.1625125</v>
      </c>
      <c r="AG26" s="14" t="n">
        <f aca="false">X26*MIN(L26,Inputs!$B$45)*N26+X26*Inputs!$B$46</f>
        <v>416726.267</v>
      </c>
      <c r="AH26" s="14" t="n">
        <f aca="false">AE26</f>
        <v>444846.597</v>
      </c>
      <c r="AI26" s="14" t="n">
        <f aca="false">AF26-AC26</f>
        <v>30509.8275025</v>
      </c>
      <c r="AJ26" s="14" t="n">
        <f aca="false">AG26-AD26</f>
        <v>19869.6875</v>
      </c>
      <c r="AK26" s="14" t="n">
        <f aca="false">AH26-AE26</f>
        <v>0</v>
      </c>
      <c r="AL26" s="14" t="n">
        <f aca="false">D25*Inputs!$B$18</f>
        <v>41.55</v>
      </c>
      <c r="AM26" s="14" t="n">
        <f aca="false">D26-D25+AL26</f>
        <v>291.55</v>
      </c>
      <c r="AN26" s="14" t="n">
        <f aca="false">E26-E25</f>
        <v>250</v>
      </c>
      <c r="AO26" s="14" t="n">
        <f aca="false">Inputs!$B$59*(AM26*O26+AN26*P26)</f>
        <v>93320.3175</v>
      </c>
      <c r="AP26" s="14" t="n">
        <f aca="false">(W26*Inputs!$B$61+X26*Inputs!$B$62+Y26*Inputs!$B$63)</f>
        <v>8279.295</v>
      </c>
    </row>
    <row r="27" customFormat="false" ht="15" hidden="false" customHeight="false" outlineLevel="0" collapsed="false">
      <c r="A27" s="0" t="n">
        <v>23</v>
      </c>
      <c r="B27" s="0" t="n">
        <f aca="false">INT((A27-1)/12)+1</f>
        <v>2</v>
      </c>
      <c r="C27" s="0" t="n">
        <f aca="false">(A27-0.5-12*(B27-1))/12</f>
        <v>0.875</v>
      </c>
      <c r="D27" s="14" t="n">
        <f aca="false">CHOOSE(B27,Inputs!$B$7,Inputs!$B$8,Inputs!$B$9)+(CHOOSE(B27,Inputs!$B$8,Inputs!$B$9,Inputs!$B$10)-CHOOSE(B27,Inputs!$B$7,Inputs!$B$8,Inputs!$B$9))*C27</f>
        <v>7425</v>
      </c>
      <c r="E27" s="14" t="n">
        <f aca="false">CHOOSE(B27,Inputs!$B$11,Inputs!$B$12,Inputs!$B$13)+(CHOOSE(B27,Inputs!$B$12,Inputs!$B$13,Inputs!$B$14)-CHOOSE(B27,Inputs!$B$11,Inputs!$B$12,Inputs!$B$13))*C27</f>
        <v>8625</v>
      </c>
      <c r="F27" s="14" t="n">
        <f aca="false">CHOOSE(B27,Inputs!$B$15,Inputs!$B$16,Inputs!$B$17)</f>
        <v>9000</v>
      </c>
      <c r="G27" s="14" t="n">
        <f aca="false">IF(Inputs!$B$42=1,Inputs!$B$6,ROUNDUP(D27/Inputs!$B$5,0))</f>
        <v>3</v>
      </c>
      <c r="H27" s="14" t="n">
        <f aca="false">D27*Inputs!$B$19</f>
        <v>4083.75</v>
      </c>
      <c r="I27" s="14" t="n">
        <f aca="false">E27*Inputs!$B$20</f>
        <v>5606.25</v>
      </c>
      <c r="J27" s="14" t="n">
        <f aca="false">F27*Inputs!$B$21</f>
        <v>6750</v>
      </c>
      <c r="K27" s="15" t="n">
        <f aca="false">1+Inputs!$B$36+Inputs!$B$39*G27/H27</f>
        <v>1.40528925619835</v>
      </c>
      <c r="L27" s="15" t="n">
        <f aca="false">1+Inputs!$B$37+Inputs!$B$40/I27</f>
        <v>1.30702341137124</v>
      </c>
      <c r="M27" s="15" t="n">
        <f aca="false">1+Inputs!$B$38+Inputs!$B$41/J27</f>
        <v>1.18444444444444</v>
      </c>
      <c r="N27" s="16" t="n">
        <f aca="false">Inputs!$B$33*(1+Inputs!$B$34)^(B27-1)*(1+Inputs!$B$35)</f>
        <v>76.22</v>
      </c>
      <c r="O27" s="16" t="n">
        <f aca="false">Inputs!$B$23*(1+Inputs!$B$24)^(B27-1)</f>
        <v>200.85</v>
      </c>
      <c r="P27" s="16" t="n">
        <f aca="false">Inputs!$B$25*(1+Inputs!$B$26)^(B27-1)</f>
        <v>139.05</v>
      </c>
      <c r="Q27" s="16" t="n">
        <f aca="false">Inputs!$B$27*(1+Inputs!$B$28)^(B27-1)</f>
        <v>120.95</v>
      </c>
      <c r="R27" s="14" t="n">
        <f aca="false">D27*O27</f>
        <v>1491311.25</v>
      </c>
      <c r="S27" s="14" t="n">
        <f aca="false">E27*P27</f>
        <v>1199306.25</v>
      </c>
      <c r="T27" s="14" t="n">
        <f aca="false">F27*Q27</f>
        <v>1088550</v>
      </c>
      <c r="U27" s="14" t="n">
        <f aca="false">D27/1000*Inputs!$B$29*Inputs!$B$30</f>
        <v>66825</v>
      </c>
      <c r="V27" s="14" t="n">
        <f aca="false">(D27+E27)/1000*Inputs!$B$31</f>
        <v>24075</v>
      </c>
      <c r="W27" s="14" t="n">
        <f aca="false">H27*8760/12/1000</f>
        <v>2981.1375</v>
      </c>
      <c r="X27" s="14" t="n">
        <f aca="false">I27*8760/12/1000</f>
        <v>4092.5625</v>
      </c>
      <c r="Y27" s="14" t="n">
        <f aca="false">J27*8760/12/1000</f>
        <v>4927.5</v>
      </c>
      <c r="Z27" s="14" t="n">
        <f aca="false">W27*K27</f>
        <v>4189.3605</v>
      </c>
      <c r="AA27" s="14" t="n">
        <f aca="false">X27*L27</f>
        <v>5349.075</v>
      </c>
      <c r="AB27" s="14" t="n">
        <f aca="false">Y27*M27</f>
        <v>5836.35</v>
      </c>
      <c r="AC27" s="14" t="n">
        <f aca="false">Z27*N27</f>
        <v>319313.05731</v>
      </c>
      <c r="AD27" s="14" t="n">
        <f aca="false">AA27*N27</f>
        <v>407706.4965</v>
      </c>
      <c r="AE27" s="14" t="n">
        <f aca="false">AB27*N27</f>
        <v>444846.597</v>
      </c>
      <c r="AF27" s="14" t="n">
        <f aca="false">W27*Inputs!$B$44*N27</f>
        <v>352194.5653875</v>
      </c>
      <c r="AG27" s="14" t="n">
        <f aca="false">X27*MIN(L27,Inputs!$B$45)*N27+X27*Inputs!$B$46</f>
        <v>428169.309</v>
      </c>
      <c r="AH27" s="14" t="n">
        <f aca="false">AE27</f>
        <v>444846.597</v>
      </c>
      <c r="AI27" s="14" t="n">
        <f aca="false">AF27-AC27</f>
        <v>32881.5080775</v>
      </c>
      <c r="AJ27" s="14" t="n">
        <f aca="false">AG27-AD27</f>
        <v>20462.8125</v>
      </c>
      <c r="AK27" s="14" t="n">
        <f aca="false">AH27-AE27</f>
        <v>0</v>
      </c>
      <c r="AL27" s="14" t="n">
        <f aca="false">D26*Inputs!$B$18</f>
        <v>43.05</v>
      </c>
      <c r="AM27" s="14" t="n">
        <f aca="false">D27-D26+AL27</f>
        <v>293.05</v>
      </c>
      <c r="AN27" s="14" t="n">
        <f aca="false">E27-E26</f>
        <v>250</v>
      </c>
      <c r="AO27" s="14" t="n">
        <f aca="false">Inputs!$B$59*(AM27*O27+AN27*P27)</f>
        <v>93621.5925</v>
      </c>
      <c r="AP27" s="14" t="n">
        <f aca="false">(W27*Inputs!$B$61+X27*Inputs!$B$62+Y27*Inputs!$B$63)</f>
        <v>8520.195</v>
      </c>
    </row>
    <row r="28" customFormat="false" ht="15" hidden="false" customHeight="false" outlineLevel="0" collapsed="false">
      <c r="A28" s="0" t="n">
        <v>24</v>
      </c>
      <c r="B28" s="0" t="n">
        <f aca="false">INT((A28-1)/12)+1</f>
        <v>2</v>
      </c>
      <c r="C28" s="0" t="n">
        <f aca="false">(A28-0.5-12*(B28-1))/12</f>
        <v>0.958333333333333</v>
      </c>
      <c r="D28" s="14" t="n">
        <f aca="false">CHOOSE(B28,Inputs!$B$7,Inputs!$B$8,Inputs!$B$9)+(CHOOSE(B28,Inputs!$B$8,Inputs!$B$9,Inputs!$B$10)-CHOOSE(B28,Inputs!$B$7,Inputs!$B$8,Inputs!$B$9))*C28</f>
        <v>7675</v>
      </c>
      <c r="E28" s="14" t="n">
        <f aca="false">CHOOSE(B28,Inputs!$B$11,Inputs!$B$12,Inputs!$B$13)+(CHOOSE(B28,Inputs!$B$12,Inputs!$B$13,Inputs!$B$14)-CHOOSE(B28,Inputs!$B$11,Inputs!$B$12,Inputs!$B$13))*C28</f>
        <v>8875</v>
      </c>
      <c r="F28" s="14" t="n">
        <f aca="false">CHOOSE(B28,Inputs!$B$15,Inputs!$B$16,Inputs!$B$17)</f>
        <v>9000</v>
      </c>
      <c r="G28" s="14" t="n">
        <f aca="false">IF(Inputs!$B$42=1,Inputs!$B$6,ROUNDUP(D28/Inputs!$B$5,0))</f>
        <v>3</v>
      </c>
      <c r="H28" s="14" t="n">
        <f aca="false">D28*Inputs!$B$19</f>
        <v>4221.25</v>
      </c>
      <c r="I28" s="14" t="n">
        <f aca="false">E28*Inputs!$B$20</f>
        <v>5768.75</v>
      </c>
      <c r="J28" s="14" t="n">
        <f aca="false">F28*Inputs!$B$21</f>
        <v>6750</v>
      </c>
      <c r="K28" s="15" t="n">
        <f aca="false">1+Inputs!$B$36+Inputs!$B$39*G28/H28</f>
        <v>1.39990524133847</v>
      </c>
      <c r="L28" s="15" t="n">
        <f aca="false">1+Inputs!$B$37+Inputs!$B$40/I28</f>
        <v>1.30400866738895</v>
      </c>
      <c r="M28" s="15" t="n">
        <f aca="false">1+Inputs!$B$38+Inputs!$B$41/J28</f>
        <v>1.18444444444444</v>
      </c>
      <c r="N28" s="16" t="n">
        <f aca="false">Inputs!$B$33*(1+Inputs!$B$34)^(B28-1)*(1+Inputs!$B$35)</f>
        <v>76.22</v>
      </c>
      <c r="O28" s="16" t="n">
        <f aca="false">Inputs!$B$23*(1+Inputs!$B$24)^(B28-1)</f>
        <v>200.85</v>
      </c>
      <c r="P28" s="16" t="n">
        <f aca="false">Inputs!$B$25*(1+Inputs!$B$26)^(B28-1)</f>
        <v>139.05</v>
      </c>
      <c r="Q28" s="16" t="n">
        <f aca="false">Inputs!$B$27*(1+Inputs!$B$28)^(B28-1)</f>
        <v>120.95</v>
      </c>
      <c r="R28" s="14" t="n">
        <f aca="false">D28*O28</f>
        <v>1541523.75</v>
      </c>
      <c r="S28" s="14" t="n">
        <f aca="false">E28*P28</f>
        <v>1234068.75</v>
      </c>
      <c r="T28" s="14" t="n">
        <f aca="false">F28*Q28</f>
        <v>1088550</v>
      </c>
      <c r="U28" s="14" t="n">
        <f aca="false">D28/1000*Inputs!$B$29*Inputs!$B$30</f>
        <v>69075</v>
      </c>
      <c r="V28" s="14" t="n">
        <f aca="false">(D28+E28)/1000*Inputs!$B$31</f>
        <v>24825</v>
      </c>
      <c r="W28" s="14" t="n">
        <f aca="false">H28*8760/12/1000</f>
        <v>3081.5125</v>
      </c>
      <c r="X28" s="14" t="n">
        <f aca="false">I28*8760/12/1000</f>
        <v>4211.1875</v>
      </c>
      <c r="Y28" s="14" t="n">
        <f aca="false">J28*8760/12/1000</f>
        <v>4927.5</v>
      </c>
      <c r="Z28" s="14" t="n">
        <f aca="false">W28*K28</f>
        <v>4313.8255</v>
      </c>
      <c r="AA28" s="14" t="n">
        <f aca="false">X28*L28</f>
        <v>5491.425</v>
      </c>
      <c r="AB28" s="14" t="n">
        <f aca="false">Y28*M28</f>
        <v>5836.35</v>
      </c>
      <c r="AC28" s="14" t="n">
        <f aca="false">Z28*N28</f>
        <v>328799.77961</v>
      </c>
      <c r="AD28" s="14" t="n">
        <f aca="false">AA28*N28</f>
        <v>418556.4135</v>
      </c>
      <c r="AE28" s="14" t="n">
        <f aca="false">AB28*N28</f>
        <v>444846.597</v>
      </c>
      <c r="AF28" s="14" t="n">
        <f aca="false">W28*Inputs!$B$44*N28</f>
        <v>364052.9682625</v>
      </c>
      <c r="AG28" s="14" t="n">
        <f aca="false">X28*MIN(L28,Inputs!$B$45)*N28+X28*Inputs!$B$46</f>
        <v>439612.351</v>
      </c>
      <c r="AH28" s="14" t="n">
        <f aca="false">AE28</f>
        <v>444846.597</v>
      </c>
      <c r="AI28" s="14" t="n">
        <f aca="false">AF28-AC28</f>
        <v>35253.1886525</v>
      </c>
      <c r="AJ28" s="14" t="n">
        <f aca="false">AG28-AD28</f>
        <v>21055.9375</v>
      </c>
      <c r="AK28" s="14" t="n">
        <f aca="false">AH28-AE28</f>
        <v>0</v>
      </c>
      <c r="AL28" s="14" t="n">
        <f aca="false">D27*Inputs!$B$18</f>
        <v>44.55</v>
      </c>
      <c r="AM28" s="14" t="n">
        <f aca="false">D28-D27+AL28</f>
        <v>294.55</v>
      </c>
      <c r="AN28" s="14" t="n">
        <f aca="false">E28-E27</f>
        <v>250</v>
      </c>
      <c r="AO28" s="14" t="n">
        <f aca="false">Inputs!$B$59*(AM28*O28+AN28*P28)</f>
        <v>93922.8675</v>
      </c>
      <c r="AP28" s="14" t="n">
        <f aca="false">(W28*Inputs!$B$61+X28*Inputs!$B$62+Y28*Inputs!$B$63)</f>
        <v>8761.095</v>
      </c>
    </row>
    <row r="29" customFormat="false" ht="15" hidden="false" customHeight="false" outlineLevel="0" collapsed="false">
      <c r="A29" s="0" t="n">
        <v>25</v>
      </c>
      <c r="B29" s="0" t="n">
        <f aca="false">INT((A29-1)/12)+1</f>
        <v>3</v>
      </c>
      <c r="C29" s="0" t="n">
        <f aca="false">(A29-0.5-12*(B29-1))/12</f>
        <v>0.0416666666666667</v>
      </c>
      <c r="D29" s="14" t="n">
        <f aca="false">CHOOSE(B29,Inputs!$B$7,Inputs!$B$8,Inputs!$B$9)+(CHOOSE(B29,Inputs!$B$8,Inputs!$B$9,Inputs!$B$10)-CHOOSE(B29,Inputs!$B$7,Inputs!$B$8,Inputs!$B$9))*C29</f>
        <v>7875</v>
      </c>
      <c r="E29" s="14" t="n">
        <f aca="false">CHOOSE(B29,Inputs!$B$11,Inputs!$B$12,Inputs!$B$13)+(CHOOSE(B29,Inputs!$B$12,Inputs!$B$13,Inputs!$B$14)-CHOOSE(B29,Inputs!$B$11,Inputs!$B$12,Inputs!$B$13))*C29</f>
        <v>9062.5</v>
      </c>
      <c r="F29" s="14" t="n">
        <f aca="false">CHOOSE(B29,Inputs!$B$15,Inputs!$B$16,Inputs!$B$17)</f>
        <v>12000</v>
      </c>
      <c r="G29" s="14" t="n">
        <f aca="false">IF(Inputs!$B$42=1,Inputs!$B$6,ROUNDUP(D29/Inputs!$B$5,0))</f>
        <v>3</v>
      </c>
      <c r="H29" s="14" t="n">
        <f aca="false">D29*Inputs!$B$19</f>
        <v>4331.25</v>
      </c>
      <c r="I29" s="14" t="n">
        <f aca="false">E29*Inputs!$B$20</f>
        <v>5890.625</v>
      </c>
      <c r="J29" s="14" t="n">
        <f aca="false">F29*Inputs!$B$21</f>
        <v>9000</v>
      </c>
      <c r="K29" s="15" t="n">
        <f aca="false">1+Inputs!$B$36+Inputs!$B$39*G29/H29</f>
        <v>1.39584415584416</v>
      </c>
      <c r="L29" s="15" t="n">
        <f aca="false">1+Inputs!$B$37+Inputs!$B$40/I29</f>
        <v>1.30185676392573</v>
      </c>
      <c r="M29" s="15" t="n">
        <f aca="false">1+Inputs!$B$38+Inputs!$B$41/J29</f>
        <v>1.17333333333333</v>
      </c>
      <c r="N29" s="16" t="n">
        <f aca="false">Inputs!$B$33*(1+Inputs!$B$34)^(B29-1)*(1+Inputs!$B$35)</f>
        <v>78.5066</v>
      </c>
      <c r="O29" s="16" t="n">
        <f aca="false">Inputs!$B$23*(1+Inputs!$B$24)^(B29-1)</f>
        <v>206.8755</v>
      </c>
      <c r="P29" s="16" t="n">
        <f aca="false">Inputs!$B$25*(1+Inputs!$B$26)^(B29-1)</f>
        <v>143.2215</v>
      </c>
      <c r="Q29" s="16" t="n">
        <f aca="false">Inputs!$B$27*(1+Inputs!$B$28)^(B29-1)</f>
        <v>123.97375</v>
      </c>
      <c r="R29" s="14" t="n">
        <f aca="false">D29*O29</f>
        <v>1629144.5625</v>
      </c>
      <c r="S29" s="14" t="n">
        <f aca="false">E29*P29</f>
        <v>1297944.84375</v>
      </c>
      <c r="T29" s="14" t="n">
        <f aca="false">F29*Q29</f>
        <v>1487685</v>
      </c>
      <c r="U29" s="14" t="n">
        <f aca="false">D29/1000*Inputs!$B$29*Inputs!$B$30</f>
        <v>70875</v>
      </c>
      <c r="V29" s="14" t="n">
        <f aca="false">(D29+E29)/1000*Inputs!$B$31</f>
        <v>25406.25</v>
      </c>
      <c r="W29" s="14" t="n">
        <f aca="false">H29*8760/12/1000</f>
        <v>3161.8125</v>
      </c>
      <c r="X29" s="14" t="n">
        <f aca="false">I29*8760/12/1000</f>
        <v>4300.15625</v>
      </c>
      <c r="Y29" s="14" t="n">
        <f aca="false">J29*8760/12/1000</f>
        <v>6570</v>
      </c>
      <c r="Z29" s="14" t="n">
        <f aca="false">W29*K29</f>
        <v>4413.3975</v>
      </c>
      <c r="AA29" s="14" t="n">
        <f aca="false">X29*L29</f>
        <v>5598.1875</v>
      </c>
      <c r="AB29" s="14" t="n">
        <f aca="false">Y29*M29</f>
        <v>7708.8</v>
      </c>
      <c r="AC29" s="14" t="n">
        <f aca="false">Z29*N29</f>
        <v>346480.8321735</v>
      </c>
      <c r="AD29" s="14" t="n">
        <f aca="false">AA29*N29</f>
        <v>439494.6667875</v>
      </c>
      <c r="AE29" s="14" t="n">
        <f aca="false">AB29*N29</f>
        <v>605191.67808</v>
      </c>
      <c r="AF29" s="14" t="n">
        <f aca="false">W29*Inputs!$B$44*N29</f>
        <v>384745.881279375</v>
      </c>
      <c r="AG29" s="14" t="n">
        <f aca="false">X29*MIN(L29,Inputs!$B$45)*N29+X29*Inputs!$B$46</f>
        <v>460995.4480375</v>
      </c>
      <c r="AH29" s="14" t="n">
        <f aca="false">AE29</f>
        <v>605191.67808</v>
      </c>
      <c r="AI29" s="14" t="n">
        <f aca="false">AF29-AC29</f>
        <v>38265.049105875</v>
      </c>
      <c r="AJ29" s="14" t="n">
        <f aca="false">AG29-AD29</f>
        <v>21500.78125</v>
      </c>
      <c r="AK29" s="14" t="n">
        <f aca="false">AH29-AE29</f>
        <v>0</v>
      </c>
      <c r="AL29" s="14" t="n">
        <f aca="false">D28*Inputs!$B$18</f>
        <v>46.05</v>
      </c>
      <c r="AM29" s="14" t="n">
        <f aca="false">D29-D28+AL29</f>
        <v>246.05</v>
      </c>
      <c r="AN29" s="14" t="n">
        <f aca="false">E29-E28</f>
        <v>187.5</v>
      </c>
      <c r="AO29" s="14" t="n">
        <f aca="false">Inputs!$B$59*(AM29*O29+AN29*P29)</f>
        <v>77755.748025</v>
      </c>
      <c r="AP29" s="14" t="n">
        <f aca="false">(W29*Inputs!$B$61+X29*Inputs!$B$62+Y29*Inputs!$B$63)</f>
        <v>9193.665625</v>
      </c>
    </row>
    <row r="30" customFormat="false" ht="15" hidden="false" customHeight="false" outlineLevel="0" collapsed="false">
      <c r="A30" s="0" t="n">
        <v>26</v>
      </c>
      <c r="B30" s="0" t="n">
        <f aca="false">INT((A30-1)/12)+1</f>
        <v>3</v>
      </c>
      <c r="C30" s="0" t="n">
        <f aca="false">(A30-0.5-12*(B30-1))/12</f>
        <v>0.125</v>
      </c>
      <c r="D30" s="14" t="n">
        <f aca="false">CHOOSE(B30,Inputs!$B$7,Inputs!$B$8,Inputs!$B$9)+(CHOOSE(B30,Inputs!$B$8,Inputs!$B$9,Inputs!$B$10)-CHOOSE(B30,Inputs!$B$7,Inputs!$B$8,Inputs!$B$9))*C30</f>
        <v>8025</v>
      </c>
      <c r="E30" s="14" t="n">
        <f aca="false">CHOOSE(B30,Inputs!$B$11,Inputs!$B$12,Inputs!$B$13)+(CHOOSE(B30,Inputs!$B$12,Inputs!$B$13,Inputs!$B$14)-CHOOSE(B30,Inputs!$B$11,Inputs!$B$12,Inputs!$B$13))*C30</f>
        <v>9187.5</v>
      </c>
      <c r="F30" s="14" t="n">
        <f aca="false">CHOOSE(B30,Inputs!$B$15,Inputs!$B$16,Inputs!$B$17)</f>
        <v>12000</v>
      </c>
      <c r="G30" s="14" t="n">
        <f aca="false">IF(Inputs!$B$42=1,Inputs!$B$6,ROUNDUP(D30/Inputs!$B$5,0))</f>
        <v>3</v>
      </c>
      <c r="H30" s="14" t="n">
        <f aca="false">D30*Inputs!$B$19</f>
        <v>4413.75</v>
      </c>
      <c r="I30" s="14" t="n">
        <f aca="false">E30*Inputs!$B$20</f>
        <v>5971.875</v>
      </c>
      <c r="J30" s="14" t="n">
        <f aca="false">F30*Inputs!$B$21</f>
        <v>9000</v>
      </c>
      <c r="K30" s="15" t="n">
        <f aca="false">1+Inputs!$B$36+Inputs!$B$39*G30/H30</f>
        <v>1.39293118096856</v>
      </c>
      <c r="L30" s="15" t="n">
        <f aca="false">1+Inputs!$B$37+Inputs!$B$40/I30</f>
        <v>1.30047095761381</v>
      </c>
      <c r="M30" s="15" t="n">
        <f aca="false">1+Inputs!$B$38+Inputs!$B$41/J30</f>
        <v>1.17333333333333</v>
      </c>
      <c r="N30" s="16" t="n">
        <f aca="false">Inputs!$B$33*(1+Inputs!$B$34)^(B30-1)*(1+Inputs!$B$35)</f>
        <v>78.5066</v>
      </c>
      <c r="O30" s="16" t="n">
        <f aca="false">Inputs!$B$23*(1+Inputs!$B$24)^(B30-1)</f>
        <v>206.8755</v>
      </c>
      <c r="P30" s="16" t="n">
        <f aca="false">Inputs!$B$25*(1+Inputs!$B$26)^(B30-1)</f>
        <v>143.2215</v>
      </c>
      <c r="Q30" s="16" t="n">
        <f aca="false">Inputs!$B$27*(1+Inputs!$B$28)^(B30-1)</f>
        <v>123.97375</v>
      </c>
      <c r="R30" s="14" t="n">
        <f aca="false">D30*O30</f>
        <v>1660175.8875</v>
      </c>
      <c r="S30" s="14" t="n">
        <f aca="false">E30*P30</f>
        <v>1315847.53125</v>
      </c>
      <c r="T30" s="14" t="n">
        <f aca="false">F30*Q30</f>
        <v>1487685</v>
      </c>
      <c r="U30" s="14" t="n">
        <f aca="false">D30/1000*Inputs!$B$29*Inputs!$B$30</f>
        <v>72225</v>
      </c>
      <c r="V30" s="14" t="n">
        <f aca="false">(D30+E30)/1000*Inputs!$B$31</f>
        <v>25818.75</v>
      </c>
      <c r="W30" s="14" t="n">
        <f aca="false">H30*8760/12/1000</f>
        <v>3222.0375</v>
      </c>
      <c r="X30" s="14" t="n">
        <f aca="false">I30*8760/12/1000</f>
        <v>4359.46875</v>
      </c>
      <c r="Y30" s="14" t="n">
        <f aca="false">J30*8760/12/1000</f>
        <v>6570</v>
      </c>
      <c r="Z30" s="14" t="n">
        <f aca="false">W30*K30</f>
        <v>4488.0765</v>
      </c>
      <c r="AA30" s="14" t="n">
        <f aca="false">X30*L30</f>
        <v>5669.3625</v>
      </c>
      <c r="AB30" s="14" t="n">
        <f aca="false">Y30*M30</f>
        <v>7708.8</v>
      </c>
      <c r="AC30" s="14" t="n">
        <f aca="false">Z30*N30</f>
        <v>352343.6265549</v>
      </c>
      <c r="AD30" s="14" t="n">
        <f aca="false">AA30*N30</f>
        <v>445082.3740425</v>
      </c>
      <c r="AE30" s="14" t="n">
        <f aca="false">AB30*N30</f>
        <v>605191.67808</v>
      </c>
      <c r="AF30" s="14" t="n">
        <f aca="false">W30*Inputs!$B$44*N30</f>
        <v>392074.374256125</v>
      </c>
      <c r="AG30" s="14" t="n">
        <f aca="false">X30*MIN(L30,Inputs!$B$45)*N30+X30*Inputs!$B$46</f>
        <v>466879.7177925</v>
      </c>
      <c r="AH30" s="14" t="n">
        <f aca="false">AE30</f>
        <v>605191.67808</v>
      </c>
      <c r="AI30" s="14" t="n">
        <f aca="false">AF30-AC30</f>
        <v>39730.747701225</v>
      </c>
      <c r="AJ30" s="14" t="n">
        <f aca="false">AG30-AD30</f>
        <v>21797.34375</v>
      </c>
      <c r="AK30" s="14" t="n">
        <f aca="false">AH30-AE30</f>
        <v>0</v>
      </c>
      <c r="AL30" s="14" t="n">
        <f aca="false">D29*Inputs!$B$18</f>
        <v>47.25</v>
      </c>
      <c r="AM30" s="14" t="n">
        <f aca="false">D30-D29+AL30</f>
        <v>197.25</v>
      </c>
      <c r="AN30" s="14" t="n">
        <f aca="false">E30-E29</f>
        <v>125</v>
      </c>
      <c r="AO30" s="14" t="n">
        <f aca="false">Inputs!$B$59*(AM30*O30+AN30*P30)</f>
        <v>58708.879875</v>
      </c>
      <c r="AP30" s="14" t="n">
        <f aca="false">(W30*Inputs!$B$61+X30*Inputs!$B$62+Y30*Inputs!$B$63)</f>
        <v>9325.156875</v>
      </c>
    </row>
    <row r="31" customFormat="false" ht="15" hidden="false" customHeight="false" outlineLevel="0" collapsed="false">
      <c r="A31" s="0" t="n">
        <v>27</v>
      </c>
      <c r="B31" s="0" t="n">
        <f aca="false">INT((A31-1)/12)+1</f>
        <v>3</v>
      </c>
      <c r="C31" s="0" t="n">
        <f aca="false">(A31-0.5-12*(B31-1))/12</f>
        <v>0.208333333333333</v>
      </c>
      <c r="D31" s="14" t="n">
        <f aca="false">CHOOSE(B31,Inputs!$B$7,Inputs!$B$8,Inputs!$B$9)+(CHOOSE(B31,Inputs!$B$8,Inputs!$B$9,Inputs!$B$10)-CHOOSE(B31,Inputs!$B$7,Inputs!$B$8,Inputs!$B$9))*C31</f>
        <v>8175</v>
      </c>
      <c r="E31" s="14" t="n">
        <f aca="false">CHOOSE(B31,Inputs!$B$11,Inputs!$B$12,Inputs!$B$13)+(CHOOSE(B31,Inputs!$B$12,Inputs!$B$13,Inputs!$B$14)-CHOOSE(B31,Inputs!$B$11,Inputs!$B$12,Inputs!$B$13))*C31</f>
        <v>9312.5</v>
      </c>
      <c r="F31" s="14" t="n">
        <f aca="false">CHOOSE(B31,Inputs!$B$15,Inputs!$B$16,Inputs!$B$17)</f>
        <v>12000</v>
      </c>
      <c r="G31" s="14" t="n">
        <f aca="false">IF(Inputs!$B$42=1,Inputs!$B$6,ROUNDUP(D31/Inputs!$B$5,0))</f>
        <v>3</v>
      </c>
      <c r="H31" s="14" t="n">
        <f aca="false">D31*Inputs!$B$19</f>
        <v>4496.25</v>
      </c>
      <c r="I31" s="14" t="n">
        <f aca="false">E31*Inputs!$B$20</f>
        <v>6053.125</v>
      </c>
      <c r="J31" s="14" t="n">
        <f aca="false">F31*Inputs!$B$21</f>
        <v>9000</v>
      </c>
      <c r="K31" s="15" t="n">
        <f aca="false">1+Inputs!$B$36+Inputs!$B$39*G31/H31</f>
        <v>1.39012510425354</v>
      </c>
      <c r="L31" s="15" t="n">
        <f aca="false">1+Inputs!$B$37+Inputs!$B$40/I31</f>
        <v>1.29912235415591</v>
      </c>
      <c r="M31" s="15" t="n">
        <f aca="false">1+Inputs!$B$38+Inputs!$B$41/J31</f>
        <v>1.17333333333333</v>
      </c>
      <c r="N31" s="16" t="n">
        <f aca="false">Inputs!$B$33*(1+Inputs!$B$34)^(B31-1)*(1+Inputs!$B$35)</f>
        <v>78.5066</v>
      </c>
      <c r="O31" s="16" t="n">
        <f aca="false">Inputs!$B$23*(1+Inputs!$B$24)^(B31-1)</f>
        <v>206.8755</v>
      </c>
      <c r="P31" s="16" t="n">
        <f aca="false">Inputs!$B$25*(1+Inputs!$B$26)^(B31-1)</f>
        <v>143.2215</v>
      </c>
      <c r="Q31" s="16" t="n">
        <f aca="false">Inputs!$B$27*(1+Inputs!$B$28)^(B31-1)</f>
        <v>123.97375</v>
      </c>
      <c r="R31" s="14" t="n">
        <f aca="false">D31*O31</f>
        <v>1691207.2125</v>
      </c>
      <c r="S31" s="14" t="n">
        <f aca="false">E31*P31</f>
        <v>1333750.21875</v>
      </c>
      <c r="T31" s="14" t="n">
        <f aca="false">F31*Q31</f>
        <v>1487685</v>
      </c>
      <c r="U31" s="14" t="n">
        <f aca="false">D31/1000*Inputs!$B$29*Inputs!$B$30</f>
        <v>73575</v>
      </c>
      <c r="V31" s="14" t="n">
        <f aca="false">(D31+E31)/1000*Inputs!$B$31</f>
        <v>26231.25</v>
      </c>
      <c r="W31" s="14" t="n">
        <f aca="false">H31*8760/12/1000</f>
        <v>3282.2625</v>
      </c>
      <c r="X31" s="14" t="n">
        <f aca="false">I31*8760/12/1000</f>
        <v>4418.78125</v>
      </c>
      <c r="Y31" s="14" t="n">
        <f aca="false">J31*8760/12/1000</f>
        <v>6570</v>
      </c>
      <c r="Z31" s="14" t="n">
        <f aca="false">W31*K31</f>
        <v>4562.7555</v>
      </c>
      <c r="AA31" s="14" t="n">
        <f aca="false">X31*L31</f>
        <v>5740.5375</v>
      </c>
      <c r="AB31" s="14" t="n">
        <f aca="false">Y31*M31</f>
        <v>7708.8</v>
      </c>
      <c r="AC31" s="14" t="n">
        <f aca="false">Z31*N31</f>
        <v>358206.4209363</v>
      </c>
      <c r="AD31" s="14" t="n">
        <f aca="false">AA31*N31</f>
        <v>450670.0812975</v>
      </c>
      <c r="AE31" s="14" t="n">
        <f aca="false">AB31*N31</f>
        <v>605191.67808</v>
      </c>
      <c r="AF31" s="14" t="n">
        <f aca="false">W31*Inputs!$B$44*N31</f>
        <v>399402.867232875</v>
      </c>
      <c r="AG31" s="14" t="n">
        <f aca="false">X31*MIN(L31,Inputs!$B$45)*N31+X31*Inputs!$B$46</f>
        <v>472763.9875475</v>
      </c>
      <c r="AH31" s="14" t="n">
        <f aca="false">AE31</f>
        <v>605191.67808</v>
      </c>
      <c r="AI31" s="14" t="n">
        <f aca="false">AF31-AC31</f>
        <v>41196.4462965751</v>
      </c>
      <c r="AJ31" s="14" t="n">
        <f aca="false">AG31-AD31</f>
        <v>22093.90625</v>
      </c>
      <c r="AK31" s="14" t="n">
        <f aca="false">AH31-AE31</f>
        <v>0</v>
      </c>
      <c r="AL31" s="14" t="n">
        <f aca="false">D30*Inputs!$B$18</f>
        <v>48.15</v>
      </c>
      <c r="AM31" s="14" t="n">
        <f aca="false">D31-D30+AL31</f>
        <v>198.15</v>
      </c>
      <c r="AN31" s="14" t="n">
        <f aca="false">E31-E30</f>
        <v>125</v>
      </c>
      <c r="AO31" s="14" t="n">
        <f aca="false">Inputs!$B$59*(AM31*O31+AN31*P31)</f>
        <v>58895.067825</v>
      </c>
      <c r="AP31" s="14" t="n">
        <f aca="false">(W31*Inputs!$B$61+X31*Inputs!$B$62+Y31*Inputs!$B$63)</f>
        <v>9456.648125</v>
      </c>
    </row>
    <row r="32" customFormat="false" ht="15" hidden="false" customHeight="false" outlineLevel="0" collapsed="false">
      <c r="A32" s="0" t="n">
        <v>28</v>
      </c>
      <c r="B32" s="0" t="n">
        <f aca="false">INT((A32-1)/12)+1</f>
        <v>3</v>
      </c>
      <c r="C32" s="0" t="n">
        <f aca="false">(A32-0.5-12*(B32-1))/12</f>
        <v>0.291666666666667</v>
      </c>
      <c r="D32" s="14" t="n">
        <f aca="false">CHOOSE(B32,Inputs!$B$7,Inputs!$B$8,Inputs!$B$9)+(CHOOSE(B32,Inputs!$B$8,Inputs!$B$9,Inputs!$B$10)-CHOOSE(B32,Inputs!$B$7,Inputs!$B$8,Inputs!$B$9))*C32</f>
        <v>8325</v>
      </c>
      <c r="E32" s="14" t="n">
        <f aca="false">CHOOSE(B32,Inputs!$B$11,Inputs!$B$12,Inputs!$B$13)+(CHOOSE(B32,Inputs!$B$12,Inputs!$B$13,Inputs!$B$14)-CHOOSE(B32,Inputs!$B$11,Inputs!$B$12,Inputs!$B$13))*C32</f>
        <v>9437.5</v>
      </c>
      <c r="F32" s="14" t="n">
        <f aca="false">CHOOSE(B32,Inputs!$B$15,Inputs!$B$16,Inputs!$B$17)</f>
        <v>12000</v>
      </c>
      <c r="G32" s="14" t="n">
        <f aca="false">IF(Inputs!$B$42=1,Inputs!$B$6,ROUNDUP(D32/Inputs!$B$5,0))</f>
        <v>3</v>
      </c>
      <c r="H32" s="14" t="n">
        <f aca="false">D32*Inputs!$B$19</f>
        <v>4578.75</v>
      </c>
      <c r="I32" s="14" t="n">
        <f aca="false">E32*Inputs!$B$20</f>
        <v>6134.375</v>
      </c>
      <c r="J32" s="14" t="n">
        <f aca="false">F32*Inputs!$B$21</f>
        <v>9000</v>
      </c>
      <c r="K32" s="15" t="n">
        <f aca="false">1+Inputs!$B$36+Inputs!$B$39*G32/H32</f>
        <v>1.38742014742015</v>
      </c>
      <c r="L32" s="15" t="n">
        <f aca="false">1+Inputs!$B$37+Inputs!$B$40/I32</f>
        <v>1.29780947529292</v>
      </c>
      <c r="M32" s="15" t="n">
        <f aca="false">1+Inputs!$B$38+Inputs!$B$41/J32</f>
        <v>1.17333333333333</v>
      </c>
      <c r="N32" s="16" t="n">
        <f aca="false">Inputs!$B$33*(1+Inputs!$B$34)^(B32-1)*(1+Inputs!$B$35)</f>
        <v>78.5066</v>
      </c>
      <c r="O32" s="16" t="n">
        <f aca="false">Inputs!$B$23*(1+Inputs!$B$24)^(B32-1)</f>
        <v>206.8755</v>
      </c>
      <c r="P32" s="16" t="n">
        <f aca="false">Inputs!$B$25*(1+Inputs!$B$26)^(B32-1)</f>
        <v>143.2215</v>
      </c>
      <c r="Q32" s="16" t="n">
        <f aca="false">Inputs!$B$27*(1+Inputs!$B$28)^(B32-1)</f>
        <v>123.97375</v>
      </c>
      <c r="R32" s="14" t="n">
        <f aca="false">D32*O32</f>
        <v>1722238.5375</v>
      </c>
      <c r="S32" s="14" t="n">
        <f aca="false">E32*P32</f>
        <v>1351652.90625</v>
      </c>
      <c r="T32" s="14" t="n">
        <f aca="false">F32*Q32</f>
        <v>1487685</v>
      </c>
      <c r="U32" s="14" t="n">
        <f aca="false">D32/1000*Inputs!$B$29*Inputs!$B$30</f>
        <v>74925</v>
      </c>
      <c r="V32" s="14" t="n">
        <f aca="false">(D32+E32)/1000*Inputs!$B$31</f>
        <v>26643.75</v>
      </c>
      <c r="W32" s="14" t="n">
        <f aca="false">H32*8760/12/1000</f>
        <v>3342.4875</v>
      </c>
      <c r="X32" s="14" t="n">
        <f aca="false">I32*8760/12/1000</f>
        <v>4478.09375</v>
      </c>
      <c r="Y32" s="14" t="n">
        <f aca="false">J32*8760/12/1000</f>
        <v>6570</v>
      </c>
      <c r="Z32" s="14" t="n">
        <f aca="false">W32*K32</f>
        <v>4637.4345</v>
      </c>
      <c r="AA32" s="14" t="n">
        <f aca="false">X32*L32</f>
        <v>5811.7125</v>
      </c>
      <c r="AB32" s="14" t="n">
        <f aca="false">Y32*M32</f>
        <v>7708.8</v>
      </c>
      <c r="AC32" s="14" t="n">
        <f aca="false">Z32*N32</f>
        <v>364069.2153177</v>
      </c>
      <c r="AD32" s="14" t="n">
        <f aca="false">AA32*N32</f>
        <v>456257.7885525</v>
      </c>
      <c r="AE32" s="14" t="n">
        <f aca="false">AB32*N32</f>
        <v>605191.67808</v>
      </c>
      <c r="AF32" s="14" t="n">
        <f aca="false">W32*Inputs!$B$44*N32</f>
        <v>406731.360209625</v>
      </c>
      <c r="AG32" s="14" t="n">
        <f aca="false">X32*MIN(L32,Inputs!$B$45)*N32+X32*Inputs!$B$46</f>
        <v>478648.2573025</v>
      </c>
      <c r="AH32" s="14" t="n">
        <f aca="false">AE32</f>
        <v>605191.67808</v>
      </c>
      <c r="AI32" s="14" t="n">
        <f aca="false">AF32-AC32</f>
        <v>42662.144891925</v>
      </c>
      <c r="AJ32" s="14" t="n">
        <f aca="false">AG32-AD32</f>
        <v>22390.46875</v>
      </c>
      <c r="AK32" s="14" t="n">
        <f aca="false">AH32-AE32</f>
        <v>0</v>
      </c>
      <c r="AL32" s="14" t="n">
        <f aca="false">D31*Inputs!$B$18</f>
        <v>49.05</v>
      </c>
      <c r="AM32" s="14" t="n">
        <f aca="false">D32-D31+AL32</f>
        <v>199.05</v>
      </c>
      <c r="AN32" s="14" t="n">
        <f aca="false">E32-E31</f>
        <v>125</v>
      </c>
      <c r="AO32" s="14" t="n">
        <f aca="false">Inputs!$B$59*(AM32*O32+AN32*P32)</f>
        <v>59081.255775</v>
      </c>
      <c r="AP32" s="14" t="n">
        <f aca="false">(W32*Inputs!$B$61+X32*Inputs!$B$62+Y32*Inputs!$B$63)</f>
        <v>9588.139375</v>
      </c>
    </row>
    <row r="33" customFormat="false" ht="15" hidden="false" customHeight="false" outlineLevel="0" collapsed="false">
      <c r="A33" s="0" t="n">
        <v>29</v>
      </c>
      <c r="B33" s="0" t="n">
        <f aca="false">INT((A33-1)/12)+1</f>
        <v>3</v>
      </c>
      <c r="C33" s="0" t="n">
        <f aca="false">(A33-0.5-12*(B33-1))/12</f>
        <v>0.375</v>
      </c>
      <c r="D33" s="14" t="n">
        <f aca="false">CHOOSE(B33,Inputs!$B$7,Inputs!$B$8,Inputs!$B$9)+(CHOOSE(B33,Inputs!$B$8,Inputs!$B$9,Inputs!$B$10)-CHOOSE(B33,Inputs!$B$7,Inputs!$B$8,Inputs!$B$9))*C33</f>
        <v>8475</v>
      </c>
      <c r="E33" s="14" t="n">
        <f aca="false">CHOOSE(B33,Inputs!$B$11,Inputs!$B$12,Inputs!$B$13)+(CHOOSE(B33,Inputs!$B$12,Inputs!$B$13,Inputs!$B$14)-CHOOSE(B33,Inputs!$B$11,Inputs!$B$12,Inputs!$B$13))*C33</f>
        <v>9562.5</v>
      </c>
      <c r="F33" s="14" t="n">
        <f aca="false">CHOOSE(B33,Inputs!$B$15,Inputs!$B$16,Inputs!$B$17)</f>
        <v>12000</v>
      </c>
      <c r="G33" s="14" t="n">
        <f aca="false">IF(Inputs!$B$42=1,Inputs!$B$6,ROUNDUP(D33/Inputs!$B$5,0))</f>
        <v>3</v>
      </c>
      <c r="H33" s="14" t="n">
        <f aca="false">D33*Inputs!$B$19</f>
        <v>4661.25</v>
      </c>
      <c r="I33" s="14" t="n">
        <f aca="false">E33*Inputs!$B$20</f>
        <v>6215.625</v>
      </c>
      <c r="J33" s="14" t="n">
        <f aca="false">F33*Inputs!$B$21</f>
        <v>9000</v>
      </c>
      <c r="K33" s="15" t="n">
        <f aca="false">1+Inputs!$B$36+Inputs!$B$39*G33/H33</f>
        <v>1.38481094127112</v>
      </c>
      <c r="L33" s="15" t="n">
        <f aca="false">1+Inputs!$B$37+Inputs!$B$40/I33</f>
        <v>1.29653092006033</v>
      </c>
      <c r="M33" s="15" t="n">
        <f aca="false">1+Inputs!$B$38+Inputs!$B$41/J33</f>
        <v>1.17333333333333</v>
      </c>
      <c r="N33" s="16" t="n">
        <f aca="false">Inputs!$B$33*(1+Inputs!$B$34)^(B33-1)*(1+Inputs!$B$35)</f>
        <v>78.5066</v>
      </c>
      <c r="O33" s="16" t="n">
        <f aca="false">Inputs!$B$23*(1+Inputs!$B$24)^(B33-1)</f>
        <v>206.8755</v>
      </c>
      <c r="P33" s="16" t="n">
        <f aca="false">Inputs!$B$25*(1+Inputs!$B$26)^(B33-1)</f>
        <v>143.2215</v>
      </c>
      <c r="Q33" s="16" t="n">
        <f aca="false">Inputs!$B$27*(1+Inputs!$B$28)^(B33-1)</f>
        <v>123.97375</v>
      </c>
      <c r="R33" s="14" t="n">
        <f aca="false">D33*O33</f>
        <v>1753269.8625</v>
      </c>
      <c r="S33" s="14" t="n">
        <f aca="false">E33*P33</f>
        <v>1369555.59375</v>
      </c>
      <c r="T33" s="14" t="n">
        <f aca="false">F33*Q33</f>
        <v>1487685</v>
      </c>
      <c r="U33" s="14" t="n">
        <f aca="false">D33/1000*Inputs!$B$29*Inputs!$B$30</f>
        <v>76275</v>
      </c>
      <c r="V33" s="14" t="n">
        <f aca="false">(D33+E33)/1000*Inputs!$B$31</f>
        <v>27056.25</v>
      </c>
      <c r="W33" s="14" t="n">
        <f aca="false">H33*8760/12/1000</f>
        <v>3402.7125</v>
      </c>
      <c r="X33" s="14" t="n">
        <f aca="false">I33*8760/12/1000</f>
        <v>4537.40625</v>
      </c>
      <c r="Y33" s="14" t="n">
        <f aca="false">J33*8760/12/1000</f>
        <v>6570</v>
      </c>
      <c r="Z33" s="14" t="n">
        <f aca="false">W33*K33</f>
        <v>4712.1135</v>
      </c>
      <c r="AA33" s="14" t="n">
        <f aca="false">X33*L33</f>
        <v>5882.8875</v>
      </c>
      <c r="AB33" s="14" t="n">
        <f aca="false">Y33*M33</f>
        <v>7708.8</v>
      </c>
      <c r="AC33" s="14" t="n">
        <f aca="false">Z33*N33</f>
        <v>369932.0096991</v>
      </c>
      <c r="AD33" s="14" t="n">
        <f aca="false">AA33*N33</f>
        <v>461845.4958075</v>
      </c>
      <c r="AE33" s="14" t="n">
        <f aca="false">AB33*N33</f>
        <v>605191.67808</v>
      </c>
      <c r="AF33" s="14" t="n">
        <f aca="false">W33*Inputs!$B$44*N33</f>
        <v>414059.853186375</v>
      </c>
      <c r="AG33" s="14" t="n">
        <f aca="false">X33*MIN(L33,Inputs!$B$45)*N33+X33*Inputs!$B$46</f>
        <v>484532.5270575</v>
      </c>
      <c r="AH33" s="14" t="n">
        <f aca="false">AE33</f>
        <v>605191.67808</v>
      </c>
      <c r="AI33" s="14" t="n">
        <f aca="false">AF33-AC33</f>
        <v>44127.843487275</v>
      </c>
      <c r="AJ33" s="14" t="n">
        <f aca="false">AG33-AD33</f>
        <v>22687.03125</v>
      </c>
      <c r="AK33" s="14" t="n">
        <f aca="false">AH33-AE33</f>
        <v>0</v>
      </c>
      <c r="AL33" s="14" t="n">
        <f aca="false">D32*Inputs!$B$18</f>
        <v>49.95</v>
      </c>
      <c r="AM33" s="14" t="n">
        <f aca="false">D33-D32+AL33</f>
        <v>199.95</v>
      </c>
      <c r="AN33" s="14" t="n">
        <f aca="false">E33-E32</f>
        <v>125</v>
      </c>
      <c r="AO33" s="14" t="n">
        <f aca="false">Inputs!$B$59*(AM33*O33+AN33*P33)</f>
        <v>59267.443725</v>
      </c>
      <c r="AP33" s="14" t="n">
        <f aca="false">(W33*Inputs!$B$61+X33*Inputs!$B$62+Y33*Inputs!$B$63)</f>
        <v>9719.630625</v>
      </c>
    </row>
    <row r="34" customFormat="false" ht="15" hidden="false" customHeight="false" outlineLevel="0" collapsed="false">
      <c r="A34" s="0" t="n">
        <v>30</v>
      </c>
      <c r="B34" s="0" t="n">
        <f aca="false">INT((A34-1)/12)+1</f>
        <v>3</v>
      </c>
      <c r="C34" s="0" t="n">
        <f aca="false">(A34-0.5-12*(B34-1))/12</f>
        <v>0.458333333333333</v>
      </c>
      <c r="D34" s="14" t="n">
        <f aca="false">CHOOSE(B34,Inputs!$B$7,Inputs!$B$8,Inputs!$B$9)+(CHOOSE(B34,Inputs!$B$8,Inputs!$B$9,Inputs!$B$10)-CHOOSE(B34,Inputs!$B$7,Inputs!$B$8,Inputs!$B$9))*C34</f>
        <v>8625</v>
      </c>
      <c r="E34" s="14" t="n">
        <f aca="false">CHOOSE(B34,Inputs!$B$11,Inputs!$B$12,Inputs!$B$13)+(CHOOSE(B34,Inputs!$B$12,Inputs!$B$13,Inputs!$B$14)-CHOOSE(B34,Inputs!$B$11,Inputs!$B$12,Inputs!$B$13))*C34</f>
        <v>9687.5</v>
      </c>
      <c r="F34" s="14" t="n">
        <f aca="false">CHOOSE(B34,Inputs!$B$15,Inputs!$B$16,Inputs!$B$17)</f>
        <v>12000</v>
      </c>
      <c r="G34" s="14" t="n">
        <f aca="false">IF(Inputs!$B$42=1,Inputs!$B$6,ROUNDUP(D34/Inputs!$B$5,0))</f>
        <v>3</v>
      </c>
      <c r="H34" s="14" t="n">
        <f aca="false">D34*Inputs!$B$19</f>
        <v>4743.75</v>
      </c>
      <c r="I34" s="14" t="n">
        <f aca="false">E34*Inputs!$B$20</f>
        <v>6296.875</v>
      </c>
      <c r="J34" s="14" t="n">
        <f aca="false">F34*Inputs!$B$21</f>
        <v>9000</v>
      </c>
      <c r="K34" s="15" t="n">
        <f aca="false">1+Inputs!$B$36+Inputs!$B$39*G34/H34</f>
        <v>1.38229249011858</v>
      </c>
      <c r="L34" s="15" t="n">
        <f aca="false">1+Inputs!$B$37+Inputs!$B$40/I34</f>
        <v>1.29528535980149</v>
      </c>
      <c r="M34" s="15" t="n">
        <f aca="false">1+Inputs!$B$38+Inputs!$B$41/J34</f>
        <v>1.17333333333333</v>
      </c>
      <c r="N34" s="16" t="n">
        <f aca="false">Inputs!$B$33*(1+Inputs!$B$34)^(B34-1)*(1+Inputs!$B$35)</f>
        <v>78.5066</v>
      </c>
      <c r="O34" s="16" t="n">
        <f aca="false">Inputs!$B$23*(1+Inputs!$B$24)^(B34-1)</f>
        <v>206.8755</v>
      </c>
      <c r="P34" s="16" t="n">
        <f aca="false">Inputs!$B$25*(1+Inputs!$B$26)^(B34-1)</f>
        <v>143.2215</v>
      </c>
      <c r="Q34" s="16" t="n">
        <f aca="false">Inputs!$B$27*(1+Inputs!$B$28)^(B34-1)</f>
        <v>123.97375</v>
      </c>
      <c r="R34" s="14" t="n">
        <f aca="false">D34*O34</f>
        <v>1784301.1875</v>
      </c>
      <c r="S34" s="14" t="n">
        <f aca="false">E34*P34</f>
        <v>1387458.28125</v>
      </c>
      <c r="T34" s="14" t="n">
        <f aca="false">F34*Q34</f>
        <v>1487685</v>
      </c>
      <c r="U34" s="14" t="n">
        <f aca="false">D34/1000*Inputs!$B$29*Inputs!$B$30</f>
        <v>77625</v>
      </c>
      <c r="V34" s="14" t="n">
        <f aca="false">(D34+E34)/1000*Inputs!$B$31</f>
        <v>27468.75</v>
      </c>
      <c r="W34" s="14" t="n">
        <f aca="false">H34*8760/12/1000</f>
        <v>3462.9375</v>
      </c>
      <c r="X34" s="14" t="n">
        <f aca="false">I34*8760/12/1000</f>
        <v>4596.71875</v>
      </c>
      <c r="Y34" s="14" t="n">
        <f aca="false">J34*8760/12/1000</f>
        <v>6570</v>
      </c>
      <c r="Z34" s="14" t="n">
        <f aca="false">W34*K34</f>
        <v>4786.7925</v>
      </c>
      <c r="AA34" s="14" t="n">
        <f aca="false">X34*L34</f>
        <v>5954.0625</v>
      </c>
      <c r="AB34" s="14" t="n">
        <f aca="false">Y34*M34</f>
        <v>7708.8</v>
      </c>
      <c r="AC34" s="14" t="n">
        <f aca="false">Z34*N34</f>
        <v>375794.8040805</v>
      </c>
      <c r="AD34" s="14" t="n">
        <f aca="false">AA34*N34</f>
        <v>467433.2030625</v>
      </c>
      <c r="AE34" s="14" t="n">
        <f aca="false">AB34*N34</f>
        <v>605191.67808</v>
      </c>
      <c r="AF34" s="14" t="n">
        <f aca="false">W34*Inputs!$B$44*N34</f>
        <v>421388.346163125</v>
      </c>
      <c r="AG34" s="14" t="n">
        <f aca="false">X34*MIN(L34,Inputs!$B$45)*N34+X34*Inputs!$B$46</f>
        <v>490416.7968125</v>
      </c>
      <c r="AH34" s="14" t="n">
        <f aca="false">AE34</f>
        <v>605191.67808</v>
      </c>
      <c r="AI34" s="14" t="n">
        <f aca="false">AF34-AC34</f>
        <v>45593.542082625</v>
      </c>
      <c r="AJ34" s="14" t="n">
        <f aca="false">AG34-AD34</f>
        <v>22983.59375</v>
      </c>
      <c r="AK34" s="14" t="n">
        <f aca="false">AH34-AE34</f>
        <v>0</v>
      </c>
      <c r="AL34" s="14" t="n">
        <f aca="false">D33*Inputs!$B$18</f>
        <v>50.85</v>
      </c>
      <c r="AM34" s="14" t="n">
        <f aca="false">D34-D33+AL34</f>
        <v>200.85</v>
      </c>
      <c r="AN34" s="14" t="n">
        <f aca="false">E34-E33</f>
        <v>125</v>
      </c>
      <c r="AO34" s="14" t="n">
        <f aca="false">Inputs!$B$59*(AM34*O34+AN34*P34)</f>
        <v>59453.631675</v>
      </c>
      <c r="AP34" s="14" t="n">
        <f aca="false">(W34*Inputs!$B$61+X34*Inputs!$B$62+Y34*Inputs!$B$63)</f>
        <v>9851.121875</v>
      </c>
    </row>
    <row r="35" customFormat="false" ht="15" hidden="false" customHeight="false" outlineLevel="0" collapsed="false">
      <c r="A35" s="0" t="n">
        <v>31</v>
      </c>
      <c r="B35" s="0" t="n">
        <f aca="false">INT((A35-1)/12)+1</f>
        <v>3</v>
      </c>
      <c r="C35" s="0" t="n">
        <f aca="false">(A35-0.5-12*(B35-1))/12</f>
        <v>0.541666666666667</v>
      </c>
      <c r="D35" s="14" t="n">
        <f aca="false">CHOOSE(B35,Inputs!$B$7,Inputs!$B$8,Inputs!$B$9)+(CHOOSE(B35,Inputs!$B$8,Inputs!$B$9,Inputs!$B$10)-CHOOSE(B35,Inputs!$B$7,Inputs!$B$8,Inputs!$B$9))*C35</f>
        <v>8775</v>
      </c>
      <c r="E35" s="14" t="n">
        <f aca="false">CHOOSE(B35,Inputs!$B$11,Inputs!$B$12,Inputs!$B$13)+(CHOOSE(B35,Inputs!$B$12,Inputs!$B$13,Inputs!$B$14)-CHOOSE(B35,Inputs!$B$11,Inputs!$B$12,Inputs!$B$13))*C35</f>
        <v>9812.5</v>
      </c>
      <c r="F35" s="14" t="n">
        <f aca="false">CHOOSE(B35,Inputs!$B$15,Inputs!$B$16,Inputs!$B$17)</f>
        <v>12000</v>
      </c>
      <c r="G35" s="14" t="n">
        <f aca="false">IF(Inputs!$B$42=1,Inputs!$B$6,ROUNDUP(D35/Inputs!$B$5,0))</f>
        <v>3</v>
      </c>
      <c r="H35" s="14" t="n">
        <f aca="false">D35*Inputs!$B$19</f>
        <v>4826.25</v>
      </c>
      <c r="I35" s="14" t="n">
        <f aca="false">E35*Inputs!$B$20</f>
        <v>6378.125</v>
      </c>
      <c r="J35" s="14" t="n">
        <f aca="false">F35*Inputs!$B$21</f>
        <v>9000</v>
      </c>
      <c r="K35" s="15" t="n">
        <f aca="false">1+Inputs!$B$36+Inputs!$B$39*G35/H35</f>
        <v>1.37986013986014</v>
      </c>
      <c r="L35" s="15" t="n">
        <f aca="false">1+Inputs!$B$37+Inputs!$B$40/I35</f>
        <v>1.29407153356198</v>
      </c>
      <c r="M35" s="15" t="n">
        <f aca="false">1+Inputs!$B$38+Inputs!$B$41/J35</f>
        <v>1.17333333333333</v>
      </c>
      <c r="N35" s="16" t="n">
        <f aca="false">Inputs!$B$33*(1+Inputs!$B$34)^(B35-1)*(1+Inputs!$B$35)</f>
        <v>78.5066</v>
      </c>
      <c r="O35" s="16" t="n">
        <f aca="false">Inputs!$B$23*(1+Inputs!$B$24)^(B35-1)</f>
        <v>206.8755</v>
      </c>
      <c r="P35" s="16" t="n">
        <f aca="false">Inputs!$B$25*(1+Inputs!$B$26)^(B35-1)</f>
        <v>143.2215</v>
      </c>
      <c r="Q35" s="16" t="n">
        <f aca="false">Inputs!$B$27*(1+Inputs!$B$28)^(B35-1)</f>
        <v>123.97375</v>
      </c>
      <c r="R35" s="14" t="n">
        <f aca="false">D35*O35</f>
        <v>1815332.5125</v>
      </c>
      <c r="S35" s="14" t="n">
        <f aca="false">E35*P35</f>
        <v>1405360.96875</v>
      </c>
      <c r="T35" s="14" t="n">
        <f aca="false">F35*Q35</f>
        <v>1487685</v>
      </c>
      <c r="U35" s="14" t="n">
        <f aca="false">D35/1000*Inputs!$B$29*Inputs!$B$30</f>
        <v>78975</v>
      </c>
      <c r="V35" s="14" t="n">
        <f aca="false">(D35+E35)/1000*Inputs!$B$31</f>
        <v>27881.25</v>
      </c>
      <c r="W35" s="14" t="n">
        <f aca="false">H35*8760/12/1000</f>
        <v>3523.1625</v>
      </c>
      <c r="X35" s="14" t="n">
        <f aca="false">I35*8760/12/1000</f>
        <v>4656.03125</v>
      </c>
      <c r="Y35" s="14" t="n">
        <f aca="false">J35*8760/12/1000</f>
        <v>6570</v>
      </c>
      <c r="Z35" s="14" t="n">
        <f aca="false">W35*K35</f>
        <v>4861.4715</v>
      </c>
      <c r="AA35" s="14" t="n">
        <f aca="false">X35*L35</f>
        <v>6025.2375</v>
      </c>
      <c r="AB35" s="14" t="n">
        <f aca="false">Y35*M35</f>
        <v>7708.8</v>
      </c>
      <c r="AC35" s="14" t="n">
        <f aca="false">Z35*N35</f>
        <v>381657.5984619</v>
      </c>
      <c r="AD35" s="14" t="n">
        <f aca="false">AA35*N35</f>
        <v>473020.9103175</v>
      </c>
      <c r="AE35" s="14" t="n">
        <f aca="false">AB35*N35</f>
        <v>605191.67808</v>
      </c>
      <c r="AF35" s="14" t="n">
        <f aca="false">W35*Inputs!$B$44*N35</f>
        <v>428716.839139875</v>
      </c>
      <c r="AG35" s="14" t="n">
        <f aca="false">X35*MIN(L35,Inputs!$B$45)*N35+X35*Inputs!$B$46</f>
        <v>496301.0665675</v>
      </c>
      <c r="AH35" s="14" t="n">
        <f aca="false">AE35</f>
        <v>605191.67808</v>
      </c>
      <c r="AI35" s="14" t="n">
        <f aca="false">AF35-AC35</f>
        <v>47059.240677975</v>
      </c>
      <c r="AJ35" s="14" t="n">
        <f aca="false">AG35-AD35</f>
        <v>23280.15625</v>
      </c>
      <c r="AK35" s="14" t="n">
        <f aca="false">AH35-AE35</f>
        <v>0</v>
      </c>
      <c r="AL35" s="14" t="n">
        <f aca="false">D34*Inputs!$B$18</f>
        <v>51.75</v>
      </c>
      <c r="AM35" s="14" t="n">
        <f aca="false">D35-D34+AL35</f>
        <v>201.75</v>
      </c>
      <c r="AN35" s="14" t="n">
        <f aca="false">E35-E34</f>
        <v>125</v>
      </c>
      <c r="AO35" s="14" t="n">
        <f aca="false">Inputs!$B$59*(AM35*O35+AN35*P35)</f>
        <v>59639.819625</v>
      </c>
      <c r="AP35" s="14" t="n">
        <f aca="false">(W35*Inputs!$B$61+X35*Inputs!$B$62+Y35*Inputs!$B$63)</f>
        <v>9982.613125</v>
      </c>
    </row>
    <row r="36" customFormat="false" ht="15" hidden="false" customHeight="false" outlineLevel="0" collapsed="false">
      <c r="A36" s="0" t="n">
        <v>32</v>
      </c>
      <c r="B36" s="0" t="n">
        <f aca="false">INT((A36-1)/12)+1</f>
        <v>3</v>
      </c>
      <c r="C36" s="0" t="n">
        <f aca="false">(A36-0.5-12*(B36-1))/12</f>
        <v>0.625</v>
      </c>
      <c r="D36" s="14" t="n">
        <f aca="false">CHOOSE(B36,Inputs!$B$7,Inputs!$B$8,Inputs!$B$9)+(CHOOSE(B36,Inputs!$B$8,Inputs!$B$9,Inputs!$B$10)-CHOOSE(B36,Inputs!$B$7,Inputs!$B$8,Inputs!$B$9))*C36</f>
        <v>8925</v>
      </c>
      <c r="E36" s="14" t="n">
        <f aca="false">CHOOSE(B36,Inputs!$B$11,Inputs!$B$12,Inputs!$B$13)+(CHOOSE(B36,Inputs!$B$12,Inputs!$B$13,Inputs!$B$14)-CHOOSE(B36,Inputs!$B$11,Inputs!$B$12,Inputs!$B$13))*C36</f>
        <v>9937.5</v>
      </c>
      <c r="F36" s="14" t="n">
        <f aca="false">CHOOSE(B36,Inputs!$B$15,Inputs!$B$16,Inputs!$B$17)</f>
        <v>12000</v>
      </c>
      <c r="G36" s="14" t="n">
        <f aca="false">IF(Inputs!$B$42=1,Inputs!$B$6,ROUNDUP(D36/Inputs!$B$5,0))</f>
        <v>3</v>
      </c>
      <c r="H36" s="14" t="n">
        <f aca="false">D36*Inputs!$B$19</f>
        <v>4908.75</v>
      </c>
      <c r="I36" s="14" t="n">
        <f aca="false">E36*Inputs!$B$20</f>
        <v>6459.375</v>
      </c>
      <c r="J36" s="14" t="n">
        <f aca="false">F36*Inputs!$B$21</f>
        <v>9000</v>
      </c>
      <c r="K36" s="15" t="n">
        <f aca="false">1+Inputs!$B$36+Inputs!$B$39*G36/H36</f>
        <v>1.37750954927426</v>
      </c>
      <c r="L36" s="15" t="n">
        <f aca="false">1+Inputs!$B$37+Inputs!$B$40/I36</f>
        <v>1.29288824383164</v>
      </c>
      <c r="M36" s="15" t="n">
        <f aca="false">1+Inputs!$B$38+Inputs!$B$41/J36</f>
        <v>1.17333333333333</v>
      </c>
      <c r="N36" s="16" t="n">
        <f aca="false">Inputs!$B$33*(1+Inputs!$B$34)^(B36-1)*(1+Inputs!$B$35)</f>
        <v>78.5066</v>
      </c>
      <c r="O36" s="16" t="n">
        <f aca="false">Inputs!$B$23*(1+Inputs!$B$24)^(B36-1)</f>
        <v>206.8755</v>
      </c>
      <c r="P36" s="16" t="n">
        <f aca="false">Inputs!$B$25*(1+Inputs!$B$26)^(B36-1)</f>
        <v>143.2215</v>
      </c>
      <c r="Q36" s="16" t="n">
        <f aca="false">Inputs!$B$27*(1+Inputs!$B$28)^(B36-1)</f>
        <v>123.97375</v>
      </c>
      <c r="R36" s="14" t="n">
        <f aca="false">D36*O36</f>
        <v>1846363.8375</v>
      </c>
      <c r="S36" s="14" t="n">
        <f aca="false">E36*P36</f>
        <v>1423263.65625</v>
      </c>
      <c r="T36" s="14" t="n">
        <f aca="false">F36*Q36</f>
        <v>1487685</v>
      </c>
      <c r="U36" s="14" t="n">
        <f aca="false">D36/1000*Inputs!$B$29*Inputs!$B$30</f>
        <v>80325</v>
      </c>
      <c r="V36" s="14" t="n">
        <f aca="false">(D36+E36)/1000*Inputs!$B$31</f>
        <v>28293.75</v>
      </c>
      <c r="W36" s="14" t="n">
        <f aca="false">H36*8760/12/1000</f>
        <v>3583.3875</v>
      </c>
      <c r="X36" s="14" t="n">
        <f aca="false">I36*8760/12/1000</f>
        <v>4715.34375</v>
      </c>
      <c r="Y36" s="14" t="n">
        <f aca="false">J36*8760/12/1000</f>
        <v>6570</v>
      </c>
      <c r="Z36" s="14" t="n">
        <f aca="false">W36*K36</f>
        <v>4936.1505</v>
      </c>
      <c r="AA36" s="14" t="n">
        <f aca="false">X36*L36</f>
        <v>6096.4125</v>
      </c>
      <c r="AB36" s="14" t="n">
        <f aca="false">Y36*M36</f>
        <v>7708.8</v>
      </c>
      <c r="AC36" s="14" t="n">
        <f aca="false">Z36*N36</f>
        <v>387520.3928433</v>
      </c>
      <c r="AD36" s="14" t="n">
        <f aca="false">AA36*N36</f>
        <v>478608.6175725</v>
      </c>
      <c r="AE36" s="14" t="n">
        <f aca="false">AB36*N36</f>
        <v>605191.67808</v>
      </c>
      <c r="AF36" s="14" t="n">
        <f aca="false">W36*Inputs!$B$44*N36</f>
        <v>436045.332116625</v>
      </c>
      <c r="AG36" s="14" t="n">
        <f aca="false">X36*MIN(L36,Inputs!$B$45)*N36+X36*Inputs!$B$46</f>
        <v>502185.3363225</v>
      </c>
      <c r="AH36" s="14" t="n">
        <f aca="false">AE36</f>
        <v>605191.67808</v>
      </c>
      <c r="AI36" s="14" t="n">
        <f aca="false">AF36-AC36</f>
        <v>48524.939273325</v>
      </c>
      <c r="AJ36" s="14" t="n">
        <f aca="false">AG36-AD36</f>
        <v>23576.71875</v>
      </c>
      <c r="AK36" s="14" t="n">
        <f aca="false">AH36-AE36</f>
        <v>0</v>
      </c>
      <c r="AL36" s="14" t="n">
        <f aca="false">D35*Inputs!$B$18</f>
        <v>52.65</v>
      </c>
      <c r="AM36" s="14" t="n">
        <f aca="false">D36-D35+AL36</f>
        <v>202.65</v>
      </c>
      <c r="AN36" s="14" t="n">
        <f aca="false">E36-E35</f>
        <v>125</v>
      </c>
      <c r="AO36" s="14" t="n">
        <f aca="false">Inputs!$B$59*(AM36*O36+AN36*P36)</f>
        <v>59826.007575</v>
      </c>
      <c r="AP36" s="14" t="n">
        <f aca="false">(W36*Inputs!$B$61+X36*Inputs!$B$62+Y36*Inputs!$B$63)</f>
        <v>10114.104375</v>
      </c>
    </row>
    <row r="37" customFormat="false" ht="15" hidden="false" customHeight="false" outlineLevel="0" collapsed="false">
      <c r="A37" s="0" t="n">
        <v>33</v>
      </c>
      <c r="B37" s="0" t="n">
        <f aca="false">INT((A37-1)/12)+1</f>
        <v>3</v>
      </c>
      <c r="C37" s="0" t="n">
        <f aca="false">(A37-0.5-12*(B37-1))/12</f>
        <v>0.708333333333333</v>
      </c>
      <c r="D37" s="14" t="n">
        <f aca="false">CHOOSE(B37,Inputs!$B$7,Inputs!$B$8,Inputs!$B$9)+(CHOOSE(B37,Inputs!$B$8,Inputs!$B$9,Inputs!$B$10)-CHOOSE(B37,Inputs!$B$7,Inputs!$B$8,Inputs!$B$9))*C37</f>
        <v>9075</v>
      </c>
      <c r="E37" s="14" t="n">
        <f aca="false">CHOOSE(B37,Inputs!$B$11,Inputs!$B$12,Inputs!$B$13)+(CHOOSE(B37,Inputs!$B$12,Inputs!$B$13,Inputs!$B$14)-CHOOSE(B37,Inputs!$B$11,Inputs!$B$12,Inputs!$B$13))*C37</f>
        <v>10062.5</v>
      </c>
      <c r="F37" s="14" t="n">
        <f aca="false">CHOOSE(B37,Inputs!$B$15,Inputs!$B$16,Inputs!$B$17)</f>
        <v>12000</v>
      </c>
      <c r="G37" s="14" t="n">
        <f aca="false">IF(Inputs!$B$42=1,Inputs!$B$6,ROUNDUP(D37/Inputs!$B$5,0))</f>
        <v>4</v>
      </c>
      <c r="H37" s="14" t="n">
        <f aca="false">D37*Inputs!$B$19</f>
        <v>4991.25</v>
      </c>
      <c r="I37" s="14" t="n">
        <f aca="false">E37*Inputs!$B$20</f>
        <v>6540.625</v>
      </c>
      <c r="J37" s="14" t="n">
        <f aca="false">F37*Inputs!$B$21</f>
        <v>9000</v>
      </c>
      <c r="K37" s="15" t="n">
        <f aca="false">1+Inputs!$B$36+Inputs!$B$39*G37/H37</f>
        <v>1.42031555221638</v>
      </c>
      <c r="L37" s="15" t="n">
        <f aca="false">1+Inputs!$B$37+Inputs!$B$40/I37</f>
        <v>1.29173435260392</v>
      </c>
      <c r="M37" s="15" t="n">
        <f aca="false">1+Inputs!$B$38+Inputs!$B$41/J37</f>
        <v>1.17333333333333</v>
      </c>
      <c r="N37" s="16" t="n">
        <f aca="false">Inputs!$B$33*(1+Inputs!$B$34)^(B37-1)*(1+Inputs!$B$35)</f>
        <v>78.5066</v>
      </c>
      <c r="O37" s="16" t="n">
        <f aca="false">Inputs!$B$23*(1+Inputs!$B$24)^(B37-1)</f>
        <v>206.8755</v>
      </c>
      <c r="P37" s="16" t="n">
        <f aca="false">Inputs!$B$25*(1+Inputs!$B$26)^(B37-1)</f>
        <v>143.2215</v>
      </c>
      <c r="Q37" s="16" t="n">
        <f aca="false">Inputs!$B$27*(1+Inputs!$B$28)^(B37-1)</f>
        <v>123.97375</v>
      </c>
      <c r="R37" s="14" t="n">
        <f aca="false">D37*O37</f>
        <v>1877395.1625</v>
      </c>
      <c r="S37" s="14" t="n">
        <f aca="false">E37*P37</f>
        <v>1441166.34375</v>
      </c>
      <c r="T37" s="14" t="n">
        <f aca="false">F37*Q37</f>
        <v>1487685</v>
      </c>
      <c r="U37" s="14" t="n">
        <f aca="false">D37/1000*Inputs!$B$29*Inputs!$B$30</f>
        <v>81675</v>
      </c>
      <c r="V37" s="14" t="n">
        <f aca="false">(D37+E37)/1000*Inputs!$B$31</f>
        <v>28706.25</v>
      </c>
      <c r="W37" s="14" t="n">
        <f aca="false">H37*8760/12/1000</f>
        <v>3643.6125</v>
      </c>
      <c r="X37" s="14" t="n">
        <f aca="false">I37*8760/12/1000</f>
        <v>4774.65625</v>
      </c>
      <c r="Y37" s="14" t="n">
        <f aca="false">J37*8760/12/1000</f>
        <v>6570</v>
      </c>
      <c r="Z37" s="14" t="n">
        <f aca="false">W37*K37</f>
        <v>5175.0795</v>
      </c>
      <c r="AA37" s="14" t="n">
        <f aca="false">X37*L37</f>
        <v>6167.5875</v>
      </c>
      <c r="AB37" s="14" t="n">
        <f aca="false">Y37*M37</f>
        <v>7708.8</v>
      </c>
      <c r="AC37" s="14" t="n">
        <f aca="false">Z37*N37</f>
        <v>406277.8962747</v>
      </c>
      <c r="AD37" s="14" t="n">
        <f aca="false">AA37*N37</f>
        <v>484196.3248275</v>
      </c>
      <c r="AE37" s="14" t="n">
        <f aca="false">AB37*N37</f>
        <v>605191.67808</v>
      </c>
      <c r="AF37" s="14" t="n">
        <f aca="false">W37*Inputs!$B$44*N37</f>
        <v>443373.825093375</v>
      </c>
      <c r="AG37" s="14" t="n">
        <f aca="false">X37*MIN(L37,Inputs!$B$45)*N37+X37*Inputs!$B$46</f>
        <v>508069.6060775</v>
      </c>
      <c r="AH37" s="14" t="n">
        <f aca="false">AE37</f>
        <v>605191.67808</v>
      </c>
      <c r="AI37" s="14" t="n">
        <f aca="false">AF37-AC37</f>
        <v>37095.9288186751</v>
      </c>
      <c r="AJ37" s="14" t="n">
        <f aca="false">AG37-AD37</f>
        <v>23873.28125</v>
      </c>
      <c r="AK37" s="14" t="n">
        <f aca="false">AH37-AE37</f>
        <v>0</v>
      </c>
      <c r="AL37" s="14" t="n">
        <f aca="false">D36*Inputs!$B$18</f>
        <v>53.55</v>
      </c>
      <c r="AM37" s="14" t="n">
        <f aca="false">D37-D36+AL37</f>
        <v>203.55</v>
      </c>
      <c r="AN37" s="14" t="n">
        <f aca="false">E37-E36</f>
        <v>125</v>
      </c>
      <c r="AO37" s="14" t="n">
        <f aca="false">Inputs!$B$59*(AM37*O37+AN37*P37)</f>
        <v>60012.195525</v>
      </c>
      <c r="AP37" s="14" t="n">
        <f aca="false">(W37*Inputs!$B$61+X37*Inputs!$B$62+Y37*Inputs!$B$63)</f>
        <v>10245.595625</v>
      </c>
    </row>
    <row r="38" customFormat="false" ht="15" hidden="false" customHeight="false" outlineLevel="0" collapsed="false">
      <c r="A38" s="0" t="n">
        <v>34</v>
      </c>
      <c r="B38" s="0" t="n">
        <f aca="false">INT((A38-1)/12)+1</f>
        <v>3</v>
      </c>
      <c r="C38" s="0" t="n">
        <f aca="false">(A38-0.5-12*(B38-1))/12</f>
        <v>0.791666666666667</v>
      </c>
      <c r="D38" s="14" t="n">
        <f aca="false">CHOOSE(B38,Inputs!$B$7,Inputs!$B$8,Inputs!$B$9)+(CHOOSE(B38,Inputs!$B$8,Inputs!$B$9,Inputs!$B$10)-CHOOSE(B38,Inputs!$B$7,Inputs!$B$8,Inputs!$B$9))*C38</f>
        <v>9225</v>
      </c>
      <c r="E38" s="14" t="n">
        <f aca="false">CHOOSE(B38,Inputs!$B$11,Inputs!$B$12,Inputs!$B$13)+(CHOOSE(B38,Inputs!$B$12,Inputs!$B$13,Inputs!$B$14)-CHOOSE(B38,Inputs!$B$11,Inputs!$B$12,Inputs!$B$13))*C38</f>
        <v>10187.5</v>
      </c>
      <c r="F38" s="14" t="n">
        <f aca="false">CHOOSE(B38,Inputs!$B$15,Inputs!$B$16,Inputs!$B$17)</f>
        <v>12000</v>
      </c>
      <c r="G38" s="14" t="n">
        <f aca="false">IF(Inputs!$B$42=1,Inputs!$B$6,ROUNDUP(D38/Inputs!$B$5,0))</f>
        <v>4</v>
      </c>
      <c r="H38" s="14" t="n">
        <f aca="false">D38*Inputs!$B$19</f>
        <v>5073.75</v>
      </c>
      <c r="I38" s="14" t="n">
        <f aca="false">E38*Inputs!$B$20</f>
        <v>6621.875</v>
      </c>
      <c r="J38" s="14" t="n">
        <f aca="false">F38*Inputs!$B$21</f>
        <v>9000</v>
      </c>
      <c r="K38" s="15" t="n">
        <f aca="false">1+Inputs!$B$36+Inputs!$B$39*G38/H38</f>
        <v>1.41738359201774</v>
      </c>
      <c r="L38" s="15" t="n">
        <f aca="false">1+Inputs!$B$37+Inputs!$B$40/I38</f>
        <v>1.29060877772534</v>
      </c>
      <c r="M38" s="15" t="n">
        <f aca="false">1+Inputs!$B$38+Inputs!$B$41/J38</f>
        <v>1.17333333333333</v>
      </c>
      <c r="N38" s="16" t="n">
        <f aca="false">Inputs!$B$33*(1+Inputs!$B$34)^(B38-1)*(1+Inputs!$B$35)</f>
        <v>78.5066</v>
      </c>
      <c r="O38" s="16" t="n">
        <f aca="false">Inputs!$B$23*(1+Inputs!$B$24)^(B38-1)</f>
        <v>206.8755</v>
      </c>
      <c r="P38" s="16" t="n">
        <f aca="false">Inputs!$B$25*(1+Inputs!$B$26)^(B38-1)</f>
        <v>143.2215</v>
      </c>
      <c r="Q38" s="16" t="n">
        <f aca="false">Inputs!$B$27*(1+Inputs!$B$28)^(B38-1)</f>
        <v>123.97375</v>
      </c>
      <c r="R38" s="14" t="n">
        <f aca="false">D38*O38</f>
        <v>1908426.4875</v>
      </c>
      <c r="S38" s="14" t="n">
        <f aca="false">E38*P38</f>
        <v>1459069.03125</v>
      </c>
      <c r="T38" s="14" t="n">
        <f aca="false">F38*Q38</f>
        <v>1487685</v>
      </c>
      <c r="U38" s="14" t="n">
        <f aca="false">D38/1000*Inputs!$B$29*Inputs!$B$30</f>
        <v>83025</v>
      </c>
      <c r="V38" s="14" t="n">
        <f aca="false">(D38+E38)/1000*Inputs!$B$31</f>
        <v>29118.75</v>
      </c>
      <c r="W38" s="14" t="n">
        <f aca="false">H38*8760/12/1000</f>
        <v>3703.8375</v>
      </c>
      <c r="X38" s="14" t="n">
        <f aca="false">I38*8760/12/1000</f>
        <v>4833.96875</v>
      </c>
      <c r="Y38" s="14" t="n">
        <f aca="false">J38*8760/12/1000</f>
        <v>6570</v>
      </c>
      <c r="Z38" s="14" t="n">
        <f aca="false">W38*K38</f>
        <v>5249.7585</v>
      </c>
      <c r="AA38" s="14" t="n">
        <f aca="false">X38*L38</f>
        <v>6238.7625</v>
      </c>
      <c r="AB38" s="14" t="n">
        <f aca="false">Y38*M38</f>
        <v>7708.8</v>
      </c>
      <c r="AC38" s="14" t="n">
        <f aca="false">Z38*N38</f>
        <v>412140.6906561</v>
      </c>
      <c r="AD38" s="14" t="n">
        <f aca="false">AA38*N38</f>
        <v>489784.0320825</v>
      </c>
      <c r="AE38" s="14" t="n">
        <f aca="false">AB38*N38</f>
        <v>605191.67808</v>
      </c>
      <c r="AF38" s="14" t="n">
        <f aca="false">W38*Inputs!$B$44*N38</f>
        <v>450702.318070125</v>
      </c>
      <c r="AG38" s="14" t="n">
        <f aca="false">X38*MIN(L38,Inputs!$B$45)*N38+X38*Inputs!$B$46</f>
        <v>513953.8758325</v>
      </c>
      <c r="AH38" s="14" t="n">
        <f aca="false">AE38</f>
        <v>605191.67808</v>
      </c>
      <c r="AI38" s="14" t="n">
        <f aca="false">AF38-AC38</f>
        <v>38561.627414025</v>
      </c>
      <c r="AJ38" s="14" t="n">
        <f aca="false">AG38-AD38</f>
        <v>24169.84375</v>
      </c>
      <c r="AK38" s="14" t="n">
        <f aca="false">AH38-AE38</f>
        <v>0</v>
      </c>
      <c r="AL38" s="14" t="n">
        <f aca="false">D37*Inputs!$B$18</f>
        <v>54.45</v>
      </c>
      <c r="AM38" s="14" t="n">
        <f aca="false">D38-D37+AL38</f>
        <v>204.45</v>
      </c>
      <c r="AN38" s="14" t="n">
        <f aca="false">E38-E37</f>
        <v>125</v>
      </c>
      <c r="AO38" s="14" t="n">
        <f aca="false">Inputs!$B$59*(AM38*O38+AN38*P38)</f>
        <v>60198.383475</v>
      </c>
      <c r="AP38" s="14" t="n">
        <f aca="false">(W38*Inputs!$B$61+X38*Inputs!$B$62+Y38*Inputs!$B$63)</f>
        <v>10377.086875</v>
      </c>
    </row>
    <row r="39" customFormat="false" ht="15" hidden="false" customHeight="false" outlineLevel="0" collapsed="false">
      <c r="A39" s="0" t="n">
        <v>35</v>
      </c>
      <c r="B39" s="0" t="n">
        <f aca="false">INT((A39-1)/12)+1</f>
        <v>3</v>
      </c>
      <c r="C39" s="0" t="n">
        <f aca="false">(A39-0.5-12*(B39-1))/12</f>
        <v>0.875</v>
      </c>
      <c r="D39" s="14" t="n">
        <f aca="false">CHOOSE(B39,Inputs!$B$7,Inputs!$B$8,Inputs!$B$9)+(CHOOSE(B39,Inputs!$B$8,Inputs!$B$9,Inputs!$B$10)-CHOOSE(B39,Inputs!$B$7,Inputs!$B$8,Inputs!$B$9))*C39</f>
        <v>9375</v>
      </c>
      <c r="E39" s="14" t="n">
        <f aca="false">CHOOSE(B39,Inputs!$B$11,Inputs!$B$12,Inputs!$B$13)+(CHOOSE(B39,Inputs!$B$12,Inputs!$B$13,Inputs!$B$14)-CHOOSE(B39,Inputs!$B$11,Inputs!$B$12,Inputs!$B$13))*C39</f>
        <v>10312.5</v>
      </c>
      <c r="F39" s="14" t="n">
        <f aca="false">CHOOSE(B39,Inputs!$B$15,Inputs!$B$16,Inputs!$B$17)</f>
        <v>12000</v>
      </c>
      <c r="G39" s="14" t="n">
        <f aca="false">IF(Inputs!$B$42=1,Inputs!$B$6,ROUNDUP(D39/Inputs!$B$5,0))</f>
        <v>4</v>
      </c>
      <c r="H39" s="14" t="n">
        <f aca="false">D39*Inputs!$B$19</f>
        <v>5156.25</v>
      </c>
      <c r="I39" s="14" t="n">
        <f aca="false">E39*Inputs!$B$20</f>
        <v>6703.125</v>
      </c>
      <c r="J39" s="14" t="n">
        <f aca="false">F39*Inputs!$B$21</f>
        <v>9000</v>
      </c>
      <c r="K39" s="15" t="n">
        <f aca="false">1+Inputs!$B$36+Inputs!$B$39*G39/H39</f>
        <v>1.41454545454545</v>
      </c>
      <c r="L39" s="15" t="n">
        <f aca="false">1+Inputs!$B$37+Inputs!$B$40/I39</f>
        <v>1.28951048951049</v>
      </c>
      <c r="M39" s="15" t="n">
        <f aca="false">1+Inputs!$B$38+Inputs!$B$41/J39</f>
        <v>1.17333333333333</v>
      </c>
      <c r="N39" s="16" t="n">
        <f aca="false">Inputs!$B$33*(1+Inputs!$B$34)^(B39-1)*(1+Inputs!$B$35)</f>
        <v>78.5066</v>
      </c>
      <c r="O39" s="16" t="n">
        <f aca="false">Inputs!$B$23*(1+Inputs!$B$24)^(B39-1)</f>
        <v>206.8755</v>
      </c>
      <c r="P39" s="16" t="n">
        <f aca="false">Inputs!$B$25*(1+Inputs!$B$26)^(B39-1)</f>
        <v>143.2215</v>
      </c>
      <c r="Q39" s="16" t="n">
        <f aca="false">Inputs!$B$27*(1+Inputs!$B$28)^(B39-1)</f>
        <v>123.97375</v>
      </c>
      <c r="R39" s="14" t="n">
        <f aca="false">D39*O39</f>
        <v>1939457.8125</v>
      </c>
      <c r="S39" s="14" t="n">
        <f aca="false">E39*P39</f>
        <v>1476971.71875</v>
      </c>
      <c r="T39" s="14" t="n">
        <f aca="false">F39*Q39</f>
        <v>1487685</v>
      </c>
      <c r="U39" s="14" t="n">
        <f aca="false">D39/1000*Inputs!$B$29*Inputs!$B$30</f>
        <v>84375</v>
      </c>
      <c r="V39" s="14" t="n">
        <f aca="false">(D39+E39)/1000*Inputs!$B$31</f>
        <v>29531.25</v>
      </c>
      <c r="W39" s="14" t="n">
        <f aca="false">H39*8760/12/1000</f>
        <v>3764.0625</v>
      </c>
      <c r="X39" s="14" t="n">
        <f aca="false">I39*8760/12/1000</f>
        <v>4893.28125</v>
      </c>
      <c r="Y39" s="14" t="n">
        <f aca="false">J39*8760/12/1000</f>
        <v>6570</v>
      </c>
      <c r="Z39" s="14" t="n">
        <f aca="false">W39*K39</f>
        <v>5324.4375</v>
      </c>
      <c r="AA39" s="14" t="n">
        <f aca="false">X39*L39</f>
        <v>6309.9375</v>
      </c>
      <c r="AB39" s="14" t="n">
        <f aca="false">Y39*M39</f>
        <v>7708.8</v>
      </c>
      <c r="AC39" s="14" t="n">
        <f aca="false">Z39*N39</f>
        <v>418003.4850375</v>
      </c>
      <c r="AD39" s="14" t="n">
        <f aca="false">AA39*N39</f>
        <v>495371.7393375</v>
      </c>
      <c r="AE39" s="14" t="n">
        <f aca="false">AB39*N39</f>
        <v>605191.67808</v>
      </c>
      <c r="AF39" s="14" t="n">
        <f aca="false">W39*Inputs!$B$44*N39</f>
        <v>458030.811046875</v>
      </c>
      <c r="AG39" s="14" t="n">
        <f aca="false">X39*MIN(L39,Inputs!$B$45)*N39+X39*Inputs!$B$46</f>
        <v>519838.1455875</v>
      </c>
      <c r="AH39" s="14" t="n">
        <f aca="false">AE39</f>
        <v>605191.67808</v>
      </c>
      <c r="AI39" s="14" t="n">
        <f aca="false">AF39-AC39</f>
        <v>40027.326009375</v>
      </c>
      <c r="AJ39" s="14" t="n">
        <f aca="false">AG39-AD39</f>
        <v>24466.40625</v>
      </c>
      <c r="AK39" s="14" t="n">
        <f aca="false">AH39-AE39</f>
        <v>0</v>
      </c>
      <c r="AL39" s="14" t="n">
        <f aca="false">D38*Inputs!$B$18</f>
        <v>55.35</v>
      </c>
      <c r="AM39" s="14" t="n">
        <f aca="false">D39-D38+AL39</f>
        <v>205.35</v>
      </c>
      <c r="AN39" s="14" t="n">
        <f aca="false">E39-E38</f>
        <v>125</v>
      </c>
      <c r="AO39" s="14" t="n">
        <f aca="false">Inputs!$B$59*(AM39*O39+AN39*P39)</f>
        <v>60384.571425</v>
      </c>
      <c r="AP39" s="14" t="n">
        <f aca="false">(W39*Inputs!$B$61+X39*Inputs!$B$62+Y39*Inputs!$B$63)</f>
        <v>10508.578125</v>
      </c>
    </row>
    <row r="40" customFormat="false" ht="15" hidden="false" customHeight="false" outlineLevel="0" collapsed="false">
      <c r="A40" s="0" t="n">
        <v>36</v>
      </c>
      <c r="B40" s="0" t="n">
        <f aca="false">INT((A40-1)/12)+1</f>
        <v>3</v>
      </c>
      <c r="C40" s="0" t="n">
        <f aca="false">(A40-0.5-12*(B40-1))/12</f>
        <v>0.958333333333333</v>
      </c>
      <c r="D40" s="14" t="n">
        <f aca="false">CHOOSE(B40,Inputs!$B$7,Inputs!$B$8,Inputs!$B$9)+(CHOOSE(B40,Inputs!$B$8,Inputs!$B$9,Inputs!$B$10)-CHOOSE(B40,Inputs!$B$7,Inputs!$B$8,Inputs!$B$9))*C40</f>
        <v>9525</v>
      </c>
      <c r="E40" s="14" t="n">
        <f aca="false">CHOOSE(B40,Inputs!$B$11,Inputs!$B$12,Inputs!$B$13)+(CHOOSE(B40,Inputs!$B$12,Inputs!$B$13,Inputs!$B$14)-CHOOSE(B40,Inputs!$B$11,Inputs!$B$12,Inputs!$B$13))*C40</f>
        <v>10437.5</v>
      </c>
      <c r="F40" s="14" t="n">
        <f aca="false">CHOOSE(B40,Inputs!$B$15,Inputs!$B$16,Inputs!$B$17)</f>
        <v>12000</v>
      </c>
      <c r="G40" s="14" t="n">
        <f aca="false">IF(Inputs!$B$42=1,Inputs!$B$6,ROUNDUP(D40/Inputs!$B$5,0))</f>
        <v>4</v>
      </c>
      <c r="H40" s="14" t="n">
        <f aca="false">D40*Inputs!$B$19</f>
        <v>5238.75</v>
      </c>
      <c r="I40" s="14" t="n">
        <f aca="false">E40*Inputs!$B$20</f>
        <v>6784.375</v>
      </c>
      <c r="J40" s="14" t="n">
        <f aca="false">F40*Inputs!$B$21</f>
        <v>9000</v>
      </c>
      <c r="K40" s="15" t="n">
        <f aca="false">1+Inputs!$B$36+Inputs!$B$39*G40/H40</f>
        <v>1.41179670722978</v>
      </c>
      <c r="L40" s="15" t="n">
        <f aca="false">1+Inputs!$B$37+Inputs!$B$40/I40</f>
        <v>1.28843850760018</v>
      </c>
      <c r="M40" s="15" t="n">
        <f aca="false">1+Inputs!$B$38+Inputs!$B$41/J40</f>
        <v>1.17333333333333</v>
      </c>
      <c r="N40" s="16" t="n">
        <f aca="false">Inputs!$B$33*(1+Inputs!$B$34)^(B40-1)*(1+Inputs!$B$35)</f>
        <v>78.5066</v>
      </c>
      <c r="O40" s="16" t="n">
        <f aca="false">Inputs!$B$23*(1+Inputs!$B$24)^(B40-1)</f>
        <v>206.8755</v>
      </c>
      <c r="P40" s="16" t="n">
        <f aca="false">Inputs!$B$25*(1+Inputs!$B$26)^(B40-1)</f>
        <v>143.2215</v>
      </c>
      <c r="Q40" s="16" t="n">
        <f aca="false">Inputs!$B$27*(1+Inputs!$B$28)^(B40-1)</f>
        <v>123.97375</v>
      </c>
      <c r="R40" s="14" t="n">
        <f aca="false">D40*O40</f>
        <v>1970489.1375</v>
      </c>
      <c r="S40" s="14" t="n">
        <f aca="false">E40*P40</f>
        <v>1494874.40625</v>
      </c>
      <c r="T40" s="14" t="n">
        <f aca="false">F40*Q40</f>
        <v>1487685</v>
      </c>
      <c r="U40" s="14" t="n">
        <f aca="false">D40/1000*Inputs!$B$29*Inputs!$B$30</f>
        <v>85725</v>
      </c>
      <c r="V40" s="14" t="n">
        <f aca="false">(D40+E40)/1000*Inputs!$B$31</f>
        <v>29943.75</v>
      </c>
      <c r="W40" s="14" t="n">
        <f aca="false">H40*8760/12/1000</f>
        <v>3824.2875</v>
      </c>
      <c r="X40" s="14" t="n">
        <f aca="false">I40*8760/12/1000</f>
        <v>4952.59375</v>
      </c>
      <c r="Y40" s="14" t="n">
        <f aca="false">J40*8760/12/1000</f>
        <v>6570</v>
      </c>
      <c r="Z40" s="14" t="n">
        <f aca="false">W40*K40</f>
        <v>5399.1165</v>
      </c>
      <c r="AA40" s="14" t="n">
        <f aca="false">X40*L40</f>
        <v>6381.1125</v>
      </c>
      <c r="AB40" s="14" t="n">
        <f aca="false">Y40*M40</f>
        <v>7708.8</v>
      </c>
      <c r="AC40" s="14" t="n">
        <f aca="false">Z40*N40</f>
        <v>423866.2794189</v>
      </c>
      <c r="AD40" s="14" t="n">
        <f aca="false">AA40*N40</f>
        <v>500959.4465925</v>
      </c>
      <c r="AE40" s="14" t="n">
        <f aca="false">AB40*N40</f>
        <v>605191.67808</v>
      </c>
      <c r="AF40" s="14" t="n">
        <f aca="false">W40*Inputs!$B$44*N40</f>
        <v>465359.304023625</v>
      </c>
      <c r="AG40" s="14" t="n">
        <f aca="false">X40*MIN(L40,Inputs!$B$45)*N40+X40*Inputs!$B$46</f>
        <v>525722.4153425</v>
      </c>
      <c r="AH40" s="14" t="n">
        <f aca="false">AE40</f>
        <v>605191.67808</v>
      </c>
      <c r="AI40" s="14" t="n">
        <f aca="false">AF40-AC40</f>
        <v>41493.024604725</v>
      </c>
      <c r="AJ40" s="14" t="n">
        <f aca="false">AG40-AD40</f>
        <v>24762.96875</v>
      </c>
      <c r="AK40" s="14" t="n">
        <f aca="false">AH40-AE40</f>
        <v>0</v>
      </c>
      <c r="AL40" s="14" t="n">
        <f aca="false">D39*Inputs!$B$18</f>
        <v>56.25</v>
      </c>
      <c r="AM40" s="14" t="n">
        <f aca="false">D40-D39+AL40</f>
        <v>206.25</v>
      </c>
      <c r="AN40" s="14" t="n">
        <f aca="false">E40-E39</f>
        <v>125</v>
      </c>
      <c r="AO40" s="14" t="n">
        <f aca="false">Inputs!$B$59*(AM40*O40+AN40*P40)</f>
        <v>60570.759375</v>
      </c>
      <c r="AP40" s="14" t="n">
        <f aca="false">(W40*Inputs!$B$61+X40*Inputs!$B$62+Y40*Inputs!$B$63)</f>
        <v>10640.069375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2"/>
  </cols>
  <sheetData>
    <row r="1" customFormat="false" ht="16.15" hidden="false" customHeight="false" outlineLevel="0" collapsed="false">
      <c r="A1" s="3" t="s">
        <v>169</v>
      </c>
    </row>
    <row r="4" customFormat="false" ht="26.85" hidden="false" customHeight="false" outlineLevel="0" collapsed="false">
      <c r="A4" s="13" t="s">
        <v>170</v>
      </c>
      <c r="B4" s="13" t="s">
        <v>171</v>
      </c>
      <c r="C4" s="13" t="s">
        <v>172</v>
      </c>
      <c r="D4" s="13" t="s">
        <v>173</v>
      </c>
      <c r="E4" s="13" t="s">
        <v>174</v>
      </c>
    </row>
    <row r="5" customFormat="false" ht="15" hidden="false" customHeight="false" outlineLevel="0" collapsed="false">
      <c r="A5" s="2" t="s">
        <v>175</v>
      </c>
      <c r="B5" s="17" t="n">
        <v>1</v>
      </c>
      <c r="C5" s="17" t="n">
        <v>245</v>
      </c>
      <c r="D5" s="18" t="n">
        <f aca="false">B5*C5*1000</f>
        <v>245000</v>
      </c>
      <c r="E5" s="0" t="s">
        <v>176</v>
      </c>
    </row>
    <row r="6" customFormat="false" ht="15" hidden="false" customHeight="false" outlineLevel="0" collapsed="false">
      <c r="A6" s="2" t="s">
        <v>177</v>
      </c>
      <c r="B6" s="17" t="n">
        <v>1</v>
      </c>
      <c r="C6" s="17" t="n">
        <v>180</v>
      </c>
      <c r="D6" s="18" t="n">
        <f aca="false">B6*C6*1000</f>
        <v>180000</v>
      </c>
      <c r="E6" s="0" t="s">
        <v>176</v>
      </c>
    </row>
    <row r="7" customFormat="false" ht="15" hidden="false" customHeight="false" outlineLevel="0" collapsed="false">
      <c r="A7" s="2" t="s">
        <v>178</v>
      </c>
      <c r="B7" s="17" t="n">
        <v>5</v>
      </c>
      <c r="C7" s="17" t="n">
        <v>150</v>
      </c>
      <c r="D7" s="18" t="n">
        <f aca="false">B7*C7*1000</f>
        <v>750000</v>
      </c>
      <c r="E7" s="0" t="s">
        <v>179</v>
      </c>
    </row>
    <row r="8" customFormat="false" ht="15" hidden="false" customHeight="false" outlineLevel="0" collapsed="false">
      <c r="A8" s="2" t="s">
        <v>180</v>
      </c>
      <c r="B8" s="17" t="n">
        <v>10</v>
      </c>
      <c r="C8" s="17" t="n">
        <v>118</v>
      </c>
      <c r="D8" s="18" t="n">
        <f aca="false">B8*C8*1000</f>
        <v>1180000</v>
      </c>
      <c r="E8" s="0" t="s">
        <v>181</v>
      </c>
    </row>
    <row r="9" customFormat="false" ht="15" hidden="false" customHeight="false" outlineLevel="0" collapsed="false">
      <c r="A9" s="2" t="s">
        <v>182</v>
      </c>
      <c r="B9" s="17" t="n">
        <v>3</v>
      </c>
      <c r="C9" s="17" t="n">
        <v>145</v>
      </c>
      <c r="D9" s="18" t="n">
        <f aca="false">B9*C9*1000</f>
        <v>435000</v>
      </c>
      <c r="E9" s="0" t="s">
        <v>179</v>
      </c>
    </row>
    <row r="10" customFormat="false" ht="15" hidden="false" customHeight="false" outlineLevel="0" collapsed="false">
      <c r="A10" s="2" t="s">
        <v>183</v>
      </c>
      <c r="B10" s="17" t="n">
        <v>1</v>
      </c>
      <c r="C10" s="17" t="n">
        <v>110</v>
      </c>
      <c r="D10" s="18" t="n">
        <f aca="false">B10*C10*1000</f>
        <v>110000</v>
      </c>
      <c r="E10" s="0" t="s">
        <v>179</v>
      </c>
    </row>
    <row r="11" customFormat="false" ht="15" hidden="false" customHeight="false" outlineLevel="0" collapsed="false">
      <c r="A11" s="2" t="s">
        <v>184</v>
      </c>
      <c r="B11" s="17" t="n">
        <v>1</v>
      </c>
      <c r="C11" s="17" t="n">
        <v>125</v>
      </c>
      <c r="D11" s="18" t="n">
        <f aca="false">B11*C11*1000</f>
        <v>125000</v>
      </c>
      <c r="E11" s="0" t="s">
        <v>176</v>
      </c>
    </row>
    <row r="12" customFormat="false" ht="15" hidden="false" customHeight="false" outlineLevel="0" collapsed="false">
      <c r="A12" s="2" t="s">
        <v>185</v>
      </c>
      <c r="B12" s="17" t="n">
        <v>5</v>
      </c>
      <c r="C12" s="17" t="n">
        <v>95</v>
      </c>
      <c r="D12" s="18" t="n">
        <f aca="false">B12*C12*1000</f>
        <v>475000</v>
      </c>
      <c r="E12" s="0" t="s">
        <v>181</v>
      </c>
    </row>
    <row r="13" customFormat="false" ht="15" hidden="false" customHeight="false" outlineLevel="0" collapsed="false">
      <c r="A13" s="2" t="s">
        <v>186</v>
      </c>
      <c r="B13" s="17" t="n">
        <v>1</v>
      </c>
      <c r="C13" s="17" t="n">
        <v>140</v>
      </c>
      <c r="D13" s="18" t="n">
        <f aca="false">B13*C13*1000</f>
        <v>140000</v>
      </c>
      <c r="E13" s="0" t="s">
        <v>176</v>
      </c>
    </row>
    <row r="14" customFormat="false" ht="15" hidden="false" customHeight="false" outlineLevel="0" collapsed="false">
      <c r="A14" s="4" t="s">
        <v>187</v>
      </c>
      <c r="B14" s="0" t="n">
        <f aca="false">SUM(B5:B13)</f>
        <v>28</v>
      </c>
      <c r="D14" s="18" t="n">
        <f aca="false">SUM(D5:D13)</f>
        <v>3640000</v>
      </c>
    </row>
    <row r="16" customFormat="false" ht="15" hidden="false" customHeight="false" outlineLevel="0" collapsed="false">
      <c r="A16" s="2" t="s">
        <v>188</v>
      </c>
      <c r="B16" s="19" t="n">
        <f aca="false">8760/Inputs!$B$49</f>
        <v>4.86666666666667</v>
      </c>
    </row>
    <row r="17" customFormat="false" ht="15" hidden="false" customHeight="false" outlineLevel="0" collapsed="false">
      <c r="A17" s="2" t="s">
        <v>189</v>
      </c>
      <c r="B17" s="19" t="n">
        <f aca="false">Staffing!$B$14/(3*Inputs!$B$4/1000)</f>
        <v>0.777777777777778</v>
      </c>
    </row>
    <row r="18" customFormat="false" ht="15" hidden="false" customHeight="false" outlineLevel="0" collapsed="false">
      <c r="A18" s="2" t="s">
        <v>190</v>
      </c>
      <c r="B18" s="20" t="n">
        <f aca="false">Staffing!$D$14/(3*Inputs!$B$4)/12</f>
        <v>8.42592592592593</v>
      </c>
    </row>
    <row r="19" customFormat="false" ht="15" hidden="false" customHeight="false" outlineLevel="0" collapsed="false">
      <c r="A19" s="2" t="s">
        <v>191</v>
      </c>
      <c r="B19" s="18" t="n">
        <f aca="false">Inputs!$B$50*8760*Inputs!$B$51</f>
        <v>665760</v>
      </c>
    </row>
    <row r="20" customFormat="false" ht="15" hidden="false" customHeight="false" outlineLevel="0" collapsed="false">
      <c r="A20" s="2" t="s">
        <v>192</v>
      </c>
      <c r="B20" s="18" t="n">
        <f aca="false">SUMIF(E5:E13,"core",D5:D13)</f>
        <v>690000</v>
      </c>
    </row>
    <row r="21" customFormat="false" ht="15" hidden="false" customHeight="false" outlineLevel="0" collapsed="false">
      <c r="A21" s="2" t="s">
        <v>193</v>
      </c>
      <c r="B21" s="8" t="n">
        <v>0.97</v>
      </c>
    </row>
    <row r="22" customFormat="false" ht="15" hidden="false" customHeight="false" outlineLevel="0" collapsed="false">
      <c r="A22" s="2" t="s">
        <v>194</v>
      </c>
      <c r="B22" s="8" t="n">
        <v>0.15</v>
      </c>
    </row>
    <row r="23" customFormat="false" ht="15" hidden="false" customHeight="false" outlineLevel="0" collapsed="false">
      <c r="A23" s="2" t="s">
        <v>195</v>
      </c>
      <c r="B23" s="18" t="n">
        <f aca="false">Staffing!$D$14</f>
        <v>3640000</v>
      </c>
    </row>
    <row r="24" customFormat="false" ht="15" hidden="false" customHeight="false" outlineLevel="0" collapsed="false">
      <c r="A24" s="2" t="s">
        <v>196</v>
      </c>
      <c r="B24" s="18" t="n">
        <f aca="false">Staffing!$B$20+(Staffing!$D$14-Staffing!$B$20)*Staffing!$B$21*(1+Staffing!$B$22)</f>
        <v>3980725</v>
      </c>
    </row>
    <row r="25" customFormat="false" ht="15" hidden="false" customHeight="false" outlineLevel="0" collapsed="false">
      <c r="A25" s="2" t="s">
        <v>197</v>
      </c>
      <c r="B25" s="18" t="n">
        <f aca="false">Staffing!$D$14-SUMIF(E5:E13,"technician",D5:D13)+SUMIF(E5:E13,"technician",D5:D13)*Staffing!$B$21*(1+Staffing!$B$22)</f>
        <v>3831152.5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6"/>
  </cols>
  <sheetData>
    <row r="1" customFormat="false" ht="16.15" hidden="false" customHeight="false" outlineLevel="0" collapsed="false">
      <c r="A1" s="3" t="s">
        <v>198</v>
      </c>
    </row>
    <row r="3" customFormat="false" ht="15" hidden="false" customHeight="false" outlineLevel="0" collapsed="false">
      <c r="A3" s="4" t="s">
        <v>199</v>
      </c>
    </row>
    <row r="4" customFormat="false" ht="15" hidden="false" customHeight="false" outlineLevel="0" collapsed="false">
      <c r="A4" s="2" t="s">
        <v>200</v>
      </c>
      <c r="B4" s="19" t="n">
        <f aca="false">(1-0.999)*8760*60</f>
        <v>525.600000000001</v>
      </c>
    </row>
    <row r="5" customFormat="false" ht="15" hidden="false" customHeight="false" outlineLevel="0" collapsed="false">
      <c r="A5" s="2" t="s">
        <v>201</v>
      </c>
      <c r="B5" s="19" t="n">
        <f aca="false">(1-0.9999)*8760*60</f>
        <v>52.5599999999942</v>
      </c>
    </row>
    <row r="6" customFormat="false" ht="15" hidden="false" customHeight="false" outlineLevel="0" collapsed="false">
      <c r="A6" s="2" t="s">
        <v>202</v>
      </c>
      <c r="B6" s="19" t="n">
        <f aca="false">(1-0.99999)*8760*60</f>
        <v>5.25599999997608</v>
      </c>
    </row>
    <row r="7" customFormat="false" ht="15" hidden="false" customHeight="false" outlineLevel="0" collapsed="false">
      <c r="A7" s="2" t="s">
        <v>203</v>
      </c>
      <c r="B7" s="19" t="n">
        <f aca="false">(1-0.999999)*8760*60</f>
        <v>0.525600000015114</v>
      </c>
    </row>
    <row r="8" customFormat="false" ht="15" hidden="false" customHeight="false" outlineLevel="0" collapsed="false">
      <c r="A8" s="4" t="s">
        <v>204</v>
      </c>
    </row>
    <row r="9" customFormat="false" ht="15" hidden="false" customHeight="false" outlineLevel="0" collapsed="false">
      <c r="A9" s="2" t="s">
        <v>205</v>
      </c>
      <c r="B9" s="18" t="n">
        <f aca="false">Inputs!$B$66*12*Inputs!$B$70*Inputs!$B$67*Inputs!$B$71/Inputs!$B$68</f>
        <v>9450</v>
      </c>
    </row>
    <row r="10" customFormat="false" ht="15" hidden="false" customHeight="false" outlineLevel="0" collapsed="false">
      <c r="A10" s="2" t="s">
        <v>206</v>
      </c>
      <c r="B10" s="18" t="n">
        <f aca="false">Inputs!$B$66*Inputs!$B$72*Inputs!$B$67*Inputs!$B$73/Inputs!$B$68</f>
        <v>13500</v>
      </c>
    </row>
    <row r="11" customFormat="false" ht="15" hidden="false" customHeight="false" outlineLevel="0" collapsed="false">
      <c r="A11" s="2" t="s">
        <v>207</v>
      </c>
      <c r="B11" s="18" t="n">
        <f aca="false">Power_SLA!$B$9+Power_SLA!$B$10</f>
        <v>22950</v>
      </c>
    </row>
    <row r="12" customFormat="false" ht="15" hidden="false" customHeight="false" outlineLevel="0" collapsed="false">
      <c r="A12" s="2" t="s">
        <v>208</v>
      </c>
      <c r="B12" s="18" t="n">
        <f aca="false">Power_SLA!$B$11*Inputs!$B$69</f>
        <v>87210</v>
      </c>
    </row>
    <row r="13" customFormat="false" ht="15" hidden="false" customHeight="false" outlineLevel="0" collapsed="false">
      <c r="A13" s="2" t="s">
        <v>209</v>
      </c>
      <c r="B13" s="18" t="n">
        <f aca="false">Power_SLA!$B$11*Inputs!$B$85/1000</f>
        <v>234.3195</v>
      </c>
    </row>
    <row r="14" customFormat="false" ht="15" hidden="false" customHeight="false" outlineLevel="0" collapsed="false">
      <c r="A14" s="4" t="s">
        <v>210</v>
      </c>
    </row>
    <row r="15" customFormat="false" ht="15" hidden="false" customHeight="false" outlineLevel="0" collapsed="false">
      <c r="A15" s="2" t="s">
        <v>211</v>
      </c>
      <c r="B15" s="18" t="n">
        <f aca="false">Inputs!$B$75/Inputs!$B$68</f>
        <v>1157.14285714286</v>
      </c>
    </row>
    <row r="16" customFormat="false" ht="15" hidden="false" customHeight="false" outlineLevel="0" collapsed="false">
      <c r="A16" s="2" t="s">
        <v>212</v>
      </c>
      <c r="B16" s="18" t="n">
        <f aca="false">Power_SLA!$B$15*Inputs!$B$74</f>
        <v>55542.8571428571</v>
      </c>
    </row>
    <row r="17" customFormat="false" ht="15" hidden="false" customHeight="false" outlineLevel="0" collapsed="false">
      <c r="A17" s="4" t="s">
        <v>213</v>
      </c>
    </row>
    <row r="18" customFormat="false" ht="15" hidden="false" customHeight="false" outlineLevel="0" collapsed="false">
      <c r="A18" s="2" t="s">
        <v>214</v>
      </c>
      <c r="B18" s="19" t="n">
        <f aca="false">208*30*SQRT(3)*0.8/1000</f>
        <v>8.64639763138383</v>
      </c>
    </row>
    <row r="19" customFormat="false" ht="15" hidden="false" customHeight="false" outlineLevel="0" collapsed="false">
      <c r="A19" s="2" t="s">
        <v>215</v>
      </c>
      <c r="B19" s="19" t="n">
        <f aca="false">208*60*SQRT(3)*0.8/1000</f>
        <v>17.2927952627677</v>
      </c>
    </row>
    <row r="20" customFormat="false" ht="15" hidden="false" customHeight="false" outlineLevel="0" collapsed="false">
      <c r="A20" s="4" t="s">
        <v>216</v>
      </c>
    </row>
    <row r="21" customFormat="false" ht="15" hidden="false" customHeight="false" outlineLevel="0" collapsed="false">
      <c r="A21" s="2" t="s">
        <v>217</v>
      </c>
      <c r="B21" s="18" t="n">
        <f aca="false">Inputs!$B$98*Inputs!$B$100</f>
        <v>118950</v>
      </c>
    </row>
    <row r="22" customFormat="false" ht="15" hidden="false" customHeight="false" outlineLevel="0" collapsed="false">
      <c r="A22" s="2" t="s">
        <v>218</v>
      </c>
      <c r="B22" s="21" t="n">
        <f aca="false">IF(Inputs!$B$99&lt;=10,0.05,IF(Inputs!$B$99&lt;=60,0.1,IF(Inputs!$B$99&lt;=240,0.25,0.5)))</f>
        <v>0.1</v>
      </c>
    </row>
    <row r="23" customFormat="false" ht="15" hidden="false" customHeight="false" outlineLevel="0" collapsed="false">
      <c r="A23" s="2" t="s">
        <v>219</v>
      </c>
      <c r="B23" s="18" t="n">
        <f aca="false">Power_SLA!$B$21*Power_SLA!$B$22</f>
        <v>11895</v>
      </c>
    </row>
    <row r="24" customFormat="false" ht="15" hidden="false" customHeight="false" outlineLevel="0" collapsed="false">
      <c r="A24" s="2" t="s">
        <v>220</v>
      </c>
      <c r="B24" s="18" t="n">
        <f aca="false">INDEX(Monthly!$D$5:$D$40,Inputs!$B$101)+INDEX(Monthly!$E$5:$E$40,Inputs!$B$101)+INDEX(Monthly!$F$5:$F$40,Inputs!$B$101)</f>
        <v>14050</v>
      </c>
    </row>
    <row r="25" customFormat="false" ht="15" hidden="false" customHeight="false" outlineLevel="0" collapsed="false">
      <c r="A25" s="2" t="s">
        <v>221</v>
      </c>
      <c r="B25" s="22" t="n">
        <f aca="false">1-Inputs!$B$98*Inputs!$B$99/(Power_SLA!$B$24*30*24*60)</f>
        <v>0.99998894490576</v>
      </c>
    </row>
    <row r="26" customFormat="false" ht="15" hidden="false" customHeight="false" outlineLevel="0" collapsed="false">
      <c r="A26" s="2" t="s">
        <v>222</v>
      </c>
      <c r="B26" s="23" t="n">
        <f aca="false">1-Inputs!$B$98*Inputs!$B$99/(Power_SLA!$B$24*8760*60)</f>
        <v>0.999999091362117</v>
      </c>
    </row>
    <row r="27" customFormat="false" ht="15" hidden="false" customHeight="false" outlineLevel="0" collapsed="false">
      <c r="A27" s="2" t="s">
        <v>223</v>
      </c>
      <c r="B27" s="24" t="n">
        <f aca="false">1-Inputs!$B$99/(30*24*60)</f>
        <v>0.99974537037037</v>
      </c>
    </row>
    <row r="28" customFormat="false" ht="15" hidden="false" customHeight="false" outlineLevel="0" collapsed="false">
      <c r="A28" s="2" t="s">
        <v>224</v>
      </c>
      <c r="B28" s="25" t="n">
        <f aca="false">1-Inputs!$B$99/(8760*60)</f>
        <v>0.999979071537291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6.15" hidden="false" customHeight="false" outlineLevel="0" collapsed="false">
      <c r="A1" s="3" t="s">
        <v>225</v>
      </c>
    </row>
    <row r="2" customFormat="false" ht="15" hidden="false" customHeight="false" outlineLevel="0" collapsed="false">
      <c r="A2" s="2" t="s">
        <v>226</v>
      </c>
    </row>
    <row r="4" customFormat="false" ht="15" hidden="false" customHeight="false" outlineLevel="0" collapsed="false">
      <c r="A4" s="13" t="s">
        <v>227</v>
      </c>
      <c r="B4" s="13" t="s">
        <v>228</v>
      </c>
      <c r="C4" s="13" t="s">
        <v>229</v>
      </c>
      <c r="D4" s="13" t="s">
        <v>230</v>
      </c>
    </row>
    <row r="5" customFormat="false" ht="15" hidden="false" customHeight="false" outlineLevel="0" collapsed="false">
      <c r="A5" s="2" t="s">
        <v>231</v>
      </c>
      <c r="B5" s="14" t="n">
        <f aca="false">SUMIF(Monthly!$B$5:$B$40,1,Monthly!$R$5:$R$40)</f>
        <v>7722000</v>
      </c>
      <c r="C5" s="14" t="n">
        <f aca="false">SUMIF(Monthly!$B$5:$B$40,2,Monthly!$R$5:$R$40)</f>
        <v>15184260</v>
      </c>
      <c r="D5" s="14" t="n">
        <f aca="false">SUMIF(Monthly!$B$5:$B$40,3,Monthly!$R$5:$R$40)</f>
        <v>21597802.2</v>
      </c>
    </row>
    <row r="6" customFormat="false" ht="15" hidden="false" customHeight="false" outlineLevel="0" collapsed="false">
      <c r="A6" s="2" t="s">
        <v>232</v>
      </c>
      <c r="B6" s="14" t="n">
        <f aca="false">SUMIF(Monthly!$B$5:$B$40,1,Monthly!$S$5:$S$40)</f>
        <v>7290000</v>
      </c>
      <c r="C6" s="14" t="n">
        <f aca="false">SUMIF(Monthly!$B$5:$B$40,2,Monthly!$S$5:$S$40)</f>
        <v>12514500</v>
      </c>
      <c r="D6" s="14" t="n">
        <f aca="false">SUMIF(Monthly!$B$5:$B$40,3,Monthly!$S$5:$S$40)</f>
        <v>16756915.5</v>
      </c>
    </row>
    <row r="7" customFormat="false" ht="15" hidden="false" customHeight="false" outlineLevel="0" collapsed="false">
      <c r="A7" s="2" t="s">
        <v>233</v>
      </c>
      <c r="B7" s="14" t="n">
        <f aca="false">SUMIF(Monthly!$B$5:$B$40,1,Monthly!$T$5:$T$40)</f>
        <v>8496000</v>
      </c>
      <c r="C7" s="14" t="n">
        <f aca="false">SUMIF(Monthly!$B$5:$B$40,2,Monthly!$T$5:$T$40)</f>
        <v>13062600</v>
      </c>
      <c r="D7" s="14" t="n">
        <f aca="false">SUMIF(Monthly!$B$5:$B$40,3,Monthly!$T$5:$T$40)</f>
        <v>17852220</v>
      </c>
    </row>
    <row r="8" customFormat="false" ht="15" hidden="false" customHeight="false" outlineLevel="0" collapsed="false">
      <c r="A8" s="2" t="s">
        <v>147</v>
      </c>
      <c r="B8" s="14" t="n">
        <f aca="false">SUMIF(Monthly!$B$5:$B$40,1,Monthly!$U$5:$U$40)</f>
        <v>356400</v>
      </c>
      <c r="C8" s="14" t="n">
        <f aca="false">SUMIF(Monthly!$B$5:$B$40,2,Monthly!$U$5:$U$40)</f>
        <v>680400</v>
      </c>
      <c r="D8" s="14" t="n">
        <f aca="false">SUMIF(Monthly!$B$5:$B$40,3,Monthly!$U$5:$U$40)</f>
        <v>939600</v>
      </c>
    </row>
    <row r="9" customFormat="false" ht="15" hidden="false" customHeight="false" outlineLevel="0" collapsed="false">
      <c r="A9" s="2" t="s">
        <v>234</v>
      </c>
      <c r="B9" s="14" t="n">
        <f aca="false">SUMIF(Monthly!$B$5:$B$40,1,Monthly!$V$5:$V$40)</f>
        <v>140400</v>
      </c>
      <c r="C9" s="14" t="n">
        <f aca="false">SUMIF(Monthly!$B$5:$B$40,2,Monthly!$V$5:$V$40)</f>
        <v>248400</v>
      </c>
      <c r="D9" s="14" t="n">
        <f aca="false">SUMIF(Monthly!$B$5:$B$40,3,Monthly!$V$5:$V$40)</f>
        <v>332100</v>
      </c>
    </row>
    <row r="10" customFormat="false" ht="15" hidden="false" customHeight="false" outlineLevel="0" collapsed="false">
      <c r="A10" s="4" t="s">
        <v>235</v>
      </c>
      <c r="B10" s="14" t="n">
        <f aca="false">SUM(B5:B9)</f>
        <v>24004800</v>
      </c>
      <c r="C10" s="14" t="n">
        <f aca="false">SUM(C5:C9)</f>
        <v>41690160</v>
      </c>
      <c r="D10" s="14" t="n">
        <f aca="false">SUM(D5:D9)</f>
        <v>57478637.7</v>
      </c>
    </row>
    <row r="11" customFormat="false" ht="15" hidden="false" customHeight="false" outlineLevel="0" collapsed="false">
      <c r="A11" s="2" t="s">
        <v>236</v>
      </c>
      <c r="B11" s="14" t="n">
        <f aca="false">SUMIF(Monthly!$B$5:$B$40,1,Monthly!$AF$5:$AF$40)+SUMIF(Monthly!$B$5:$B$40,1,Monthly!$AG$5:$AG$40)+SUMIF(Monthly!$B$5:$B$40,1,Monthly!$AH$5:$AH$40)</f>
        <v>8127629.56125</v>
      </c>
      <c r="C11" s="14" t="n">
        <f aca="false">SUMIF(Monthly!$B$5:$B$40,2,Monthly!$AF$5:$AF$40)+SUMIF(Monthly!$B$5:$B$40,2,Monthly!$AG$5:$AG$40)+SUMIF(Monthly!$B$5:$B$40,2,Monthly!$AH$5:$AH$40)</f>
        <v>13444247.6334</v>
      </c>
      <c r="D11" s="14" t="n">
        <f aca="false">SUMIF(Monthly!$B$5:$B$40,3,Monthly!$AF$5:$AF$40)+SUMIF(Monthly!$B$5:$B$40,3,Monthly!$AG$5:$AG$40)+SUMIF(Monthly!$B$5:$B$40,3,Monthly!$AH$5:$AH$40)</f>
        <v>18283238.429058</v>
      </c>
    </row>
    <row r="12" customFormat="false" ht="15" hidden="false" customHeight="false" outlineLevel="0" collapsed="false">
      <c r="A12" s="4" t="s">
        <v>237</v>
      </c>
      <c r="B12" s="14" t="n">
        <f aca="false">B10+B11</f>
        <v>32132429.56125</v>
      </c>
      <c r="C12" s="14" t="n">
        <f aca="false">C10+C11</f>
        <v>55134407.6334</v>
      </c>
      <c r="D12" s="14" t="n">
        <f aca="false">D10+D11</f>
        <v>75761876.129058</v>
      </c>
    </row>
    <row r="13" customFormat="false" ht="15" hidden="false" customHeight="false" outlineLevel="0" collapsed="false">
      <c r="A13" s="2" t="s">
        <v>238</v>
      </c>
      <c r="B13" s="14" t="n">
        <f aca="false">SUMIF(Monthly!$B$5:$B$40,1,Monthly!$AC$5:$AC$40)+SUMIF(Monthly!$B$5:$B$40,1,Monthly!$AD$5:$AD$40)+SUMIF(Monthly!$B$5:$B$40,1,Monthly!$AE$5:$AE$40)</f>
        <v>7874074.044</v>
      </c>
      <c r="C13" s="14" t="n">
        <f aca="false">SUMIF(Monthly!$B$5:$B$40,2,Monthly!$AC$5:$AC$40)+SUMIF(Monthly!$B$5:$B$40,2,Monthly!$AD$5:$AD$40)+SUMIF(Monthly!$B$5:$B$40,2,Monthly!$AE$5:$AE$40)</f>
        <v>12901619.61252</v>
      </c>
      <c r="D13" s="14" t="n">
        <f aca="false">SUMIF(Monthly!$B$5:$B$40,3,Monthly!$AC$5:$AC$40)+SUMIF(Monthly!$B$5:$B$40,3,Monthly!$AD$5:$AD$40)+SUMIF(Monthly!$B$5:$B$40,3,Monthly!$AE$5:$AE$40)</f>
        <v>17501318.0686944</v>
      </c>
    </row>
    <row r="14" customFormat="false" ht="15" hidden="false" customHeight="false" outlineLevel="0" collapsed="false">
      <c r="A14" s="2" t="s">
        <v>239</v>
      </c>
      <c r="B14" s="14" t="n">
        <f aca="false">Staffing!$D$14*(1+Inputs!$B$48)^(1-1)</f>
        <v>3640000</v>
      </c>
      <c r="C14" s="14" t="n">
        <f aca="false">Staffing!$D$14*(1+Inputs!$B$48)^(2-1)</f>
        <v>3767400</v>
      </c>
      <c r="D14" s="14" t="n">
        <f aca="false">Staffing!$D$14*(1+Inputs!$B$48)^(3-1)</f>
        <v>3899259</v>
      </c>
    </row>
    <row r="15" customFormat="false" ht="15" hidden="false" customHeight="false" outlineLevel="0" collapsed="false">
      <c r="A15" s="2" t="s">
        <v>240</v>
      </c>
      <c r="B15" s="14" t="n">
        <f aca="false">Staffing!$B$19*(1+Inputs!$B$48)^(1-1)</f>
        <v>665760</v>
      </c>
      <c r="C15" s="14" t="n">
        <f aca="false">Staffing!$B$19*(1+Inputs!$B$48)^(2-1)</f>
        <v>689061.6</v>
      </c>
      <c r="D15" s="14" t="n">
        <f aca="false">Staffing!$B$19*(1+Inputs!$B$48)^(3-1)</f>
        <v>713178.756</v>
      </c>
    </row>
    <row r="16" customFormat="false" ht="15" hidden="false" customHeight="false" outlineLevel="0" collapsed="false">
      <c r="A16" s="2" t="s">
        <v>241</v>
      </c>
      <c r="B16" s="14" t="n">
        <f aca="false">1749000*(1+Inputs!$B$52)^(1-1)</f>
        <v>1749000</v>
      </c>
      <c r="C16" s="14" t="n">
        <f aca="false">1749000*(1+Inputs!$B$52)^(2-1)</f>
        <v>1801470</v>
      </c>
      <c r="D16" s="14" t="n">
        <f aca="false">1749000*(1+Inputs!$B$52)^(3-1)</f>
        <v>1855514.1</v>
      </c>
    </row>
    <row r="17" customFormat="false" ht="15" hidden="false" customHeight="false" outlineLevel="0" collapsed="false">
      <c r="A17" s="2" t="s">
        <v>242</v>
      </c>
      <c r="B17" s="14" t="n">
        <f aca="false">Inputs!$B$53*(1+Inputs!$B$52)^(1-1)</f>
        <v>450000</v>
      </c>
      <c r="C17" s="14" t="n">
        <f aca="false">Inputs!$B$53*(1+Inputs!$B$52)^(2-1)</f>
        <v>463500</v>
      </c>
      <c r="D17" s="14" t="n">
        <f aca="false">Inputs!$B$53*(1+Inputs!$B$52)^(3-1)</f>
        <v>477405</v>
      </c>
    </row>
    <row r="18" customFormat="false" ht="15" hidden="false" customHeight="false" outlineLevel="0" collapsed="false">
      <c r="A18" s="2" t="s">
        <v>243</v>
      </c>
      <c r="B18" s="14" t="n">
        <f aca="false">Power_SLA!$B$12*(1+Inputs!$B$52)^(1-1)</f>
        <v>87210</v>
      </c>
      <c r="C18" s="14" t="n">
        <f aca="false">Power_SLA!$B$12*(1+Inputs!$B$52)^(2-1)</f>
        <v>89826.3</v>
      </c>
      <c r="D18" s="14" t="n">
        <f aca="false">Power_SLA!$B$12*(1+Inputs!$B$52)^(3-1)</f>
        <v>92521.089</v>
      </c>
    </row>
    <row r="19" customFormat="false" ht="15" hidden="false" customHeight="false" outlineLevel="0" collapsed="false">
      <c r="A19" s="2" t="s">
        <v>244</v>
      </c>
      <c r="B19" s="14" t="n">
        <f aca="false">(Inputs!$B$54+Inputs!$B$55)*(1+Inputs!$B$52)^(1-1)</f>
        <v>3300000</v>
      </c>
      <c r="C19" s="14" t="n">
        <f aca="false">(Inputs!$B$54+Inputs!$B$55)*(1+Inputs!$B$52)^(2-1)</f>
        <v>3399000</v>
      </c>
      <c r="D19" s="14" t="n">
        <f aca="false">(Inputs!$B$54+Inputs!$B$55)*(1+Inputs!$B$52)^(3-1)</f>
        <v>3500970</v>
      </c>
    </row>
    <row r="20" customFormat="false" ht="15" hidden="false" customHeight="false" outlineLevel="0" collapsed="false">
      <c r="A20" s="2" t="s">
        <v>245</v>
      </c>
      <c r="B20" s="14" t="n">
        <f aca="false">B19*Inputs!$B$56</f>
        <v>1100000</v>
      </c>
      <c r="C20" s="14" t="n">
        <f aca="false">C19*Inputs!$B$56</f>
        <v>1133000</v>
      </c>
      <c r="D20" s="14" t="n">
        <f aca="false">D19*Inputs!$B$56</f>
        <v>1166990</v>
      </c>
    </row>
    <row r="21" customFormat="false" ht="15" hidden="false" customHeight="false" outlineLevel="0" collapsed="false">
      <c r="A21" s="2" t="s">
        <v>246</v>
      </c>
      <c r="B21" s="14" t="n">
        <f aca="false">Inputs!$B$57*(1+Inputs!$B$52)^(1-1)</f>
        <v>160000</v>
      </c>
      <c r="C21" s="14" t="n">
        <f aca="false">Inputs!$B$57*(1+Inputs!$B$52)^(2-1)</f>
        <v>164800</v>
      </c>
      <c r="D21" s="14" t="n">
        <f aca="false">Inputs!$B$57*(1+Inputs!$B$52)^(3-1)</f>
        <v>169744</v>
      </c>
    </row>
    <row r="22" customFormat="false" ht="15" hidden="false" customHeight="false" outlineLevel="0" collapsed="false">
      <c r="A22" s="2" t="s">
        <v>247</v>
      </c>
      <c r="B22" s="14" t="n">
        <f aca="false">B49*Inputs!$B$64*(1+Inputs!$B$52)^(1-1)</f>
        <v>412701.12</v>
      </c>
      <c r="C22" s="14" t="n">
        <f aca="false">C49*Inputs!$B$64*(1+Inputs!$B$52)^(2-1)</f>
        <v>735286.0176</v>
      </c>
      <c r="D22" s="14" t="n">
        <f aca="false">D49*Inputs!$B$64*(1+Inputs!$B$52)^(3-1)</f>
        <v>1009997.254152</v>
      </c>
    </row>
    <row r="23" customFormat="false" ht="15" hidden="false" customHeight="false" outlineLevel="0" collapsed="false">
      <c r="A23" s="2" t="s">
        <v>248</v>
      </c>
      <c r="B23" s="14" t="n">
        <f aca="false">Inputs!$B$58*B10</f>
        <v>720144</v>
      </c>
      <c r="C23" s="14" t="n">
        <f aca="false">Inputs!$B$58*C10</f>
        <v>1250704.8</v>
      </c>
      <c r="D23" s="14" t="n">
        <f aca="false">Inputs!$B$58*D10</f>
        <v>1724359.131</v>
      </c>
    </row>
    <row r="24" customFormat="false" ht="15" hidden="false" customHeight="false" outlineLevel="0" collapsed="false">
      <c r="A24" s="2" t="s">
        <v>249</v>
      </c>
      <c r="B24" s="14" t="n">
        <f aca="false">SUMIF(Monthly!$B$5:$B$40,1,Monthly!$AO$5:$AO$40)</f>
        <v>991718.25</v>
      </c>
      <c r="C24" s="14" t="n">
        <f aca="false">SUMIF(Monthly!$B$5:$B$40,2,Monthly!$AO$5:$AO$40)</f>
        <v>1107190.26</v>
      </c>
      <c r="D24" s="14" t="n">
        <f aca="false">SUMIF(Monthly!$B$5:$B$40,3,Monthly!$AO$5:$AO$40)</f>
        <v>733793.7639</v>
      </c>
    </row>
    <row r="25" customFormat="false" ht="15" hidden="false" customHeight="false" outlineLevel="0" collapsed="false">
      <c r="A25" s="4" t="s">
        <v>250</v>
      </c>
      <c r="B25" s="14" t="n">
        <f aca="false">B14+B15+B16+B17+B18+B19-B20+B21+B22+B23+B24</f>
        <v>11076533.37</v>
      </c>
      <c r="C25" s="14" t="n">
        <f aca="false">C14+C15+C16+C17+C18+C19-C20+C21+C22+C23+C24</f>
        <v>12335238.9776</v>
      </c>
      <c r="D25" s="14" t="n">
        <f aca="false">D14+D15+D16+D17+D18+D19-D20+D21+D22+D23+D24</f>
        <v>13009752.094052</v>
      </c>
    </row>
    <row r="26" customFormat="false" ht="15" hidden="false" customHeight="false" outlineLevel="0" collapsed="false">
      <c r="A26" s="4" t="s">
        <v>251</v>
      </c>
      <c r="B26" s="14" t="n">
        <f aca="false">B12-B13-B25</f>
        <v>13181822.14725</v>
      </c>
      <c r="C26" s="14" t="n">
        <f aca="false">C12-C13-C25</f>
        <v>29897549.04328</v>
      </c>
      <c r="D26" s="14" t="n">
        <f aca="false">D12-D13-D25</f>
        <v>45250805.9663116</v>
      </c>
    </row>
    <row r="27" customFormat="false" ht="15" hidden="false" customHeight="false" outlineLevel="0" collapsed="false">
      <c r="A27" s="2" t="s">
        <v>252</v>
      </c>
      <c r="B27" s="14" t="n">
        <f aca="false">SUMIF(Monthly!$B$5:$B$40,1,Monthly!$AI$5:$AI$40)</f>
        <v>133796.736</v>
      </c>
      <c r="C27" s="14" t="n">
        <f aca="false">SUMIF(Monthly!$B$5:$B$40,2,Monthly!$AI$5:$AI$40)</f>
        <v>329103.02088</v>
      </c>
      <c r="D27" s="14" t="n">
        <f aca="false">SUMIF(Monthly!$B$5:$B$40,3,Monthly!$AI$5:$AI$40)</f>
        <v>504337.8603636</v>
      </c>
    </row>
    <row r="28" customFormat="false" ht="15" hidden="false" customHeight="false" outlineLevel="0" collapsed="false">
      <c r="A28" s="2" t="s">
        <v>253</v>
      </c>
      <c r="B28" s="14" t="n">
        <f aca="false">SUMIF(Monthly!$B$5:$B$40,1,Monthly!$AJ$5:$AJ$40)</f>
        <v>119758.78125</v>
      </c>
      <c r="C28" s="14" t="n">
        <f aca="false">SUMIF(Monthly!$B$5:$B$40,2,Monthly!$AJ$5:$AJ$40)</f>
        <v>213525</v>
      </c>
      <c r="D28" s="14" t="n">
        <f aca="false">SUMIF(Monthly!$B$5:$B$40,3,Monthly!$AJ$5:$AJ$40)</f>
        <v>277582.5</v>
      </c>
    </row>
    <row r="29" customFormat="false" ht="15" hidden="false" customHeight="false" outlineLevel="0" collapsed="false">
      <c r="A29" s="2" t="s">
        <v>254</v>
      </c>
      <c r="B29" s="14" t="n">
        <f aca="false">SUMIF(Monthly!$B$5:$B$40,1,Monthly!$AK$5:$AK$40)</f>
        <v>0</v>
      </c>
      <c r="C29" s="14" t="n">
        <f aca="false">SUMIF(Monthly!$B$5:$B$40,2,Monthly!$AK$5:$AK$40)</f>
        <v>0</v>
      </c>
      <c r="D29" s="14" t="n">
        <f aca="false">SUMIF(Monthly!$B$5:$B$40,3,Monthly!$AK$5:$AK$40)</f>
        <v>0</v>
      </c>
    </row>
    <row r="30" customFormat="false" ht="15" hidden="false" customHeight="false" outlineLevel="0" collapsed="false">
      <c r="A30" s="2" t="s">
        <v>255</v>
      </c>
      <c r="B30" s="14" t="n">
        <f aca="false">B10+B27+B28+B29</f>
        <v>24258355.51725</v>
      </c>
      <c r="C30" s="14" t="n">
        <f aca="false">C10+C27+C28+C29</f>
        <v>42232788.02088</v>
      </c>
      <c r="D30" s="14" t="n">
        <f aca="false">D10+D27+D28+D29</f>
        <v>58260558.0603636</v>
      </c>
    </row>
    <row r="31" customFormat="false" ht="15" hidden="false" customHeight="false" outlineLevel="0" collapsed="false">
      <c r="A31" s="2" t="s">
        <v>256</v>
      </c>
      <c r="B31" s="26" t="n">
        <f aca="false">B26/B12</f>
        <v>0.410234219050357</v>
      </c>
      <c r="C31" s="26" t="n">
        <f aca="false">C26/C12</f>
        <v>0.542266623087255</v>
      </c>
      <c r="D31" s="26" t="n">
        <f aca="false">D26/D12</f>
        <v>0.597276734399083</v>
      </c>
    </row>
    <row r="32" customFormat="false" ht="15" hidden="false" customHeight="false" outlineLevel="0" collapsed="false">
      <c r="A32" s="2" t="s">
        <v>257</v>
      </c>
      <c r="B32" s="26" t="n">
        <f aca="false">B26/B30</f>
        <v>0.543393064623712</v>
      </c>
      <c r="C32" s="26" t="n">
        <f aca="false">C26/C30</f>
        <v>0.707922693346662</v>
      </c>
      <c r="D32" s="26" t="n">
        <f aca="false">D26/D30</f>
        <v>0.77669709101357</v>
      </c>
    </row>
    <row r="33" customFormat="false" ht="15" hidden="false" customHeight="false" outlineLevel="0" collapsed="false">
      <c r="A33" s="2" t="s">
        <v>258</v>
      </c>
      <c r="B33" s="14" t="n">
        <f aca="false">B14+B15+B16+B17+B18+B19-B20+B21</f>
        <v>8951970</v>
      </c>
      <c r="C33" s="14" t="n">
        <f aca="false">C14+C15+C16+C17+C18+C19-C20+C21</f>
        <v>9242057.9</v>
      </c>
      <c r="D33" s="14" t="n">
        <f aca="false">D14+D15+D16+D17+D18+D19-D20+D21</f>
        <v>9541601.945</v>
      </c>
    </row>
    <row r="34" customFormat="false" ht="15" hidden="false" customHeight="false" outlineLevel="0" collapsed="false">
      <c r="A34" s="2" t="s">
        <v>259</v>
      </c>
      <c r="B34" s="14" t="n">
        <f aca="false">SUMIF(Monthly!$B$5:$B$40,1,Monthly!$D$5:$D$40)/12</f>
        <v>3300</v>
      </c>
      <c r="C34" s="14" t="n">
        <f aca="false">SUMIF(Monthly!$B$5:$B$40,2,Monthly!$D$5:$D$40)/12</f>
        <v>6300</v>
      </c>
      <c r="D34" s="14" t="n">
        <f aca="false">SUMIF(Monthly!$B$5:$B$40,3,Monthly!$D$5:$D$40)/12</f>
        <v>8700</v>
      </c>
    </row>
    <row r="35" customFormat="false" ht="15" hidden="false" customHeight="false" outlineLevel="0" collapsed="false">
      <c r="A35" s="2" t="s">
        <v>260</v>
      </c>
      <c r="B35" s="14" t="n">
        <f aca="false">SUMIF(Monthly!$B$5:$B$40,1,Monthly!$E$5:$E$40)/12</f>
        <v>4500</v>
      </c>
      <c r="C35" s="14" t="n">
        <f aca="false">SUMIF(Monthly!$B$5:$B$40,2,Monthly!$E$5:$E$40)/12</f>
        <v>7500</v>
      </c>
      <c r="D35" s="14" t="n">
        <f aca="false">SUMIF(Monthly!$B$5:$B$40,3,Monthly!$E$5:$E$40)/12</f>
        <v>9750</v>
      </c>
    </row>
    <row r="36" customFormat="false" ht="15" hidden="false" customHeight="false" outlineLevel="0" collapsed="false">
      <c r="A36" s="2" t="s">
        <v>261</v>
      </c>
      <c r="B36" s="14" t="n">
        <f aca="false">SUMIF(Monthly!$B$5:$B$40,1,Monthly!$F$5:$F$40)/12</f>
        <v>6000</v>
      </c>
      <c r="C36" s="14" t="n">
        <f aca="false">SUMIF(Monthly!$B$5:$B$40,2,Monthly!$F$5:$F$40)/12</f>
        <v>9000</v>
      </c>
      <c r="D36" s="14" t="n">
        <f aca="false">SUMIF(Monthly!$B$5:$B$40,3,Monthly!$F$5:$F$40)/12</f>
        <v>12000</v>
      </c>
    </row>
    <row r="37" customFormat="false" ht="15" hidden="false" customHeight="false" outlineLevel="0" collapsed="false">
      <c r="A37" s="2" t="s">
        <v>262</v>
      </c>
      <c r="B37" s="14" t="n">
        <f aca="false">B26/(3*Inputs!$B$4/1000)</f>
        <v>366161.7263125</v>
      </c>
      <c r="C37" s="14" t="n">
        <f aca="false">C26/(3*Inputs!$B$4/1000)</f>
        <v>830487.473424444</v>
      </c>
      <c r="D37" s="14" t="n">
        <f aca="false">D26/(3*Inputs!$B$4/1000)</f>
        <v>1256966.83239754</v>
      </c>
    </row>
    <row r="38" customFormat="false" ht="15" hidden="false" customHeight="false" outlineLevel="0" collapsed="false">
      <c r="A38" s="2" t="s">
        <v>263</v>
      </c>
      <c r="B38" s="14" t="n">
        <f aca="false">B26/((B34+B35+B36)/1000)</f>
        <v>955204.503423913</v>
      </c>
      <c r="C38" s="14" t="n">
        <f aca="false">C26/((C34+C35+C36)/1000)</f>
        <v>1311296.01067018</v>
      </c>
      <c r="D38" s="14" t="n">
        <f aca="false">D26/((D34+D35+D36)/1000)</f>
        <v>1486069.16145523</v>
      </c>
    </row>
    <row r="39" customFormat="false" ht="15" hidden="false" customHeight="false" outlineLevel="0" collapsed="false">
      <c r="A39" s="2" t="s">
        <v>264</v>
      </c>
      <c r="B39" s="14" t="n">
        <f aca="false">SUMIF(Monthly!$B$5:$B$40,1,Monthly!$W$5:$W$40)</f>
        <v>15899.4</v>
      </c>
      <c r="C39" s="14" t="n">
        <f aca="false">SUMIF(Monthly!$B$5:$B$40,2,Monthly!$W$5:$W$40)</f>
        <v>30353.4</v>
      </c>
      <c r="D39" s="14" t="n">
        <f aca="false">SUMIF(Monthly!$B$5:$B$40,3,Monthly!$W$5:$W$40)</f>
        <v>41916.6</v>
      </c>
    </row>
    <row r="40" customFormat="false" ht="15" hidden="false" customHeight="false" outlineLevel="0" collapsed="false">
      <c r="A40" s="2" t="s">
        <v>265</v>
      </c>
      <c r="B40" s="14" t="n">
        <f aca="false">SUMIF(Monthly!$B$5:$B$40,1,Monthly!$Z$5:$Z$40)</f>
        <v>22836.006</v>
      </c>
      <c r="C40" s="14" t="n">
        <f aca="false">SUMIF(Monthly!$B$5:$B$40,2,Monthly!$Z$5:$Z$40)</f>
        <v>42729.966</v>
      </c>
      <c r="D40" s="14" t="n">
        <f aca="false">SUMIF(Monthly!$B$5:$B$40,3,Monthly!$Z$5:$Z$40)</f>
        <v>58546.584</v>
      </c>
    </row>
    <row r="41" customFormat="false" ht="15" hidden="false" customHeight="false" outlineLevel="0" collapsed="false">
      <c r="A41" s="2" t="s">
        <v>266</v>
      </c>
      <c r="B41" s="14" t="n">
        <f aca="false">SUMIF(Monthly!$B$5:$B$40,1,Monthly!$X$5:$X$40)</f>
        <v>25623</v>
      </c>
      <c r="C41" s="14" t="n">
        <f aca="false">SUMIF(Monthly!$B$5:$B$40,2,Monthly!$X$5:$X$40)</f>
        <v>42705</v>
      </c>
      <c r="D41" s="14" t="n">
        <f aca="false">SUMIF(Monthly!$B$5:$B$40,3,Monthly!$X$5:$X$40)</f>
        <v>55516.5</v>
      </c>
    </row>
    <row r="42" customFormat="false" ht="15" hidden="false" customHeight="false" outlineLevel="0" collapsed="false">
      <c r="A42" s="2" t="s">
        <v>267</v>
      </c>
      <c r="B42" s="14" t="n">
        <f aca="false">SUMIF(Monthly!$B$5:$B$40,1,Monthly!$AA$5:$AA$40)</f>
        <v>36003.6</v>
      </c>
      <c r="C42" s="14" t="n">
        <f aca="false">SUMIF(Monthly!$B$5:$B$40,2,Monthly!$AA$5:$AA$40)</f>
        <v>56502</v>
      </c>
      <c r="D42" s="14" t="n">
        <f aca="false">SUMIF(Monthly!$B$5:$B$40,3,Monthly!$AA$5:$AA$40)</f>
        <v>71875.8</v>
      </c>
    </row>
    <row r="43" customFormat="false" ht="15" hidden="false" customHeight="false" outlineLevel="0" collapsed="false">
      <c r="A43" s="2" t="s">
        <v>268</v>
      </c>
      <c r="B43" s="14" t="n">
        <f aca="false">SUMIF(Monthly!$B$5:$B$40,1,Monthly!$Y$5:$Y$40)</f>
        <v>39420</v>
      </c>
      <c r="C43" s="14" t="n">
        <f aca="false">SUMIF(Monthly!$B$5:$B$40,2,Monthly!$Y$5:$Y$40)</f>
        <v>59130</v>
      </c>
      <c r="D43" s="14" t="n">
        <f aca="false">SUMIF(Monthly!$B$5:$B$40,3,Monthly!$Y$5:$Y$40)</f>
        <v>78840</v>
      </c>
    </row>
    <row r="44" customFormat="false" ht="15" hidden="false" customHeight="false" outlineLevel="0" collapsed="false">
      <c r="A44" s="2" t="s">
        <v>269</v>
      </c>
      <c r="B44" s="14" t="n">
        <f aca="false">SUMIF(Monthly!$B$5:$B$40,1,Monthly!$AB$5:$AB$40)</f>
        <v>47566.8</v>
      </c>
      <c r="C44" s="14" t="n">
        <f aca="false">SUMIF(Monthly!$B$5:$B$40,2,Monthly!$AB$5:$AB$40)</f>
        <v>70036.2</v>
      </c>
      <c r="D44" s="14" t="n">
        <f aca="false">SUMIF(Monthly!$B$5:$B$40,3,Monthly!$AB$5:$AB$40)</f>
        <v>92505.6</v>
      </c>
    </row>
    <row r="45" customFormat="false" ht="15" hidden="false" customHeight="false" outlineLevel="0" collapsed="false">
      <c r="A45" s="2" t="s">
        <v>270</v>
      </c>
      <c r="B45" s="27" t="n">
        <f aca="false">B40/B39</f>
        <v>1.43628099173554</v>
      </c>
      <c r="C45" s="27" t="n">
        <f aca="false">C40/C39</f>
        <v>1.40774891774892</v>
      </c>
      <c r="D45" s="27" t="n">
        <f aca="false">D40/D39</f>
        <v>1.39673981191223</v>
      </c>
    </row>
    <row r="46" customFormat="false" ht="15" hidden="false" customHeight="false" outlineLevel="0" collapsed="false">
      <c r="A46" s="2" t="s">
        <v>271</v>
      </c>
      <c r="B46" s="27" t="n">
        <f aca="false">B42/B41</f>
        <v>1.40512820512821</v>
      </c>
      <c r="C46" s="27" t="n">
        <f aca="false">C42/C41</f>
        <v>1.32307692307692</v>
      </c>
      <c r="D46" s="27" t="n">
        <f aca="false">D42/D41</f>
        <v>1.29467455621302</v>
      </c>
    </row>
    <row r="47" customFormat="false" ht="15" hidden="false" customHeight="false" outlineLevel="0" collapsed="false">
      <c r="A47" s="2" t="s">
        <v>272</v>
      </c>
      <c r="B47" s="27" t="n">
        <f aca="false">B44/B43</f>
        <v>1.20666666666667</v>
      </c>
      <c r="C47" s="27" t="n">
        <f aca="false">C44/C43</f>
        <v>1.18444444444444</v>
      </c>
      <c r="D47" s="27" t="n">
        <f aca="false">D44/D43</f>
        <v>1.17333333333333</v>
      </c>
    </row>
    <row r="48" customFormat="false" ht="15" hidden="false" customHeight="false" outlineLevel="0" collapsed="false">
      <c r="A48" s="2" t="s">
        <v>273</v>
      </c>
      <c r="B48" s="27" t="n">
        <f aca="false">(B40+B42+B44)/(B39+B41+B43)</f>
        <v>1.31459415584416</v>
      </c>
      <c r="C48" s="27" t="n">
        <f aca="false">(C40+C42+C44)/(C39+C41+C43)</f>
        <v>1.2805069582505</v>
      </c>
      <c r="D48" s="27" t="n">
        <f aca="false">(D40+D42+D44)/(D39+D41+D43)</f>
        <v>1.26467387253075</v>
      </c>
    </row>
    <row r="49" customFormat="false" ht="15" hidden="false" customHeight="false" outlineLevel="0" collapsed="false">
      <c r="A49" s="2" t="s">
        <v>274</v>
      </c>
      <c r="B49" s="14" t="n">
        <f aca="false">SUMIF(Monthly!$B$5:$B$40,1,Monthly!$AP$5:$AP$40)</f>
        <v>51587.64</v>
      </c>
      <c r="C49" s="14" t="n">
        <f aca="false">SUMIF(Monthly!$B$5:$B$40,2,Monthly!$AP$5:$AP$40)</f>
        <v>89233.74</v>
      </c>
      <c r="D49" s="14" t="n">
        <f aca="false">SUMIF(Monthly!$B$5:$B$40,3,Monthly!$AP$5:$AP$40)</f>
        <v>119002.41</v>
      </c>
    </row>
    <row r="50" customFormat="false" ht="15" hidden="false" customHeight="false" outlineLevel="0" collapsed="false">
      <c r="A50" s="2" t="s">
        <v>275</v>
      </c>
      <c r="B50" s="27" t="n">
        <f aca="false">B49*1000/((B39+B41+B43)*1000)</f>
        <v>0.637337662337662</v>
      </c>
      <c r="C50" s="27" t="n">
        <f aca="false">C49*1000/((C39+C41+C43)*1000)</f>
        <v>0.675049701789264</v>
      </c>
      <c r="D50" s="27" t="n">
        <f aca="false">D49*1000/((D39+D41+D43)*1000)</f>
        <v>0.675102497204622</v>
      </c>
    </row>
    <row r="51" customFormat="false" ht="15" hidden="false" customHeight="false" outlineLevel="0" collapsed="false">
      <c r="A51" s="2" t="s">
        <v>276</v>
      </c>
      <c r="B51" s="14" t="n">
        <f aca="false">(B40+B42+B44)*Inputs!$B$83</f>
        <v>40434.43428</v>
      </c>
      <c r="C51" s="14" t="n">
        <f aca="false">(C40+C42+C44)*Inputs!$B$83</f>
        <v>64321.90308</v>
      </c>
      <c r="D51" s="14" t="n">
        <f aca="false">(D40+D42+D44)*Inputs!$B$83</f>
        <v>84712.63392</v>
      </c>
    </row>
    <row r="52" customFormat="false" ht="15" hidden="false" customHeight="false" outlineLevel="0" collapsed="false">
      <c r="A52" s="2" t="s">
        <v>277</v>
      </c>
      <c r="B52" s="14" t="n">
        <f aca="false">(B40+B42+B44)*(1-Inputs!$B$84)*Inputs!$B$83</f>
        <v>16173.773712</v>
      </c>
      <c r="C52" s="14" t="n">
        <f aca="false">(C40+C42+C44)*(1-Inputs!$B$84)*Inputs!$B$83</f>
        <v>25728.761232</v>
      </c>
      <c r="D52" s="14" t="n">
        <f aca="false">(D40+D42+D44)*(1-Inputs!$B$84)*Inputs!$B$83</f>
        <v>33885.053568</v>
      </c>
    </row>
    <row r="53" customFormat="false" ht="15" hidden="false" customHeight="false" outlineLevel="0" collapsed="false">
      <c r="A53" s="2" t="s">
        <v>278</v>
      </c>
      <c r="B53" s="14" t="n">
        <f aca="false">Inputs!$B$60*3*Inputs!$B$4</f>
        <v>1260000</v>
      </c>
      <c r="C53" s="14" t="n">
        <f aca="false">Inputs!$B$60*3*Inputs!$B$4</f>
        <v>1260000</v>
      </c>
      <c r="D53" s="14" t="n">
        <f aca="false">Inputs!$B$60*3*Inputs!$B$4</f>
        <v>1260000</v>
      </c>
    </row>
    <row r="54" customFormat="false" ht="15" hidden="false" customHeight="false" outlineLevel="0" collapsed="false">
      <c r="A54" s="4" t="s">
        <v>279</v>
      </c>
      <c r="B54" s="14" t="n">
        <f aca="false">B26-B53</f>
        <v>11921822.14725</v>
      </c>
      <c r="C54" s="14" t="n">
        <f aca="false">C26-C53</f>
        <v>28637549.04328</v>
      </c>
      <c r="D54" s="14" t="n">
        <f aca="false">D26-D53</f>
        <v>43990805.9663116</v>
      </c>
    </row>
    <row r="55" customFormat="false" ht="15" hidden="false" customHeight="false" outlineLevel="0" collapsed="false">
      <c r="A55" s="2" t="s">
        <v>280</v>
      </c>
      <c r="B55" s="14" t="n">
        <f aca="false">Inputs!$B$77*Inputs!$B$78</f>
        <v>19200000</v>
      </c>
      <c r="C55" s="14" t="n">
        <f aca="false">Inputs!$B$77*Inputs!$B$78</f>
        <v>19200000</v>
      </c>
      <c r="D55" s="14" t="n">
        <f aca="false">Inputs!$B$77*Inputs!$B$78</f>
        <v>19200000</v>
      </c>
    </row>
    <row r="56" customFormat="false" ht="15" hidden="false" customHeight="false" outlineLevel="0" collapsed="false">
      <c r="A56" s="2" t="s">
        <v>281</v>
      </c>
      <c r="B56" s="14" t="n">
        <f aca="false">IF(1=3,Inputs!$B$77*Inputs!$B$79,0)</f>
        <v>0</v>
      </c>
      <c r="C56" s="14" t="n">
        <f aca="false">IF(2=3,Inputs!$B$77*Inputs!$B$79,0)</f>
        <v>0</v>
      </c>
      <c r="D56" s="14" t="n">
        <f aca="false">IF(3=3,Inputs!$B$77*Inputs!$B$79,0)</f>
        <v>9000000</v>
      </c>
    </row>
    <row r="57" customFormat="false" ht="15" hidden="false" customHeight="false" outlineLevel="0" collapsed="false">
      <c r="A57" s="2" t="s">
        <v>282</v>
      </c>
      <c r="B57" s="14" t="n">
        <f aca="false">B55+B56</f>
        <v>19200000</v>
      </c>
      <c r="C57" s="14" t="n">
        <f aca="false">C55+C56</f>
        <v>19200000</v>
      </c>
      <c r="D57" s="14" t="n">
        <f aca="false">D55+D56</f>
        <v>28200000</v>
      </c>
    </row>
    <row r="58" customFormat="false" ht="15" hidden="false" customHeight="false" outlineLevel="0" collapsed="false">
      <c r="A58" s="4" t="s">
        <v>283</v>
      </c>
      <c r="B58" s="28" t="n">
        <f aca="false">B54/B57</f>
        <v>0.620928236835938</v>
      </c>
      <c r="C58" s="28" t="n">
        <f aca="false">C54/C57</f>
        <v>1.49153901267083</v>
      </c>
      <c r="D58" s="28" t="n">
        <f aca="false">D54/D57</f>
        <v>1.55995765837984</v>
      </c>
    </row>
    <row r="59" customFormat="false" ht="15" hidden="false" customHeight="false" outlineLevel="0" collapsed="false">
      <c r="A59" s="2" t="s">
        <v>284</v>
      </c>
      <c r="B59" s="14" t="n">
        <f aca="false">SUMIF(Monthly!$B$5:$B$40,1,Monthly!$AM$5:$AM$40)</f>
        <v>3095.35</v>
      </c>
      <c r="C59" s="14" t="n">
        <f aca="false">SUMIF(Monthly!$B$5:$B$40,2,Monthly!$AM$5:$AM$40)</f>
        <v>3435.6</v>
      </c>
      <c r="D59" s="14" t="n">
        <f aca="false">SUMIF(Monthly!$B$5:$B$40,3,Monthly!$AM$5:$AM$40)</f>
        <v>2465.3</v>
      </c>
    </row>
    <row r="60" customFormat="false" ht="15" hidden="false" customHeight="false" outlineLevel="0" collapsed="false">
      <c r="A60" s="2" t="s">
        <v>285</v>
      </c>
      <c r="B60" s="14" t="n">
        <f aca="false">SUMIF(Monthly!$B$5:$B$40,1,Monthly!$AL$5:$AL$40)</f>
        <v>220.35</v>
      </c>
      <c r="C60" s="14" t="n">
        <f aca="false">SUMIF(Monthly!$B$5:$B$40,2,Monthly!$AL$5:$AL$40)</f>
        <v>435.6</v>
      </c>
      <c r="D60" s="14" t="n">
        <f aca="false">SUMIF(Monthly!$B$5:$B$40,3,Monthly!$AL$5:$AL$40)</f>
        <v>615.3</v>
      </c>
    </row>
    <row r="61" customFormat="false" ht="15" hidden="false" customHeight="false" outlineLevel="0" collapsed="false">
      <c r="A61" s="2" t="s">
        <v>286</v>
      </c>
      <c r="B61" s="14" t="n">
        <f aca="false">SUMIF(Monthly!$B$5:$B$40,1,Monthly!$AN$5:$AN$40)</f>
        <v>2875</v>
      </c>
      <c r="C61" s="14" t="n">
        <f aca="false">SUMIF(Monthly!$B$5:$B$40,2,Monthly!$AN$5:$AN$40)</f>
        <v>3000</v>
      </c>
      <c r="D61" s="14" t="n">
        <f aca="false">SUMIF(Monthly!$B$5:$B$40,3,Monthly!$AN$5:$AN$40)</f>
        <v>1562.5</v>
      </c>
    </row>
    <row r="63" customFormat="false" ht="15" hidden="false" customHeight="false" outlineLevel="0" collapsed="false">
      <c r="A63" s="2" t="s">
        <v>287</v>
      </c>
      <c r="B63" s="18" t="n">
        <f aca="false">B57-B54</f>
        <v>7278177.85275</v>
      </c>
    </row>
    <row r="64" customFormat="false" ht="15" hidden="false" customHeight="false" outlineLevel="0" collapsed="false">
      <c r="A64" s="2" t="s">
        <v>288</v>
      </c>
      <c r="B64" s="18" t="n">
        <f aca="false">(D54-Inputs!$B$80*D57)/(1-Inputs!$B$58)</f>
        <v>9011140.17145526</v>
      </c>
    </row>
    <row r="65" customFormat="false" ht="15" hidden="false" customHeight="false" outlineLevel="0" collapsed="false">
      <c r="A65" s="2" t="s">
        <v>289</v>
      </c>
      <c r="B65" s="21" t="n">
        <f aca="false">B64/D10</f>
        <v>0.156773725544565</v>
      </c>
    </row>
    <row r="66" customFormat="false" ht="15" hidden="false" customHeight="false" outlineLevel="0" collapsed="false">
      <c r="A66" s="2" t="s">
        <v>290</v>
      </c>
      <c r="B66" s="18" t="n">
        <f aca="false">(D54-Inputs!$B$81*D57)/(1-Inputs!$B$58)</f>
        <v>13371964.9137233</v>
      </c>
    </row>
    <row r="67" customFormat="false" ht="15" hidden="false" customHeight="false" outlineLevel="0" collapsed="false">
      <c r="A67" s="2" t="s">
        <v>289</v>
      </c>
      <c r="B67" s="21" t="n">
        <f aca="false">B66/D10</f>
        <v>0.232642342421475</v>
      </c>
    </row>
    <row r="68" customFormat="false" ht="15" hidden="false" customHeight="false" outlineLevel="0" collapsed="false">
      <c r="A68" s="2" t="s">
        <v>291</v>
      </c>
      <c r="B68" s="20" t="n">
        <f aca="false">B30/((B34+B35+B36)*12)</f>
        <v>146.487654089674</v>
      </c>
    </row>
    <row r="69" customFormat="false" ht="15" hidden="false" customHeight="false" outlineLevel="0" collapsed="false">
      <c r="A69" s="2" t="s">
        <v>292</v>
      </c>
      <c r="B69" s="20" t="n">
        <f aca="false">B68*(1-Inputs!$B$58)</f>
        <v>142.093024466984</v>
      </c>
    </row>
    <row r="70" customFormat="false" ht="15" hidden="false" customHeight="false" outlineLevel="0" collapsed="false">
      <c r="A70" s="2" t="s">
        <v>293</v>
      </c>
      <c r="B70" s="18" t="n">
        <f aca="false">B33+B22</f>
        <v>9364671.12</v>
      </c>
    </row>
    <row r="71" customFormat="false" ht="15" hidden="false" customHeight="false" outlineLevel="0" collapsed="false">
      <c r="A71" s="2" t="s">
        <v>294</v>
      </c>
      <c r="B71" s="18" t="n">
        <f aca="false">B70/(B69*12)</f>
        <v>5492.10112830928</v>
      </c>
    </row>
    <row r="72" customFormat="false" ht="15" hidden="false" customHeight="false" outlineLevel="0" collapsed="false">
      <c r="A72" s="2" t="s">
        <v>295</v>
      </c>
      <c r="B72" s="18" t="n">
        <f aca="false">(B70+B53+B57)/(B69*12)</f>
        <v>17491.2826954253</v>
      </c>
    </row>
    <row r="73" customFormat="false" ht="15" hidden="false" customHeight="false" outlineLevel="0" collapsed="false">
      <c r="A73" s="2" t="s">
        <v>296</v>
      </c>
      <c r="B73" s="21" t="n">
        <f aca="false">D7/D10</f>
        <v>0.310588780708002</v>
      </c>
    </row>
    <row r="74" customFormat="false" ht="15" hidden="false" customHeight="false" outlineLevel="0" collapsed="false">
      <c r="A74" s="2" t="s">
        <v>297</v>
      </c>
      <c r="B74" s="18" t="n">
        <f aca="false">Cooling!B12-Cooling!C12</f>
        <v>352480.5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6"/>
    <col collapsed="false" customWidth="true" hidden="false" outlineLevel="0" max="5" min="5" style="0" width="4"/>
    <col collapsed="false" customWidth="true" hidden="false" outlineLevel="0" max="6" min="6" style="0" width="10"/>
    <col collapsed="false" customWidth="true" hidden="false" outlineLevel="0" max="9" min="7" style="0" width="12"/>
    <col collapsed="false" customWidth="true" hidden="false" outlineLevel="0" max="12" min="10" style="0" width="14"/>
  </cols>
  <sheetData>
    <row r="1" customFormat="false" ht="16.15" hidden="false" customHeight="false" outlineLevel="0" collapsed="false">
      <c r="A1" s="3" t="s">
        <v>298</v>
      </c>
    </row>
    <row r="2" customFormat="false" ht="15" hidden="false" customHeight="false" outlineLevel="0" collapsed="false">
      <c r="A2" s="2" t="s">
        <v>299</v>
      </c>
    </row>
    <row r="4" customFormat="false" ht="26.85" hidden="false" customHeight="false" outlineLevel="0" collapsed="false">
      <c r="A4" s="13" t="s">
        <v>300</v>
      </c>
      <c r="B4" s="13" t="s">
        <v>301</v>
      </c>
      <c r="C4" s="13" t="s">
        <v>302</v>
      </c>
      <c r="D4" s="13" t="s">
        <v>303</v>
      </c>
    </row>
    <row r="5" customFormat="false" ht="15" hidden="false" customHeight="false" outlineLevel="0" collapsed="false">
      <c r="A5" s="2" t="s">
        <v>304</v>
      </c>
      <c r="B5" s="19" t="n">
        <f aca="false">Annual!B45</f>
        <v>1.43628099173554</v>
      </c>
      <c r="C5" s="19" t="n">
        <f aca="false">SUMIF(Monthly!$B$5:$B$40,1,$I$21:$I$56)/SUMIF(Monthly!$B$5:$B$40,1,Monthly!$W$5:$W$40)</f>
        <v>1.73586776859504</v>
      </c>
      <c r="D5" s="19" t="n">
        <f aca="false">SUMIF(Monthly!$B$5:$B$40,1,$K$21:$K$56)/SUMIF(Monthly!$B$5:$B$40,1,Monthly!$W$5:$W$40)</f>
        <v>1.40628099173554</v>
      </c>
    </row>
    <row r="6" customFormat="false" ht="15" hidden="false" customHeight="false" outlineLevel="0" collapsed="false">
      <c r="A6" s="2" t="s">
        <v>305</v>
      </c>
      <c r="B6" s="19" t="n">
        <f aca="false">Annual!C45</f>
        <v>1.40774891774892</v>
      </c>
      <c r="C6" s="19" t="n">
        <f aca="false">SUMIF(Monthly!$B$5:$B$40,2,$I$21:$I$56)/SUMIF(Monthly!$B$5:$B$40,2,Monthly!$W$5:$W$40)</f>
        <v>1.49974025974026</v>
      </c>
      <c r="D6" s="19" t="n">
        <f aca="false">SUMIF(Monthly!$B$5:$B$40,2,$K$21:$K$56)/SUMIF(Monthly!$B$5:$B$40,2,Monthly!$W$5:$W$40)</f>
        <v>1.37774891774892</v>
      </c>
    </row>
    <row r="7" customFormat="false" ht="15" hidden="false" customHeight="false" outlineLevel="0" collapsed="false">
      <c r="A7" s="2" t="s">
        <v>306</v>
      </c>
      <c r="B7" s="19" t="n">
        <f aca="false">Annual!D45</f>
        <v>1.39673981191223</v>
      </c>
      <c r="C7" s="19" t="n">
        <f aca="false">SUMIF(Monthly!$B$5:$B$40,3,$I$21:$I$56)/SUMIF(Monthly!$B$5:$B$40,3,Monthly!$W$5:$W$40)</f>
        <v>1.42808777429467</v>
      </c>
      <c r="D7" s="19" t="n">
        <f aca="false">SUMIF(Monthly!$B$5:$B$40,3,$K$21:$K$56)/SUMIF(Monthly!$B$5:$B$40,3,Monthly!$W$5:$W$40)</f>
        <v>1.36673981191223</v>
      </c>
    </row>
    <row r="8" customFormat="false" ht="15" hidden="false" customHeight="false" outlineLevel="0" collapsed="false">
      <c r="A8" s="2" t="s">
        <v>307</v>
      </c>
      <c r="B8" s="18" t="n">
        <f aca="false">Annual!B27</f>
        <v>133796.736</v>
      </c>
      <c r="C8" s="18" t="n">
        <f aca="false">SUMIF(Monthly!$B$5:$B$40,1,$J$21:$J$56)</f>
        <v>-218683.764</v>
      </c>
      <c r="D8" s="18" t="n">
        <f aca="false">SUMIF(Monthly!$B$5:$B$40,1,$L$21:$L$56)</f>
        <v>169093.404</v>
      </c>
    </row>
    <row r="9" customFormat="false" ht="15" hidden="false" customHeight="false" outlineLevel="0" collapsed="false">
      <c r="A9" s="2" t="s">
        <v>308</v>
      </c>
      <c r="B9" s="18" t="n">
        <f aca="false">Annual!C27</f>
        <v>329103.02088</v>
      </c>
      <c r="C9" s="18" t="n">
        <f aca="false">SUMIF(Monthly!$B$5:$B$40,2,$J$21:$J$56)</f>
        <v>116277.72588</v>
      </c>
      <c r="D9" s="18" t="n">
        <f aca="false">SUMIF(Monthly!$B$5:$B$40,2,$L$21:$L$56)</f>
        <v>398509.10532</v>
      </c>
    </row>
    <row r="10" customFormat="false" ht="15" hidden="false" customHeight="false" outlineLevel="0" collapsed="false">
      <c r="A10" s="2" t="s">
        <v>309</v>
      </c>
      <c r="B10" s="18" t="n">
        <f aca="false">Annual!D27</f>
        <v>504337.8603636</v>
      </c>
      <c r="C10" s="18" t="n">
        <f aca="false">SUMIF(Monthly!$B$5:$B$40,3,$J$21:$J$56)</f>
        <v>401180.1879636</v>
      </c>
      <c r="D10" s="18" t="n">
        <f aca="false">SUMIF(Monthly!$B$5:$B$40,3,$L$21:$L$56)</f>
        <v>603059.7528504</v>
      </c>
    </row>
    <row r="12" customFormat="false" ht="15" hidden="false" customHeight="false" outlineLevel="0" collapsed="false">
      <c r="A12" s="0" t="s">
        <v>310</v>
      </c>
      <c r="B12" s="18" t="n">
        <f aca="false">B8</f>
        <v>133796.736</v>
      </c>
      <c r="C12" s="18" t="n">
        <f aca="false">C8</f>
        <v>-218683.764</v>
      </c>
    </row>
    <row r="13" customFormat="false" ht="15" hidden="false" customHeight="false" outlineLevel="0" collapsed="false">
      <c r="A13" s="0" t="s">
        <v>311</v>
      </c>
      <c r="B13" s="19" t="n">
        <f aca="false">Monthly!K5</f>
        <v>1.4525147579693</v>
      </c>
    </row>
    <row r="14" customFormat="false" ht="15" hidden="false" customHeight="false" outlineLevel="0" collapsed="false">
      <c r="A14" s="0" t="s">
        <v>312</v>
      </c>
      <c r="B14" s="19" t="n">
        <f aca="false">G21</f>
        <v>2.09005903187721</v>
      </c>
    </row>
    <row r="15" customFormat="false" ht="15" hidden="false" customHeight="false" outlineLevel="0" collapsed="false">
      <c r="A15" s="0" t="s">
        <v>313</v>
      </c>
      <c r="B15" s="18" t="n">
        <f aca="false">Inputs!$B$39/(Inputs!$B$44-1-Inputs!$B$36)</f>
        <v>725.806451612903</v>
      </c>
    </row>
    <row r="16" customFormat="false" ht="15" hidden="false" customHeight="false" outlineLevel="0" collapsed="false">
      <c r="A16" s="0" t="s">
        <v>314</v>
      </c>
      <c r="B16" s="18" t="n">
        <f aca="false">B15/Inputs!$B$19</f>
        <v>1319.64809384164</v>
      </c>
    </row>
    <row r="20" customFormat="false" ht="26.85" hidden="false" customHeight="false" outlineLevel="0" collapsed="false">
      <c r="A20" s="13"/>
      <c r="B20" s="13"/>
      <c r="C20" s="13"/>
      <c r="D20" s="13"/>
      <c r="E20" s="13"/>
      <c r="F20" s="13" t="s">
        <v>127</v>
      </c>
      <c r="G20" s="13" t="s">
        <v>315</v>
      </c>
      <c r="H20" s="13" t="s">
        <v>316</v>
      </c>
      <c r="I20" s="13" t="s">
        <v>317</v>
      </c>
      <c r="J20" s="13" t="s">
        <v>318</v>
      </c>
      <c r="K20" s="13" t="s">
        <v>319</v>
      </c>
      <c r="L20" s="13" t="s">
        <v>320</v>
      </c>
    </row>
    <row r="21" customFormat="false" ht="15" hidden="false" customHeight="false" outlineLevel="0" collapsed="false">
      <c r="F21" s="0" t="n">
        <f aca="false">Monthly!A5</f>
        <v>1</v>
      </c>
      <c r="G21" s="29" t="n">
        <f aca="false">1+Inputs!$B$36+Inputs!$B$39*Inputs!$B$6/Monthly!H5</f>
        <v>2.09005903187721</v>
      </c>
      <c r="H21" s="29" t="n">
        <f aca="false">1+Inputs!$B$43+Inputs!$B$39*Monthly!G5/Monthly!H5</f>
        <v>1.4225147579693</v>
      </c>
      <c r="I21" s="18" t="n">
        <f aca="false">Monthly!W5*G21</f>
        <v>1615.3805</v>
      </c>
      <c r="J21" s="18" t="n">
        <f aca="false">Monthly!AF5-I21*Monthly!N5</f>
        <v>-30887.96075</v>
      </c>
      <c r="K21" s="18" t="n">
        <f aca="false">Monthly!W5*H21</f>
        <v>1099.443875</v>
      </c>
      <c r="L21" s="18" t="n">
        <f aca="false">Monthly!AF5-K21*Monthly!N5</f>
        <v>7291.34950000001</v>
      </c>
    </row>
    <row r="22" customFormat="false" ht="15" hidden="false" customHeight="false" outlineLevel="0" collapsed="false">
      <c r="F22" s="0" t="n">
        <f aca="false">Monthly!A6</f>
        <v>2</v>
      </c>
      <c r="G22" s="29" t="n">
        <f aca="false">1+Inputs!$B$36+Inputs!$B$39*Inputs!$B$6/Monthly!H6</f>
        <v>1.99235109717868</v>
      </c>
      <c r="H22" s="29" t="n">
        <f aca="false">1+Inputs!$B$43+Inputs!$B$39*Monthly!G6/Monthly!H6</f>
        <v>1.39808777429467</v>
      </c>
      <c r="I22" s="18" t="n">
        <f aca="false">Monthly!W6*G22</f>
        <v>1739.8455</v>
      </c>
      <c r="J22" s="18" t="n">
        <f aca="false">Monthly!AF6-I22*Monthly!N6</f>
        <v>-28585.35825</v>
      </c>
      <c r="K22" s="18" t="n">
        <f aca="false">Monthly!W6*H22</f>
        <v>1220.897625</v>
      </c>
      <c r="L22" s="18" t="n">
        <f aca="false">Monthly!AF6-K22*Monthly!N6</f>
        <v>9816.78450000001</v>
      </c>
    </row>
    <row r="23" customFormat="false" ht="15" hidden="false" customHeight="false" outlineLevel="0" collapsed="false">
      <c r="F23" s="0" t="n">
        <f aca="false">Monthly!A7</f>
        <v>3</v>
      </c>
      <c r="G23" s="29" t="n">
        <f aca="false">1+Inputs!$B$36+Inputs!$B$39*Inputs!$B$6/Monthly!H7</f>
        <v>1.91478912839738</v>
      </c>
      <c r="H23" s="29" t="n">
        <f aca="false">1+Inputs!$B$43+Inputs!$B$39*Monthly!G7/Monthly!H7</f>
        <v>1.37869728209934</v>
      </c>
      <c r="I23" s="18" t="n">
        <f aca="false">Monthly!W7*G23</f>
        <v>1864.3105</v>
      </c>
      <c r="J23" s="18" t="n">
        <f aca="false">Monthly!AF7-I23*Monthly!N7</f>
        <v>-26282.75575</v>
      </c>
      <c r="K23" s="18" t="n">
        <f aca="false">Monthly!W7*H23</f>
        <v>1342.351375</v>
      </c>
      <c r="L23" s="18" t="n">
        <f aca="false">Monthly!AF7-K23*Monthly!N7</f>
        <v>12342.2195</v>
      </c>
    </row>
    <row r="24" customFormat="false" ht="15" hidden="false" customHeight="false" outlineLevel="0" collapsed="false">
      <c r="F24" s="0" t="n">
        <f aca="false">Monthly!A8</f>
        <v>4</v>
      </c>
      <c r="G24" s="29" t="n">
        <f aca="false">1+Inputs!$B$36+Inputs!$B$39*Inputs!$B$6/Monthly!H8</f>
        <v>1.85172472387426</v>
      </c>
      <c r="H24" s="29" t="n">
        <f aca="false">1+Inputs!$B$43+Inputs!$B$39*Monthly!G8/Monthly!H8</f>
        <v>1.36293118096856</v>
      </c>
      <c r="I24" s="18" t="n">
        <f aca="false">Monthly!W8*G24</f>
        <v>1988.7755</v>
      </c>
      <c r="J24" s="18" t="n">
        <f aca="false">Monthly!AF8-I24*Monthly!N8</f>
        <v>-23980.15325</v>
      </c>
      <c r="K24" s="18" t="n">
        <f aca="false">Monthly!W8*H24</f>
        <v>1463.805125</v>
      </c>
      <c r="L24" s="18" t="n">
        <f aca="false">Monthly!AF8-K24*Monthly!N8</f>
        <v>14867.6545</v>
      </c>
    </row>
    <row r="25" customFormat="false" ht="15" hidden="false" customHeight="false" outlineLevel="0" collapsed="false">
      <c r="F25" s="0" t="n">
        <f aca="false">Monthly!A9</f>
        <v>5</v>
      </c>
      <c r="G25" s="29" t="n">
        <f aca="false">1+Inputs!$B$36+Inputs!$B$39*Inputs!$B$6/Monthly!H9</f>
        <v>1.79944055944056</v>
      </c>
      <c r="H25" s="29" t="n">
        <f aca="false">1+Inputs!$B$43+Inputs!$B$39*Monthly!G9/Monthly!H9</f>
        <v>1.34986013986014</v>
      </c>
      <c r="I25" s="18" t="n">
        <f aca="false">Monthly!W9*G25</f>
        <v>2113.2405</v>
      </c>
      <c r="J25" s="18" t="n">
        <f aca="false">Monthly!AF9-I25*Monthly!N9</f>
        <v>-21677.55075</v>
      </c>
      <c r="K25" s="18" t="n">
        <f aca="false">Monthly!W9*H25</f>
        <v>1585.258875</v>
      </c>
      <c r="L25" s="18" t="n">
        <f aca="false">Monthly!AF9-K25*Monthly!N9</f>
        <v>17393.0895</v>
      </c>
    </row>
    <row r="26" customFormat="false" ht="15" hidden="false" customHeight="false" outlineLevel="0" collapsed="false">
      <c r="F26" s="0" t="n">
        <f aca="false">Monthly!A10</f>
        <v>6</v>
      </c>
      <c r="G26" s="29" t="n">
        <f aca="false">1+Inputs!$B$36+Inputs!$B$39*Inputs!$B$6/Monthly!H10</f>
        <v>1.75539012168933</v>
      </c>
      <c r="H26" s="29" t="n">
        <f aca="false">1+Inputs!$B$43+Inputs!$B$39*Monthly!G10/Monthly!H10</f>
        <v>1.46769506084467</v>
      </c>
      <c r="I26" s="18" t="n">
        <f aca="false">Monthly!W10*G26</f>
        <v>2237.7055</v>
      </c>
      <c r="J26" s="18" t="n">
        <f aca="false">Monthly!AF10-I26*Monthly!N10</f>
        <v>-19374.94825</v>
      </c>
      <c r="K26" s="18" t="n">
        <f aca="false">Monthly!W10*H26</f>
        <v>1870.962625</v>
      </c>
      <c r="L26" s="18" t="n">
        <f aca="false">Monthly!AF10-K26*Monthly!N10</f>
        <v>7764.0245</v>
      </c>
    </row>
    <row r="27" customFormat="false" ht="15" hidden="false" customHeight="false" outlineLevel="0" collapsed="false">
      <c r="F27" s="0" t="n">
        <f aca="false">Monthly!A11</f>
        <v>7</v>
      </c>
      <c r="G27" s="29" t="n">
        <f aca="false">1+Inputs!$B$36+Inputs!$B$39*Inputs!$B$6/Monthly!H11</f>
        <v>1.7177704047777</v>
      </c>
      <c r="H27" s="29" t="n">
        <f aca="false">1+Inputs!$B$43+Inputs!$B$39*Monthly!G11/Monthly!H11</f>
        <v>1.44888520238885</v>
      </c>
      <c r="I27" s="18" t="n">
        <f aca="false">Monthly!W11*G27</f>
        <v>2362.1705</v>
      </c>
      <c r="J27" s="18" t="n">
        <f aca="false">Monthly!AF11-I27*Monthly!N11</f>
        <v>-17072.34575</v>
      </c>
      <c r="K27" s="18" t="n">
        <f aca="false">Monthly!W11*H27</f>
        <v>1992.416375</v>
      </c>
      <c r="L27" s="18" t="n">
        <f aca="false">Monthly!AF11-K27*Monthly!N11</f>
        <v>10289.4595</v>
      </c>
    </row>
    <row r="28" customFormat="false" ht="15" hidden="false" customHeight="false" outlineLevel="0" collapsed="false">
      <c r="F28" s="0" t="n">
        <f aca="false">Monthly!A12</f>
        <v>8</v>
      </c>
      <c r="G28" s="29" t="n">
        <f aca="false">1+Inputs!$B$36+Inputs!$B$39*Inputs!$B$6/Monthly!H12</f>
        <v>1.68526901669759</v>
      </c>
      <c r="H28" s="29" t="n">
        <f aca="false">1+Inputs!$B$43+Inputs!$B$39*Monthly!G12/Monthly!H12</f>
        <v>1.43263450834879</v>
      </c>
      <c r="I28" s="18" t="n">
        <f aca="false">Monthly!W12*G28</f>
        <v>2486.6355</v>
      </c>
      <c r="J28" s="18" t="n">
        <f aca="false">Monthly!AF12-I28*Monthly!N12</f>
        <v>-14769.74325</v>
      </c>
      <c r="K28" s="18" t="n">
        <f aca="false">Monthly!W12*H28</f>
        <v>2113.870125</v>
      </c>
      <c r="L28" s="18" t="n">
        <f aca="false">Monthly!AF12-K28*Monthly!N12</f>
        <v>12814.8945</v>
      </c>
    </row>
    <row r="29" customFormat="false" ht="15" hidden="false" customHeight="false" outlineLevel="0" collapsed="false">
      <c r="F29" s="0" t="n">
        <f aca="false">Monthly!A13</f>
        <v>9</v>
      </c>
      <c r="G29" s="29" t="n">
        <f aca="false">1+Inputs!$B$36+Inputs!$B$39*Inputs!$B$6/Monthly!H13</f>
        <v>1.6569079328315</v>
      </c>
      <c r="H29" s="29" t="n">
        <f aca="false">1+Inputs!$B$43+Inputs!$B$39*Monthly!G13/Monthly!H13</f>
        <v>1.41845396641575</v>
      </c>
      <c r="I29" s="18" t="n">
        <f aca="false">Monthly!W13*G29</f>
        <v>2611.1005</v>
      </c>
      <c r="J29" s="18" t="n">
        <f aca="false">Monthly!AF13-I29*Monthly!N13</f>
        <v>-12467.14075</v>
      </c>
      <c r="K29" s="18" t="n">
        <f aca="false">Monthly!W13*H29</f>
        <v>2235.323875</v>
      </c>
      <c r="L29" s="18" t="n">
        <f aca="false">Monthly!AF13-K29*Monthly!N13</f>
        <v>15340.3295</v>
      </c>
    </row>
    <row r="30" customFormat="false" ht="15" hidden="false" customHeight="false" outlineLevel="0" collapsed="false">
      <c r="F30" s="0" t="n">
        <f aca="false">Monthly!A14</f>
        <v>10</v>
      </c>
      <c r="G30" s="29" t="n">
        <f aca="false">1+Inputs!$B$36+Inputs!$B$39*Inputs!$B$6/Monthly!H14</f>
        <v>1.63194338595536</v>
      </c>
      <c r="H30" s="29" t="n">
        <f aca="false">1+Inputs!$B$43+Inputs!$B$39*Monthly!G14/Monthly!H14</f>
        <v>1.40597169297768</v>
      </c>
      <c r="I30" s="18" t="n">
        <f aca="false">Monthly!W14*G30</f>
        <v>2735.5655</v>
      </c>
      <c r="J30" s="18" t="n">
        <f aca="false">Monthly!AF14-I30*Monthly!N14</f>
        <v>-10164.53825</v>
      </c>
      <c r="K30" s="18" t="n">
        <f aca="false">Monthly!W14*H30</f>
        <v>2356.777625</v>
      </c>
      <c r="L30" s="18" t="n">
        <f aca="false">Monthly!AF14-K30*Monthly!N14</f>
        <v>17865.7645000001</v>
      </c>
    </row>
    <row r="31" customFormat="false" ht="15" hidden="false" customHeight="false" outlineLevel="0" collapsed="false">
      <c r="F31" s="0" t="n">
        <f aca="false">Monthly!A15</f>
        <v>11</v>
      </c>
      <c r="G31" s="29" t="n">
        <f aca="false">1+Inputs!$B$36+Inputs!$B$39*Inputs!$B$6/Monthly!H15</f>
        <v>1.60979969183359</v>
      </c>
      <c r="H31" s="29" t="n">
        <f aca="false">1+Inputs!$B$43+Inputs!$B$39*Monthly!G15/Monthly!H15</f>
        <v>1.3948998459168</v>
      </c>
      <c r="I31" s="18" t="n">
        <f aca="false">Monthly!W15*G31</f>
        <v>2860.0305</v>
      </c>
      <c r="J31" s="18" t="n">
        <f aca="false">Monthly!AF15-I31*Monthly!N15</f>
        <v>-7861.93575</v>
      </c>
      <c r="K31" s="18" t="n">
        <f aca="false">Monthly!W15*H31</f>
        <v>2478.231375</v>
      </c>
      <c r="L31" s="18" t="n">
        <f aca="false">Monthly!AF15-K31*Monthly!N15</f>
        <v>20391.1995</v>
      </c>
    </row>
    <row r="32" customFormat="false" ht="15" hidden="false" customHeight="false" outlineLevel="0" collapsed="false">
      <c r="F32" s="0" t="n">
        <f aca="false">Monthly!A16</f>
        <v>12</v>
      </c>
      <c r="G32" s="29" t="n">
        <f aca="false">1+Inputs!$B$36+Inputs!$B$39*Inputs!$B$6/Monthly!H16</f>
        <v>1.59002430724356</v>
      </c>
      <c r="H32" s="29" t="n">
        <f aca="false">1+Inputs!$B$43+Inputs!$B$39*Monthly!G16/Monthly!H16</f>
        <v>1.38501215362178</v>
      </c>
      <c r="I32" s="18" t="n">
        <f aca="false">Monthly!W16*G32</f>
        <v>2984.4955</v>
      </c>
      <c r="J32" s="18" t="n">
        <f aca="false">Monthly!AF16-I32*Monthly!N16</f>
        <v>-5559.33325000003</v>
      </c>
      <c r="K32" s="18" t="n">
        <f aca="false">Monthly!W16*H32</f>
        <v>2599.685125</v>
      </c>
      <c r="L32" s="18" t="n">
        <f aca="false">Monthly!AF16-K32*Monthly!N16</f>
        <v>22916.6345</v>
      </c>
    </row>
    <row r="33" customFormat="false" ht="15" hidden="false" customHeight="false" outlineLevel="0" collapsed="false">
      <c r="F33" s="0" t="n">
        <f aca="false">Monthly!A17</f>
        <v>13</v>
      </c>
      <c r="G33" s="29" t="n">
        <f aca="false">1+Inputs!$B$36+Inputs!$B$39*Inputs!$B$6/Monthly!H17</f>
        <v>1.5722565759114</v>
      </c>
      <c r="H33" s="29" t="n">
        <f aca="false">1+Inputs!$B$43+Inputs!$B$39*Monthly!G17/Monthly!H17</f>
        <v>1.3761282879557</v>
      </c>
      <c r="I33" s="18" t="n">
        <f aca="false">Monthly!W17*G33</f>
        <v>3108.9605</v>
      </c>
      <c r="J33" s="18" t="n">
        <f aca="false">Monthly!AF17-I33*Monthly!N17</f>
        <v>-3354.43267250003</v>
      </c>
      <c r="K33" s="18" t="n">
        <f aca="false">Monthly!W17*H33</f>
        <v>2721.138875</v>
      </c>
      <c r="L33" s="18" t="n">
        <f aca="false">Monthly!AF17-K33*Monthly!N17</f>
        <v>26205.331585</v>
      </c>
    </row>
    <row r="34" customFormat="false" ht="15" hidden="false" customHeight="false" outlineLevel="0" collapsed="false">
      <c r="F34" s="0" t="n">
        <f aca="false">Monthly!A18</f>
        <v>14</v>
      </c>
      <c r="G34" s="29" t="n">
        <f aca="false">1+Inputs!$B$36+Inputs!$B$39*Inputs!$B$6/Monthly!H18</f>
        <v>1.55620553359684</v>
      </c>
      <c r="H34" s="29" t="n">
        <f aca="false">1+Inputs!$B$43+Inputs!$B$39*Monthly!G18/Monthly!H18</f>
        <v>1.36810276679842</v>
      </c>
      <c r="I34" s="18" t="n">
        <f aca="false">Monthly!W18*G34</f>
        <v>3233.4255</v>
      </c>
      <c r="J34" s="18" t="n">
        <f aca="false">Monthly!AF18-I34*Monthly!N18</f>
        <v>-982.752097499964</v>
      </c>
      <c r="K34" s="18" t="n">
        <f aca="false">Monthly!W18*H34</f>
        <v>2842.592625</v>
      </c>
      <c r="L34" s="18" t="n">
        <f aca="false">Monthly!AF18-K34*Monthly!N18</f>
        <v>28806.529635</v>
      </c>
    </row>
    <row r="35" customFormat="false" ht="15" hidden="false" customHeight="false" outlineLevel="0" collapsed="false">
      <c r="F35" s="0" t="n">
        <f aca="false">Monthly!A19</f>
        <v>15</v>
      </c>
      <c r="G35" s="29" t="n">
        <f aca="false">1+Inputs!$B$36+Inputs!$B$39*Inputs!$B$6/Monthly!H19</f>
        <v>1.54163385002095</v>
      </c>
      <c r="H35" s="29" t="n">
        <f aca="false">1+Inputs!$B$43+Inputs!$B$39*Monthly!G19/Monthly!H19</f>
        <v>1.36081692501047</v>
      </c>
      <c r="I35" s="18" t="n">
        <f aca="false">Monthly!W19*G35</f>
        <v>3357.8905</v>
      </c>
      <c r="J35" s="18" t="n">
        <f aca="false">Monthly!AF19-I35*Monthly!N19</f>
        <v>1388.92847749998</v>
      </c>
      <c r="K35" s="18" t="n">
        <f aca="false">Monthly!W19*H35</f>
        <v>2964.046375</v>
      </c>
      <c r="L35" s="18" t="n">
        <f aca="false">Monthly!AF19-K35*Monthly!N19</f>
        <v>31407.727685</v>
      </c>
    </row>
    <row r="36" customFormat="false" ht="15" hidden="false" customHeight="false" outlineLevel="0" collapsed="false">
      <c r="F36" s="0" t="n">
        <f aca="false">Monthly!A20</f>
        <v>16</v>
      </c>
      <c r="G36" s="29" t="n">
        <f aca="false">1+Inputs!$B$36+Inputs!$B$39*Inputs!$B$6/Monthly!H20</f>
        <v>1.52834601521826</v>
      </c>
      <c r="H36" s="29" t="n">
        <f aca="false">1+Inputs!$B$43+Inputs!$B$39*Monthly!G20/Monthly!H20</f>
        <v>1.35417300760913</v>
      </c>
      <c r="I36" s="18" t="n">
        <f aca="false">Monthly!W20*G36</f>
        <v>3482.3555</v>
      </c>
      <c r="J36" s="18" t="n">
        <f aca="false">Monthly!AF20-I36*Monthly!N20</f>
        <v>3760.60905249999</v>
      </c>
      <c r="K36" s="18" t="n">
        <f aca="false">Monthly!W20*H36</f>
        <v>3085.500125</v>
      </c>
      <c r="L36" s="18" t="n">
        <f aca="false">Monthly!AF20-K36*Monthly!N20</f>
        <v>34008.925735</v>
      </c>
    </row>
    <row r="37" customFormat="false" ht="15" hidden="false" customHeight="false" outlineLevel="0" collapsed="false">
      <c r="F37" s="0" t="n">
        <f aca="false">Monthly!A21</f>
        <v>17</v>
      </c>
      <c r="G37" s="29" t="n">
        <f aca="false">1+Inputs!$B$36+Inputs!$B$39*Inputs!$B$6/Monthly!H21</f>
        <v>1.51617951668585</v>
      </c>
      <c r="H37" s="29" t="n">
        <f aca="false">1+Inputs!$B$43+Inputs!$B$39*Monthly!G21/Monthly!H21</f>
        <v>1.34808975834292</v>
      </c>
      <c r="I37" s="18" t="n">
        <f aca="false">Monthly!W21*G37</f>
        <v>3606.8205</v>
      </c>
      <c r="J37" s="18" t="n">
        <f aca="false">Monthly!AF21-I37*Monthly!N21</f>
        <v>6132.28962750005</v>
      </c>
      <c r="K37" s="18" t="n">
        <f aca="false">Monthly!W21*H37</f>
        <v>3206.953875</v>
      </c>
      <c r="L37" s="18" t="n">
        <f aca="false">Monthly!AF21-K37*Monthly!N21</f>
        <v>36610.123785</v>
      </c>
    </row>
    <row r="38" customFormat="false" ht="15" hidden="false" customHeight="false" outlineLevel="0" collapsed="false">
      <c r="F38" s="0" t="n">
        <f aca="false">Monthly!A22</f>
        <v>18</v>
      </c>
      <c r="G38" s="29" t="n">
        <f aca="false">1+Inputs!$B$36+Inputs!$B$39*Inputs!$B$6/Monthly!H22</f>
        <v>1.504998159735</v>
      </c>
      <c r="H38" s="29" t="n">
        <f aca="false">1+Inputs!$B$43+Inputs!$B$39*Monthly!G22/Monthly!H22</f>
        <v>1.40874861980125</v>
      </c>
      <c r="I38" s="18" t="n">
        <f aca="false">Monthly!W22*G38</f>
        <v>3731.2855</v>
      </c>
      <c r="J38" s="18" t="n">
        <f aca="false">Monthly!AF22-I38*Monthly!N22</f>
        <v>8503.9702025</v>
      </c>
      <c r="K38" s="18" t="n">
        <f aca="false">Monthly!W22*H38</f>
        <v>3492.657625</v>
      </c>
      <c r="L38" s="18" t="n">
        <f aca="false">Monthly!AF22-K38*Monthly!N22</f>
        <v>26692.186835</v>
      </c>
    </row>
    <row r="39" customFormat="false" ht="15" hidden="false" customHeight="false" outlineLevel="0" collapsed="false">
      <c r="F39" s="0" t="n">
        <f aca="false">Monthly!A23</f>
        <v>19</v>
      </c>
      <c r="G39" s="29" t="n">
        <f aca="false">1+Inputs!$B$36+Inputs!$B$39*Inputs!$B$6/Monthly!H23</f>
        <v>1.49468694729395</v>
      </c>
      <c r="H39" s="29" t="n">
        <f aca="false">1+Inputs!$B$43+Inputs!$B$39*Monthly!G23/Monthly!H23</f>
        <v>1.40101521047046</v>
      </c>
      <c r="I39" s="18" t="n">
        <f aca="false">Monthly!W23*G39</f>
        <v>3855.7505</v>
      </c>
      <c r="J39" s="18" t="n">
        <f aca="false">Monthly!AF23-I39*Monthly!N23</f>
        <v>10875.6507775001</v>
      </c>
      <c r="K39" s="18" t="n">
        <f aca="false">Monthly!W23*H39</f>
        <v>3614.111375</v>
      </c>
      <c r="L39" s="18" t="n">
        <f aca="false">Monthly!AF23-K39*Monthly!N23</f>
        <v>29293.384885</v>
      </c>
    </row>
    <row r="40" customFormat="false" ht="15" hidden="false" customHeight="false" outlineLevel="0" collapsed="false">
      <c r="F40" s="0" t="n">
        <f aca="false">Monthly!A24</f>
        <v>20</v>
      </c>
      <c r="G40" s="29" t="n">
        <f aca="false">1+Inputs!$B$36+Inputs!$B$39*Inputs!$B$6/Monthly!H24</f>
        <v>1.48514811031665</v>
      </c>
      <c r="H40" s="29" t="n">
        <f aca="false">1+Inputs!$B$43+Inputs!$B$39*Monthly!G24/Monthly!H24</f>
        <v>1.39386108273749</v>
      </c>
      <c r="I40" s="18" t="n">
        <f aca="false">Monthly!W24*G40</f>
        <v>3980.2155</v>
      </c>
      <c r="J40" s="18" t="n">
        <f aca="false">Monthly!AF24-I40*Monthly!N24</f>
        <v>13247.3313525</v>
      </c>
      <c r="K40" s="18" t="n">
        <f aca="false">Monthly!W24*H40</f>
        <v>3735.565125</v>
      </c>
      <c r="L40" s="18" t="n">
        <f aca="false">Monthly!AF24-K40*Monthly!N24</f>
        <v>31894.5829350001</v>
      </c>
    </row>
    <row r="41" customFormat="false" ht="15" hidden="false" customHeight="false" outlineLevel="0" collapsed="false">
      <c r="F41" s="0" t="n">
        <f aca="false">Monthly!A25</f>
        <v>21</v>
      </c>
      <c r="G41" s="29" t="n">
        <f aca="false">1+Inputs!$B$36+Inputs!$B$39*Inputs!$B$6/Monthly!H25</f>
        <v>1.47629799803085</v>
      </c>
      <c r="H41" s="29" t="n">
        <f aca="false">1+Inputs!$B$43+Inputs!$B$39*Monthly!G25/Monthly!H25</f>
        <v>1.38722349852314</v>
      </c>
      <c r="I41" s="18" t="n">
        <f aca="false">Monthly!W25*G41</f>
        <v>4104.6805</v>
      </c>
      <c r="J41" s="18" t="n">
        <f aca="false">Monthly!AF25-I41*Monthly!N25</f>
        <v>15619.0119275</v>
      </c>
      <c r="K41" s="18" t="n">
        <f aca="false">Monthly!W25*H41</f>
        <v>3857.018875</v>
      </c>
      <c r="L41" s="18" t="n">
        <f aca="false">Monthly!AF25-K41*Monthly!N25</f>
        <v>34495.780985</v>
      </c>
    </row>
    <row r="42" customFormat="false" ht="15" hidden="false" customHeight="false" outlineLevel="0" collapsed="false">
      <c r="F42" s="0" t="n">
        <f aca="false">Monthly!A26</f>
        <v>22</v>
      </c>
      <c r="G42" s="29" t="n">
        <f aca="false">1+Inputs!$B$36+Inputs!$B$39*Inputs!$B$6/Monthly!H26</f>
        <v>1.46806461830852</v>
      </c>
      <c r="H42" s="29" t="n">
        <f aca="false">1+Inputs!$B$43+Inputs!$B$39*Monthly!G26/Monthly!H26</f>
        <v>1.38104846373139</v>
      </c>
      <c r="I42" s="18" t="n">
        <f aca="false">Monthly!W26*G42</f>
        <v>4229.1455</v>
      </c>
      <c r="J42" s="18" t="n">
        <f aca="false">Monthly!AF26-I42*Monthly!N26</f>
        <v>17990.6925025</v>
      </c>
      <c r="K42" s="18" t="n">
        <f aca="false">Monthly!W26*H42</f>
        <v>3978.472625</v>
      </c>
      <c r="L42" s="18" t="n">
        <f aca="false">Monthly!AF26-K42*Monthly!N26</f>
        <v>37096.979035</v>
      </c>
    </row>
    <row r="43" customFormat="false" ht="15" hidden="false" customHeight="false" outlineLevel="0" collapsed="false">
      <c r="F43" s="0" t="n">
        <f aca="false">Monthly!A27</f>
        <v>23</v>
      </c>
      <c r="G43" s="29" t="n">
        <f aca="false">1+Inputs!$B$36+Inputs!$B$39*Inputs!$B$6/Monthly!H27</f>
        <v>1.46038567493113</v>
      </c>
      <c r="H43" s="29" t="n">
        <f aca="false">1+Inputs!$B$43+Inputs!$B$39*Monthly!G27/Monthly!H27</f>
        <v>1.37528925619835</v>
      </c>
      <c r="I43" s="18" t="n">
        <f aca="false">Monthly!W27*G43</f>
        <v>4353.6105</v>
      </c>
      <c r="J43" s="18" t="n">
        <f aca="false">Monthly!AF27-I43*Monthly!N27</f>
        <v>20362.3730775</v>
      </c>
      <c r="K43" s="18" t="n">
        <f aca="false">Monthly!W27*H43</f>
        <v>4099.926375</v>
      </c>
      <c r="L43" s="18" t="n">
        <f aca="false">Monthly!AF27-K43*Monthly!N27</f>
        <v>39698.177085</v>
      </c>
    </row>
    <row r="44" customFormat="false" ht="15" hidden="false" customHeight="false" outlineLevel="0" collapsed="false">
      <c r="F44" s="0" t="n">
        <f aca="false">Monthly!A28</f>
        <v>24</v>
      </c>
      <c r="G44" s="29" t="n">
        <f aca="false">1+Inputs!$B$36+Inputs!$B$39*Inputs!$B$6/Monthly!H28</f>
        <v>1.45320698845129</v>
      </c>
      <c r="H44" s="29" t="n">
        <f aca="false">1+Inputs!$B$43+Inputs!$B$39*Monthly!G28/Monthly!H28</f>
        <v>1.36990524133847</v>
      </c>
      <c r="I44" s="18" t="n">
        <f aca="false">Monthly!W28*G44</f>
        <v>4478.0755</v>
      </c>
      <c r="J44" s="18" t="n">
        <f aca="false">Monthly!AF28-I44*Monthly!N28</f>
        <v>22734.0536525</v>
      </c>
      <c r="K44" s="18" t="n">
        <f aca="false">Monthly!W28*H44</f>
        <v>4221.380125</v>
      </c>
      <c r="L44" s="18" t="n">
        <f aca="false">Monthly!AF28-K44*Monthly!N28</f>
        <v>42299.375135</v>
      </c>
    </row>
    <row r="45" customFormat="false" ht="15" hidden="false" customHeight="false" outlineLevel="0" collapsed="false">
      <c r="F45" s="0" t="n">
        <f aca="false">Monthly!A29</f>
        <v>25</v>
      </c>
      <c r="G45" s="29" t="n">
        <f aca="false">1+Inputs!$B$36+Inputs!$B$39*Inputs!$B$6/Monthly!H29</f>
        <v>1.44779220779221</v>
      </c>
      <c r="H45" s="29" t="n">
        <f aca="false">1+Inputs!$B$43+Inputs!$B$39*Monthly!G29/Monthly!H29</f>
        <v>1.36584415584416</v>
      </c>
      <c r="I45" s="18" t="n">
        <f aca="false">Monthly!W29*G45</f>
        <v>4577.6475</v>
      </c>
      <c r="J45" s="18" t="n">
        <f aca="false">Monthly!AF29-I45*Monthly!N29</f>
        <v>25370.340055875</v>
      </c>
      <c r="K45" s="18" t="n">
        <f aca="false">Monthly!W29*H45</f>
        <v>4318.543125</v>
      </c>
      <c r="L45" s="18" t="n">
        <f aca="false">Monthly!AF29-K45*Monthly!N29</f>
        <v>45711.74358225</v>
      </c>
    </row>
    <row r="46" customFormat="false" ht="15" hidden="false" customHeight="false" outlineLevel="0" collapsed="false">
      <c r="F46" s="0" t="n">
        <f aca="false">Monthly!A30</f>
        <v>26</v>
      </c>
      <c r="G46" s="29" t="n">
        <f aca="false">1+Inputs!$B$36+Inputs!$B$39*Inputs!$B$6/Monthly!H30</f>
        <v>1.44390824129142</v>
      </c>
      <c r="H46" s="29" t="n">
        <f aca="false">1+Inputs!$B$43+Inputs!$B$39*Monthly!G30/Monthly!H30</f>
        <v>1.36293118096856</v>
      </c>
      <c r="I46" s="18" t="n">
        <f aca="false">Monthly!W30*G46</f>
        <v>4652.3265</v>
      </c>
      <c r="J46" s="18" t="n">
        <f aca="false">Monthly!AF30-I46*Monthly!N30</f>
        <v>26836.038651225</v>
      </c>
      <c r="K46" s="18" t="n">
        <f aca="false">Monthly!W30*H46</f>
        <v>4391.415375</v>
      </c>
      <c r="L46" s="18" t="n">
        <f aca="false">Monthly!AF30-K46*Monthly!N30</f>
        <v>47319.28397715</v>
      </c>
    </row>
    <row r="47" customFormat="false" ht="15" hidden="false" customHeight="false" outlineLevel="0" collapsed="false">
      <c r="F47" s="0" t="n">
        <f aca="false">Monthly!A31</f>
        <v>27</v>
      </c>
      <c r="G47" s="29" t="n">
        <f aca="false">1+Inputs!$B$36+Inputs!$B$39*Inputs!$B$6/Monthly!H31</f>
        <v>1.44016680567139</v>
      </c>
      <c r="H47" s="29" t="n">
        <f aca="false">1+Inputs!$B$43+Inputs!$B$39*Monthly!G31/Monthly!H31</f>
        <v>1.36012510425354</v>
      </c>
      <c r="I47" s="18" t="n">
        <f aca="false">Monthly!W31*G47</f>
        <v>4727.0055</v>
      </c>
      <c r="J47" s="18" t="n">
        <f aca="false">Monthly!AF31-I47*Monthly!N31</f>
        <v>28301.7372465751</v>
      </c>
      <c r="K47" s="18" t="n">
        <f aca="false">Monthly!W31*H47</f>
        <v>4464.287625</v>
      </c>
      <c r="L47" s="18" t="n">
        <f aca="false">Monthly!AF31-K47*Monthly!N31</f>
        <v>48926.8243720501</v>
      </c>
    </row>
    <row r="48" customFormat="false" ht="15" hidden="false" customHeight="false" outlineLevel="0" collapsed="false">
      <c r="F48" s="0" t="n">
        <f aca="false">Monthly!A32</f>
        <v>28</v>
      </c>
      <c r="G48" s="29" t="n">
        <f aca="false">1+Inputs!$B$36+Inputs!$B$39*Inputs!$B$6/Monthly!H32</f>
        <v>1.4365601965602</v>
      </c>
      <c r="H48" s="29" t="n">
        <f aca="false">1+Inputs!$B$43+Inputs!$B$39*Monthly!G32/Monthly!H32</f>
        <v>1.35742014742015</v>
      </c>
      <c r="I48" s="18" t="n">
        <f aca="false">Monthly!W32*G48</f>
        <v>4801.6845</v>
      </c>
      <c r="J48" s="18" t="n">
        <f aca="false">Monthly!AF32-I48*Monthly!N32</f>
        <v>29767.435841925</v>
      </c>
      <c r="K48" s="18" t="n">
        <f aca="false">Monthly!W32*H48</f>
        <v>4537.159875</v>
      </c>
      <c r="L48" s="18" t="n">
        <f aca="false">Monthly!AF32-K48*Monthly!N32</f>
        <v>50534.36476695</v>
      </c>
    </row>
    <row r="49" customFormat="false" ht="15" hidden="false" customHeight="false" outlineLevel="0" collapsed="false">
      <c r="F49" s="0" t="n">
        <f aca="false">Monthly!A33</f>
        <v>29</v>
      </c>
      <c r="G49" s="29" t="n">
        <f aca="false">1+Inputs!$B$36+Inputs!$B$39*Inputs!$B$6/Monthly!H33</f>
        <v>1.43308125502816</v>
      </c>
      <c r="H49" s="29" t="n">
        <f aca="false">1+Inputs!$B$43+Inputs!$B$39*Monthly!G33/Monthly!H33</f>
        <v>1.35481094127112</v>
      </c>
      <c r="I49" s="18" t="n">
        <f aca="false">Monthly!W33*G49</f>
        <v>4876.3635</v>
      </c>
      <c r="J49" s="18" t="n">
        <f aca="false">Monthly!AF33-I49*Monthly!N33</f>
        <v>31233.134437275</v>
      </c>
      <c r="K49" s="18" t="n">
        <f aca="false">Monthly!W33*H49</f>
        <v>4610.032125</v>
      </c>
      <c r="L49" s="18" t="n">
        <f aca="false">Monthly!AF33-K49*Monthly!N33</f>
        <v>52141.90516185</v>
      </c>
    </row>
    <row r="50" customFormat="false" ht="15" hidden="false" customHeight="false" outlineLevel="0" collapsed="false">
      <c r="F50" s="0" t="n">
        <f aca="false">Monthly!A34</f>
        <v>30</v>
      </c>
      <c r="G50" s="29" t="n">
        <f aca="false">1+Inputs!$B$36+Inputs!$B$39*Inputs!$B$6/Monthly!H34</f>
        <v>1.4297233201581</v>
      </c>
      <c r="H50" s="29" t="n">
        <f aca="false">1+Inputs!$B$43+Inputs!$B$39*Monthly!G34/Monthly!H34</f>
        <v>1.35229249011858</v>
      </c>
      <c r="I50" s="18" t="n">
        <f aca="false">Monthly!W34*G50</f>
        <v>4951.0425</v>
      </c>
      <c r="J50" s="18" t="n">
        <f aca="false">Monthly!AF34-I50*Monthly!N34</f>
        <v>32698.833032625</v>
      </c>
      <c r="K50" s="18" t="n">
        <f aca="false">Monthly!W34*H50</f>
        <v>4682.904375</v>
      </c>
      <c r="L50" s="18" t="n">
        <f aca="false">Monthly!AF34-K50*Monthly!N34</f>
        <v>53749.4455567501</v>
      </c>
    </row>
    <row r="51" customFormat="false" ht="15" hidden="false" customHeight="false" outlineLevel="0" collapsed="false">
      <c r="F51" s="0" t="n">
        <f aca="false">Monthly!A35</f>
        <v>31</v>
      </c>
      <c r="G51" s="29" t="n">
        <f aca="false">1+Inputs!$B$36+Inputs!$B$39*Inputs!$B$6/Monthly!H35</f>
        <v>1.42648018648019</v>
      </c>
      <c r="H51" s="29" t="n">
        <f aca="false">1+Inputs!$B$43+Inputs!$B$39*Monthly!G35/Monthly!H35</f>
        <v>1.34986013986014</v>
      </c>
      <c r="I51" s="18" t="n">
        <f aca="false">Monthly!W35*G51</f>
        <v>5025.7215</v>
      </c>
      <c r="J51" s="18" t="n">
        <f aca="false">Monthly!AF35-I51*Monthly!N35</f>
        <v>34164.5316279749</v>
      </c>
      <c r="K51" s="18" t="n">
        <f aca="false">Monthly!W35*H51</f>
        <v>4755.776625</v>
      </c>
      <c r="L51" s="18" t="n">
        <f aca="false">Monthly!AF35-K51*Monthly!N35</f>
        <v>55356.98595165</v>
      </c>
    </row>
    <row r="52" customFormat="false" ht="15" hidden="false" customHeight="false" outlineLevel="0" collapsed="false">
      <c r="F52" s="0" t="n">
        <f aca="false">Monthly!A36</f>
        <v>32</v>
      </c>
      <c r="G52" s="29" t="n">
        <f aca="false">1+Inputs!$B$36+Inputs!$B$39*Inputs!$B$6/Monthly!H36</f>
        <v>1.42334606569901</v>
      </c>
      <c r="H52" s="29" t="n">
        <f aca="false">1+Inputs!$B$43+Inputs!$B$39*Monthly!G36/Monthly!H36</f>
        <v>1.34750954927426</v>
      </c>
      <c r="I52" s="18" t="n">
        <f aca="false">Monthly!W36*G52</f>
        <v>5100.4005</v>
      </c>
      <c r="J52" s="18" t="n">
        <f aca="false">Monthly!AF36-I52*Monthly!N36</f>
        <v>35630.230223325</v>
      </c>
      <c r="K52" s="18" t="n">
        <f aca="false">Monthly!W36*H52</f>
        <v>4828.648875</v>
      </c>
      <c r="L52" s="18" t="n">
        <f aca="false">Monthly!AF36-K52*Monthly!N36</f>
        <v>56964.52634655</v>
      </c>
    </row>
    <row r="53" customFormat="false" ht="15" hidden="false" customHeight="false" outlineLevel="0" collapsed="false">
      <c r="F53" s="0" t="n">
        <f aca="false">Monthly!A37</f>
        <v>33</v>
      </c>
      <c r="G53" s="29" t="n">
        <f aca="false">1+Inputs!$B$36+Inputs!$B$39*Inputs!$B$6/Monthly!H37</f>
        <v>1.42031555221638</v>
      </c>
      <c r="H53" s="29" t="n">
        <f aca="false">1+Inputs!$B$43+Inputs!$B$39*Monthly!G37/Monthly!H37</f>
        <v>1.39031555221638</v>
      </c>
      <c r="I53" s="18" t="n">
        <f aca="false">Monthly!W37*G53</f>
        <v>5175.0795</v>
      </c>
      <c r="J53" s="18" t="n">
        <f aca="false">Monthly!AF37-I53*Monthly!N37</f>
        <v>37095.9288186751</v>
      </c>
      <c r="K53" s="18" t="n">
        <f aca="false">Monthly!W37*H53</f>
        <v>5065.771125</v>
      </c>
      <c r="L53" s="18" t="n">
        <f aca="false">Monthly!AF37-K53*Monthly!N37</f>
        <v>45677.35769145</v>
      </c>
    </row>
    <row r="54" customFormat="false" ht="15" hidden="false" customHeight="false" outlineLevel="0" collapsed="false">
      <c r="F54" s="0" t="n">
        <f aca="false">Monthly!A38</f>
        <v>34</v>
      </c>
      <c r="G54" s="29" t="n">
        <f aca="false">1+Inputs!$B$36+Inputs!$B$39*Inputs!$B$6/Monthly!H38</f>
        <v>1.41738359201774</v>
      </c>
      <c r="H54" s="29" t="n">
        <f aca="false">1+Inputs!$B$43+Inputs!$B$39*Monthly!G38/Monthly!H38</f>
        <v>1.38738359201774</v>
      </c>
      <c r="I54" s="18" t="n">
        <f aca="false">Monthly!W38*G54</f>
        <v>5249.7585</v>
      </c>
      <c r="J54" s="18" t="n">
        <f aca="false">Monthly!AF38-I54*Monthly!N38</f>
        <v>38561.627414025</v>
      </c>
      <c r="K54" s="18" t="n">
        <f aca="false">Monthly!W38*H54</f>
        <v>5138.643375</v>
      </c>
      <c r="L54" s="18" t="n">
        <f aca="false">Monthly!AF38-K54*Monthly!N38</f>
        <v>47284.8980863499</v>
      </c>
    </row>
    <row r="55" customFormat="false" ht="15" hidden="false" customHeight="false" outlineLevel="0" collapsed="false">
      <c r="F55" s="0" t="n">
        <f aca="false">Monthly!A39</f>
        <v>35</v>
      </c>
      <c r="G55" s="29" t="n">
        <f aca="false">1+Inputs!$B$36+Inputs!$B$39*Inputs!$B$6/Monthly!H39</f>
        <v>1.41454545454545</v>
      </c>
      <c r="H55" s="29" t="n">
        <f aca="false">1+Inputs!$B$43+Inputs!$B$39*Monthly!G39/Monthly!H39</f>
        <v>1.38454545454545</v>
      </c>
      <c r="I55" s="18" t="n">
        <f aca="false">Monthly!W39*G55</f>
        <v>5324.4375</v>
      </c>
      <c r="J55" s="18" t="n">
        <f aca="false">Monthly!AF39-I55*Monthly!N39</f>
        <v>40027.326009375</v>
      </c>
      <c r="K55" s="18" t="n">
        <f aca="false">Monthly!W39*H55</f>
        <v>5211.515625</v>
      </c>
      <c r="L55" s="18" t="n">
        <f aca="false">Monthly!AF39-K55*Monthly!N39</f>
        <v>48892.43848125</v>
      </c>
    </row>
    <row r="56" customFormat="false" ht="15" hidden="false" customHeight="false" outlineLevel="0" collapsed="false">
      <c r="F56" s="0" t="n">
        <f aca="false">Monthly!A40</f>
        <v>36</v>
      </c>
      <c r="G56" s="29" t="n">
        <f aca="false">1+Inputs!$B$36+Inputs!$B$39*Inputs!$B$6/Monthly!H40</f>
        <v>1.41179670722978</v>
      </c>
      <c r="H56" s="29" t="n">
        <f aca="false">1+Inputs!$B$43+Inputs!$B$39*Monthly!G40/Monthly!H40</f>
        <v>1.38179670722978</v>
      </c>
      <c r="I56" s="18" t="n">
        <f aca="false">Monthly!W40*G56</f>
        <v>5399.1165</v>
      </c>
      <c r="J56" s="18" t="n">
        <f aca="false">Monthly!AF40-I56*Monthly!N40</f>
        <v>41493.024604725</v>
      </c>
      <c r="K56" s="18" t="n">
        <f aca="false">Monthly!W40*H56</f>
        <v>5284.387875</v>
      </c>
      <c r="L56" s="18" t="n">
        <f aca="false">Monthly!AF40-K56*Monthly!N40</f>
        <v>50499.97887615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9"/>
    <col collapsed="false" customWidth="true" hidden="false" outlineLevel="0" max="4" min="3" style="0" width="12"/>
    <col collapsed="false" customWidth="true" hidden="false" outlineLevel="0" max="5" min="5" style="0" width="8"/>
    <col collapsed="false" customWidth="true" hidden="false" outlineLevel="0" max="7" min="6" style="0" width="12"/>
    <col collapsed="false" customWidth="true" hidden="false" outlineLevel="0" max="8" min="8" style="0" width="14"/>
  </cols>
  <sheetData>
    <row r="1" customFormat="false" ht="16.15" hidden="false" customHeight="false" outlineLevel="0" collapsed="false">
      <c r="A1" s="3" t="s">
        <v>321</v>
      </c>
    </row>
    <row r="4" customFormat="false" ht="26.85" hidden="false" customHeight="false" outlineLevel="0" collapsed="false">
      <c r="A4" s="13" t="s">
        <v>322</v>
      </c>
      <c r="B4" s="13" t="s">
        <v>323</v>
      </c>
      <c r="C4" s="13" t="s">
        <v>324</v>
      </c>
      <c r="D4" s="13" t="s">
        <v>325</v>
      </c>
      <c r="E4" s="13" t="s">
        <v>326</v>
      </c>
      <c r="F4" s="13" t="s">
        <v>327</v>
      </c>
      <c r="G4" s="13" t="s">
        <v>328</v>
      </c>
      <c r="H4" s="13" t="s">
        <v>329</v>
      </c>
    </row>
    <row r="5" customFormat="false" ht="15" hidden="false" customHeight="false" outlineLevel="0" collapsed="false">
      <c r="A5" s="0" t="s">
        <v>330</v>
      </c>
      <c r="B5" s="17" t="n">
        <v>21</v>
      </c>
      <c r="C5" s="17" t="n">
        <v>12</v>
      </c>
      <c r="D5" s="17" t="n">
        <v>1.5</v>
      </c>
      <c r="E5" s="17" t="n">
        <v>2</v>
      </c>
      <c r="F5" s="0" t="s">
        <v>331</v>
      </c>
      <c r="G5" s="0" t="n">
        <f aca="false">B5*C5</f>
        <v>252</v>
      </c>
      <c r="H5" s="0" t="n">
        <f aca="false">B5*C5*D5*E5</f>
        <v>756</v>
      </c>
    </row>
    <row r="6" customFormat="false" ht="15" hidden="false" customHeight="false" outlineLevel="0" collapsed="false">
      <c r="A6" s="0" t="s">
        <v>332</v>
      </c>
      <c r="B6" s="17" t="n">
        <v>21</v>
      </c>
      <c r="C6" s="17" t="n">
        <v>1</v>
      </c>
      <c r="D6" s="17" t="n">
        <v>6</v>
      </c>
      <c r="E6" s="17" t="n">
        <v>2</v>
      </c>
      <c r="F6" s="0" t="s">
        <v>333</v>
      </c>
      <c r="G6" s="0" t="n">
        <f aca="false">B6*C6</f>
        <v>21</v>
      </c>
      <c r="H6" s="0" t="n">
        <f aca="false">B6*C6*D6*E6</f>
        <v>252</v>
      </c>
    </row>
    <row r="7" customFormat="false" ht="15" hidden="false" customHeight="false" outlineLevel="0" collapsed="false">
      <c r="A7" s="0" t="s">
        <v>334</v>
      </c>
      <c r="B7" s="17" t="n">
        <v>48</v>
      </c>
      <c r="C7" s="17" t="n">
        <v>2</v>
      </c>
      <c r="D7" s="17" t="n">
        <v>3</v>
      </c>
      <c r="E7" s="17" t="n">
        <v>2</v>
      </c>
      <c r="F7" s="0" t="s">
        <v>333</v>
      </c>
      <c r="G7" s="0" t="n">
        <f aca="false">B7*C7</f>
        <v>96</v>
      </c>
      <c r="H7" s="0" t="n">
        <f aca="false">B7*C7*D7*E7</f>
        <v>576</v>
      </c>
    </row>
    <row r="8" customFormat="false" ht="15" hidden="false" customHeight="false" outlineLevel="0" collapsed="false">
      <c r="A8" s="0" t="s">
        <v>335</v>
      </c>
      <c r="B8" s="17" t="n">
        <v>96</v>
      </c>
      <c r="C8" s="17" t="n">
        <v>4</v>
      </c>
      <c r="D8" s="17" t="n">
        <v>1</v>
      </c>
      <c r="E8" s="17" t="n">
        <v>1</v>
      </c>
      <c r="F8" s="0" t="s">
        <v>331</v>
      </c>
      <c r="G8" s="0" t="n">
        <f aca="false">B8*C8</f>
        <v>384</v>
      </c>
      <c r="H8" s="0" t="n">
        <f aca="false">B8*C8*D8*E8</f>
        <v>384</v>
      </c>
    </row>
    <row r="9" customFormat="false" ht="15" hidden="false" customHeight="false" outlineLevel="0" collapsed="false">
      <c r="A9" s="0" t="s">
        <v>336</v>
      </c>
      <c r="B9" s="17" t="n">
        <v>12</v>
      </c>
      <c r="C9" s="17" t="n">
        <v>4</v>
      </c>
      <c r="D9" s="17" t="n">
        <v>6</v>
      </c>
      <c r="E9" s="17" t="n">
        <v>2</v>
      </c>
      <c r="F9" s="0" t="s">
        <v>333</v>
      </c>
      <c r="G9" s="0" t="n">
        <f aca="false">B9*C9</f>
        <v>48</v>
      </c>
      <c r="H9" s="0" t="n">
        <f aca="false">B9*C9*D9*E9</f>
        <v>576</v>
      </c>
    </row>
    <row r="10" customFormat="false" ht="15" hidden="false" customHeight="false" outlineLevel="0" collapsed="false">
      <c r="A10" s="0" t="s">
        <v>337</v>
      </c>
      <c r="B10" s="17" t="n">
        <v>120</v>
      </c>
      <c r="C10" s="17" t="n">
        <v>4</v>
      </c>
      <c r="D10" s="17" t="n">
        <v>1.5</v>
      </c>
      <c r="E10" s="17" t="n">
        <v>1</v>
      </c>
      <c r="F10" s="0" t="s">
        <v>331</v>
      </c>
      <c r="G10" s="0" t="n">
        <f aca="false">B10*C10</f>
        <v>480</v>
      </c>
      <c r="H10" s="0" t="n">
        <f aca="false">B10*C10*D10*E10</f>
        <v>720</v>
      </c>
    </row>
    <row r="11" customFormat="false" ht="15" hidden="false" customHeight="false" outlineLevel="0" collapsed="false">
      <c r="A11" s="0" t="s">
        <v>338</v>
      </c>
      <c r="B11" s="17" t="n">
        <v>36</v>
      </c>
      <c r="C11" s="17" t="n">
        <v>2</v>
      </c>
      <c r="D11" s="17" t="n">
        <v>2</v>
      </c>
      <c r="E11" s="17" t="n">
        <v>1</v>
      </c>
      <c r="F11" s="0" t="s">
        <v>331</v>
      </c>
      <c r="G11" s="0" t="n">
        <f aca="false">B11*C11</f>
        <v>72</v>
      </c>
      <c r="H11" s="0" t="n">
        <f aca="false">B11*C11*D11*E11</f>
        <v>144</v>
      </c>
    </row>
    <row r="12" customFormat="false" ht="15" hidden="false" customHeight="false" outlineLevel="0" collapsed="false">
      <c r="A12" s="0" t="s">
        <v>339</v>
      </c>
      <c r="B12" s="17" t="n">
        <v>9</v>
      </c>
      <c r="C12" s="17" t="n">
        <v>1</v>
      </c>
      <c r="D12" s="17" t="n">
        <v>16</v>
      </c>
      <c r="E12" s="17" t="n">
        <v>3</v>
      </c>
      <c r="F12" s="0" t="s">
        <v>333</v>
      </c>
      <c r="G12" s="0" t="n">
        <f aca="false">B12*C12</f>
        <v>9</v>
      </c>
      <c r="H12" s="0" t="n">
        <f aca="false">B12*C12*D12*E12</f>
        <v>432</v>
      </c>
    </row>
    <row r="13" customFormat="false" ht="15" hidden="false" customHeight="false" outlineLevel="0" collapsed="false">
      <c r="A13" s="0" t="s">
        <v>340</v>
      </c>
      <c r="B13" s="17" t="n">
        <v>180</v>
      </c>
      <c r="C13" s="17" t="n">
        <v>1</v>
      </c>
      <c r="D13" s="17" t="n">
        <v>0.5</v>
      </c>
      <c r="E13" s="17" t="n">
        <v>2</v>
      </c>
      <c r="F13" s="0" t="s">
        <v>331</v>
      </c>
      <c r="G13" s="0" t="n">
        <f aca="false">B13*C13</f>
        <v>180</v>
      </c>
      <c r="H13" s="0" t="n">
        <f aca="false">B13*C13*D13*E13</f>
        <v>180</v>
      </c>
    </row>
    <row r="14" customFormat="false" ht="15" hidden="false" customHeight="false" outlineLevel="0" collapsed="false">
      <c r="A14" s="0" t="s">
        <v>341</v>
      </c>
      <c r="B14" s="17" t="n">
        <v>6</v>
      </c>
      <c r="C14" s="17" t="n">
        <v>2</v>
      </c>
      <c r="D14" s="17" t="n">
        <v>8</v>
      </c>
      <c r="E14" s="17" t="n">
        <v>3</v>
      </c>
      <c r="F14" s="0" t="s">
        <v>331</v>
      </c>
      <c r="G14" s="0" t="n">
        <f aca="false">B14*C14</f>
        <v>12</v>
      </c>
      <c r="H14" s="0" t="n">
        <f aca="false">B14*C14*D14*E14</f>
        <v>288</v>
      </c>
    </row>
    <row r="15" customFormat="false" ht="15" hidden="false" customHeight="false" outlineLevel="0" collapsed="false">
      <c r="A15" s="0" t="s">
        <v>342</v>
      </c>
      <c r="B15" s="17" t="n">
        <v>24</v>
      </c>
      <c r="C15" s="17" t="n">
        <v>2</v>
      </c>
      <c r="D15" s="17" t="n">
        <v>2</v>
      </c>
      <c r="E15" s="17" t="n">
        <v>2</v>
      </c>
      <c r="F15" s="0" t="s">
        <v>333</v>
      </c>
      <c r="G15" s="0" t="n">
        <f aca="false">B15*C15</f>
        <v>48</v>
      </c>
      <c r="H15" s="0" t="n">
        <f aca="false">B15*C15*D15*E15</f>
        <v>192</v>
      </c>
    </row>
    <row r="16" customFormat="false" ht="15" hidden="false" customHeight="false" outlineLevel="0" collapsed="false">
      <c r="A16" s="0" t="s">
        <v>343</v>
      </c>
      <c r="B16" s="17" t="n">
        <v>18</v>
      </c>
      <c r="C16" s="17" t="n">
        <v>4</v>
      </c>
      <c r="D16" s="17" t="n">
        <v>3</v>
      </c>
      <c r="E16" s="17" t="n">
        <v>2</v>
      </c>
      <c r="F16" s="0" t="s">
        <v>331</v>
      </c>
      <c r="G16" s="0" t="n">
        <f aca="false">B16*C16</f>
        <v>72</v>
      </c>
      <c r="H16" s="0" t="n">
        <f aca="false">B16*C16*D16*E16</f>
        <v>432</v>
      </c>
    </row>
    <row r="19" customFormat="false" ht="15" hidden="false" customHeight="false" outlineLevel="0" collapsed="false">
      <c r="A19" s="0" t="s">
        <v>344</v>
      </c>
      <c r="B19" s="18" t="n">
        <f aca="false">SUM(G5:G16)</f>
        <v>1674</v>
      </c>
    </row>
    <row r="20" customFormat="false" ht="15" hidden="false" customHeight="false" outlineLevel="0" collapsed="false">
      <c r="A20" s="0" t="s">
        <v>345</v>
      </c>
      <c r="B20" s="19" t="n">
        <f aca="false">B19/250</f>
        <v>6.696</v>
      </c>
    </row>
    <row r="21" customFormat="false" ht="15" hidden="false" customHeight="false" outlineLevel="0" collapsed="false">
      <c r="A21" s="0" t="s">
        <v>346</v>
      </c>
      <c r="B21" s="18" t="n">
        <f aca="false">SUM(H5:H16)</f>
        <v>4932</v>
      </c>
    </row>
    <row r="22" customFormat="false" ht="15" hidden="false" customHeight="false" outlineLevel="0" collapsed="false">
      <c r="A22" s="0" t="s">
        <v>347</v>
      </c>
      <c r="B22" s="18" t="n">
        <f aca="false">SUMIF(F5:F16,"in-house",H5:H16)</f>
        <v>2904</v>
      </c>
    </row>
    <row r="23" customFormat="false" ht="15" hidden="false" customHeight="false" outlineLevel="0" collapsed="false">
      <c r="A23" s="0" t="s">
        <v>348</v>
      </c>
      <c r="B23" s="18" t="n">
        <f aca="false">SUMIF(F5:F16,"vendor",H5:H16)</f>
        <v>2028</v>
      </c>
    </row>
    <row r="24" customFormat="false" ht="15" hidden="false" customHeight="false" outlineLevel="0" collapsed="false">
      <c r="A24" s="0" t="s">
        <v>349</v>
      </c>
      <c r="B24" s="18" t="n">
        <f aca="false">3*Inputs!$B$49</f>
        <v>5400</v>
      </c>
    </row>
    <row r="25" customFormat="false" ht="15" hidden="false" customHeight="false" outlineLevel="0" collapsed="false">
      <c r="A25" s="0" t="s">
        <v>350</v>
      </c>
      <c r="B25" s="21" t="n">
        <f aca="false">B22/B24</f>
        <v>0.537777777777778</v>
      </c>
    </row>
    <row r="26" customFormat="false" ht="15" hidden="false" customHeight="false" outlineLevel="0" collapsed="false">
      <c r="A26" s="0" t="s">
        <v>351</v>
      </c>
      <c r="B26" s="18" t="n">
        <f aca="false">SUM(B5:B16)-B6</f>
        <v>570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4"/>
  </cols>
  <sheetData>
    <row r="1" customFormat="false" ht="16.15" hidden="false" customHeight="false" outlineLevel="0" collapsed="false">
      <c r="A1" s="3" t="s">
        <v>352</v>
      </c>
    </row>
    <row r="3" customFormat="false" ht="15" hidden="false" customHeight="false" outlineLevel="0" collapsed="false">
      <c r="A3" s="4" t="s">
        <v>353</v>
      </c>
    </row>
    <row r="4" customFormat="false" ht="15" hidden="false" customHeight="false" outlineLevel="0" collapsed="false">
      <c r="A4" s="0" t="s">
        <v>354</v>
      </c>
      <c r="B4" s="8" t="n">
        <v>1.1</v>
      </c>
    </row>
    <row r="5" customFormat="false" ht="15" hidden="false" customHeight="false" outlineLevel="0" collapsed="false">
      <c r="A5" s="0" t="s">
        <v>355</v>
      </c>
      <c r="B5" s="18" t="n">
        <f aca="false">Inputs!$B$4*B4</f>
        <v>13200</v>
      </c>
    </row>
    <row r="6" customFormat="false" ht="15" hidden="false" customHeight="false" outlineLevel="0" collapsed="false">
      <c r="A6" s="0" t="s">
        <v>356</v>
      </c>
      <c r="B6" s="21" t="n">
        <f aca="false">1/B4</f>
        <v>0.909090909090909</v>
      </c>
    </row>
    <row r="7" customFormat="false" ht="26.85" hidden="false" customHeight="false" outlineLevel="0" collapsed="false">
      <c r="A7" s="13" t="s">
        <v>357</v>
      </c>
      <c r="B7" s="13" t="s">
        <v>358</v>
      </c>
      <c r="C7" s="13" t="s">
        <v>359</v>
      </c>
    </row>
    <row r="8" customFormat="false" ht="15" hidden="false" customHeight="false" outlineLevel="0" collapsed="false">
      <c r="A8" s="8" t="n">
        <v>0.55</v>
      </c>
      <c r="B8" s="18" t="n">
        <f aca="false">$B$5*A8</f>
        <v>7260</v>
      </c>
      <c r="C8" s="21" t="n">
        <f aca="false">B8/Inputs!$B$4</f>
        <v>0.605</v>
      </c>
    </row>
    <row r="9" customFormat="false" ht="15" hidden="false" customHeight="false" outlineLevel="0" collapsed="false">
      <c r="A9" s="8" t="n">
        <v>0.7</v>
      </c>
      <c r="B9" s="18" t="n">
        <f aca="false">$B$5*A9</f>
        <v>9240</v>
      </c>
      <c r="C9" s="21" t="n">
        <f aca="false">B9/Inputs!$B$4</f>
        <v>0.77</v>
      </c>
    </row>
    <row r="10" customFormat="false" ht="15" hidden="false" customHeight="false" outlineLevel="0" collapsed="false">
      <c r="A10" s="8" t="n">
        <v>0.85</v>
      </c>
      <c r="B10" s="18" t="n">
        <f aca="false">$B$5*A10</f>
        <v>11220</v>
      </c>
      <c r="C10" s="21" t="n">
        <f aca="false">B10/Inputs!$B$4</f>
        <v>0.935</v>
      </c>
    </row>
    <row r="11" customFormat="false" ht="15" hidden="false" customHeight="false" outlineLevel="0" collapsed="false">
      <c r="A11" s="8" t="n">
        <v>0.95</v>
      </c>
      <c r="B11" s="18" t="n">
        <f aca="false">$B$5*A11</f>
        <v>12540</v>
      </c>
      <c r="C11" s="21" t="n">
        <f aca="false">B11/Inputs!$B$4</f>
        <v>1.045</v>
      </c>
    </row>
    <row r="13" customFormat="false" ht="15" hidden="false" customHeight="false" outlineLevel="0" collapsed="false">
      <c r="A13" s="4" t="s">
        <v>360</v>
      </c>
    </row>
    <row r="14" customFormat="false" ht="15" hidden="false" customHeight="false" outlineLevel="0" collapsed="false">
      <c r="A14" s="0" t="s">
        <v>361</v>
      </c>
      <c r="B14" s="17" t="n">
        <v>4000</v>
      </c>
    </row>
    <row r="15" customFormat="false" ht="15" hidden="false" customHeight="false" outlineLevel="0" collapsed="false">
      <c r="A15" s="0" t="s">
        <v>362</v>
      </c>
      <c r="B15" s="8" t="n">
        <v>0.75</v>
      </c>
    </row>
    <row r="16" customFormat="false" ht="15" hidden="false" customHeight="false" outlineLevel="0" collapsed="false">
      <c r="A16" s="0" t="s">
        <v>363</v>
      </c>
      <c r="B16" s="0" t="n">
        <f aca="false">B14*B15</f>
        <v>3000</v>
      </c>
    </row>
    <row r="17" customFormat="false" ht="15" hidden="false" customHeight="false" outlineLevel="0" collapsed="false">
      <c r="A17" s="0" t="s">
        <v>364</v>
      </c>
      <c r="B17" s="0" t="n">
        <f aca="false">4*B16</f>
        <v>12000</v>
      </c>
    </row>
    <row r="18" customFormat="false" ht="39.55" hidden="false" customHeight="false" outlineLevel="0" collapsed="false">
      <c r="A18" s="13" t="s">
        <v>365</v>
      </c>
      <c r="B18" s="13" t="s">
        <v>366</v>
      </c>
      <c r="C18" s="13" t="s">
        <v>367</v>
      </c>
      <c r="D18" s="13" t="s">
        <v>368</v>
      </c>
    </row>
    <row r="19" customFormat="false" ht="15" hidden="false" customHeight="false" outlineLevel="0" collapsed="false">
      <c r="A19" s="0" t="s">
        <v>369</v>
      </c>
      <c r="B19" s="5" t="n">
        <v>3000</v>
      </c>
      <c r="C19" s="18" t="n">
        <f aca="false">$B$16-B19</f>
        <v>0</v>
      </c>
      <c r="D19" s="18" t="n">
        <f aca="false">C19-IF(OR(A19="B3",A19="B4"),600,0)</f>
        <v>0</v>
      </c>
    </row>
    <row r="20" customFormat="false" ht="15" hidden="false" customHeight="false" outlineLevel="0" collapsed="false">
      <c r="A20" s="0" t="s">
        <v>370</v>
      </c>
      <c r="B20" s="5" t="n">
        <v>2760</v>
      </c>
      <c r="C20" s="18" t="n">
        <f aca="false">$B$16-B20</f>
        <v>240</v>
      </c>
      <c r="D20" s="18" t="n">
        <f aca="false">C20-IF(OR(A20="B3",A20="B4"),600,0)</f>
        <v>240</v>
      </c>
    </row>
    <row r="21" customFormat="false" ht="15" hidden="false" customHeight="false" outlineLevel="0" collapsed="false">
      <c r="A21" s="0" t="s">
        <v>371</v>
      </c>
      <c r="B21" s="5" t="n">
        <v>2340</v>
      </c>
      <c r="C21" s="18" t="n">
        <f aca="false">$B$16-B21</f>
        <v>660</v>
      </c>
      <c r="D21" s="18" t="n">
        <f aca="false">C21-IF(OR(A21="B3",A21="B4"),600,0)</f>
        <v>60</v>
      </c>
    </row>
    <row r="22" customFormat="false" ht="15" hidden="false" customHeight="false" outlineLevel="0" collapsed="false">
      <c r="A22" s="0" t="s">
        <v>372</v>
      </c>
      <c r="B22" s="5" t="n">
        <v>2400</v>
      </c>
      <c r="C22" s="18" t="n">
        <f aca="false">$B$16-B22</f>
        <v>600</v>
      </c>
      <c r="D22" s="18" t="n">
        <f aca="false">C22-IF(OR(A22="B3",A22="B4"),600,0)</f>
        <v>0</v>
      </c>
    </row>
    <row r="23" customFormat="false" ht="15" hidden="false" customHeight="false" outlineLevel="0" collapsed="false">
      <c r="A23" s="0" t="s">
        <v>373</v>
      </c>
      <c r="B23" s="18" t="n">
        <f aca="false">SUM(B19:B22)</f>
        <v>10500</v>
      </c>
    </row>
    <row r="24" customFormat="false" ht="15" hidden="false" customHeight="false" outlineLevel="0" collapsed="false">
      <c r="A24" s="0" t="s">
        <v>374</v>
      </c>
      <c r="B24" s="18" t="n">
        <f aca="false">B17-B23</f>
        <v>1500</v>
      </c>
    </row>
    <row r="25" customFormat="false" ht="15" hidden="false" customHeight="false" outlineLevel="0" collapsed="false">
      <c r="A25" s="0" t="s">
        <v>375</v>
      </c>
      <c r="B25" s="0" t="n">
        <f aca="false">COUNTIF(C19:C22,"&gt;=750")</f>
        <v>0</v>
      </c>
    </row>
    <row r="26" customFormat="false" ht="15" hidden="false" customHeight="false" outlineLevel="0" collapsed="false">
      <c r="A26" s="0" t="s">
        <v>376</v>
      </c>
      <c r="B26" s="0" t="n">
        <f aca="false">COUNTIF(C19:C22,"&gt;=600")</f>
        <v>2</v>
      </c>
    </row>
    <row r="27" customFormat="false" ht="15" hidden="false" customHeight="false" outlineLevel="0" collapsed="false">
      <c r="A27" s="0" t="s">
        <v>377</v>
      </c>
      <c r="B27" s="18" t="n">
        <f aca="false">SUM(D19:D22)</f>
        <v>300</v>
      </c>
    </row>
    <row r="28" customFormat="false" ht="15" hidden="false" customHeight="false" outlineLevel="0" collapsed="false">
      <c r="A28" s="0" t="s">
        <v>378</v>
      </c>
      <c r="B28" s="18" t="n">
        <f aca="false">B21+600</f>
        <v>2940</v>
      </c>
      <c r="C28" s="18" t="n">
        <f aca="false">B22+600</f>
        <v>3000</v>
      </c>
    </row>
    <row r="30" customFormat="false" ht="15" hidden="false" customHeight="false" outlineLevel="0" collapsed="false">
      <c r="A30" s="4" t="s">
        <v>379</v>
      </c>
    </row>
    <row r="31" customFormat="false" ht="15" hidden="false" customHeight="false" outlineLevel="0" collapsed="false">
      <c r="A31" s="0" t="s">
        <v>380</v>
      </c>
      <c r="B31" s="18" t="n">
        <f aca="false">Monthly!D34+Monthly!E34+Monthly!F34</f>
        <v>30312.5</v>
      </c>
    </row>
    <row r="32" customFormat="false" ht="15" hidden="false" customHeight="false" outlineLevel="0" collapsed="false">
      <c r="A32" s="0" t="s">
        <v>381</v>
      </c>
      <c r="B32" s="18" t="n">
        <f aca="false">Monthly!H34+Monthly!I34+Monthly!J34</f>
        <v>20040.625</v>
      </c>
    </row>
    <row r="33" customFormat="false" ht="15" hidden="false" customHeight="false" outlineLevel="0" collapsed="false">
      <c r="A33" s="0" t="s">
        <v>382</v>
      </c>
      <c r="B33" s="21" t="n">
        <f aca="false">B32/B31</f>
        <v>0.661134020618557</v>
      </c>
    </row>
    <row r="34" customFormat="false" ht="15" hidden="false" customHeight="false" outlineLevel="0" collapsed="false">
      <c r="A34" s="0" t="s">
        <v>383</v>
      </c>
      <c r="B34" s="21" t="n">
        <f aca="false">B31/(3*Inputs!$B$4)</f>
        <v>0.842013888888889</v>
      </c>
    </row>
    <row r="35" customFormat="false" ht="15" hidden="false" customHeight="false" outlineLevel="0" collapsed="false">
      <c r="A35" s="0" t="s">
        <v>384</v>
      </c>
      <c r="B35" s="18" t="n">
        <f aca="false">SUM(Monthly!R34:V34)</f>
        <v>4764538.21875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4" min="2" style="0" width="16"/>
  </cols>
  <sheetData>
    <row r="1" customFormat="false" ht="16.15" hidden="false" customHeight="false" outlineLevel="0" collapsed="false">
      <c r="A1" s="3" t="s">
        <v>385</v>
      </c>
    </row>
    <row r="3" customFormat="false" ht="15" hidden="false" customHeight="false" outlineLevel="0" collapsed="false">
      <c r="A3" s="0" t="s">
        <v>386</v>
      </c>
      <c r="B3" s="18" t="n">
        <f aca="false">Inputs!$B$87/1000</f>
        <v>11000</v>
      </c>
    </row>
    <row r="4" customFormat="false" ht="15" hidden="false" customHeight="false" outlineLevel="0" collapsed="false">
      <c r="A4" s="0" t="s">
        <v>387</v>
      </c>
      <c r="B4" s="20" t="n">
        <f aca="false">B3*Inputs!$B$88/12</f>
        <v>82.5</v>
      </c>
    </row>
    <row r="5" customFormat="false" ht="15" hidden="false" customHeight="false" outlineLevel="0" collapsed="false">
      <c r="A5" s="0" t="s">
        <v>388</v>
      </c>
      <c r="B5" s="20" t="n">
        <f aca="false">(Annual!D25-Annual!D24)/(3*Inputs!$B$4)/12</f>
        <v>28.4165702086852</v>
      </c>
    </row>
    <row r="6" customFormat="false" ht="15" hidden="false" customHeight="false" outlineLevel="0" collapsed="false">
      <c r="A6" s="0" t="s">
        <v>389</v>
      </c>
      <c r="B6" s="20" t="n">
        <f aca="false">B4+B5</f>
        <v>110.916570208685</v>
      </c>
    </row>
    <row r="8" customFormat="false" ht="26.85" hidden="false" customHeight="false" outlineLevel="0" collapsed="false">
      <c r="A8" s="13" t="s">
        <v>390</v>
      </c>
      <c r="B8" s="13" t="s">
        <v>391</v>
      </c>
      <c r="C8" s="13" t="s">
        <v>392</v>
      </c>
      <c r="D8" s="13"/>
    </row>
    <row r="9" customFormat="false" ht="15" hidden="false" customHeight="false" outlineLevel="0" collapsed="false">
      <c r="A9" s="11" t="n">
        <v>1.35</v>
      </c>
      <c r="B9" s="18" t="n">
        <f aca="false">1000*(Inputs!$B$44-A9)*Inputs!$B$33</f>
        <v>14800</v>
      </c>
      <c r="C9" s="18" t="n">
        <f aca="false">1000*Inputs!$B$46</f>
        <v>5000</v>
      </c>
    </row>
    <row r="10" customFormat="false" ht="15" hidden="false" customHeight="false" outlineLevel="0" collapsed="false">
      <c r="A10" s="11" t="n">
        <v>1.5</v>
      </c>
      <c r="B10" s="18" t="n">
        <f aca="false">1000*(Inputs!$B$44-A10)*Inputs!$B$33</f>
        <v>3700</v>
      </c>
      <c r="C10" s="18" t="n">
        <f aca="false">1000*Inputs!$B$46</f>
        <v>5000</v>
      </c>
    </row>
    <row r="11" customFormat="false" ht="15" hidden="false" customHeight="false" outlineLevel="0" collapsed="false">
      <c r="A11" s="11" t="n">
        <v>1.7</v>
      </c>
      <c r="B11" s="18" t="n">
        <f aca="false">1000*(Inputs!$B$44-A11)*Inputs!$B$33</f>
        <v>-11100</v>
      </c>
      <c r="C11" s="18" t="n">
        <f aca="false">1000*Inputs!$B$46</f>
        <v>5000</v>
      </c>
    </row>
    <row r="13" customFormat="false" ht="15" hidden="false" customHeight="false" outlineLevel="0" collapsed="false">
      <c r="A13" s="4" t="s">
        <v>393</v>
      </c>
    </row>
    <row r="14" customFormat="false" ht="15" hidden="false" customHeight="false" outlineLevel="0" collapsed="false">
      <c r="A14" s="0" t="s">
        <v>394</v>
      </c>
      <c r="B14" s="18" t="n">
        <f aca="false">Inputs!$B$17*Inputs!$B$27*12</f>
        <v>16992000</v>
      </c>
    </row>
    <row r="15" customFormat="false" ht="15" hidden="false" customHeight="false" outlineLevel="0" collapsed="false">
      <c r="A15" s="0" t="s">
        <v>395</v>
      </c>
      <c r="B15" s="18" t="n">
        <f aca="false">Inputs!$B$17*Inputs!$B$27*12+Inputs!$B$17*Inputs!$B$27*(1+Inputs!$B$28)*12-Annual!B7-Annual!C7</f>
        <v>12850200</v>
      </c>
    </row>
    <row r="16" customFormat="false" ht="15" hidden="false" customHeight="false" outlineLevel="0" collapsed="false">
      <c r="A16" s="0" t="s">
        <v>396</v>
      </c>
      <c r="B16" s="18" t="n">
        <f aca="false">(Inputs!$B$17-Inputs!$B$16)*Inputs!$B$27*(1+Inputs!$B$28)*12</f>
        <v>4354200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6"/>
  </cols>
  <sheetData>
    <row r="1" customFormat="false" ht="16.15" hidden="false" customHeight="false" outlineLevel="0" collapsed="false">
      <c r="A1" s="3" t="s">
        <v>397</v>
      </c>
    </row>
    <row r="3" customFormat="false" ht="15" hidden="false" customHeight="false" outlineLevel="0" collapsed="false">
      <c r="A3" s="0" t="s">
        <v>398</v>
      </c>
      <c r="B3" s="20" t="n">
        <f aca="false">Inputs!$B$25*(1+Inputs!$B$26)^2</f>
        <v>143.2215</v>
      </c>
    </row>
    <row r="4" customFormat="false" ht="15" hidden="false" customHeight="false" outlineLevel="0" collapsed="false">
      <c r="A4" s="0" t="s">
        <v>399</v>
      </c>
      <c r="B4" s="18" t="n">
        <f aca="false">Inputs!$B$89/1000*Inputs!$B$90</f>
        <v>3840000</v>
      </c>
    </row>
    <row r="5" customFormat="false" ht="15" hidden="false" customHeight="false" outlineLevel="0" collapsed="false">
      <c r="A5" s="0" t="s">
        <v>400</v>
      </c>
      <c r="B5" s="18" t="n">
        <f aca="false">Inputs!$B$89*B3*12</f>
        <v>2062389.6</v>
      </c>
    </row>
    <row r="6" customFormat="false" ht="15" hidden="false" customHeight="false" outlineLevel="0" collapsed="false">
      <c r="A6" s="0" t="s">
        <v>401</v>
      </c>
      <c r="B6" s="18" t="n">
        <f aca="false">Inputs!$B$89*Inputs!$B$92*12</f>
        <v>2520000</v>
      </c>
    </row>
    <row r="7" customFormat="false" ht="15" hidden="false" customHeight="false" outlineLevel="0" collapsed="false">
      <c r="A7" s="0" t="s">
        <v>402</v>
      </c>
      <c r="B7" s="19" t="n">
        <f aca="false">(1+Inputs!$B$94)^0/(1+Inputs!$B$93)^1+(1+Inputs!$B$94)^1/(1+Inputs!$B$93)^2+(1+Inputs!$B$94)^2/(1+Inputs!$B$93)^3+(1+Inputs!$B$94)^3/(1+Inputs!$B$93)^4+(1+Inputs!$B$94)^4/(1+Inputs!$B$93)^5+(1+Inputs!$B$94)^5/(1+Inputs!$B$93)^6+(1+Inputs!$B$94)^6/(1+Inputs!$B$93)^7+(1+Inputs!$B$94)^7/(1+Inputs!$B$93)^8+(1+Inputs!$B$94)^8/(1+Inputs!$B$93)^9+(1+Inputs!$B$94)^9/(1+Inputs!$B$93)^10</f>
        <v>7.20525329668194</v>
      </c>
    </row>
    <row r="8" customFormat="false" ht="15" hidden="false" customHeight="false" outlineLevel="0" collapsed="false">
      <c r="A8" s="0" t="s">
        <v>403</v>
      </c>
      <c r="B8" s="18" t="n">
        <f aca="false">B6*Inputs!$B$96/52/(1+Inputs!$B$93)</f>
        <v>1155963.30275229</v>
      </c>
    </row>
    <row r="9" customFormat="false" ht="15" hidden="false" customHeight="false" outlineLevel="0" collapsed="false">
      <c r="A9" s="4" t="s">
        <v>404</v>
      </c>
    </row>
    <row r="10" customFormat="false" ht="15" hidden="false" customHeight="false" outlineLevel="0" collapsed="false">
      <c r="A10" s="0" t="s">
        <v>405</v>
      </c>
      <c r="B10" s="18" t="n">
        <f aca="false">B6-B5</f>
        <v>457610.4</v>
      </c>
    </row>
    <row r="11" customFormat="false" ht="15" hidden="false" customHeight="false" outlineLevel="0" collapsed="false">
      <c r="A11" s="0" t="s">
        <v>406</v>
      </c>
      <c r="B11" s="18" t="n">
        <f aca="false">B4-Inputs!$B$91</f>
        <v>3690000</v>
      </c>
    </row>
    <row r="12" customFormat="false" ht="15" hidden="false" customHeight="false" outlineLevel="0" collapsed="false">
      <c r="A12" s="0" t="s">
        <v>407</v>
      </c>
      <c r="B12" s="19" t="n">
        <f aca="false">B11/B10</f>
        <v>8.06362792454018</v>
      </c>
    </row>
    <row r="13" customFormat="false" ht="15" hidden="false" customHeight="false" outlineLevel="0" collapsed="false">
      <c r="A13" s="0" t="s">
        <v>408</v>
      </c>
      <c r="B13" s="18" t="n">
        <f aca="false">-B11+B10*B7-B8</f>
        <v>-1548764.45955635</v>
      </c>
    </row>
    <row r="14" customFormat="false" ht="15" hidden="false" customHeight="false" outlineLevel="0" collapsed="false">
      <c r="A14" s="0" t="s">
        <v>409</v>
      </c>
      <c r="B14" s="20" t="n">
        <f aca="false">(B11+B5*B7)/(B7-Inputs!$B$96/52/(1+Inputs!$B$93))/(Inputs!$B$89*12)</f>
        <v>190.941967902082</v>
      </c>
    </row>
    <row r="16" customFormat="false" ht="15" hidden="false" customHeight="false" outlineLevel="0" collapsed="false">
      <c r="A16" s="4" t="s">
        <v>410</v>
      </c>
    </row>
    <row r="17" customFormat="false" ht="15" hidden="false" customHeight="false" outlineLevel="0" collapsed="false">
      <c r="A17" s="0" t="s">
        <v>405</v>
      </c>
      <c r="B17" s="18" t="n">
        <f aca="false">B6</f>
        <v>2520000</v>
      </c>
    </row>
    <row r="18" customFormat="false" ht="15" hidden="false" customHeight="false" outlineLevel="0" collapsed="false">
      <c r="A18" s="0" t="s">
        <v>411</v>
      </c>
      <c r="B18" s="18" t="n">
        <f aca="false">B4</f>
        <v>3840000</v>
      </c>
    </row>
    <row r="19" customFormat="false" ht="15" hidden="false" customHeight="false" outlineLevel="0" collapsed="false">
      <c r="A19" s="0" t="s">
        <v>412</v>
      </c>
      <c r="B19" s="19" t="n">
        <f aca="false">B18/B17</f>
        <v>1.52380952380952</v>
      </c>
    </row>
    <row r="20" customFormat="false" ht="15" hidden="false" customHeight="false" outlineLevel="0" collapsed="false">
      <c r="A20" s="0" t="s">
        <v>408</v>
      </c>
      <c r="B20" s="18" t="n">
        <f aca="false">-B18+B17*B7-B8</f>
        <v>13161275.0048862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8"/>
    <col collapsed="false" customWidth="true" hidden="false" outlineLevel="0" max="4" min="4" style="0" width="10"/>
    <col collapsed="false" customWidth="true" hidden="false" outlineLevel="0" max="5" min="5" style="0" width="12"/>
  </cols>
  <sheetData>
    <row r="1" customFormat="false" ht="16.15" hidden="false" customHeight="false" outlineLevel="0" collapsed="false">
      <c r="A1" s="3" t="s">
        <v>413</v>
      </c>
    </row>
    <row r="3" customFormat="false" ht="26.85" hidden="false" customHeight="false" outlineLevel="0" collapsed="false">
      <c r="A3" s="13" t="s">
        <v>414</v>
      </c>
      <c r="B3" s="13" t="s">
        <v>415</v>
      </c>
      <c r="C3" s="13" t="s">
        <v>416</v>
      </c>
      <c r="D3" s="13" t="s">
        <v>417</v>
      </c>
      <c r="E3" s="13" t="s">
        <v>418</v>
      </c>
    </row>
    <row r="4" customFormat="false" ht="15" hidden="false" customHeight="false" outlineLevel="0" collapsed="false">
      <c r="A4" s="0" t="s">
        <v>419</v>
      </c>
      <c r="B4" s="0" t="n">
        <v>24</v>
      </c>
      <c r="C4" s="0" t="n">
        <f aca="false">Annual!B10/1000000</f>
        <v>24.0048</v>
      </c>
      <c r="D4" s="0" t="str">
        <f aca="false">IF(ABS(C4-B4)&lt;=E4,"OK","DIFF")</f>
        <v>OK</v>
      </c>
      <c r="E4" s="0" t="n">
        <v>0.005</v>
      </c>
    </row>
    <row r="5" customFormat="false" ht="15" hidden="false" customHeight="false" outlineLevel="0" collapsed="false">
      <c r="A5" s="0" t="s">
        <v>420</v>
      </c>
      <c r="B5" s="0" t="n">
        <v>32.13</v>
      </c>
      <c r="C5" s="0" t="n">
        <f aca="false">Annual!B12/1000000</f>
        <v>32.13242956125</v>
      </c>
      <c r="D5" s="0" t="str">
        <f aca="false">IF(ABS(C5-B5)&lt;=E5,"OK","DIFF")</f>
        <v>OK</v>
      </c>
      <c r="E5" s="0" t="n">
        <v>0.005</v>
      </c>
    </row>
    <row r="6" customFormat="false" ht="15" hidden="false" customHeight="false" outlineLevel="0" collapsed="false">
      <c r="A6" s="0" t="s">
        <v>421</v>
      </c>
      <c r="B6" s="0" t="n">
        <v>7.87</v>
      </c>
      <c r="C6" s="0" t="n">
        <f aca="false">Annual!B13/1000000</f>
        <v>7.874074044</v>
      </c>
      <c r="D6" s="0" t="str">
        <f aca="false">IF(ABS(C6-B6)&lt;=E6,"OK","DIFF")</f>
        <v>OK</v>
      </c>
      <c r="E6" s="0" t="n">
        <v>0.005</v>
      </c>
    </row>
    <row r="7" customFormat="false" ht="15" hidden="false" customHeight="false" outlineLevel="0" collapsed="false">
      <c r="A7" s="0" t="s">
        <v>422</v>
      </c>
      <c r="B7" s="0" t="n">
        <v>13.18</v>
      </c>
      <c r="C7" s="0" t="n">
        <f aca="false">Annual!B26/1000000</f>
        <v>13.18182214725</v>
      </c>
      <c r="D7" s="0" t="str">
        <f aca="false">IF(ABS(C7-B7)&lt;=E7,"OK","DIFF")</f>
        <v>OK</v>
      </c>
      <c r="E7" s="0" t="n">
        <v>0.005</v>
      </c>
    </row>
    <row r="8" customFormat="false" ht="15" hidden="false" customHeight="false" outlineLevel="0" collapsed="false">
      <c r="A8" s="0" t="s">
        <v>423</v>
      </c>
      <c r="B8" s="0" t="n">
        <v>0.13</v>
      </c>
      <c r="C8" s="0" t="n">
        <f aca="false">Annual!B27/1000000</f>
        <v>0.133796736</v>
      </c>
      <c r="D8" s="0" t="str">
        <f aca="false">IF(ABS(C8-B8)&lt;=E8,"OK","DIFF")</f>
        <v>OK</v>
      </c>
      <c r="E8" s="0" t="n">
        <v>0.005</v>
      </c>
    </row>
    <row r="9" customFormat="false" ht="15" hidden="false" customHeight="false" outlineLevel="0" collapsed="false">
      <c r="A9" s="0" t="s">
        <v>424</v>
      </c>
      <c r="B9" s="0" t="n">
        <v>0.12</v>
      </c>
      <c r="C9" s="0" t="n">
        <f aca="false">Annual!B28/1000000</f>
        <v>0.11975878125</v>
      </c>
      <c r="D9" s="0" t="str">
        <f aca="false">IF(ABS(C9-B9)&lt;=E9,"OK","DIFF")</f>
        <v>OK</v>
      </c>
      <c r="E9" s="0" t="n">
        <v>0.005</v>
      </c>
    </row>
    <row r="10" customFormat="false" ht="15" hidden="false" customHeight="false" outlineLevel="0" collapsed="false">
      <c r="A10" s="0" t="s">
        <v>425</v>
      </c>
      <c r="B10" s="0" t="n">
        <v>1.31</v>
      </c>
      <c r="C10" s="19" t="n">
        <f aca="false">Annual!B48</f>
        <v>1.31459415584416</v>
      </c>
      <c r="D10" s="0" t="str">
        <f aca="false">IF(ABS(C10-B10)&lt;=E10,"OK","DIFF")</f>
        <v>OK</v>
      </c>
      <c r="E10" s="0" t="n">
        <v>0.005</v>
      </c>
    </row>
    <row r="11" customFormat="false" ht="15" hidden="false" customHeight="false" outlineLevel="0" collapsed="false">
      <c r="A11" s="0" t="s">
        <v>304</v>
      </c>
      <c r="B11" s="0" t="n">
        <v>1.44</v>
      </c>
      <c r="C11" s="19" t="n">
        <f aca="false">Annual!B45</f>
        <v>1.43628099173554</v>
      </c>
      <c r="D11" s="0" t="str">
        <f aca="false">IF(ABS(C11-B11)&lt;=E11,"OK","DIFF")</f>
        <v>OK</v>
      </c>
      <c r="E11" s="0" t="n">
        <v>0.005</v>
      </c>
    </row>
    <row r="12" customFormat="false" ht="15" hidden="false" customHeight="false" outlineLevel="0" collapsed="false">
      <c r="A12" s="0" t="s">
        <v>426</v>
      </c>
      <c r="B12" s="0" t="n">
        <v>1.41</v>
      </c>
      <c r="C12" s="19" t="n">
        <f aca="false">Annual!B46</f>
        <v>1.40512820512821</v>
      </c>
      <c r="D12" s="0" t="str">
        <f aca="false">IF(ABS(C12-B12)&lt;=E12,"OK","DIFF")</f>
        <v>OK</v>
      </c>
      <c r="E12" s="0" t="n">
        <v>0.005</v>
      </c>
    </row>
    <row r="13" customFormat="false" ht="15" hidden="false" customHeight="false" outlineLevel="0" collapsed="false">
      <c r="A13" s="0" t="s">
        <v>427</v>
      </c>
      <c r="B13" s="0" t="n">
        <v>1.21</v>
      </c>
      <c r="C13" s="19" t="n">
        <f aca="false">Annual!B47</f>
        <v>1.20666666666667</v>
      </c>
      <c r="D13" s="0" t="str">
        <f aca="false">IF(ABS(C13-B13)&lt;=E13,"OK","DIFF")</f>
        <v>OK</v>
      </c>
      <c r="E13" s="0" t="n">
        <v>0.005</v>
      </c>
    </row>
    <row r="14" customFormat="false" ht="15" hidden="false" customHeight="false" outlineLevel="0" collapsed="false">
      <c r="A14" s="0" t="s">
        <v>428</v>
      </c>
      <c r="B14" s="0" t="n">
        <v>0.62</v>
      </c>
      <c r="C14" s="30" t="n">
        <f aca="false">Annual!B58</f>
        <v>0.620928236835938</v>
      </c>
      <c r="D14" s="0" t="str">
        <f aca="false">IF(ABS(C14-B14)&lt;=E14,"OK","DIFF")</f>
        <v>OK</v>
      </c>
      <c r="E14" s="0" t="n">
        <v>0.005</v>
      </c>
    </row>
    <row r="15" customFormat="false" ht="15" hidden="false" customHeight="false" outlineLevel="0" collapsed="false">
      <c r="A15" s="0" t="s">
        <v>429</v>
      </c>
      <c r="B15" s="0" t="n">
        <v>0.37</v>
      </c>
      <c r="C15" s="0" t="n">
        <f aca="false">Annual!B37/1000000</f>
        <v>0.3661617263125</v>
      </c>
      <c r="D15" s="0" t="str">
        <f aca="false">IF(ABS(C15-B15)&lt;=E15,"OK","DIFF")</f>
        <v>OK</v>
      </c>
      <c r="E15" s="0" t="n">
        <v>0.005</v>
      </c>
    </row>
    <row r="16" customFormat="false" ht="15" hidden="false" customHeight="false" outlineLevel="0" collapsed="false">
      <c r="A16" s="0" t="s">
        <v>430</v>
      </c>
      <c r="B16" s="0" t="n">
        <v>40434</v>
      </c>
      <c r="C16" s="18" t="n">
        <f aca="false">Annual!B51</f>
        <v>40434.43428</v>
      </c>
      <c r="D16" s="0" t="str">
        <f aca="false">IF(ABS(C16-B16)&lt;=E16,"OK","DIFF")</f>
        <v>OK</v>
      </c>
      <c r="E16" s="0" t="n">
        <v>0.5</v>
      </c>
    </row>
    <row r="17" customFormat="false" ht="15" hidden="false" customHeight="false" outlineLevel="0" collapsed="false">
      <c r="A17" s="0" t="s">
        <v>431</v>
      </c>
      <c r="B17" s="0" t="n">
        <v>51588</v>
      </c>
      <c r="C17" s="18" t="n">
        <f aca="false">Annual!B49</f>
        <v>51587.64</v>
      </c>
      <c r="D17" s="0" t="str">
        <f aca="false">IF(ABS(C17-B17)&lt;=E17,"OK","DIFF")</f>
        <v>OK</v>
      </c>
      <c r="E17" s="0" t="n">
        <v>0.5</v>
      </c>
    </row>
    <row r="18" customFormat="false" ht="15" hidden="false" customHeight="false" outlineLevel="0" collapsed="false">
      <c r="A18" s="0" t="s">
        <v>432</v>
      </c>
      <c r="B18" s="0" t="n">
        <v>0.64</v>
      </c>
      <c r="C18" s="19" t="n">
        <f aca="false">Annual!B50</f>
        <v>0.637337662337662</v>
      </c>
      <c r="D18" s="0" t="str">
        <f aca="false">IF(ABS(C18-B18)&lt;=E18,"OK","DIFF")</f>
        <v>OK</v>
      </c>
      <c r="E18" s="0" t="n">
        <v>0.005</v>
      </c>
    </row>
    <row r="19" customFormat="false" ht="15" hidden="false" customHeight="false" outlineLevel="0" collapsed="false">
      <c r="A19" s="0" t="s">
        <v>433</v>
      </c>
      <c r="B19" s="0" t="n">
        <v>41.69</v>
      </c>
      <c r="C19" s="0" t="n">
        <f aca="false">Annual!C10/1000000</f>
        <v>41.69016</v>
      </c>
      <c r="D19" s="0" t="str">
        <f aca="false">IF(ABS(C19-B19)&lt;=E19,"OK","DIFF")</f>
        <v>OK</v>
      </c>
      <c r="E19" s="0" t="n">
        <v>0.005</v>
      </c>
    </row>
    <row r="20" customFormat="false" ht="15" hidden="false" customHeight="false" outlineLevel="0" collapsed="false">
      <c r="A20" s="0" t="s">
        <v>434</v>
      </c>
      <c r="B20" s="0" t="n">
        <v>55.13</v>
      </c>
      <c r="C20" s="0" t="n">
        <f aca="false">Annual!C12/1000000</f>
        <v>55.1344076334</v>
      </c>
      <c r="D20" s="0" t="str">
        <f aca="false">IF(ABS(C20-B20)&lt;=E20,"OK","DIFF")</f>
        <v>OK</v>
      </c>
      <c r="E20" s="0" t="n">
        <v>0.005</v>
      </c>
    </row>
    <row r="21" customFormat="false" ht="15" hidden="false" customHeight="false" outlineLevel="0" collapsed="false">
      <c r="A21" s="0" t="s">
        <v>435</v>
      </c>
      <c r="B21" s="0" t="n">
        <v>12.9</v>
      </c>
      <c r="C21" s="0" t="n">
        <f aca="false">Annual!C13/1000000</f>
        <v>12.90161961252</v>
      </c>
      <c r="D21" s="0" t="str">
        <f aca="false">IF(ABS(C21-B21)&lt;=E21,"OK","DIFF")</f>
        <v>OK</v>
      </c>
      <c r="E21" s="0" t="n">
        <v>0.005</v>
      </c>
    </row>
    <row r="22" customFormat="false" ht="15" hidden="false" customHeight="false" outlineLevel="0" collapsed="false">
      <c r="A22" s="0" t="s">
        <v>436</v>
      </c>
      <c r="B22" s="0" t="n">
        <v>29.9</v>
      </c>
      <c r="C22" s="0" t="n">
        <f aca="false">Annual!C26/1000000</f>
        <v>29.89754904328</v>
      </c>
      <c r="D22" s="0" t="str">
        <f aca="false">IF(ABS(C22-B22)&lt;=E22,"OK","DIFF")</f>
        <v>OK</v>
      </c>
      <c r="E22" s="0" t="n">
        <v>0.005</v>
      </c>
    </row>
    <row r="23" customFormat="false" ht="15" hidden="false" customHeight="false" outlineLevel="0" collapsed="false">
      <c r="A23" s="0" t="s">
        <v>437</v>
      </c>
      <c r="B23" s="0" t="n">
        <v>0.33</v>
      </c>
      <c r="C23" s="0" t="n">
        <f aca="false">Annual!C27/1000000</f>
        <v>0.32910302088</v>
      </c>
      <c r="D23" s="0" t="str">
        <f aca="false">IF(ABS(C23-B23)&lt;=E23,"OK","DIFF")</f>
        <v>OK</v>
      </c>
      <c r="E23" s="0" t="n">
        <v>0.005</v>
      </c>
    </row>
    <row r="24" customFormat="false" ht="15" hidden="false" customHeight="false" outlineLevel="0" collapsed="false">
      <c r="A24" s="0" t="s">
        <v>438</v>
      </c>
      <c r="B24" s="0" t="n">
        <v>0.21</v>
      </c>
      <c r="C24" s="0" t="n">
        <f aca="false">Annual!C28/1000000</f>
        <v>0.213525</v>
      </c>
      <c r="D24" s="0" t="str">
        <f aca="false">IF(ABS(C24-B24)&lt;=E24,"OK","DIFF")</f>
        <v>OK</v>
      </c>
      <c r="E24" s="0" t="n">
        <v>0.005</v>
      </c>
    </row>
    <row r="25" customFormat="false" ht="15" hidden="false" customHeight="false" outlineLevel="0" collapsed="false">
      <c r="A25" s="0" t="s">
        <v>439</v>
      </c>
      <c r="B25" s="0" t="n">
        <v>1.28</v>
      </c>
      <c r="C25" s="19" t="n">
        <f aca="false">Annual!C48</f>
        <v>1.2805069582505</v>
      </c>
      <c r="D25" s="0" t="str">
        <f aca="false">IF(ABS(C25-B25)&lt;=E25,"OK","DIFF")</f>
        <v>OK</v>
      </c>
      <c r="E25" s="0" t="n">
        <v>0.005</v>
      </c>
    </row>
    <row r="26" customFormat="false" ht="15" hidden="false" customHeight="false" outlineLevel="0" collapsed="false">
      <c r="A26" s="0" t="s">
        <v>305</v>
      </c>
      <c r="B26" s="0" t="n">
        <v>1.41</v>
      </c>
      <c r="C26" s="19" t="n">
        <f aca="false">Annual!C45</f>
        <v>1.40774891774892</v>
      </c>
      <c r="D26" s="0" t="str">
        <f aca="false">IF(ABS(C26-B26)&lt;=E26,"OK","DIFF")</f>
        <v>OK</v>
      </c>
      <c r="E26" s="0" t="n">
        <v>0.005</v>
      </c>
    </row>
    <row r="27" customFormat="false" ht="15" hidden="false" customHeight="false" outlineLevel="0" collapsed="false">
      <c r="A27" s="0" t="s">
        <v>440</v>
      </c>
      <c r="B27" s="0" t="n">
        <v>1.32</v>
      </c>
      <c r="C27" s="19" t="n">
        <f aca="false">Annual!C46</f>
        <v>1.32307692307692</v>
      </c>
      <c r="D27" s="0" t="str">
        <f aca="false">IF(ABS(C27-B27)&lt;=E27,"OK","DIFF")</f>
        <v>OK</v>
      </c>
      <c r="E27" s="0" t="n">
        <v>0.005</v>
      </c>
    </row>
    <row r="28" customFormat="false" ht="15" hidden="false" customHeight="false" outlineLevel="0" collapsed="false">
      <c r="A28" s="0" t="s">
        <v>441</v>
      </c>
      <c r="B28" s="0" t="n">
        <v>1.18</v>
      </c>
      <c r="C28" s="19" t="n">
        <f aca="false">Annual!C47</f>
        <v>1.18444444444444</v>
      </c>
      <c r="D28" s="0" t="str">
        <f aca="false">IF(ABS(C28-B28)&lt;=E28,"OK","DIFF")</f>
        <v>OK</v>
      </c>
      <c r="E28" s="0" t="n">
        <v>0.005</v>
      </c>
    </row>
    <row r="29" customFormat="false" ht="15" hidden="false" customHeight="false" outlineLevel="0" collapsed="false">
      <c r="A29" s="0" t="s">
        <v>442</v>
      </c>
      <c r="B29" s="0" t="n">
        <v>1.49</v>
      </c>
      <c r="C29" s="30" t="n">
        <f aca="false">Annual!C58</f>
        <v>1.49153901267083</v>
      </c>
      <c r="D29" s="0" t="str">
        <f aca="false">IF(ABS(C29-B29)&lt;=E29,"OK","DIFF")</f>
        <v>OK</v>
      </c>
      <c r="E29" s="0" t="n">
        <v>0.005</v>
      </c>
    </row>
    <row r="30" customFormat="false" ht="15" hidden="false" customHeight="false" outlineLevel="0" collapsed="false">
      <c r="A30" s="0" t="s">
        <v>443</v>
      </c>
      <c r="B30" s="0" t="n">
        <v>0.83</v>
      </c>
      <c r="C30" s="0" t="n">
        <f aca="false">Annual!C37/1000000</f>
        <v>0.830487473424444</v>
      </c>
      <c r="D30" s="0" t="str">
        <f aca="false">IF(ABS(C30-B30)&lt;=E30,"OK","DIFF")</f>
        <v>OK</v>
      </c>
      <c r="E30" s="0" t="n">
        <v>0.005</v>
      </c>
    </row>
    <row r="31" customFormat="false" ht="15" hidden="false" customHeight="false" outlineLevel="0" collapsed="false">
      <c r="A31" s="0" t="s">
        <v>444</v>
      </c>
      <c r="B31" s="0" t="n">
        <v>64322</v>
      </c>
      <c r="C31" s="18" t="n">
        <f aca="false">Annual!C51</f>
        <v>64321.90308</v>
      </c>
      <c r="D31" s="0" t="str">
        <f aca="false">IF(ABS(C31-B31)&lt;=E31,"OK","DIFF")</f>
        <v>OK</v>
      </c>
      <c r="E31" s="0" t="n">
        <v>0.5</v>
      </c>
    </row>
    <row r="32" customFormat="false" ht="15" hidden="false" customHeight="false" outlineLevel="0" collapsed="false">
      <c r="A32" s="0" t="s">
        <v>445</v>
      </c>
      <c r="B32" s="0" t="n">
        <v>89234</v>
      </c>
      <c r="C32" s="18" t="n">
        <f aca="false">Annual!C49</f>
        <v>89233.74</v>
      </c>
      <c r="D32" s="0" t="str">
        <f aca="false">IF(ABS(C32-B32)&lt;=E32,"OK","DIFF")</f>
        <v>OK</v>
      </c>
      <c r="E32" s="0" t="n">
        <v>0.5</v>
      </c>
    </row>
    <row r="33" customFormat="false" ht="15" hidden="false" customHeight="false" outlineLevel="0" collapsed="false">
      <c r="A33" s="0" t="s">
        <v>446</v>
      </c>
      <c r="B33" s="0" t="n">
        <v>0.68</v>
      </c>
      <c r="C33" s="19" t="n">
        <f aca="false">Annual!C50</f>
        <v>0.675049701789264</v>
      </c>
      <c r="D33" s="0" t="str">
        <f aca="false">IF(ABS(C33-B33)&lt;=E33,"OK","DIFF")</f>
        <v>OK</v>
      </c>
      <c r="E33" s="0" t="n">
        <v>0.005</v>
      </c>
    </row>
    <row r="34" customFormat="false" ht="15" hidden="false" customHeight="false" outlineLevel="0" collapsed="false">
      <c r="A34" s="0" t="s">
        <v>447</v>
      </c>
      <c r="B34" s="0" t="n">
        <v>57.48</v>
      </c>
      <c r="C34" s="0" t="n">
        <f aca="false">Annual!D10/1000000</f>
        <v>57.4786377</v>
      </c>
      <c r="D34" s="0" t="str">
        <f aca="false">IF(ABS(C34-B34)&lt;=E34,"OK","DIFF")</f>
        <v>OK</v>
      </c>
      <c r="E34" s="0" t="n">
        <v>0.005</v>
      </c>
    </row>
    <row r="35" customFormat="false" ht="15" hidden="false" customHeight="false" outlineLevel="0" collapsed="false">
      <c r="A35" s="0" t="s">
        <v>448</v>
      </c>
      <c r="B35" s="0" t="n">
        <v>75.76</v>
      </c>
      <c r="C35" s="0" t="n">
        <f aca="false">Annual!D12/1000000</f>
        <v>75.761876129058</v>
      </c>
      <c r="D35" s="0" t="str">
        <f aca="false">IF(ABS(C35-B35)&lt;=E35,"OK","DIFF")</f>
        <v>OK</v>
      </c>
      <c r="E35" s="0" t="n">
        <v>0.005</v>
      </c>
    </row>
    <row r="36" customFormat="false" ht="15" hidden="false" customHeight="false" outlineLevel="0" collapsed="false">
      <c r="A36" s="0" t="s">
        <v>449</v>
      </c>
      <c r="B36" s="0" t="n">
        <v>17.5</v>
      </c>
      <c r="C36" s="0" t="n">
        <f aca="false">Annual!D13/1000000</f>
        <v>17.5013180686944</v>
      </c>
      <c r="D36" s="0" t="str">
        <f aca="false">IF(ABS(C36-B36)&lt;=E36,"OK","DIFF")</f>
        <v>OK</v>
      </c>
      <c r="E36" s="0" t="n">
        <v>0.005</v>
      </c>
    </row>
    <row r="37" customFormat="false" ht="15" hidden="false" customHeight="false" outlineLevel="0" collapsed="false">
      <c r="A37" s="0" t="s">
        <v>450</v>
      </c>
      <c r="B37" s="0" t="n">
        <v>45.25</v>
      </c>
      <c r="C37" s="0" t="n">
        <f aca="false">Annual!D26/1000000</f>
        <v>45.2508059663116</v>
      </c>
      <c r="D37" s="0" t="str">
        <f aca="false">IF(ABS(C37-B37)&lt;=E37,"OK","DIFF")</f>
        <v>OK</v>
      </c>
      <c r="E37" s="0" t="n">
        <v>0.005</v>
      </c>
    </row>
    <row r="38" customFormat="false" ht="15" hidden="false" customHeight="false" outlineLevel="0" collapsed="false">
      <c r="A38" s="0" t="s">
        <v>451</v>
      </c>
      <c r="B38" s="0" t="n">
        <v>0.5</v>
      </c>
      <c r="C38" s="0" t="n">
        <f aca="false">Annual!D27/1000000</f>
        <v>0.5043378603636</v>
      </c>
      <c r="D38" s="0" t="str">
        <f aca="false">IF(ABS(C38-B38)&lt;=E38,"OK","DIFF")</f>
        <v>OK</v>
      </c>
      <c r="E38" s="0" t="n">
        <v>0.005</v>
      </c>
    </row>
    <row r="39" customFormat="false" ht="15" hidden="false" customHeight="false" outlineLevel="0" collapsed="false">
      <c r="A39" s="0" t="s">
        <v>452</v>
      </c>
      <c r="B39" s="0" t="n">
        <v>0.28</v>
      </c>
      <c r="C39" s="0" t="n">
        <f aca="false">Annual!D28/1000000</f>
        <v>0.2775825</v>
      </c>
      <c r="D39" s="0" t="str">
        <f aca="false">IF(ABS(C39-B39)&lt;=E39,"OK","DIFF")</f>
        <v>OK</v>
      </c>
      <c r="E39" s="0" t="n">
        <v>0.005</v>
      </c>
    </row>
    <row r="40" customFormat="false" ht="15" hidden="false" customHeight="false" outlineLevel="0" collapsed="false">
      <c r="A40" s="0" t="s">
        <v>453</v>
      </c>
      <c r="B40" s="0" t="n">
        <v>1.26</v>
      </c>
      <c r="C40" s="19" t="n">
        <f aca="false">Annual!D48</f>
        <v>1.26467387253075</v>
      </c>
      <c r="D40" s="0" t="str">
        <f aca="false">IF(ABS(C40-B40)&lt;=E40,"OK","DIFF")</f>
        <v>OK</v>
      </c>
      <c r="E40" s="0" t="n">
        <v>0.005</v>
      </c>
    </row>
    <row r="41" customFormat="false" ht="15" hidden="false" customHeight="false" outlineLevel="0" collapsed="false">
      <c r="A41" s="0" t="s">
        <v>306</v>
      </c>
      <c r="B41" s="0" t="n">
        <v>1.4</v>
      </c>
      <c r="C41" s="19" t="n">
        <f aca="false">Annual!D45</f>
        <v>1.39673981191223</v>
      </c>
      <c r="D41" s="0" t="str">
        <f aca="false">IF(ABS(C41-B41)&lt;=E41,"OK","DIFF")</f>
        <v>OK</v>
      </c>
      <c r="E41" s="0" t="n">
        <v>0.005</v>
      </c>
    </row>
    <row r="42" customFormat="false" ht="15" hidden="false" customHeight="false" outlineLevel="0" collapsed="false">
      <c r="A42" s="0" t="s">
        <v>454</v>
      </c>
      <c r="B42" s="0" t="n">
        <v>1.29</v>
      </c>
      <c r="C42" s="19" t="n">
        <f aca="false">Annual!D46</f>
        <v>1.29467455621302</v>
      </c>
      <c r="D42" s="0" t="str">
        <f aca="false">IF(ABS(C42-B42)&lt;=E42,"OK","DIFF")</f>
        <v>OK</v>
      </c>
      <c r="E42" s="0" t="n">
        <v>0.005</v>
      </c>
    </row>
    <row r="43" customFormat="false" ht="15" hidden="false" customHeight="false" outlineLevel="0" collapsed="false">
      <c r="A43" s="0" t="s">
        <v>455</v>
      </c>
      <c r="B43" s="0" t="n">
        <v>1.17</v>
      </c>
      <c r="C43" s="19" t="n">
        <f aca="false">Annual!D47</f>
        <v>1.17333333333333</v>
      </c>
      <c r="D43" s="0" t="str">
        <f aca="false">IF(ABS(C43-B43)&lt;=E43,"OK","DIFF")</f>
        <v>OK</v>
      </c>
      <c r="E43" s="0" t="n">
        <v>0.005</v>
      </c>
    </row>
    <row r="44" customFormat="false" ht="15" hidden="false" customHeight="false" outlineLevel="0" collapsed="false">
      <c r="A44" s="0" t="s">
        <v>456</v>
      </c>
      <c r="B44" s="0" t="n">
        <v>1.56</v>
      </c>
      <c r="C44" s="30" t="n">
        <f aca="false">Annual!D58</f>
        <v>1.55995765837984</v>
      </c>
      <c r="D44" s="0" t="str">
        <f aca="false">IF(ABS(C44-B44)&lt;=E44,"OK","DIFF")</f>
        <v>OK</v>
      </c>
      <c r="E44" s="0" t="n">
        <v>0.005</v>
      </c>
    </row>
    <row r="45" customFormat="false" ht="15" hidden="false" customHeight="false" outlineLevel="0" collapsed="false">
      <c r="A45" s="0" t="s">
        <v>457</v>
      </c>
      <c r="B45" s="0" t="n">
        <v>1.26</v>
      </c>
      <c r="C45" s="0" t="n">
        <f aca="false">Annual!D37/1000000</f>
        <v>1.25696683239754</v>
      </c>
      <c r="D45" s="0" t="str">
        <f aca="false">IF(ABS(C45-B45)&lt;=E45,"OK","DIFF")</f>
        <v>OK</v>
      </c>
      <c r="E45" s="0" t="n">
        <v>0.005</v>
      </c>
    </row>
    <row r="46" customFormat="false" ht="15" hidden="false" customHeight="false" outlineLevel="0" collapsed="false">
      <c r="A46" s="0" t="s">
        <v>458</v>
      </c>
      <c r="B46" s="0" t="n">
        <v>84713</v>
      </c>
      <c r="C46" s="18" t="n">
        <f aca="false">Annual!D51</f>
        <v>84712.63392</v>
      </c>
      <c r="D46" s="0" t="str">
        <f aca="false">IF(ABS(C46-B46)&lt;=E46,"OK","DIFF")</f>
        <v>OK</v>
      </c>
      <c r="E46" s="0" t="n">
        <v>0.5</v>
      </c>
    </row>
    <row r="47" customFormat="false" ht="15" hidden="false" customHeight="false" outlineLevel="0" collapsed="false">
      <c r="A47" s="0" t="s">
        <v>459</v>
      </c>
      <c r="B47" s="0" t="n">
        <v>119002</v>
      </c>
      <c r="C47" s="18" t="n">
        <f aca="false">Annual!D49</f>
        <v>119002.41</v>
      </c>
      <c r="D47" s="0" t="str">
        <f aca="false">IF(ABS(C47-B47)&lt;=E47,"OK","DIFF")</f>
        <v>OK</v>
      </c>
      <c r="E47" s="0" t="n">
        <v>0.5</v>
      </c>
    </row>
    <row r="48" customFormat="false" ht="15" hidden="false" customHeight="false" outlineLevel="0" collapsed="false">
      <c r="A48" s="0" t="s">
        <v>460</v>
      </c>
      <c r="B48" s="0" t="n">
        <v>0.68</v>
      </c>
      <c r="C48" s="19" t="n">
        <f aca="false">Annual!D50</f>
        <v>0.675102497204622</v>
      </c>
      <c r="D48" s="0" t="str">
        <f aca="false">IF(ABS(C48-B48)&lt;=E48,"OK","DIFF")</f>
        <v>OK</v>
      </c>
      <c r="E48" s="0" t="n">
        <v>0.005</v>
      </c>
    </row>
    <row r="49" customFormat="false" ht="15" hidden="false" customHeight="false" outlineLevel="0" collapsed="false">
      <c r="A49" s="0" t="s">
        <v>461</v>
      </c>
      <c r="B49" s="0" t="n">
        <v>0.777</v>
      </c>
      <c r="C49" s="21" t="n">
        <f aca="false">Annual!D32</f>
        <v>0.77669709101357</v>
      </c>
      <c r="D49" s="0" t="str">
        <f aca="false">IF(ABS(C49-B49)&lt;=E49,"OK","DIFF")</f>
        <v>OK</v>
      </c>
      <c r="E49" s="0" t="n">
        <v>0.0005</v>
      </c>
    </row>
    <row r="50" customFormat="false" ht="15" hidden="false" customHeight="false" outlineLevel="0" collapsed="false">
      <c r="A50" s="0" t="s">
        <v>462</v>
      </c>
      <c r="B50" s="0" t="n">
        <v>7.28</v>
      </c>
      <c r="C50" s="0" t="n">
        <f aca="false">Annual!B63/1000000</f>
        <v>7.27817785275</v>
      </c>
      <c r="D50" s="0" t="str">
        <f aca="false">IF(ABS(C50-B50)&lt;=E50,"OK","DIFF")</f>
        <v>OK</v>
      </c>
      <c r="E50" s="0" t="n">
        <v>0.005</v>
      </c>
    </row>
    <row r="51" customFormat="false" ht="15" hidden="false" customHeight="false" outlineLevel="0" collapsed="false">
      <c r="A51" s="0" t="s">
        <v>463</v>
      </c>
      <c r="B51" s="0" t="n">
        <v>9.01</v>
      </c>
      <c r="C51" s="0" t="n">
        <f aca="false">Annual!B64/1000000</f>
        <v>9.01114017145526</v>
      </c>
      <c r="D51" s="0" t="str">
        <f aca="false">IF(ABS(C51-B51)&lt;=E51,"OK","DIFF")</f>
        <v>OK</v>
      </c>
      <c r="E51" s="0" t="n">
        <v>0.005</v>
      </c>
    </row>
    <row r="52" customFormat="false" ht="15" hidden="false" customHeight="false" outlineLevel="0" collapsed="false">
      <c r="A52" s="0" t="s">
        <v>464</v>
      </c>
      <c r="B52" s="0" t="n">
        <v>13.37</v>
      </c>
      <c r="C52" s="0" t="n">
        <f aca="false">Annual!B66/1000000</f>
        <v>13.3719649137233</v>
      </c>
      <c r="D52" s="0" t="str">
        <f aca="false">IF(ABS(C52-B52)&lt;=E52,"OK","DIFF")</f>
        <v>OK</v>
      </c>
      <c r="E52" s="0" t="n">
        <v>0.005</v>
      </c>
    </row>
    <row r="53" customFormat="false" ht="15" hidden="false" customHeight="false" outlineLevel="0" collapsed="false">
      <c r="A53" s="0" t="s">
        <v>465</v>
      </c>
      <c r="B53" s="0" t="n">
        <v>5492</v>
      </c>
      <c r="C53" s="18" t="n">
        <f aca="false">Annual!B71</f>
        <v>5492.10112830928</v>
      </c>
      <c r="D53" s="0" t="str">
        <f aca="false">IF(ABS(C53-B53)&lt;=E53,"OK","DIFF")</f>
        <v>OK</v>
      </c>
      <c r="E53" s="0" t="n">
        <v>0.5</v>
      </c>
    </row>
    <row r="54" customFormat="false" ht="15" hidden="false" customHeight="false" outlineLevel="0" collapsed="false">
      <c r="A54" s="0" t="s">
        <v>466</v>
      </c>
      <c r="B54" s="0" t="n">
        <v>17491</v>
      </c>
      <c r="C54" s="18" t="n">
        <f aca="false">Annual!B72</f>
        <v>17491.2826954253</v>
      </c>
      <c r="D54" s="0" t="str">
        <f aca="false">IF(ABS(C54-B54)&lt;=E54,"OK","DIFF")</f>
        <v>OK</v>
      </c>
      <c r="E54" s="0" t="n">
        <v>0.5</v>
      </c>
    </row>
    <row r="55" customFormat="false" ht="15" hidden="false" customHeight="false" outlineLevel="0" collapsed="false">
      <c r="A55" s="0" t="s">
        <v>467</v>
      </c>
      <c r="B55" s="0" t="n">
        <v>0.311</v>
      </c>
      <c r="C55" s="21" t="n">
        <f aca="false">Annual!B73</f>
        <v>0.310588780708002</v>
      </c>
      <c r="D55" s="0" t="str">
        <f aca="false">IF(ABS(C55-B55)&lt;=E55,"OK","DIFF")</f>
        <v>OK</v>
      </c>
      <c r="E55" s="0" t="n">
        <v>0.0005</v>
      </c>
    </row>
    <row r="56" customFormat="false" ht="15" hidden="false" customHeight="false" outlineLevel="0" collapsed="false">
      <c r="A56" s="0" t="s">
        <v>468</v>
      </c>
      <c r="B56" s="0" t="n">
        <v>0.35</v>
      </c>
      <c r="C56" s="0" t="n">
        <f aca="false">Annual!B74/1000000</f>
        <v>0.3524805</v>
      </c>
      <c r="D56" s="0" t="str">
        <f aca="false">IF(ABS(C56-B56)&lt;=E56,"OK","DIFF")</f>
        <v>OK</v>
      </c>
      <c r="E56" s="0" t="n">
        <v>0.005</v>
      </c>
    </row>
    <row r="57" customFormat="false" ht="15" hidden="false" customHeight="false" outlineLevel="0" collapsed="false">
      <c r="A57" s="0" t="s">
        <v>311</v>
      </c>
      <c r="B57" s="0" t="n">
        <v>1.45</v>
      </c>
      <c r="C57" s="19" t="n">
        <f aca="false">Cooling!B13</f>
        <v>1.4525147579693</v>
      </c>
      <c r="D57" s="0" t="str">
        <f aca="false">IF(ABS(C57-B57)&lt;=E57,"OK","DIFF")</f>
        <v>OK</v>
      </c>
      <c r="E57" s="0" t="n">
        <v>0.005</v>
      </c>
    </row>
    <row r="58" customFormat="false" ht="15" hidden="false" customHeight="false" outlineLevel="0" collapsed="false">
      <c r="A58" s="0" t="s">
        <v>312</v>
      </c>
      <c r="B58" s="0" t="n">
        <v>2.09</v>
      </c>
      <c r="C58" s="19" t="n">
        <f aca="false">Cooling!B14</f>
        <v>2.09005903187721</v>
      </c>
      <c r="D58" s="0" t="str">
        <f aca="false">IF(ABS(C58-B58)&lt;=E58,"OK","DIFF")</f>
        <v>OK</v>
      </c>
      <c r="E58" s="0" t="n">
        <v>0.005</v>
      </c>
    </row>
    <row r="59" customFormat="false" ht="15" hidden="false" customHeight="false" outlineLevel="0" collapsed="false">
      <c r="A59" s="0" t="s">
        <v>469</v>
      </c>
      <c r="B59" s="0" t="n">
        <v>-0.22</v>
      </c>
      <c r="C59" s="0" t="n">
        <f aca="false">Cooling!C8/1000000</f>
        <v>-0.218683764</v>
      </c>
      <c r="D59" s="0" t="str">
        <f aca="false">IF(ABS(C59-B59)&lt;=E59,"OK","DIFF")</f>
        <v>OK</v>
      </c>
      <c r="E59" s="0" t="n">
        <v>0.005</v>
      </c>
    </row>
    <row r="60" customFormat="false" ht="15" hidden="false" customHeight="false" outlineLevel="0" collapsed="false">
      <c r="A60" s="0" t="s">
        <v>470</v>
      </c>
      <c r="B60" s="0" t="n">
        <v>0.6</v>
      </c>
      <c r="C60" s="0" t="n">
        <f aca="false">Cooling!D10/1000000</f>
        <v>0.6030597528504</v>
      </c>
      <c r="D60" s="0" t="str">
        <f aca="false">IF(ABS(C60-B60)&lt;=E60,"OK","DIFF")</f>
        <v>OK</v>
      </c>
      <c r="E60" s="0" t="n">
        <v>0.005</v>
      </c>
    </row>
    <row r="61" customFormat="false" ht="15" hidden="false" customHeight="false" outlineLevel="0" collapsed="false">
      <c r="A61" s="0" t="s">
        <v>471</v>
      </c>
      <c r="B61" s="0" t="n">
        <v>1320</v>
      </c>
      <c r="C61" s="18" t="n">
        <f aca="false">Cooling!B16</f>
        <v>1319.64809384164</v>
      </c>
      <c r="D61" s="0" t="str">
        <f aca="false">IF(ABS(C61-B61)&lt;=E61,"OK","DIFF")</f>
        <v>OK</v>
      </c>
      <c r="E61" s="0" t="n">
        <v>0.5</v>
      </c>
    </row>
    <row r="62" customFormat="false" ht="15" hidden="false" customHeight="false" outlineLevel="0" collapsed="false">
      <c r="A62" s="0" t="s">
        <v>472</v>
      </c>
      <c r="B62" s="0" t="n">
        <v>3.64</v>
      </c>
      <c r="C62" s="0" t="n">
        <f aca="false">Staffing!$D$14/1000000</f>
        <v>3.64</v>
      </c>
      <c r="D62" s="0" t="str">
        <f aca="false">IF(ABS(C62-B62)&lt;=E62,"OK","DIFF")</f>
        <v>OK</v>
      </c>
      <c r="E62" s="0" t="n">
        <v>0.005</v>
      </c>
    </row>
    <row r="63" customFormat="false" ht="15" hidden="false" customHeight="false" outlineLevel="0" collapsed="false">
      <c r="A63" s="0" t="s">
        <v>473</v>
      </c>
      <c r="B63" s="0" t="n">
        <v>3.98</v>
      </c>
      <c r="C63" s="0" t="n">
        <f aca="false">Staffing!$B$24/1000000</f>
        <v>3.980725</v>
      </c>
      <c r="D63" s="0" t="str">
        <f aca="false">IF(ABS(C63-B63)&lt;=E63,"OK","DIFF")</f>
        <v>OK</v>
      </c>
      <c r="E63" s="0" t="n">
        <v>0.005</v>
      </c>
    </row>
    <row r="64" customFormat="false" ht="15" hidden="false" customHeight="false" outlineLevel="0" collapsed="false">
      <c r="A64" s="0" t="s">
        <v>474</v>
      </c>
      <c r="B64" s="0" t="n">
        <v>3.83</v>
      </c>
      <c r="C64" s="0" t="n">
        <f aca="false">Staffing!$B$25/1000000</f>
        <v>3.8311525</v>
      </c>
      <c r="D64" s="0" t="str">
        <f aca="false">IF(ABS(C64-B64)&lt;=E64,"OK","DIFF")</f>
        <v>OK</v>
      </c>
      <c r="E64" s="0" t="n">
        <v>0.005</v>
      </c>
    </row>
    <row r="65" customFormat="false" ht="15" hidden="false" customHeight="false" outlineLevel="0" collapsed="false">
      <c r="A65" s="0" t="s">
        <v>475</v>
      </c>
      <c r="B65" s="0" t="n">
        <v>4.87</v>
      </c>
      <c r="C65" s="19" t="n">
        <f aca="false">Staffing!$B$16</f>
        <v>4.86666666666667</v>
      </c>
      <c r="D65" s="0" t="str">
        <f aca="false">IF(ABS(C65-B65)&lt;=E65,"OK","DIFF")</f>
        <v>OK</v>
      </c>
      <c r="E65" s="0" t="n">
        <v>0.005</v>
      </c>
    </row>
    <row r="66" customFormat="false" ht="15" hidden="false" customHeight="false" outlineLevel="0" collapsed="false">
      <c r="A66" s="0" t="s">
        <v>476</v>
      </c>
      <c r="B66" s="0" t="n">
        <v>5.26</v>
      </c>
      <c r="C66" s="19" t="n">
        <f aca="false">Power_SLA!$B$6</f>
        <v>5.25599999997608</v>
      </c>
      <c r="D66" s="0" t="str">
        <f aca="false">IF(ABS(C66-B66)&lt;=E66,"OK","DIFF")</f>
        <v>OK</v>
      </c>
      <c r="E66" s="0" t="n">
        <v>0.005</v>
      </c>
    </row>
    <row r="67" customFormat="false" ht="15" hidden="false" customHeight="false" outlineLevel="0" collapsed="false">
      <c r="A67" s="0" t="s">
        <v>477</v>
      </c>
      <c r="B67" s="0" t="n">
        <v>22950</v>
      </c>
      <c r="C67" s="18" t="n">
        <f aca="false">Power_SLA!$B$11</f>
        <v>22950</v>
      </c>
      <c r="D67" s="0" t="str">
        <f aca="false">IF(ABS(C67-B67)&lt;=E67,"OK","DIFF")</f>
        <v>OK</v>
      </c>
      <c r="E67" s="0" t="n">
        <v>0.5</v>
      </c>
    </row>
    <row r="68" customFormat="false" ht="15" hidden="false" customHeight="false" outlineLevel="0" collapsed="false">
      <c r="A68" s="0" t="s">
        <v>208</v>
      </c>
      <c r="B68" s="0" t="n">
        <v>87210</v>
      </c>
      <c r="C68" s="18" t="n">
        <f aca="false">Power_SLA!$B$12</f>
        <v>87210</v>
      </c>
      <c r="D68" s="0" t="str">
        <f aca="false">IF(ABS(C68-B68)&lt;=E68,"OK","DIFF")</f>
        <v>OK</v>
      </c>
      <c r="E68" s="0" t="n">
        <v>0.5</v>
      </c>
    </row>
    <row r="69" customFormat="false" ht="15" hidden="false" customHeight="false" outlineLevel="0" collapsed="false">
      <c r="A69" s="0" t="s">
        <v>478</v>
      </c>
      <c r="B69" s="0" t="n">
        <v>55543</v>
      </c>
      <c r="C69" s="18" t="n">
        <f aca="false">Power_SLA!$B$16</f>
        <v>55542.8571428571</v>
      </c>
      <c r="D69" s="0" t="str">
        <f aca="false">IF(ABS(C69-B69)&lt;=E69,"OK","DIFF")</f>
        <v>OK</v>
      </c>
      <c r="E69" s="0" t="n">
        <v>0.5</v>
      </c>
    </row>
    <row r="70" customFormat="false" ht="15" hidden="false" customHeight="false" outlineLevel="0" collapsed="false">
      <c r="A70" s="0" t="s">
        <v>479</v>
      </c>
      <c r="B70" s="0" t="n">
        <v>8.65</v>
      </c>
      <c r="C70" s="19" t="n">
        <f aca="false">Power_SLA!$B$18</f>
        <v>8.64639763138383</v>
      </c>
      <c r="D70" s="0" t="str">
        <f aca="false">IF(ABS(C70-B70)&lt;=E70,"OK","DIFF")</f>
        <v>OK</v>
      </c>
      <c r="E70" s="0" t="n">
        <v>0.005</v>
      </c>
    </row>
    <row r="71" customFormat="false" ht="15" hidden="false" customHeight="false" outlineLevel="0" collapsed="false">
      <c r="A71" s="0" t="s">
        <v>480</v>
      </c>
      <c r="B71" s="0" t="n">
        <v>11895</v>
      </c>
      <c r="C71" s="18" t="n">
        <f aca="false">Power_SLA!$B$23</f>
        <v>11895</v>
      </c>
      <c r="D71" s="0" t="str">
        <f aca="false">IF(ABS(C71-B71)&lt;=E71,"OK","DIFF")</f>
        <v>OK</v>
      </c>
      <c r="E71" s="0" t="n">
        <v>0.5</v>
      </c>
    </row>
    <row r="72" customFormat="false" ht="15" hidden="false" customHeight="false" outlineLevel="0" collapsed="false">
      <c r="A72" s="0" t="s">
        <v>481</v>
      </c>
      <c r="B72" s="0" t="n">
        <v>0.9999889</v>
      </c>
      <c r="C72" s="22" t="n">
        <f aca="false">Power_SLA!$B$25</f>
        <v>0.99998894490576</v>
      </c>
      <c r="D72" s="0" t="str">
        <f aca="false">IF(ABS(C72-B72)&lt;=E72,"OK","DIFF")</f>
        <v>OK</v>
      </c>
      <c r="E72" s="0" t="n">
        <v>5E-008</v>
      </c>
    </row>
    <row r="73" customFormat="false" ht="15" hidden="false" customHeight="false" outlineLevel="0" collapsed="false">
      <c r="A73" s="0" t="s">
        <v>482</v>
      </c>
      <c r="B73" s="0" t="n">
        <v>1674</v>
      </c>
      <c r="C73" s="18" t="n">
        <f aca="false">Maintenance!$B$19</f>
        <v>1674</v>
      </c>
      <c r="D73" s="0" t="str">
        <f aca="false">IF(ABS(C73-B73)&lt;=E73,"OK","DIFF")</f>
        <v>OK</v>
      </c>
      <c r="E73" s="0" t="n">
        <v>0.5</v>
      </c>
    </row>
    <row r="74" customFormat="false" ht="15" hidden="false" customHeight="false" outlineLevel="0" collapsed="false">
      <c r="A74" s="0" t="s">
        <v>483</v>
      </c>
      <c r="B74" s="0" t="n">
        <v>4932</v>
      </c>
      <c r="C74" s="18" t="n">
        <f aca="false">Maintenance!$B$21</f>
        <v>4932</v>
      </c>
      <c r="D74" s="0" t="str">
        <f aca="false">IF(ABS(C74-B74)&lt;=E74,"OK","DIFF")</f>
        <v>OK</v>
      </c>
      <c r="E74" s="0" t="n">
        <v>0.5</v>
      </c>
    </row>
    <row r="75" customFormat="false" ht="15" hidden="false" customHeight="false" outlineLevel="0" collapsed="false">
      <c r="A75" s="0" t="s">
        <v>350</v>
      </c>
      <c r="B75" s="0" t="n">
        <v>0.54</v>
      </c>
      <c r="C75" s="21" t="n">
        <f aca="false">Maintenance!$B$25</f>
        <v>0.537777777777778</v>
      </c>
      <c r="D75" s="0" t="str">
        <f aca="false">IF(ABS(C75-B75)&lt;=E75,"OK","DIFF")</f>
        <v>OK</v>
      </c>
      <c r="E75" s="0" t="n">
        <v>0.005</v>
      </c>
    </row>
    <row r="76" customFormat="false" ht="15" hidden="false" customHeight="false" outlineLevel="0" collapsed="false">
      <c r="A76" s="0" t="s">
        <v>484</v>
      </c>
      <c r="B76" s="0" t="n">
        <v>0.909</v>
      </c>
      <c r="C76" s="21" t="n">
        <f aca="false">Capacity!B6</f>
        <v>0.909090909090909</v>
      </c>
      <c r="D76" s="0" t="str">
        <f aca="false">IF(ABS(C76-B76)&lt;=E76,"OK","DIFF")</f>
        <v>OK</v>
      </c>
      <c r="E76" s="0" t="n">
        <v>0.0005</v>
      </c>
    </row>
    <row r="77" customFormat="false" ht="15" hidden="false" customHeight="false" outlineLevel="0" collapsed="false">
      <c r="A77" s="0" t="s">
        <v>485</v>
      </c>
      <c r="B77" s="0" t="n">
        <v>300</v>
      </c>
      <c r="C77" s="18" t="n">
        <f aca="false">Capacity!B27</f>
        <v>300</v>
      </c>
      <c r="D77" s="0" t="str">
        <f aca="false">IF(ABS(C77-B77)&lt;=E77,"OK","DIFF")</f>
        <v>OK</v>
      </c>
      <c r="E77" s="0" t="n">
        <v>0.5</v>
      </c>
    </row>
    <row r="78" customFormat="false" ht="15" hidden="false" customHeight="false" outlineLevel="0" collapsed="false">
      <c r="A78" s="0" t="s">
        <v>486</v>
      </c>
      <c r="B78" s="0" t="n">
        <v>30312</v>
      </c>
      <c r="C78" s="18" t="n">
        <f aca="false">Capacity!B31</f>
        <v>30312.5</v>
      </c>
      <c r="D78" s="0" t="str">
        <f aca="false">IF(ABS(C78-B78)&lt;=E78,"OK","DIFF")</f>
        <v>OK</v>
      </c>
      <c r="E78" s="0" t="n">
        <v>0.5</v>
      </c>
    </row>
    <row r="79" customFormat="false" ht="15" hidden="false" customHeight="false" outlineLevel="0" collapsed="false">
      <c r="A79" s="0" t="s">
        <v>487</v>
      </c>
      <c r="B79" s="0" t="n">
        <v>20041</v>
      </c>
      <c r="C79" s="18" t="n">
        <f aca="false">Capacity!B32</f>
        <v>20040.625</v>
      </c>
      <c r="D79" s="0" t="str">
        <f aca="false">IF(ABS(C79-B79)&lt;=E79,"OK","DIFF")</f>
        <v>OK</v>
      </c>
      <c r="E79" s="0" t="n">
        <v>0.5</v>
      </c>
    </row>
    <row r="80" customFormat="false" ht="15" hidden="false" customHeight="false" outlineLevel="0" collapsed="false">
      <c r="A80" s="0" t="s">
        <v>488</v>
      </c>
      <c r="B80" s="0" t="n">
        <v>4.76</v>
      </c>
      <c r="C80" s="0" t="n">
        <f aca="false">Capacity!B35/1000000</f>
        <v>4.76453821875</v>
      </c>
      <c r="D80" s="0" t="str">
        <f aca="false">IF(ABS(C80-B80)&lt;=E80,"OK","DIFF")</f>
        <v>OK</v>
      </c>
      <c r="E80" s="0" t="n">
        <v>0.005</v>
      </c>
    </row>
    <row r="81" customFormat="false" ht="15" hidden="false" customHeight="false" outlineLevel="0" collapsed="false">
      <c r="A81" s="0" t="s">
        <v>489</v>
      </c>
      <c r="B81" s="0" t="n">
        <v>110.92</v>
      </c>
      <c r="C81" s="20" t="n">
        <f aca="false">Pricing!B6</f>
        <v>110.916570208685</v>
      </c>
      <c r="D81" s="0" t="str">
        <f aca="false">IF(ABS(C81-B81)&lt;=E81,"OK","DIFF")</f>
        <v>OK</v>
      </c>
      <c r="E81" s="0" t="n">
        <v>0.005</v>
      </c>
    </row>
    <row r="82" customFormat="false" ht="15" hidden="false" customHeight="false" outlineLevel="0" collapsed="false">
      <c r="A82" s="0" t="s">
        <v>490</v>
      </c>
      <c r="B82" s="0" t="n">
        <v>-11100</v>
      </c>
      <c r="C82" s="18" t="n">
        <f aca="false">Pricing!B11</f>
        <v>-11100</v>
      </c>
      <c r="D82" s="0" t="str">
        <f aca="false">IF(ABS(C82-B82)&lt;=E82,"OK","DIFF")</f>
        <v>OK</v>
      </c>
      <c r="E82" s="0" t="n">
        <v>0.5</v>
      </c>
    </row>
    <row r="83" customFormat="false" ht="15" hidden="false" customHeight="false" outlineLevel="0" collapsed="false">
      <c r="A83" s="0" t="s">
        <v>491</v>
      </c>
      <c r="B83" s="0" t="n">
        <v>12.85</v>
      </c>
      <c r="C83" s="0" t="n">
        <f aca="false">Pricing!B15/1000000</f>
        <v>12.8502</v>
      </c>
      <c r="D83" s="0" t="str">
        <f aca="false">IF(ABS(C83-B83)&lt;=E83,"OK","DIFF")</f>
        <v>OK</v>
      </c>
      <c r="E83" s="0" t="n">
        <v>0.005</v>
      </c>
    </row>
    <row r="84" customFormat="false" ht="15" hidden="false" customHeight="false" outlineLevel="0" collapsed="false">
      <c r="A84" s="0" t="s">
        <v>492</v>
      </c>
      <c r="B84" s="0" t="n">
        <v>4.35</v>
      </c>
      <c r="C84" s="0" t="n">
        <f aca="false">Pricing!B16/1000000</f>
        <v>4.3542</v>
      </c>
      <c r="D84" s="0" t="str">
        <f aca="false">IF(ABS(C84-B84)&lt;=E84,"OK","DIFF")</f>
        <v>OK</v>
      </c>
      <c r="E84" s="0" t="n">
        <v>0.005</v>
      </c>
    </row>
    <row r="85" customFormat="false" ht="15" hidden="false" customHeight="false" outlineLevel="0" collapsed="false">
      <c r="A85" s="0" t="s">
        <v>493</v>
      </c>
      <c r="B85" s="0" t="n">
        <v>-1.55</v>
      </c>
      <c r="C85" s="0" t="n">
        <f aca="false">Retrofit!B13/1000000</f>
        <v>-1.54876445955635</v>
      </c>
      <c r="D85" s="0" t="str">
        <f aca="false">IF(ABS(C85-B85)&lt;=E85,"OK","DIFF")</f>
        <v>OK</v>
      </c>
      <c r="E85" s="0" t="n">
        <v>0.005</v>
      </c>
    </row>
    <row r="86" customFormat="false" ht="15" hidden="false" customHeight="false" outlineLevel="0" collapsed="false">
      <c r="A86" s="0" t="s">
        <v>494</v>
      </c>
      <c r="B86" s="0" t="n">
        <v>8.1</v>
      </c>
      <c r="C86" s="19" t="n">
        <f aca="false">Retrofit!B12</f>
        <v>8.06362792454018</v>
      </c>
      <c r="D86" s="0" t="str">
        <f aca="false">IF(ABS(C86-B86)&lt;=E86,"OK","DIFF")</f>
        <v>OK</v>
      </c>
      <c r="E86" s="0" t="n">
        <v>0.05</v>
      </c>
    </row>
    <row r="87" customFormat="false" ht="15" hidden="false" customHeight="false" outlineLevel="0" collapsed="false">
      <c r="A87" s="0" t="s">
        <v>495</v>
      </c>
      <c r="B87" s="0" t="n">
        <v>13.16</v>
      </c>
      <c r="C87" s="0" t="n">
        <f aca="false">Retrofit!B20/1000000</f>
        <v>13.1612750048862</v>
      </c>
      <c r="D87" s="0" t="str">
        <f aca="false">IF(ABS(C87-B87)&lt;=E87,"OK","DIFF")</f>
        <v>OK</v>
      </c>
      <c r="E87" s="0" t="n">
        <v>0.005</v>
      </c>
    </row>
    <row r="88" customFormat="false" ht="15" hidden="false" customHeight="false" outlineLevel="0" collapsed="false">
      <c r="A88" s="0" t="s">
        <v>496</v>
      </c>
      <c r="B88" s="0" t="n">
        <v>190.94</v>
      </c>
      <c r="C88" s="20" t="n">
        <f aca="false">Retrofit!B14</f>
        <v>190.941967902082</v>
      </c>
      <c r="D88" s="0" t="str">
        <f aca="false">IF(ABS(C88-B88)&lt;=E88,"OK","DIFF")</f>
        <v>OK</v>
      </c>
      <c r="E88" s="0" t="n">
        <v>0.005</v>
      </c>
    </row>
    <row r="89" customFormat="false" ht="15" hidden="false" customHeight="false" outlineLevel="0" collapsed="false">
      <c r="A89" s="0" t="s">
        <v>497</v>
      </c>
      <c r="B89" s="0" t="n">
        <v>234</v>
      </c>
      <c r="C89" s="18" t="n">
        <f aca="false">Power_SLA!$B$13</f>
        <v>234.3195</v>
      </c>
      <c r="D89" s="0" t="str">
        <f aca="false">IF(ABS(C89-B89)&lt;=E89,"OK","DIFF")</f>
        <v>OK</v>
      </c>
      <c r="E89" s="0" t="n">
        <v>0.5</v>
      </c>
    </row>
    <row r="91" customFormat="false" ht="15" hidden="false" customHeight="false" outlineLevel="0" collapsed="false">
      <c r="A91" s="4" t="s">
        <v>498</v>
      </c>
      <c r="D91" s="0" t="str">
        <f aca="false">IF(COUNTIF(D4:D89,"OK")=86,"ALL CHECKS OK",COUNTIF(D4:D89,"DIFF")&amp;" DIFF")</f>
        <v>ALL CHECKS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2026-10-08T22:37:39Z</dcterms:created>
  <dc:creator>openpyxl</dc:creator>
  <dc:description/>
  <dc:language>en-US</dc:language>
  <cp:lastModifiedBy/>
  <dcterms:modified xsi:type="dcterms:W3CDTF">2026-10-08T22:37:39Z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