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1. Assumptions" sheetId="2" state="visible" r:id="rId4"/>
    <sheet name="2. Trading" sheetId="3" state="visible" r:id="rId5"/>
    <sheet name="3. Debt and cash" sheetId="4" state="visible" r:id="rId6"/>
    <sheet name="4. Covenants" sheetId="5" state="visible" r:id="rId7"/>
    <sheet name="6. Clause by clause" sheetId="6" state="visible" r:id="rId8"/>
    <sheet name="5. Checks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<sst xmlns="http://schemas.openxmlformats.org/spreadsheetml/2006/main" count="341" uniqueCount="233">
  <si>
    <t xml:space="preserve">Kestrel Industrial — the complete facility</t>
  </si>
  <si>
    <t xml:space="preserve">Companion workbook to How to Read a Credit Agreement — Julian R. Sterling</t>
  </si>
  <si>
    <t xml:space="preserve">What this workbook is</t>
  </si>
  <si>
    <t xml:space="preserve">Every quarter of Kestrel's seven-year unitranche, built from the assumptions on the next sheet. Nothing is typed twice: the covenant tests, the margin ratchet, the cash sweep and the headroom all follow from the inputs.</t>
  </si>
  <si>
    <t xml:space="preserve">The six sheets</t>
  </si>
  <si>
    <t xml:space="preserve">1. Assumptions — everything you can change. The yellow cell is the one that decides the most: the add-back cap.</t>
  </si>
  <si>
    <t xml:space="preserve">2. Trading — reported EBITDA, the add-back and the cap, quarter by quarter.</t>
  </si>
  <si>
    <t xml:space="preserve">3. Debt and cash — interest at the ratcheted margin, the annual excess cash flow sweep, and net debt.</t>
  </si>
  <si>
    <t xml:space="preserve">4. Covenants — both tests against their stepped levels, with headroom expressed in EBITDA rather than in turns.</t>
  </si>
  <si>
    <t xml:space="preserve">5. Checks — every figure the book prints, recomputed and compared.</t>
  </si>
  <si>
    <t xml:space="preserve">6. Clause by clause — the figures Chapters 2, 3, 14, 22, 29 and 30 print, computed on the model (added 23 September 2026).</t>
  </si>
  <si>
    <t xml:space="preserve">Conventions</t>
  </si>
  <si>
    <t xml:space="preserve">Blue text on a pale blue fill is an input: that is what you change. Black is a formula. The yellow fill marks the assumption that carries the answer.</t>
  </si>
  <si>
    <t xml:space="preserve">Amounts are in millions of euros. Kestrel is fictional and deliberately simple: it exists to show a mechanism, not to represent a real company.</t>
  </si>
  <si>
    <t xml:space="preserve">Where to start</t>
  </si>
  <si>
    <t xml:space="preserve">Go to sheet 4 and read the Headroom column. Then go back to Assumptions and set the add-back cap to 100%. Watch quarters 9 to 11 come back into compliance — and note that nothing about the business changed.</t>
  </si>
  <si>
    <t xml:space="preserve">Revised 23 September 2026. Sheet 6 added and twenty checks with it, fifty-two in all. Seven of the figures it computes correct the first edition: the margin grid moves six times in five years, not four, and a 45-day lag on its four downward steps (one of them two notches) costs 0.21, not 0.170; the year-four sweep takes 25 per cent of 4.93 of surplus, 1.23, not 0.9 of 3.7; a 15 million cash cap first bites at Q19 and adds 2.76 to net debt at Q20, not 0.00 at Q16; the step-downs remove 3.14 of headroom; and Kestrel is portable in Q1 to Q5 as well as from Q15. A prepayment cure stays paid: after 19.74 at Q9, Q10 and Q11 pass at 5.21x and 4.84x.</t>
  </si>
  <si>
    <t xml:space="preserve">Assumptions</t>
  </si>
  <si>
    <t xml:space="preserve">The transaction</t>
  </si>
  <si>
    <t xml:space="preserve">Enterprise value (EUR m)</t>
  </si>
  <si>
    <t xml:space="preserve">LTM EBITDA at completion (EUR m)</t>
  </si>
  <si>
    <t xml:space="preserve">Entry multiple is computed below</t>
  </si>
  <si>
    <t xml:space="preserve">Unitranche drawn (EUR m)</t>
  </si>
  <si>
    <t xml:space="preserve">Super senior revolving commitment (EUR m)</t>
  </si>
  <si>
    <t xml:space="preserve">Opening cash (EUR m)</t>
  </si>
  <si>
    <t xml:space="preserve">Also the minimum operating cash retained</t>
  </si>
  <si>
    <t xml:space="preserve">Transaction fees (EUR m)</t>
  </si>
  <si>
    <t xml:space="preserve">Base rate</t>
  </si>
  <si>
    <t xml:space="preserve">Held flat for the worked case</t>
  </si>
  <si>
    <t xml:space="preserve">The definition of Consolidated EBITDA</t>
  </si>
  <si>
    <t xml:space="preserve">Add-back claimed each quarter (EUR m)</t>
  </si>
  <si>
    <t xml:space="preserve">Run-rate synergies and exceptionals</t>
  </si>
  <si>
    <t xml:space="preserve">Cap, as a % of unadjusted EBITDA</t>
  </si>
  <si>
    <t xml:space="preserve">THE ASSUMPTION THAT CARRIES THE ANSWER — set it to 100% and the default disappears</t>
  </si>
  <si>
    <t xml:space="preserve">Add-back runs off after (quarters)</t>
  </si>
  <si>
    <t xml:space="preserve">Twenty-four months</t>
  </si>
  <si>
    <t xml:space="preserve">The covenants</t>
  </si>
  <si>
    <t xml:space="preserve">Leverage covenant, Q1-Q4</t>
  </si>
  <si>
    <t xml:space="preserve">Leverage covenant, Q5-Q8</t>
  </si>
  <si>
    <t xml:space="preserve">Leverage covenant, Q9-Q12</t>
  </si>
  <si>
    <t xml:space="preserve">Leverage covenant, Q13 onwards</t>
  </si>
  <si>
    <t xml:space="preserve">Interest cover covenant, Q1-Q8</t>
  </si>
  <si>
    <t xml:space="preserve">Interest cover covenant, Q9 onwards</t>
  </si>
  <si>
    <t xml:space="preserve">Cures permitted in any four quarters</t>
  </si>
  <si>
    <t xml:space="preserve">Cures permitted over the life</t>
  </si>
  <si>
    <t xml:space="preserve">Entry multiple</t>
  </si>
  <si>
    <t xml:space="preserve">Enterprise value divided by LTM EBITDA</t>
  </si>
  <si>
    <t xml:space="preserve">Equity (EUR m)</t>
  </si>
  <si>
    <t xml:space="preserve">Trading — reported EBITDA, the add-back and the cap</t>
  </si>
  <si>
    <t xml:space="preserve">Quarter</t>
  </si>
  <si>
    <t xml:space="preserve">Reported LTM EBITDA</t>
  </si>
  <si>
    <t xml:space="preserve">Add-back claimed</t>
  </si>
  <si>
    <t xml:space="preserve">Cap (% × reported)</t>
  </si>
  <si>
    <t xml:space="preserve">Add-back permitted</t>
  </si>
  <si>
    <t xml:space="preserve">Consolidated EBITDA</t>
  </si>
  <si>
    <t xml:space="preserve">Cash flow before debt service</t>
  </si>
  <si>
    <t xml:space="preserve">Q1</t>
  </si>
  <si>
    <t xml:space="preserve">Q2</t>
  </si>
  <si>
    <t xml:space="preserve">Q3</t>
  </si>
  <si>
    <t xml:space="preserve">Q4</t>
  </si>
  <si>
    <t xml:space="preserve">Q5</t>
  </si>
  <si>
    <t xml:space="preserve">Q6</t>
  </si>
  <si>
    <t xml:space="preserve">Q7</t>
  </si>
  <si>
    <t xml:space="preserve">Q8</t>
  </si>
  <si>
    <t xml:space="preserve">Q9</t>
  </si>
  <si>
    <t xml:space="preserve">Q10</t>
  </si>
  <si>
    <t xml:space="preserve">Q11</t>
  </si>
  <si>
    <t xml:space="preserve">Q12</t>
  </si>
  <si>
    <t xml:space="preserve">Q13</t>
  </si>
  <si>
    <t xml:space="preserve">Q14</t>
  </si>
  <si>
    <t xml:space="preserve">Q15</t>
  </si>
  <si>
    <t xml:space="preserve">Q16</t>
  </si>
  <si>
    <t xml:space="preserve">Q17</t>
  </si>
  <si>
    <t xml:space="preserve">Q18</t>
  </si>
  <si>
    <t xml:space="preserve">Q19</t>
  </si>
  <si>
    <t xml:space="preserve">Q20</t>
  </si>
  <si>
    <t xml:space="preserve">Q21</t>
  </si>
  <si>
    <t xml:space="preserve">Q22</t>
  </si>
  <si>
    <t xml:space="preserve">Q23</t>
  </si>
  <si>
    <t xml:space="preserve">Q24</t>
  </si>
  <si>
    <t xml:space="preserve">Q25</t>
  </si>
  <si>
    <t xml:space="preserve">Q26</t>
  </si>
  <si>
    <t xml:space="preserve">Q27</t>
  </si>
  <si>
    <t xml:space="preserve">Q28</t>
  </si>
  <si>
    <t xml:space="preserve">Debt, interest at the ratcheted margin, and the excess cash flow sweep</t>
  </si>
  <si>
    <t xml:space="preserve">Opening debt</t>
  </si>
  <si>
    <t xml:space="preserve">Margin</t>
  </si>
  <si>
    <t xml:space="preserve">Interest</t>
  </si>
  <si>
    <t xml:space="preserve">Cash flow</t>
  </si>
  <si>
    <t xml:space="preserve">Cash before sweep</t>
  </si>
  <si>
    <t xml:space="preserve">Sweep %</t>
  </si>
  <si>
    <t xml:space="preserve">Prepayment</t>
  </si>
  <si>
    <t xml:space="preserve">Closing debt</t>
  </si>
  <si>
    <t xml:space="preserve">Cash</t>
  </si>
  <si>
    <t xml:space="preserve">Net debt</t>
  </si>
  <si>
    <t xml:space="preserve">The two tests, their stepped levels, and headroom in EBITDA</t>
  </si>
  <si>
    <t xml:space="preserve">Leverage</t>
  </si>
  <si>
    <t xml:space="preserve">Covenant</t>
  </si>
  <si>
    <t xml:space="preserve">Minimum EBITDA</t>
  </si>
  <si>
    <t xml:space="preserve">Headroom (EUR m)</t>
  </si>
  <si>
    <t xml:space="preserve">Headroom %</t>
  </si>
  <si>
    <t xml:space="preserve">Test</t>
  </si>
  <si>
    <t xml:space="preserve">Ratio without add-back</t>
  </si>
  <si>
    <t xml:space="preserve">Test without add-back</t>
  </si>
  <si>
    <t xml:space="preserve">LTM interest</t>
  </si>
  <si>
    <t xml:space="preserve">Interest cover</t>
  </si>
  <si>
    <t xml:space="preserve">Clause by clause: the figures Chapters 2 to 30 print, computed on this model</t>
  </si>
  <si>
    <t xml:space="preserve">Blue cells are inputs. Everything else points into sheets 1 to 4, so a change of assumption moves these figures too.</t>
  </si>
  <si>
    <t xml:space="preserve">Lag between the end of a test period and the certificate that moves the margin (days)</t>
  </si>
  <si>
    <t xml:space="preserve">Chapter 29.3: commonly 45 days</t>
  </si>
  <si>
    <t xml:space="preserve">Cap on the cash netted in Net Debt (EUR m)</t>
  </si>
  <si>
    <t xml:space="preserve">Chapter 29.2: fifteen million euros</t>
  </si>
  <si>
    <t xml:space="preserve">The ratchet (Chapters 3 and 29.3)</t>
  </si>
  <si>
    <t xml:space="preserve">Margin grid moves in the first five years, Q2 to Q20</t>
  </si>
  <si>
    <t xml:space="preserve">the first edition says four; the grid moves at Q3, Q7, Q9, Q15, Q16 and Q19</t>
  </si>
  <si>
    <t xml:space="preserve">Downward steps in those five years, basis points</t>
  </si>
  <si>
    <t xml:space="preserve">Q3, Q15 and Q16 one notch each; Q19 two notches</t>
  </si>
  <si>
    <t xml:space="preserve">Cost of the lag on every downward step, on the facility drawn (EUR m)</t>
  </si>
  <si>
    <t xml:space="preserve">the first edition printed about 0.170</t>
  </si>
  <si>
    <t xml:space="preserve">  what four single-notch steps on 137.5 would cost (the first edition's figure)</t>
  </si>
  <si>
    <t xml:space="preserve">The sweep (Chapters 2, 7 and 29.4)</t>
  </si>
  <si>
    <t xml:space="preserve">Principal repaid by the sweep, Q1 to Q8 (EUR m)</t>
  </si>
  <si>
    <t xml:space="preserve">Chapter 2: 2.8</t>
  </si>
  <si>
    <t xml:space="preserve">Year four (Q16): surplus cash before the sweep, above the operating retention</t>
  </si>
  <si>
    <t xml:space="preserve">the first edition used the 3.7 left after the sweep</t>
  </si>
  <si>
    <t xml:space="preserve">  sweep percentage at 4.26x</t>
  </si>
  <si>
    <t xml:space="preserve">  prepayment (EUR m)</t>
  </si>
  <si>
    <t xml:space="preserve">the first edition printed 0.9</t>
  </si>
  <si>
    <t xml:space="preserve">The covenant schedule (Chapter 30.1)</t>
  </si>
  <si>
    <t xml:space="preserve">Headroom the step-downs alone remove between Q1 and Q13, at Q1 net debt (EUR m)</t>
  </si>
  <si>
    <t xml:space="preserve">the first edition printed "-3.14"</t>
  </si>
  <si>
    <t xml:space="preserve">Portability and the incurrence test (Chapters 6, 14 and 31.3)</t>
  </si>
  <si>
    <t xml:space="preserve">Opening leverage on the defined number</t>
  </si>
  <si>
    <t xml:space="preserve">Last portable quarter before the breach</t>
  </si>
  <si>
    <t xml:space="preserve">Q1 to Q5 are portable: a sale does not force a refinancing</t>
  </si>
  <si>
    <t xml:space="preserve">First portable quarter after the breach</t>
  </si>
  <si>
    <t xml:space="preserve">Chapter 14: from Q15</t>
  </si>
  <si>
    <t xml:space="preserve">The equity cure paid as a prepayment stays paid (Chapters 5 and 22)</t>
  </si>
  <si>
    <t xml:space="preserve">Prepayment cure at Q9 (EUR m)</t>
  </si>
  <si>
    <t xml:space="preserve">Q10 leverage with the Q9 prepayment kept</t>
  </si>
  <si>
    <t xml:space="preserve">below the 5.50x covenant: no second cure</t>
  </si>
  <si>
    <t xml:space="preserve">Q11 leverage with the Q9 prepayment kept</t>
  </si>
  <si>
    <t xml:space="preserve">no cure, and no uncurable quarter</t>
  </si>
  <si>
    <t xml:space="preserve">Cures the prepayment convention needs in Q9 to Q11</t>
  </si>
  <si>
    <t xml:space="preserve">the first edition priced two, 33.25</t>
  </si>
  <si>
    <t xml:space="preserve">The cash cap in Net Debt (Chapter 29.2)</t>
  </si>
  <si>
    <t xml:space="preserve">First quarter in which cash exceeds the cap</t>
  </si>
  <si>
    <t xml:space="preserve">the first edition says Q16, where cash is 8.7</t>
  </si>
  <si>
    <t xml:space="preserve">Added to net debt at Q20 (EUR m)</t>
  </si>
  <si>
    <t xml:space="preserve">  in turns of leverage at Q20</t>
  </si>
  <si>
    <t xml:space="preserve">Added to net debt at Q28 (EUR m)</t>
  </si>
  <si>
    <t xml:space="preserve">  in turns of leverage at Q28</t>
  </si>
  <si>
    <t xml:space="preserve">Quarter by quarter</t>
  </si>
  <si>
    <t xml:space="preserve">Portable?</t>
  </si>
  <si>
    <t xml:space="preserve">Above the cap</t>
  </si>
  <si>
    <t xml:space="preserve">Excess cash quarter</t>
  </si>
  <si>
    <t xml:space="preserve">Portable after the breach</t>
  </si>
  <si>
    <t xml:space="preserve">Portable before the breach</t>
  </si>
  <si>
    <t xml:space="preserve">Checks — every figure the book prints, against what this workbook computes</t>
  </si>
  <si>
    <t xml:space="preserve">How to Read a Credit Agreement — Julian R. Sterling</t>
  </si>
  <si>
    <t xml:space="preserve">Column D is a live formula pointing into the model, not a re-typed number. Change an input and this sheet moves with it.</t>
  </si>
  <si>
    <t xml:space="preserve">Source</t>
  </si>
  <si>
    <t xml:space="preserve">Figure as the book prints it</t>
  </si>
  <si>
    <t xml:space="preserve">Printed</t>
  </si>
  <si>
    <t xml:space="preserve">Computed</t>
  </si>
  <si>
    <t xml:space="preserve">Variance</t>
  </si>
  <si>
    <t xml:space="preserve">Status</t>
  </si>
  <si>
    <t xml:space="preserve">How the tolerances are set</t>
  </si>
  <si>
    <t xml:space="preserve">Ch. 5</t>
  </si>
  <si>
    <t xml:space="preserve">Q1 — Consolidated EBITDA (EUR m)</t>
  </si>
  <si>
    <t xml:space="preserve">Tolerance is set line by line to the precision the book prints. A ratio printed to two decimals is checked to 0.005; an amount printed to one decimal is checked to 0.05. A line outside three times its tolerance is flagged 'to check' — and if one is, the model is wrong, not the book.</t>
  </si>
  <si>
    <t xml:space="preserve">Q1 — net debt (EUR m)</t>
  </si>
  <si>
    <t xml:space="preserve">Q1 — net leverage</t>
  </si>
  <si>
    <t xml:space="preserve">Q1 — headroom in EBITDA (EUR m)</t>
  </si>
  <si>
    <t xml:space="preserve">Q4 — Consolidated EBITDA (EUR m)</t>
  </si>
  <si>
    <t xml:space="preserve">Q4 — net debt (EUR m)</t>
  </si>
  <si>
    <t xml:space="preserve">Q4 — net leverage</t>
  </si>
  <si>
    <t xml:space="preserve">Q4 — headroom in EBITDA (EUR m)</t>
  </si>
  <si>
    <t xml:space="preserve">Q8 — Consolidated EBITDA (EUR m)</t>
  </si>
  <si>
    <t xml:space="preserve">Q8 — net debt (EUR m)</t>
  </si>
  <si>
    <t xml:space="preserve">Q8 — net leverage</t>
  </si>
  <si>
    <t xml:space="preserve">Q8 — headroom in EBITDA (EUR m)</t>
  </si>
  <si>
    <t xml:space="preserve">Q9 — Consolidated EBITDA (EUR m)</t>
  </si>
  <si>
    <t xml:space="preserve">Q9 — net debt (EUR m)</t>
  </si>
  <si>
    <t xml:space="preserve">Q9 — net leverage</t>
  </si>
  <si>
    <t xml:space="preserve">Q9 — headroom in EBITDA (EUR m)</t>
  </si>
  <si>
    <t xml:space="preserve">Q12 — Consolidated EBITDA (EUR m)</t>
  </si>
  <si>
    <t xml:space="preserve">Q12 — net debt (EUR m)</t>
  </si>
  <si>
    <t xml:space="preserve">Q12 — net leverage</t>
  </si>
  <si>
    <t xml:space="preserve">Q12 — headroom in EBITDA (EUR m)</t>
  </si>
  <si>
    <t xml:space="preserve">Q16 — Consolidated EBITDA (EUR m)</t>
  </si>
  <si>
    <t xml:space="preserve">Q16 — net debt (EUR m)</t>
  </si>
  <si>
    <t xml:space="preserve">Q16 — net leverage</t>
  </si>
  <si>
    <t xml:space="preserve">Q16 — headroom in EBITDA (EUR m)</t>
  </si>
  <si>
    <t xml:space="preserve">Ch. 4</t>
  </si>
  <si>
    <t xml:space="preserve">Q8 — add-back claimed 4.20, permitted after the cap</t>
  </si>
  <si>
    <t xml:space="preserve">Q7 — ratio on unadjusted EBITDA</t>
  </si>
  <si>
    <t xml:space="preserve">Q8 — ratio on unadjusted EBITDA</t>
  </si>
  <si>
    <t xml:space="preserve">Q8 — headroom as a percentage of EBITDA</t>
  </si>
  <si>
    <t xml:space="preserve">Q9 — interest cover</t>
  </si>
  <si>
    <t xml:space="preserve">Ch. 3</t>
  </si>
  <si>
    <t xml:space="preserve">Q1 — entry multiple</t>
  </si>
  <si>
    <t xml:space="preserve">Ch. 7</t>
  </si>
  <si>
    <t xml:space="preserve">Q28 — closing facility (EUR m)</t>
  </si>
  <si>
    <t xml:space="preserve">Q28 — net leverage</t>
  </si>
  <si>
    <t xml:space="preserve">Ch. 2</t>
  </si>
  <si>
    <t xml:space="preserve">Principal repaid by the sweep over the first eight quarters (EUR m)</t>
  </si>
  <si>
    <t xml:space="preserve">Margin grid moves in five years (revised; the first edition printed "four")</t>
  </si>
  <si>
    <t xml:space="preserve">Ch. 29</t>
  </si>
  <si>
    <t xml:space="preserve">Cost of a 45-day lag on every downward step (revised; the first edition printed 0.170)</t>
  </si>
  <si>
    <t xml:space="preserve">Year-four surplus before the sweep (revised; the first edition printed 3.7, the cash left after it)</t>
  </si>
  <si>
    <t xml:space="preserve">Year-four sweep prepayment (revised; the first edition printed 0.9)</t>
  </si>
  <si>
    <t xml:space="preserve">First quarter a 15m cash cap bites (revised; the first edition says Q16)</t>
  </si>
  <si>
    <t xml:space="preserve">Added to net debt by the cap at Q20 (revised; the first edition printed 0.00)</t>
  </si>
  <si>
    <t xml:space="preserve">Ch. 30</t>
  </si>
  <si>
    <t xml:space="preserve">Headroom removed by the step-downs, Q1 to Q13 (the first edition printed "-3.14")</t>
  </si>
  <si>
    <t xml:space="preserve">Ch. 14</t>
  </si>
  <si>
    <t xml:space="preserve">Opening leverage, the portability threshold</t>
  </si>
  <si>
    <t xml:space="preserve">Last portable quarter before the breach (revised; the first edition says a sale forces a refinancing before Q15)</t>
  </si>
  <si>
    <t xml:space="preserve">Ch. 22</t>
  </si>
  <si>
    <t xml:space="preserve">Q10 leverage with the Q9 prepayment cure kept (new)</t>
  </si>
  <si>
    <t xml:space="preserve">Cures the prepayment convention needs (revised; the first edition priced two)</t>
  </si>
  <si>
    <t xml:space="preserve">App. B</t>
  </si>
  <si>
    <t xml:space="preserve">Q10 headroom in EBITDA (EUR m)</t>
  </si>
  <si>
    <t xml:space="preserve">Q11 headroom in EBITDA (EUR m)</t>
  </si>
  <si>
    <t xml:space="preserve">Q10 interest cover</t>
  </si>
  <si>
    <t xml:space="preserve">Q11 interest cover</t>
  </si>
  <si>
    <t xml:space="preserve">Q19 interest cover</t>
  </si>
  <si>
    <t xml:space="preserve">Q20 net debt (EUR m)</t>
  </si>
  <si>
    <t xml:space="preserve">Q28 cash (EUR m)</t>
  </si>
  <si>
    <t xml:space="preserve">Lines reproduced within the book's own printed precision</t>
  </si>
  <si>
    <t xml:space="preserve">Lines differing only by the book's rounding of an intermediate</t>
  </si>
  <si>
    <t xml:space="preserve">Lines to check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</si>
</sst>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#,##0.00"/>
    <numFmt numFmtId="166" formatCode="0.00%"/>
    <numFmt numFmtId="167" formatCode="0.00\x"/>
    <numFmt numFmtId="168" formatCode="#,##0.0"/>
    <numFmt numFmtId="169" formatCode="0%"/>
    <numFmt numFmtId="170" formatCode="0.00"/>
    <numFmt numFmtId="171" formatCode="0.0%"/>
    <numFmt numFmtId="172" formatCode="0"/>
    <numFmt numFmtId="173" formatCode="0.000"/>
    <numFmt numFmtId="174" formatCode="\Q0"/>
    <numFmt numFmtId="175" formatCode="General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Cambria"/>
      <family val="0"/>
      <charset val="1"/>
    </font>
    <font>
      <sz val="9"/>
      <color rgb="FF555555"/>
      <name val="Cambria"/>
      <family val="0"/>
      <charset val="1"/>
    </font>
    <font>
      <b val="true"/>
      <sz val="10"/>
      <color rgb="FF1F3864"/>
      <name val="Cambria"/>
      <family val="0"/>
      <charset val="1"/>
    </font>
    <font>
      <sz val="11"/>
      <name val="Calibri"/>
      <family val="0"/>
      <charset val="1"/>
    </font>
    <font>
      <b val="true"/>
      <sz val="13"/>
      <color rgb="FF1F3864"/>
      <name val="Cambria"/>
      <family val="0"/>
      <charset val="1"/>
    </font>
    <font>
      <sz val="11"/>
      <color rgb="FF1F4E79"/>
      <name val="Cambria"/>
      <family val="0"/>
      <charset val="1"/>
    </font>
    <font>
      <b val="true"/>
      <sz val="11"/>
      <color rgb="FF1F4E79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4"/>
      <color rgb="FF1F3864"/>
      <name val="Calibri"/>
      <family val="0"/>
      <charset val="1"/>
    </font>
    <font>
      <sz val="9"/>
      <color rgb="FF555555"/>
      <name val="Calibri"/>
      <family val="0"/>
      <charset val="1"/>
    </font>
    <font>
      <sz val="11"/>
      <color rgb="FF1F4E79"/>
      <name val="Calibri"/>
      <family val="0"/>
      <charset val="1"/>
    </font>
    <font>
      <b val="true"/>
      <sz val="10"/>
      <color rgb="FF1F3864"/>
      <name val="Calibri"/>
      <family val="0"/>
      <charset val="1"/>
    </font>
    <font>
      <b val="true"/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CE9F7"/>
        <bgColor rgb="FFCCFFFF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AAAAA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CE9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AAAAAA"/>
      <rgbColor rgb="FF1F3864"/>
      <rgbColor rgb="FF339966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8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39" hidden="false" customHeight="true" outlineLevel="0" collapsed="false">
      <c r="A5" s="4" t="s">
        <v>3</v>
      </c>
    </row>
    <row r="7" customFormat="false" ht="15" hidden="false" customHeight="false" outlineLevel="0" collapsed="false">
      <c r="A7" s="3" t="s">
        <v>4</v>
      </c>
    </row>
    <row r="8" customFormat="false" ht="25.5" hidden="false" customHeight="true" outlineLevel="0" collapsed="false">
      <c r="A8" s="4" t="s">
        <v>5</v>
      </c>
    </row>
    <row r="9" customFormat="false" ht="15" hidden="false" customHeight="true" outlineLevel="0" collapsed="false">
      <c r="A9" s="4" t="s">
        <v>6</v>
      </c>
    </row>
    <row r="10" customFormat="false" ht="25.5" hidden="false" customHeight="true" outlineLevel="0" collapsed="false">
      <c r="A10" s="4" t="s">
        <v>7</v>
      </c>
    </row>
    <row r="11" customFormat="false" ht="25.5" hidden="false" customHeight="true" outlineLevel="0" collapsed="false">
      <c r="A11" s="4" t="s">
        <v>8</v>
      </c>
    </row>
    <row r="12" customFormat="false" ht="15" hidden="false" customHeight="true" outlineLevel="0" collapsed="false">
      <c r="A12" s="4" t="s">
        <v>9</v>
      </c>
    </row>
    <row r="13" customFormat="false" ht="15" hidden="false" customHeight="false" outlineLevel="0" collapsed="false">
      <c r="A13" s="5" t="s">
        <v>10</v>
      </c>
    </row>
    <row r="14" customFormat="false" ht="15" hidden="false" customHeight="false" outlineLevel="0" collapsed="false">
      <c r="A14" s="3" t="s">
        <v>11</v>
      </c>
    </row>
    <row r="15" customFormat="false" ht="25.5" hidden="false" customHeight="true" outlineLevel="0" collapsed="false">
      <c r="A15" s="4" t="s">
        <v>12</v>
      </c>
    </row>
    <row r="16" customFormat="false" ht="25.5" hidden="false" customHeight="true" outlineLevel="0" collapsed="false">
      <c r="A16" s="4" t="s">
        <v>13</v>
      </c>
    </row>
    <row r="18" customFormat="false" ht="15" hidden="false" customHeight="false" outlineLevel="0" collapsed="false">
      <c r="A18" s="3" t="s">
        <v>14</v>
      </c>
    </row>
    <row r="19" customFormat="false" ht="39" hidden="false" customHeight="true" outlineLevel="0" collapsed="false">
      <c r="A19" s="4" t="s">
        <v>15</v>
      </c>
    </row>
    <row r="21" customFormat="false" ht="82.05" hidden="false" customHeight="false" outlineLevel="0" collapsed="false">
      <c r="A21" s="6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3" min="3" style="0" width="62"/>
  </cols>
  <sheetData>
    <row r="1" customFormat="false" ht="16.15" hidden="false" customHeight="false" outlineLevel="0" collapsed="false">
      <c r="A1" s="7" t="s">
        <v>17</v>
      </c>
    </row>
    <row r="3" customFormat="false" ht="15" hidden="false" customHeight="false" outlineLevel="0" collapsed="false">
      <c r="A3" s="3" t="s">
        <v>18</v>
      </c>
    </row>
    <row r="4" customFormat="false" ht="15" hidden="false" customHeight="false" outlineLevel="0" collapsed="false">
      <c r="A4" s="0" t="s">
        <v>19</v>
      </c>
      <c r="B4" s="8" t="n">
        <v>225</v>
      </c>
    </row>
    <row r="5" customFormat="false" ht="15" hidden="false" customHeight="false" outlineLevel="0" collapsed="false">
      <c r="A5" s="0" t="s">
        <v>20</v>
      </c>
      <c r="B5" s="8" t="n">
        <v>25</v>
      </c>
      <c r="C5" s="2" t="s">
        <v>21</v>
      </c>
    </row>
    <row r="6" customFormat="false" ht="15" hidden="false" customHeight="false" outlineLevel="0" collapsed="false">
      <c r="A6" s="0" t="s">
        <v>22</v>
      </c>
      <c r="B6" s="8" t="n">
        <v>137.5</v>
      </c>
    </row>
    <row r="7" customFormat="false" ht="15" hidden="false" customHeight="false" outlineLevel="0" collapsed="false">
      <c r="A7" s="0" t="s">
        <v>23</v>
      </c>
      <c r="B7" s="8" t="n">
        <v>15</v>
      </c>
    </row>
    <row r="8" customFormat="false" ht="15" hidden="false" customHeight="false" outlineLevel="0" collapsed="false">
      <c r="A8" s="0" t="s">
        <v>24</v>
      </c>
      <c r="B8" s="8" t="n">
        <v>5</v>
      </c>
      <c r="C8" s="2" t="s">
        <v>25</v>
      </c>
    </row>
    <row r="9" customFormat="false" ht="15" hidden="false" customHeight="false" outlineLevel="0" collapsed="false">
      <c r="A9" s="0" t="s">
        <v>26</v>
      </c>
      <c r="B9" s="8" t="n">
        <v>7.5</v>
      </c>
    </row>
    <row r="10" customFormat="false" ht="15" hidden="false" customHeight="false" outlineLevel="0" collapsed="false">
      <c r="A10" s="0" t="s">
        <v>27</v>
      </c>
      <c r="B10" s="9" t="n">
        <v>0.025</v>
      </c>
      <c r="C10" s="2" t="s">
        <v>28</v>
      </c>
    </row>
    <row r="11" customFormat="false" ht="15" hidden="false" customHeight="false" outlineLevel="0" collapsed="false">
      <c r="A11" s="3" t="s">
        <v>29</v>
      </c>
    </row>
    <row r="12" customFormat="false" ht="15" hidden="false" customHeight="false" outlineLevel="0" collapsed="false">
      <c r="A12" s="0" t="s">
        <v>30</v>
      </c>
      <c r="B12" s="8" t="n">
        <v>4.2</v>
      </c>
      <c r="C12" s="2" t="s">
        <v>31</v>
      </c>
    </row>
    <row r="13" customFormat="false" ht="15" hidden="false" customHeight="false" outlineLevel="0" collapsed="false">
      <c r="A13" s="0" t="s">
        <v>32</v>
      </c>
      <c r="B13" s="10" t="n">
        <v>0.2</v>
      </c>
      <c r="C13" s="2" t="s">
        <v>33</v>
      </c>
    </row>
    <row r="14" customFormat="false" ht="15" hidden="false" customHeight="false" outlineLevel="0" collapsed="false">
      <c r="A14" s="0" t="s">
        <v>34</v>
      </c>
      <c r="B14" s="8" t="n">
        <v>8</v>
      </c>
      <c r="C14" s="2" t="s">
        <v>35</v>
      </c>
    </row>
    <row r="15" customFormat="false" ht="15" hidden="false" customHeight="false" outlineLevel="0" collapsed="false">
      <c r="A15" s="3" t="s">
        <v>36</v>
      </c>
    </row>
    <row r="16" customFormat="false" ht="15" hidden="false" customHeight="false" outlineLevel="0" collapsed="false">
      <c r="A16" s="0" t="s">
        <v>37</v>
      </c>
      <c r="B16" s="8" t="n">
        <v>6</v>
      </c>
    </row>
    <row r="17" customFormat="false" ht="15" hidden="false" customHeight="false" outlineLevel="0" collapsed="false">
      <c r="A17" s="0" t="s">
        <v>38</v>
      </c>
      <c r="B17" s="8" t="n">
        <v>5.75</v>
      </c>
    </row>
    <row r="18" customFormat="false" ht="15" hidden="false" customHeight="false" outlineLevel="0" collapsed="false">
      <c r="A18" s="0" t="s">
        <v>39</v>
      </c>
      <c r="B18" s="8" t="n">
        <v>5.5</v>
      </c>
    </row>
    <row r="19" customFormat="false" ht="15" hidden="false" customHeight="false" outlineLevel="0" collapsed="false">
      <c r="A19" s="0" t="s">
        <v>40</v>
      </c>
      <c r="B19" s="8" t="n">
        <v>5.25</v>
      </c>
    </row>
    <row r="20" customFormat="false" ht="15" hidden="false" customHeight="false" outlineLevel="0" collapsed="false">
      <c r="A20" s="0" t="s">
        <v>41</v>
      </c>
      <c r="B20" s="8" t="n">
        <v>1.75</v>
      </c>
    </row>
    <row r="21" customFormat="false" ht="15" hidden="false" customHeight="false" outlineLevel="0" collapsed="false">
      <c r="A21" s="0" t="s">
        <v>42</v>
      </c>
      <c r="B21" s="8" t="n">
        <v>2</v>
      </c>
    </row>
    <row r="22" customFormat="false" ht="15" hidden="false" customHeight="false" outlineLevel="0" collapsed="false">
      <c r="A22" s="0" t="s">
        <v>43</v>
      </c>
      <c r="B22" s="8" t="n">
        <v>2</v>
      </c>
    </row>
    <row r="23" customFormat="false" ht="15" hidden="false" customHeight="false" outlineLevel="0" collapsed="false">
      <c r="A23" s="0" t="s">
        <v>44</v>
      </c>
      <c r="B23" s="8" t="n">
        <v>5</v>
      </c>
    </row>
    <row r="25" customFormat="false" ht="15" hidden="false" customHeight="false" outlineLevel="0" collapsed="false">
      <c r="A25" s="11" t="s">
        <v>45</v>
      </c>
      <c r="B25" s="12" t="n">
        <f aca="false">'1. Assumptions'!$B$4/'1. Assumptions'!$B$5</f>
        <v>9</v>
      </c>
      <c r="C25" s="2" t="s">
        <v>46</v>
      </c>
    </row>
    <row r="26" customFormat="false" ht="15" hidden="false" customHeight="false" outlineLevel="0" collapsed="false">
      <c r="A26" s="11" t="s">
        <v>47</v>
      </c>
      <c r="B26" s="13" t="n">
        <f aca="false">'1. Assumptions'!$B$4+'1. Assumptions'!$B$9+'1. Assumptions'!$B$8-'1. Assumptions'!$B$6</f>
        <v>100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0"/>
    <col collapsed="false" customWidth="true" hidden="false" outlineLevel="0" max="3" min="3" style="0" width="17"/>
    <col collapsed="false" customWidth="true" hidden="false" outlineLevel="0" max="4" min="4" style="0" width="18"/>
    <col collapsed="false" customWidth="true" hidden="false" outlineLevel="0" max="5" min="5" style="0" width="19"/>
    <col collapsed="false" customWidth="true" hidden="false" outlineLevel="0" max="6" min="6" style="0" width="21"/>
    <col collapsed="false" customWidth="true" hidden="false" outlineLevel="0" max="7" min="7" style="0" width="26"/>
  </cols>
  <sheetData>
    <row r="1" customFormat="false" ht="16.15" hidden="false" customHeight="false" outlineLevel="0" collapsed="false">
      <c r="A1" s="7" t="s">
        <v>48</v>
      </c>
    </row>
    <row r="3" customFormat="false" ht="28.35" hidden="false" customHeight="false" outlineLevel="0" collapsed="false">
      <c r="A3" s="14" t="s">
        <v>49</v>
      </c>
      <c r="B3" s="14" t="s">
        <v>50</v>
      </c>
      <c r="C3" s="14" t="s">
        <v>51</v>
      </c>
      <c r="D3" s="14" t="s">
        <v>52</v>
      </c>
      <c r="E3" s="14" t="s">
        <v>53</v>
      </c>
      <c r="F3" s="14" t="s">
        <v>54</v>
      </c>
      <c r="G3" s="14" t="s">
        <v>55</v>
      </c>
    </row>
    <row r="4" customFormat="false" ht="15" hidden="false" customHeight="false" outlineLevel="0" collapsed="false">
      <c r="A4" s="0" t="s">
        <v>56</v>
      </c>
      <c r="B4" s="15" t="n">
        <v>25</v>
      </c>
      <c r="C4" s="13" t="n">
        <f aca="false">IF(1&lt;='1. Assumptions'!$B$14,'1. Assumptions'!$B$12,0)</f>
        <v>4.2</v>
      </c>
      <c r="D4" s="13" t="n">
        <f aca="false">'1. Assumptions'!$B$13*B4</f>
        <v>5</v>
      </c>
      <c r="E4" s="13" t="n">
        <f aca="false">MIN(C4,D4)</f>
        <v>4.2</v>
      </c>
      <c r="F4" s="13" t="n">
        <f aca="false">B4+E4</f>
        <v>29.2</v>
      </c>
      <c r="G4" s="15" t="n">
        <v>3.5</v>
      </c>
    </row>
    <row r="5" customFormat="false" ht="15" hidden="false" customHeight="false" outlineLevel="0" collapsed="false">
      <c r="A5" s="0" t="s">
        <v>57</v>
      </c>
      <c r="B5" s="15" t="n">
        <v>25.4</v>
      </c>
      <c r="C5" s="13" t="n">
        <f aca="false">IF(2&lt;='1. Assumptions'!$B$14,'1. Assumptions'!$B$12,0)</f>
        <v>4.2</v>
      </c>
      <c r="D5" s="13" t="n">
        <f aca="false">'1. Assumptions'!$B$13*B5</f>
        <v>5.08</v>
      </c>
      <c r="E5" s="13" t="n">
        <f aca="false">MIN(C5,D5)</f>
        <v>4.2</v>
      </c>
      <c r="F5" s="13" t="n">
        <f aca="false">B5+E5</f>
        <v>29.6</v>
      </c>
      <c r="G5" s="15" t="n">
        <v>3.6</v>
      </c>
    </row>
    <row r="6" customFormat="false" ht="15" hidden="false" customHeight="false" outlineLevel="0" collapsed="false">
      <c r="A6" s="0" t="s">
        <v>58</v>
      </c>
      <c r="B6" s="15" t="n">
        <v>25.7</v>
      </c>
      <c r="C6" s="13" t="n">
        <f aca="false">IF(3&lt;='1. Assumptions'!$B$14,'1. Assumptions'!$B$12,0)</f>
        <v>4.2</v>
      </c>
      <c r="D6" s="13" t="n">
        <f aca="false">'1. Assumptions'!$B$13*B6</f>
        <v>5.14</v>
      </c>
      <c r="E6" s="13" t="n">
        <f aca="false">MIN(C6,D6)</f>
        <v>4.2</v>
      </c>
      <c r="F6" s="13" t="n">
        <f aca="false">B6+E6</f>
        <v>29.9</v>
      </c>
      <c r="G6" s="15" t="n">
        <v>3.6</v>
      </c>
    </row>
    <row r="7" customFormat="false" ht="15" hidden="false" customHeight="false" outlineLevel="0" collapsed="false">
      <c r="A7" s="0" t="s">
        <v>59</v>
      </c>
      <c r="B7" s="15" t="n">
        <v>25.9</v>
      </c>
      <c r="C7" s="13" t="n">
        <f aca="false">IF(4&lt;='1. Assumptions'!$B$14,'1. Assumptions'!$B$12,0)</f>
        <v>4.2</v>
      </c>
      <c r="D7" s="13" t="n">
        <f aca="false">'1. Assumptions'!$B$13*B7</f>
        <v>5.18</v>
      </c>
      <c r="E7" s="13" t="n">
        <f aca="false">MIN(C7,D7)</f>
        <v>4.2</v>
      </c>
      <c r="F7" s="13" t="n">
        <f aca="false">B7+E7</f>
        <v>30.1</v>
      </c>
      <c r="G7" s="15" t="n">
        <v>3.7</v>
      </c>
    </row>
    <row r="8" customFormat="false" ht="15" hidden="false" customHeight="false" outlineLevel="0" collapsed="false">
      <c r="A8" s="0" t="s">
        <v>60</v>
      </c>
      <c r="B8" s="15" t="n">
        <v>25.2</v>
      </c>
      <c r="C8" s="13" t="n">
        <f aca="false">IF(5&lt;='1. Assumptions'!$B$14,'1. Assumptions'!$B$12,0)</f>
        <v>4.2</v>
      </c>
      <c r="D8" s="13" t="n">
        <f aca="false">'1. Assumptions'!$B$13*B8</f>
        <v>5.04</v>
      </c>
      <c r="E8" s="13" t="n">
        <f aca="false">MIN(C8,D8)</f>
        <v>4.2</v>
      </c>
      <c r="F8" s="13" t="n">
        <f aca="false">B8+E8</f>
        <v>29.4</v>
      </c>
      <c r="G8" s="15" t="n">
        <v>3.5</v>
      </c>
    </row>
    <row r="9" customFormat="false" ht="15" hidden="false" customHeight="false" outlineLevel="0" collapsed="false">
      <c r="A9" s="0" t="s">
        <v>61</v>
      </c>
      <c r="B9" s="15" t="n">
        <v>23.6</v>
      </c>
      <c r="C9" s="13" t="n">
        <f aca="false">IF(6&lt;='1. Assumptions'!$B$14,'1. Assumptions'!$B$12,0)</f>
        <v>4.2</v>
      </c>
      <c r="D9" s="13" t="n">
        <f aca="false">'1. Assumptions'!$B$13*B9</f>
        <v>4.72</v>
      </c>
      <c r="E9" s="13" t="n">
        <f aca="false">MIN(C9,D9)</f>
        <v>4.2</v>
      </c>
      <c r="F9" s="13" t="n">
        <f aca="false">B9+E9</f>
        <v>27.8</v>
      </c>
      <c r="G9" s="15" t="n">
        <v>3.1</v>
      </c>
    </row>
    <row r="10" customFormat="false" ht="15" hidden="false" customHeight="false" outlineLevel="0" collapsed="false">
      <c r="A10" s="0" t="s">
        <v>62</v>
      </c>
      <c r="B10" s="15" t="n">
        <v>21.5</v>
      </c>
      <c r="C10" s="13" t="n">
        <f aca="false">IF(7&lt;='1. Assumptions'!$B$14,'1. Assumptions'!$B$12,0)</f>
        <v>4.2</v>
      </c>
      <c r="D10" s="13" t="n">
        <f aca="false">'1. Assumptions'!$B$13*B10</f>
        <v>4.3</v>
      </c>
      <c r="E10" s="13" t="n">
        <f aca="false">MIN(C10,D10)</f>
        <v>4.2</v>
      </c>
      <c r="F10" s="13" t="n">
        <f aca="false">B10+E10</f>
        <v>25.7</v>
      </c>
      <c r="G10" s="15" t="n">
        <v>2.6</v>
      </c>
    </row>
    <row r="11" customFormat="false" ht="15" hidden="false" customHeight="false" outlineLevel="0" collapsed="false">
      <c r="A11" s="0" t="s">
        <v>63</v>
      </c>
      <c r="B11" s="15" t="n">
        <v>19.4</v>
      </c>
      <c r="C11" s="13" t="n">
        <f aca="false">IF(8&lt;='1. Assumptions'!$B$14,'1. Assumptions'!$B$12,0)</f>
        <v>4.2</v>
      </c>
      <c r="D11" s="13" t="n">
        <f aca="false">'1. Assumptions'!$B$13*B11</f>
        <v>3.88</v>
      </c>
      <c r="E11" s="13" t="n">
        <f aca="false">MIN(C11,D11)</f>
        <v>3.88</v>
      </c>
      <c r="F11" s="13" t="n">
        <f aca="false">B11+E11</f>
        <v>23.28</v>
      </c>
      <c r="G11" s="15" t="n">
        <v>2.1</v>
      </c>
    </row>
    <row r="12" customFormat="false" ht="15" hidden="false" customHeight="false" outlineLevel="0" collapsed="false">
      <c r="A12" s="0" t="s">
        <v>64</v>
      </c>
      <c r="B12" s="15" t="n">
        <v>20</v>
      </c>
      <c r="C12" s="13" t="n">
        <f aca="false">IF(9&lt;='1. Assumptions'!$B$14,'1. Assumptions'!$B$12,0)</f>
        <v>0</v>
      </c>
      <c r="D12" s="13" t="n">
        <f aca="false">'1. Assumptions'!$B$13*B12</f>
        <v>4</v>
      </c>
      <c r="E12" s="13" t="n">
        <f aca="false">MIN(C12,D12)</f>
        <v>0</v>
      </c>
      <c r="F12" s="13" t="n">
        <f aca="false">B12+E12</f>
        <v>20</v>
      </c>
      <c r="G12" s="15" t="n">
        <v>2.2</v>
      </c>
    </row>
    <row r="13" customFormat="false" ht="15" hidden="false" customHeight="false" outlineLevel="0" collapsed="false">
      <c r="A13" s="0" t="s">
        <v>65</v>
      </c>
      <c r="B13" s="15" t="n">
        <v>21.2</v>
      </c>
      <c r="C13" s="13" t="n">
        <f aca="false">IF(10&lt;='1. Assumptions'!$B$14,'1. Assumptions'!$B$12,0)</f>
        <v>0</v>
      </c>
      <c r="D13" s="13" t="n">
        <f aca="false">'1. Assumptions'!$B$13*B13</f>
        <v>4.24</v>
      </c>
      <c r="E13" s="13" t="n">
        <f aca="false">MIN(C13,D13)</f>
        <v>0</v>
      </c>
      <c r="F13" s="13" t="n">
        <f aca="false">B13+E13</f>
        <v>21.2</v>
      </c>
      <c r="G13" s="15" t="n">
        <v>2.5</v>
      </c>
    </row>
    <row r="14" customFormat="false" ht="15" hidden="false" customHeight="false" outlineLevel="0" collapsed="false">
      <c r="A14" s="0" t="s">
        <v>66</v>
      </c>
      <c r="B14" s="15" t="n">
        <v>22.8</v>
      </c>
      <c r="C14" s="13" t="n">
        <f aca="false">IF(11&lt;='1. Assumptions'!$B$14,'1. Assumptions'!$B$12,0)</f>
        <v>0</v>
      </c>
      <c r="D14" s="13" t="n">
        <f aca="false">'1. Assumptions'!$B$13*B14</f>
        <v>4.56</v>
      </c>
      <c r="E14" s="13" t="n">
        <f aca="false">MIN(C14,D14)</f>
        <v>0</v>
      </c>
      <c r="F14" s="13" t="n">
        <f aca="false">B14+E14</f>
        <v>22.8</v>
      </c>
      <c r="G14" s="15" t="n">
        <v>2.9</v>
      </c>
    </row>
    <row r="15" customFormat="false" ht="15" hidden="false" customHeight="false" outlineLevel="0" collapsed="false">
      <c r="A15" s="0" t="s">
        <v>67</v>
      </c>
      <c r="B15" s="15" t="n">
        <v>24.3</v>
      </c>
      <c r="C15" s="13" t="n">
        <f aca="false">IF(12&lt;='1. Assumptions'!$B$14,'1. Assumptions'!$B$12,0)</f>
        <v>0</v>
      </c>
      <c r="D15" s="13" t="n">
        <f aca="false">'1. Assumptions'!$B$13*B15</f>
        <v>4.86</v>
      </c>
      <c r="E15" s="13" t="n">
        <f aca="false">MIN(C15,D15)</f>
        <v>0</v>
      </c>
      <c r="F15" s="13" t="n">
        <f aca="false">B15+E15</f>
        <v>24.3</v>
      </c>
      <c r="G15" s="15" t="n">
        <v>3.3</v>
      </c>
    </row>
    <row r="16" customFormat="false" ht="15" hidden="false" customHeight="false" outlineLevel="0" collapsed="false">
      <c r="A16" s="0" t="s">
        <v>68</v>
      </c>
      <c r="B16" s="15" t="n">
        <v>25.7</v>
      </c>
      <c r="C16" s="13" t="n">
        <f aca="false">IF(13&lt;='1. Assumptions'!$B$14,'1. Assumptions'!$B$12,0)</f>
        <v>0</v>
      </c>
      <c r="D16" s="13" t="n">
        <f aca="false">'1. Assumptions'!$B$13*B16</f>
        <v>5.14</v>
      </c>
      <c r="E16" s="13" t="n">
        <f aca="false">MIN(C16,D16)</f>
        <v>0</v>
      </c>
      <c r="F16" s="13" t="n">
        <f aca="false">B16+E16</f>
        <v>25.7</v>
      </c>
      <c r="G16" s="15" t="n">
        <v>3.6</v>
      </c>
    </row>
    <row r="17" customFormat="false" ht="15" hidden="false" customHeight="false" outlineLevel="0" collapsed="false">
      <c r="A17" s="0" t="s">
        <v>69</v>
      </c>
      <c r="B17" s="15" t="n">
        <v>27</v>
      </c>
      <c r="C17" s="13" t="n">
        <f aca="false">IF(14&lt;='1. Assumptions'!$B$14,'1. Assumptions'!$B$12,0)</f>
        <v>0</v>
      </c>
      <c r="D17" s="13" t="n">
        <f aca="false">'1. Assumptions'!$B$13*B17</f>
        <v>5.4</v>
      </c>
      <c r="E17" s="13" t="n">
        <f aca="false">MIN(C17,D17)</f>
        <v>0</v>
      </c>
      <c r="F17" s="13" t="n">
        <f aca="false">B17+E17</f>
        <v>27</v>
      </c>
      <c r="G17" s="15" t="n">
        <v>3.9</v>
      </c>
    </row>
    <row r="18" customFormat="false" ht="15" hidden="false" customHeight="false" outlineLevel="0" collapsed="false">
      <c r="A18" s="0" t="s">
        <v>70</v>
      </c>
      <c r="B18" s="15" t="n">
        <v>28.2</v>
      </c>
      <c r="C18" s="13" t="n">
        <f aca="false">IF(15&lt;='1. Assumptions'!$B$14,'1. Assumptions'!$B$12,0)</f>
        <v>0</v>
      </c>
      <c r="D18" s="13" t="n">
        <f aca="false">'1. Assumptions'!$B$13*B18</f>
        <v>5.64</v>
      </c>
      <c r="E18" s="13" t="n">
        <f aca="false">MIN(C18,D18)</f>
        <v>0</v>
      </c>
      <c r="F18" s="13" t="n">
        <f aca="false">B18+E18</f>
        <v>28.2</v>
      </c>
      <c r="G18" s="15" t="n">
        <v>4.2</v>
      </c>
    </row>
    <row r="19" customFormat="false" ht="15" hidden="false" customHeight="false" outlineLevel="0" collapsed="false">
      <c r="A19" s="0" t="s">
        <v>71</v>
      </c>
      <c r="B19" s="15" t="n">
        <v>29.3</v>
      </c>
      <c r="C19" s="13" t="n">
        <f aca="false">IF(16&lt;='1. Assumptions'!$B$14,'1. Assumptions'!$B$12,0)</f>
        <v>0</v>
      </c>
      <c r="D19" s="13" t="n">
        <f aca="false">'1. Assumptions'!$B$13*B19</f>
        <v>5.86</v>
      </c>
      <c r="E19" s="13" t="n">
        <f aca="false">MIN(C19,D19)</f>
        <v>0</v>
      </c>
      <c r="F19" s="13" t="n">
        <f aca="false">B19+E19</f>
        <v>29.3</v>
      </c>
      <c r="G19" s="15" t="n">
        <v>4.4</v>
      </c>
    </row>
    <row r="20" customFormat="false" ht="15" hidden="false" customHeight="false" outlineLevel="0" collapsed="false">
      <c r="A20" s="0" t="s">
        <v>72</v>
      </c>
      <c r="B20" s="15" t="n">
        <v>30.2</v>
      </c>
      <c r="C20" s="13" t="n">
        <f aca="false">IF(17&lt;='1. Assumptions'!$B$14,'1. Assumptions'!$B$12,0)</f>
        <v>0</v>
      </c>
      <c r="D20" s="13" t="n">
        <f aca="false">'1. Assumptions'!$B$13*B20</f>
        <v>6.04</v>
      </c>
      <c r="E20" s="13" t="n">
        <f aca="false">MIN(C20,D20)</f>
        <v>0</v>
      </c>
      <c r="F20" s="13" t="n">
        <f aca="false">B20+E20</f>
        <v>30.2</v>
      </c>
      <c r="G20" s="15" t="n">
        <v>4.6</v>
      </c>
    </row>
    <row r="21" customFormat="false" ht="15" hidden="false" customHeight="false" outlineLevel="0" collapsed="false">
      <c r="A21" s="0" t="s">
        <v>73</v>
      </c>
      <c r="B21" s="15" t="n">
        <v>31</v>
      </c>
      <c r="C21" s="13" t="n">
        <f aca="false">IF(18&lt;='1. Assumptions'!$B$14,'1. Assumptions'!$B$12,0)</f>
        <v>0</v>
      </c>
      <c r="D21" s="13" t="n">
        <f aca="false">'1. Assumptions'!$B$13*B21</f>
        <v>6.2</v>
      </c>
      <c r="E21" s="13" t="n">
        <f aca="false">MIN(C21,D21)</f>
        <v>0</v>
      </c>
      <c r="F21" s="13" t="n">
        <f aca="false">B21+E21</f>
        <v>31</v>
      </c>
      <c r="G21" s="15" t="n">
        <v>4.8</v>
      </c>
    </row>
    <row r="22" customFormat="false" ht="15" hidden="false" customHeight="false" outlineLevel="0" collapsed="false">
      <c r="A22" s="0" t="s">
        <v>74</v>
      </c>
      <c r="B22" s="15" t="n">
        <v>31.8</v>
      </c>
      <c r="C22" s="13" t="n">
        <f aca="false">IF(19&lt;='1. Assumptions'!$B$14,'1. Assumptions'!$B$12,0)</f>
        <v>0</v>
      </c>
      <c r="D22" s="13" t="n">
        <f aca="false">'1. Assumptions'!$B$13*B22</f>
        <v>6.36</v>
      </c>
      <c r="E22" s="13" t="n">
        <f aca="false">MIN(C22,D22)</f>
        <v>0</v>
      </c>
      <c r="F22" s="13" t="n">
        <f aca="false">B22+E22</f>
        <v>31.8</v>
      </c>
      <c r="G22" s="15" t="n">
        <v>4.9</v>
      </c>
    </row>
    <row r="23" customFormat="false" ht="15" hidden="false" customHeight="false" outlineLevel="0" collapsed="false">
      <c r="A23" s="0" t="s">
        <v>75</v>
      </c>
      <c r="B23" s="15" t="n">
        <v>32.5</v>
      </c>
      <c r="C23" s="13" t="n">
        <f aca="false">IF(20&lt;='1. Assumptions'!$B$14,'1. Assumptions'!$B$12,0)</f>
        <v>0</v>
      </c>
      <c r="D23" s="13" t="n">
        <f aca="false">'1. Assumptions'!$B$13*B23</f>
        <v>6.5</v>
      </c>
      <c r="E23" s="13" t="n">
        <f aca="false">MIN(C23,D23)</f>
        <v>0</v>
      </c>
      <c r="F23" s="13" t="n">
        <f aca="false">B23+E23</f>
        <v>32.5</v>
      </c>
      <c r="G23" s="15" t="n">
        <v>5.1</v>
      </c>
    </row>
    <row r="24" customFormat="false" ht="15" hidden="false" customHeight="false" outlineLevel="0" collapsed="false">
      <c r="A24" s="0" t="s">
        <v>76</v>
      </c>
      <c r="B24" s="15" t="n">
        <v>33.1</v>
      </c>
      <c r="C24" s="13" t="n">
        <f aca="false">IF(21&lt;='1. Assumptions'!$B$14,'1. Assumptions'!$B$12,0)</f>
        <v>0</v>
      </c>
      <c r="D24" s="13" t="n">
        <f aca="false">'1. Assumptions'!$B$13*B24</f>
        <v>6.62</v>
      </c>
      <c r="E24" s="13" t="n">
        <f aca="false">MIN(C24,D24)</f>
        <v>0</v>
      </c>
      <c r="F24" s="13" t="n">
        <f aca="false">B24+E24</f>
        <v>33.1</v>
      </c>
      <c r="G24" s="15" t="n">
        <v>5.2</v>
      </c>
    </row>
    <row r="25" customFormat="false" ht="15" hidden="false" customHeight="false" outlineLevel="0" collapsed="false">
      <c r="A25" s="0" t="s">
        <v>77</v>
      </c>
      <c r="B25" s="15" t="n">
        <v>33.7</v>
      </c>
      <c r="C25" s="13" t="n">
        <f aca="false">IF(22&lt;='1. Assumptions'!$B$14,'1. Assumptions'!$B$12,0)</f>
        <v>0</v>
      </c>
      <c r="D25" s="13" t="n">
        <f aca="false">'1. Assumptions'!$B$13*B25</f>
        <v>6.74</v>
      </c>
      <c r="E25" s="13" t="n">
        <f aca="false">MIN(C25,D25)</f>
        <v>0</v>
      </c>
      <c r="F25" s="13" t="n">
        <f aca="false">B25+E25</f>
        <v>33.7</v>
      </c>
      <c r="G25" s="15" t="n">
        <v>5.3</v>
      </c>
    </row>
    <row r="26" customFormat="false" ht="15" hidden="false" customHeight="false" outlineLevel="0" collapsed="false">
      <c r="A26" s="0" t="s">
        <v>78</v>
      </c>
      <c r="B26" s="15" t="n">
        <v>34.3</v>
      </c>
      <c r="C26" s="13" t="n">
        <f aca="false">IF(23&lt;='1. Assumptions'!$B$14,'1. Assumptions'!$B$12,0)</f>
        <v>0</v>
      </c>
      <c r="D26" s="13" t="n">
        <f aca="false">'1. Assumptions'!$B$13*B26</f>
        <v>6.86</v>
      </c>
      <c r="E26" s="13" t="n">
        <f aca="false">MIN(C26,D26)</f>
        <v>0</v>
      </c>
      <c r="F26" s="13" t="n">
        <f aca="false">B26+E26</f>
        <v>34.3</v>
      </c>
      <c r="G26" s="15" t="n">
        <v>5.4</v>
      </c>
    </row>
    <row r="27" customFormat="false" ht="15" hidden="false" customHeight="false" outlineLevel="0" collapsed="false">
      <c r="A27" s="0" t="s">
        <v>79</v>
      </c>
      <c r="B27" s="15" t="n">
        <v>34.8</v>
      </c>
      <c r="C27" s="13" t="n">
        <f aca="false">IF(24&lt;='1. Assumptions'!$B$14,'1. Assumptions'!$B$12,0)</f>
        <v>0</v>
      </c>
      <c r="D27" s="13" t="n">
        <f aca="false">'1. Assumptions'!$B$13*B27</f>
        <v>6.96</v>
      </c>
      <c r="E27" s="13" t="n">
        <f aca="false">MIN(C27,D27)</f>
        <v>0</v>
      </c>
      <c r="F27" s="13" t="n">
        <f aca="false">B27+E27</f>
        <v>34.8</v>
      </c>
      <c r="G27" s="15" t="n">
        <v>5.5</v>
      </c>
    </row>
    <row r="28" customFormat="false" ht="15" hidden="false" customHeight="false" outlineLevel="0" collapsed="false">
      <c r="A28" s="0" t="s">
        <v>80</v>
      </c>
      <c r="B28" s="15" t="n">
        <v>35.3</v>
      </c>
      <c r="C28" s="13" t="n">
        <f aca="false">IF(25&lt;='1. Assumptions'!$B$14,'1. Assumptions'!$B$12,0)</f>
        <v>0</v>
      </c>
      <c r="D28" s="13" t="n">
        <f aca="false">'1. Assumptions'!$B$13*B28</f>
        <v>7.06</v>
      </c>
      <c r="E28" s="13" t="n">
        <f aca="false">MIN(C28,D28)</f>
        <v>0</v>
      </c>
      <c r="F28" s="13" t="n">
        <f aca="false">B28+E28</f>
        <v>35.3</v>
      </c>
      <c r="G28" s="15" t="n">
        <v>5.6</v>
      </c>
    </row>
    <row r="29" customFormat="false" ht="15" hidden="false" customHeight="false" outlineLevel="0" collapsed="false">
      <c r="A29" s="0" t="s">
        <v>81</v>
      </c>
      <c r="B29" s="15" t="n">
        <v>35.8</v>
      </c>
      <c r="C29" s="13" t="n">
        <f aca="false">IF(26&lt;='1. Assumptions'!$B$14,'1. Assumptions'!$B$12,0)</f>
        <v>0</v>
      </c>
      <c r="D29" s="13" t="n">
        <f aca="false">'1. Assumptions'!$B$13*B29</f>
        <v>7.16</v>
      </c>
      <c r="E29" s="13" t="n">
        <f aca="false">MIN(C29,D29)</f>
        <v>0</v>
      </c>
      <c r="F29" s="13" t="n">
        <f aca="false">B29+E29</f>
        <v>35.8</v>
      </c>
      <c r="G29" s="15" t="n">
        <v>5.7</v>
      </c>
    </row>
    <row r="30" customFormat="false" ht="15" hidden="false" customHeight="false" outlineLevel="0" collapsed="false">
      <c r="A30" s="0" t="s">
        <v>82</v>
      </c>
      <c r="B30" s="15" t="n">
        <v>36.2</v>
      </c>
      <c r="C30" s="13" t="n">
        <f aca="false">IF(27&lt;='1. Assumptions'!$B$14,'1. Assumptions'!$B$12,0)</f>
        <v>0</v>
      </c>
      <c r="D30" s="13" t="n">
        <f aca="false">'1. Assumptions'!$B$13*B30</f>
        <v>7.24</v>
      </c>
      <c r="E30" s="13" t="n">
        <f aca="false">MIN(C30,D30)</f>
        <v>0</v>
      </c>
      <c r="F30" s="13" t="n">
        <f aca="false">B30+E30</f>
        <v>36.2</v>
      </c>
      <c r="G30" s="15" t="n">
        <v>5.8</v>
      </c>
    </row>
    <row r="31" customFormat="false" ht="15" hidden="false" customHeight="false" outlineLevel="0" collapsed="false">
      <c r="A31" s="0" t="s">
        <v>83</v>
      </c>
      <c r="B31" s="15" t="n">
        <v>36.6</v>
      </c>
      <c r="C31" s="13" t="n">
        <f aca="false">IF(28&lt;='1. Assumptions'!$B$14,'1. Assumptions'!$B$12,0)</f>
        <v>0</v>
      </c>
      <c r="D31" s="13" t="n">
        <f aca="false">'1. Assumptions'!$B$13*B31</f>
        <v>7.32</v>
      </c>
      <c r="E31" s="13" t="n">
        <f aca="false">MIN(C31,D31)</f>
        <v>0</v>
      </c>
      <c r="F31" s="13" t="n">
        <f aca="false">B31+E31</f>
        <v>36.6</v>
      </c>
      <c r="G31" s="15" t="n">
        <v>5.9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3"/>
    <col collapsed="false" customWidth="true" hidden="false" outlineLevel="0" max="3" min="3" style="0" width="10"/>
    <col collapsed="false" customWidth="true" hidden="false" outlineLevel="0" max="5" min="4" style="0" width="11"/>
    <col collapsed="false" customWidth="true" hidden="false" outlineLevel="0" max="6" min="6" style="0" width="17"/>
    <col collapsed="false" customWidth="true" hidden="false" outlineLevel="0" max="7" min="7" style="0" width="9"/>
    <col collapsed="false" customWidth="true" hidden="false" outlineLevel="0" max="9" min="8" style="0" width="13"/>
    <col collapsed="false" customWidth="true" hidden="false" outlineLevel="0" max="10" min="10" style="0" width="11"/>
    <col collapsed="false" customWidth="true" hidden="false" outlineLevel="0" max="11" min="11" style="0" width="12"/>
  </cols>
  <sheetData>
    <row r="1" customFormat="false" ht="16.15" hidden="false" customHeight="false" outlineLevel="0" collapsed="false">
      <c r="A1" s="7" t="s">
        <v>84</v>
      </c>
    </row>
    <row r="3" customFormat="false" ht="28.35" hidden="false" customHeight="false" outlineLevel="0" collapsed="false">
      <c r="A3" s="14" t="s">
        <v>49</v>
      </c>
      <c r="B3" s="14" t="s">
        <v>85</v>
      </c>
      <c r="C3" s="14" t="s">
        <v>86</v>
      </c>
      <c r="D3" s="14" t="s">
        <v>87</v>
      </c>
      <c r="E3" s="14" t="s">
        <v>88</v>
      </c>
      <c r="F3" s="14" t="s">
        <v>89</v>
      </c>
      <c r="G3" s="14" t="s">
        <v>90</v>
      </c>
      <c r="H3" s="14" t="s">
        <v>91</v>
      </c>
      <c r="I3" s="14" t="s">
        <v>92</v>
      </c>
      <c r="J3" s="14" t="s">
        <v>93</v>
      </c>
      <c r="K3" s="14" t="s">
        <v>94</v>
      </c>
    </row>
    <row r="4" customFormat="false" ht="15" hidden="false" customHeight="false" outlineLevel="0" collapsed="false">
      <c r="A4" s="0" t="s">
        <v>56</v>
      </c>
      <c r="B4" s="16" t="n">
        <f aca="false">'1. Assumptions'!$B$6</f>
        <v>137.5</v>
      </c>
      <c r="C4" s="17" t="n">
        <f aca="false">IF(('1. Assumptions'!$B$6-'1. Assumptions'!$B$8)/'2. Trading'!F4&lt;4,0.05,IF(('1. Assumptions'!$B$6-'1. Assumptions'!$B$8)/'2. Trading'!F4&lt;4.5,0.055,IF(('1. Assumptions'!$B$6-'1. Assumptions'!$B$8)/'2. Trading'!F4&lt;5,0.0575,0.06)))</f>
        <v>0.0575</v>
      </c>
      <c r="D4" s="13" t="n">
        <f aca="false">B4*('1. Assumptions'!$B$10+C4)/4</f>
        <v>2.8359375</v>
      </c>
      <c r="E4" s="13" t="n">
        <f aca="false">'2. Trading'!G4</f>
        <v>3.5</v>
      </c>
      <c r="F4" s="13" t="n">
        <f aca="false">'1. Assumptions'!$B$8+E4-D4</f>
        <v>5.6640625</v>
      </c>
      <c r="G4" s="18" t="n">
        <f aca="false">IF(MOD(1,4)&lt;&gt;0,0,IF((B4-MAX(F4,'1. Assumptions'!$B$8))/'2. Trading'!F4&gt;=5,0.75,IF((B4-MAX(F4,'1. Assumptions'!$B$8))/'2. Trading'!F4&gt;=4.5,0.5,IF((B4-MAX(F4,'1. Assumptions'!$B$8))/'2. Trading'!F4&gt;=4,0.25,0))))</f>
        <v>0</v>
      </c>
      <c r="H4" s="13" t="n">
        <f aca="false">MAX(0,F4-'1. Assumptions'!$B$8)*G4</f>
        <v>0</v>
      </c>
      <c r="I4" s="16" t="n">
        <f aca="false">B4-H4</f>
        <v>137.5</v>
      </c>
      <c r="J4" s="13" t="n">
        <f aca="false">F4-H4</f>
        <v>5.6640625</v>
      </c>
      <c r="K4" s="16" t="n">
        <f aca="false">I4-J4</f>
        <v>131.8359375</v>
      </c>
    </row>
    <row r="5" customFormat="false" ht="15" hidden="false" customHeight="false" outlineLevel="0" collapsed="false">
      <c r="A5" s="0" t="s">
        <v>57</v>
      </c>
      <c r="B5" s="16" t="n">
        <f aca="false">I4</f>
        <v>137.5</v>
      </c>
      <c r="C5" s="17" t="n">
        <f aca="false">IF('4. Covenants'!D4&lt;4,0.05,IF('4. Covenants'!D4&lt;4.5,0.055,IF('4. Covenants'!D4&lt;5,0.0575,0.06)))</f>
        <v>0.0575</v>
      </c>
      <c r="D5" s="13" t="n">
        <f aca="false">B5*('1. Assumptions'!$B$10+C5)/4</f>
        <v>2.8359375</v>
      </c>
      <c r="E5" s="13" t="n">
        <f aca="false">'2. Trading'!G5</f>
        <v>3.6</v>
      </c>
      <c r="F5" s="13" t="n">
        <f aca="false">J4+E5-D5</f>
        <v>6.428125</v>
      </c>
      <c r="G5" s="18" t="n">
        <f aca="false">IF(MOD(2,4)&lt;&gt;0,0,IF((B5-MAX(F5,'1. Assumptions'!$B$8))/'2. Trading'!F5&gt;=5,0.75,IF((B5-MAX(F5,'1. Assumptions'!$B$8))/'2. Trading'!F5&gt;=4.5,0.5,IF((B5-MAX(F5,'1. Assumptions'!$B$8))/'2. Trading'!F5&gt;=4,0.25,0))))</f>
        <v>0</v>
      </c>
      <c r="H5" s="13" t="n">
        <f aca="false">MAX(0,F5-'1. Assumptions'!$B$8)*G5</f>
        <v>0</v>
      </c>
      <c r="I5" s="16" t="n">
        <f aca="false">B5-H5</f>
        <v>137.5</v>
      </c>
      <c r="J5" s="13" t="n">
        <f aca="false">F5-H5</f>
        <v>6.428125</v>
      </c>
      <c r="K5" s="16" t="n">
        <f aca="false">I5-J5</f>
        <v>131.071875</v>
      </c>
    </row>
    <row r="6" customFormat="false" ht="15" hidden="false" customHeight="false" outlineLevel="0" collapsed="false">
      <c r="A6" s="0" t="s">
        <v>58</v>
      </c>
      <c r="B6" s="16" t="n">
        <f aca="false">I5</f>
        <v>137.5</v>
      </c>
      <c r="C6" s="17" t="n">
        <f aca="false">IF('4. Covenants'!D5&lt;4,0.05,IF('4. Covenants'!D5&lt;4.5,0.055,IF('4. Covenants'!D5&lt;5,0.0575,0.06)))</f>
        <v>0.055</v>
      </c>
      <c r="D6" s="13" t="n">
        <f aca="false">B6*('1. Assumptions'!$B$10+C6)/4</f>
        <v>2.75</v>
      </c>
      <c r="E6" s="13" t="n">
        <f aca="false">'2. Trading'!G6</f>
        <v>3.6</v>
      </c>
      <c r="F6" s="13" t="n">
        <f aca="false">J5+E6-D6</f>
        <v>7.278125</v>
      </c>
      <c r="G6" s="18" t="n">
        <f aca="false">IF(MOD(3,4)&lt;&gt;0,0,IF((B6-MAX(F6,'1. Assumptions'!$B$8))/'2. Trading'!F6&gt;=5,0.75,IF((B6-MAX(F6,'1. Assumptions'!$B$8))/'2. Trading'!F6&gt;=4.5,0.5,IF((B6-MAX(F6,'1. Assumptions'!$B$8))/'2. Trading'!F6&gt;=4,0.25,0))))</f>
        <v>0</v>
      </c>
      <c r="H6" s="13" t="n">
        <f aca="false">MAX(0,F6-'1. Assumptions'!$B$8)*G6</f>
        <v>0</v>
      </c>
      <c r="I6" s="16" t="n">
        <f aca="false">B6-H6</f>
        <v>137.5</v>
      </c>
      <c r="J6" s="13" t="n">
        <f aca="false">F6-H6</f>
        <v>7.278125</v>
      </c>
      <c r="K6" s="16" t="n">
        <f aca="false">I6-J6</f>
        <v>130.221875</v>
      </c>
    </row>
    <row r="7" customFormat="false" ht="15" hidden="false" customHeight="false" outlineLevel="0" collapsed="false">
      <c r="A7" s="0" t="s">
        <v>59</v>
      </c>
      <c r="B7" s="16" t="n">
        <f aca="false">I6</f>
        <v>137.5</v>
      </c>
      <c r="C7" s="17" t="n">
        <f aca="false">IF('4. Covenants'!D6&lt;4,0.05,IF('4. Covenants'!D6&lt;4.5,0.055,IF('4. Covenants'!D6&lt;5,0.0575,0.06)))</f>
        <v>0.055</v>
      </c>
      <c r="D7" s="13" t="n">
        <f aca="false">B7*('1. Assumptions'!$B$10+C7)/4</f>
        <v>2.75</v>
      </c>
      <c r="E7" s="13" t="n">
        <f aca="false">'2. Trading'!G7</f>
        <v>3.7</v>
      </c>
      <c r="F7" s="13" t="n">
        <f aca="false">J6+E7-D7</f>
        <v>8.228125</v>
      </c>
      <c r="G7" s="18" t="n">
        <f aca="false">IF(MOD(4,4)&lt;&gt;0,0,IF((B7-MAX(F7,'1. Assumptions'!$B$8))/'2. Trading'!F7&gt;=5,0.75,IF((B7-MAX(F7,'1. Assumptions'!$B$8))/'2. Trading'!F7&gt;=4.5,0.5,IF((B7-MAX(F7,'1. Assumptions'!$B$8))/'2. Trading'!F7&gt;=4,0.25,0))))</f>
        <v>0.25</v>
      </c>
      <c r="H7" s="13" t="n">
        <f aca="false">MAX(0,F7-'1. Assumptions'!$B$8)*G7</f>
        <v>0.80703125</v>
      </c>
      <c r="I7" s="16" t="n">
        <f aca="false">B7-H7</f>
        <v>136.69296875</v>
      </c>
      <c r="J7" s="13" t="n">
        <f aca="false">F7-H7</f>
        <v>7.42109375</v>
      </c>
      <c r="K7" s="16" t="n">
        <f aca="false">I7-J7</f>
        <v>129.271875</v>
      </c>
    </row>
    <row r="8" customFormat="false" ht="15" hidden="false" customHeight="false" outlineLevel="0" collapsed="false">
      <c r="A8" s="0" t="s">
        <v>60</v>
      </c>
      <c r="B8" s="16" t="n">
        <f aca="false">I7</f>
        <v>136.69296875</v>
      </c>
      <c r="C8" s="17" t="n">
        <f aca="false">IF('4. Covenants'!D7&lt;4,0.05,IF('4. Covenants'!D7&lt;4.5,0.055,IF('4. Covenants'!D7&lt;5,0.0575,0.06)))</f>
        <v>0.055</v>
      </c>
      <c r="D8" s="13" t="n">
        <f aca="false">B8*('1. Assumptions'!$B$10+C8)/4</f>
        <v>2.733859375</v>
      </c>
      <c r="E8" s="13" t="n">
        <f aca="false">'2. Trading'!G8</f>
        <v>3.5</v>
      </c>
      <c r="F8" s="13" t="n">
        <f aca="false">J7+E8-D8</f>
        <v>8.187234375</v>
      </c>
      <c r="G8" s="18" t="n">
        <f aca="false">IF(MOD(5,4)&lt;&gt;0,0,IF((B8-MAX(F8,'1. Assumptions'!$B$8))/'2. Trading'!F8&gt;=5,0.75,IF((B8-MAX(F8,'1. Assumptions'!$B$8))/'2. Trading'!F8&gt;=4.5,0.5,IF((B8-MAX(F8,'1. Assumptions'!$B$8))/'2. Trading'!F8&gt;=4,0.25,0))))</f>
        <v>0</v>
      </c>
      <c r="H8" s="13" t="n">
        <f aca="false">MAX(0,F8-'1. Assumptions'!$B$8)*G8</f>
        <v>0</v>
      </c>
      <c r="I8" s="16" t="n">
        <f aca="false">B8-H8</f>
        <v>136.69296875</v>
      </c>
      <c r="J8" s="13" t="n">
        <f aca="false">F8-H8</f>
        <v>8.187234375</v>
      </c>
      <c r="K8" s="16" t="n">
        <f aca="false">I8-J8</f>
        <v>128.505734375</v>
      </c>
    </row>
    <row r="9" customFormat="false" ht="15" hidden="false" customHeight="false" outlineLevel="0" collapsed="false">
      <c r="A9" s="0" t="s">
        <v>61</v>
      </c>
      <c r="B9" s="16" t="n">
        <f aca="false">I8</f>
        <v>136.69296875</v>
      </c>
      <c r="C9" s="17" t="n">
        <f aca="false">IF('4. Covenants'!D8&lt;4,0.05,IF('4. Covenants'!D8&lt;4.5,0.055,IF('4. Covenants'!D8&lt;5,0.0575,0.06)))</f>
        <v>0.055</v>
      </c>
      <c r="D9" s="13" t="n">
        <f aca="false">B9*('1. Assumptions'!$B$10+C9)/4</f>
        <v>2.733859375</v>
      </c>
      <c r="E9" s="13" t="n">
        <f aca="false">'2. Trading'!G9</f>
        <v>3.1</v>
      </c>
      <c r="F9" s="13" t="n">
        <f aca="false">J8+E9-D9</f>
        <v>8.553375</v>
      </c>
      <c r="G9" s="18" t="n">
        <f aca="false">IF(MOD(6,4)&lt;&gt;0,0,IF((B9-MAX(F9,'1. Assumptions'!$B$8))/'2. Trading'!F9&gt;=5,0.75,IF((B9-MAX(F9,'1. Assumptions'!$B$8))/'2. Trading'!F9&gt;=4.5,0.5,IF((B9-MAX(F9,'1. Assumptions'!$B$8))/'2. Trading'!F9&gt;=4,0.25,0))))</f>
        <v>0</v>
      </c>
      <c r="H9" s="13" t="n">
        <f aca="false">MAX(0,F9-'1. Assumptions'!$B$8)*G9</f>
        <v>0</v>
      </c>
      <c r="I9" s="16" t="n">
        <f aca="false">B9-H9</f>
        <v>136.69296875</v>
      </c>
      <c r="J9" s="13" t="n">
        <f aca="false">F9-H9</f>
        <v>8.553375</v>
      </c>
      <c r="K9" s="16" t="n">
        <f aca="false">I9-J9</f>
        <v>128.13959375</v>
      </c>
    </row>
    <row r="10" customFormat="false" ht="15" hidden="false" customHeight="false" outlineLevel="0" collapsed="false">
      <c r="A10" s="0" t="s">
        <v>62</v>
      </c>
      <c r="B10" s="16" t="n">
        <f aca="false">I9</f>
        <v>136.69296875</v>
      </c>
      <c r="C10" s="17" t="n">
        <f aca="false">IF('4. Covenants'!D9&lt;4,0.05,IF('4. Covenants'!D9&lt;4.5,0.055,IF('4. Covenants'!D9&lt;5,0.0575,0.06)))</f>
        <v>0.0575</v>
      </c>
      <c r="D10" s="13" t="n">
        <f aca="false">B10*('1. Assumptions'!$B$10+C10)/4</f>
        <v>2.81929248046875</v>
      </c>
      <c r="E10" s="13" t="n">
        <f aca="false">'2. Trading'!G10</f>
        <v>2.6</v>
      </c>
      <c r="F10" s="13" t="n">
        <f aca="false">J9+E10-D10</f>
        <v>8.33408251953125</v>
      </c>
      <c r="G10" s="18" t="n">
        <f aca="false">IF(MOD(7,4)&lt;&gt;0,0,IF((B10-MAX(F10,'1. Assumptions'!$B$8))/'2. Trading'!F10&gt;=5,0.75,IF((B10-MAX(F10,'1. Assumptions'!$B$8))/'2. Trading'!F10&gt;=4.5,0.5,IF((B10-MAX(F10,'1. Assumptions'!$B$8))/'2. Trading'!F10&gt;=4,0.25,0))))</f>
        <v>0</v>
      </c>
      <c r="H10" s="13" t="n">
        <f aca="false">MAX(0,F10-'1. Assumptions'!$B$8)*G10</f>
        <v>0</v>
      </c>
      <c r="I10" s="16" t="n">
        <f aca="false">B10-H10</f>
        <v>136.69296875</v>
      </c>
      <c r="J10" s="13" t="n">
        <f aca="false">F10-H10</f>
        <v>8.33408251953125</v>
      </c>
      <c r="K10" s="16" t="n">
        <f aca="false">I10-J10</f>
        <v>128.358886230469</v>
      </c>
    </row>
    <row r="11" customFormat="false" ht="15" hidden="false" customHeight="false" outlineLevel="0" collapsed="false">
      <c r="A11" s="0" t="s">
        <v>63</v>
      </c>
      <c r="B11" s="16" t="n">
        <f aca="false">I10</f>
        <v>136.69296875</v>
      </c>
      <c r="C11" s="17" t="n">
        <f aca="false">IF('4. Covenants'!D10&lt;4,0.05,IF('4. Covenants'!D10&lt;4.5,0.055,IF('4. Covenants'!D10&lt;5,0.0575,0.06)))</f>
        <v>0.0575</v>
      </c>
      <c r="D11" s="13" t="n">
        <f aca="false">B11*('1. Assumptions'!$B$10+C11)/4</f>
        <v>2.81929248046875</v>
      </c>
      <c r="E11" s="13" t="n">
        <f aca="false">'2. Trading'!G11</f>
        <v>2.1</v>
      </c>
      <c r="F11" s="13" t="n">
        <f aca="false">J10+E11-D11</f>
        <v>7.6147900390625</v>
      </c>
      <c r="G11" s="18" t="n">
        <f aca="false">IF(MOD(8,4)&lt;&gt;0,0,IF((B11-MAX(F11,'1. Assumptions'!$B$8))/'2. Trading'!F11&gt;=5,0.75,IF((B11-MAX(F11,'1. Assumptions'!$B$8))/'2. Trading'!F11&gt;=4.5,0.5,IF((B11-MAX(F11,'1. Assumptions'!$B$8))/'2. Trading'!F11&gt;=4,0.25,0))))</f>
        <v>0.75</v>
      </c>
      <c r="H11" s="13" t="n">
        <f aca="false">MAX(0,F11-'1. Assumptions'!$B$8)*G11</f>
        <v>1.96109252929687</v>
      </c>
      <c r="I11" s="16" t="n">
        <f aca="false">B11-H11</f>
        <v>134.731876220703</v>
      </c>
      <c r="J11" s="13" t="n">
        <f aca="false">F11-H11</f>
        <v>5.65369750976563</v>
      </c>
      <c r="K11" s="16" t="n">
        <f aca="false">I11-J11</f>
        <v>129.078178710938</v>
      </c>
    </row>
    <row r="12" customFormat="false" ht="15" hidden="false" customHeight="false" outlineLevel="0" collapsed="false">
      <c r="A12" s="0" t="s">
        <v>64</v>
      </c>
      <c r="B12" s="16" t="n">
        <f aca="false">I11</f>
        <v>134.731876220703</v>
      </c>
      <c r="C12" s="17" t="n">
        <f aca="false">IF('4. Covenants'!D11&lt;4,0.05,IF('4. Covenants'!D11&lt;4.5,0.055,IF('4. Covenants'!D11&lt;5,0.0575,0.06)))</f>
        <v>0.06</v>
      </c>
      <c r="D12" s="13" t="n">
        <f aca="false">B12*('1. Assumptions'!$B$10+C12)/4</f>
        <v>2.86305236968994</v>
      </c>
      <c r="E12" s="13" t="n">
        <f aca="false">'2. Trading'!G12</f>
        <v>2.2</v>
      </c>
      <c r="F12" s="13" t="n">
        <f aca="false">J11+E12-D12</f>
        <v>4.99064514007568</v>
      </c>
      <c r="G12" s="18" t="n">
        <f aca="false">IF(MOD(9,4)&lt;&gt;0,0,IF((B12-MAX(F12,'1. Assumptions'!$B$8))/'2. Trading'!F12&gt;=5,0.75,IF((B12-MAX(F12,'1. Assumptions'!$B$8))/'2. Trading'!F12&gt;=4.5,0.5,IF((B12-MAX(F12,'1. Assumptions'!$B$8))/'2. Trading'!F12&gt;=4,0.25,0))))</f>
        <v>0</v>
      </c>
      <c r="H12" s="13" t="n">
        <f aca="false">MAX(0,F12-'1. Assumptions'!$B$8)*G12</f>
        <v>0</v>
      </c>
      <c r="I12" s="16" t="n">
        <f aca="false">B12-H12</f>
        <v>134.731876220703</v>
      </c>
      <c r="J12" s="13" t="n">
        <f aca="false">F12-H12</f>
        <v>4.99064514007568</v>
      </c>
      <c r="K12" s="16" t="n">
        <f aca="false">I12-J12</f>
        <v>129.741231080627</v>
      </c>
    </row>
    <row r="13" customFormat="false" ht="15" hidden="false" customHeight="false" outlineLevel="0" collapsed="false">
      <c r="A13" s="0" t="s">
        <v>65</v>
      </c>
      <c r="B13" s="16" t="n">
        <f aca="false">I12</f>
        <v>134.731876220703</v>
      </c>
      <c r="C13" s="17" t="n">
        <f aca="false">IF('4. Covenants'!D12&lt;4,0.05,IF('4. Covenants'!D12&lt;4.5,0.055,IF('4. Covenants'!D12&lt;5,0.0575,0.06)))</f>
        <v>0.06</v>
      </c>
      <c r="D13" s="13" t="n">
        <f aca="false">B13*('1. Assumptions'!$B$10+C13)/4</f>
        <v>2.86305236968994</v>
      </c>
      <c r="E13" s="13" t="n">
        <f aca="false">'2. Trading'!G13</f>
        <v>2.5</v>
      </c>
      <c r="F13" s="13" t="n">
        <f aca="false">J12+E13-D13</f>
        <v>4.62759277038574</v>
      </c>
      <c r="G13" s="18" t="n">
        <f aca="false">IF(MOD(10,4)&lt;&gt;0,0,IF((B13-MAX(F13,'1. Assumptions'!$B$8))/'2. Trading'!F13&gt;=5,0.75,IF((B13-MAX(F13,'1. Assumptions'!$B$8))/'2. Trading'!F13&gt;=4.5,0.5,IF((B13-MAX(F13,'1. Assumptions'!$B$8))/'2. Trading'!F13&gt;=4,0.25,0))))</f>
        <v>0</v>
      </c>
      <c r="H13" s="13" t="n">
        <f aca="false">MAX(0,F13-'1. Assumptions'!$B$8)*G13</f>
        <v>0</v>
      </c>
      <c r="I13" s="16" t="n">
        <f aca="false">B13-H13</f>
        <v>134.731876220703</v>
      </c>
      <c r="J13" s="13" t="n">
        <f aca="false">F13-H13</f>
        <v>4.62759277038574</v>
      </c>
      <c r="K13" s="16" t="n">
        <f aca="false">I13-J13</f>
        <v>130.104283450317</v>
      </c>
    </row>
    <row r="14" customFormat="false" ht="15" hidden="false" customHeight="false" outlineLevel="0" collapsed="false">
      <c r="A14" s="0" t="s">
        <v>66</v>
      </c>
      <c r="B14" s="16" t="n">
        <f aca="false">I13</f>
        <v>134.731876220703</v>
      </c>
      <c r="C14" s="17" t="n">
        <f aca="false">IF('4. Covenants'!D13&lt;4,0.05,IF('4. Covenants'!D13&lt;4.5,0.055,IF('4. Covenants'!D13&lt;5,0.0575,0.06)))</f>
        <v>0.06</v>
      </c>
      <c r="D14" s="13" t="n">
        <f aca="false">B14*('1. Assumptions'!$B$10+C14)/4</f>
        <v>2.86305236968994</v>
      </c>
      <c r="E14" s="13" t="n">
        <f aca="false">'2. Trading'!G14</f>
        <v>2.9</v>
      </c>
      <c r="F14" s="13" t="n">
        <f aca="false">J13+E14-D14</f>
        <v>4.6645404006958</v>
      </c>
      <c r="G14" s="18" t="n">
        <f aca="false">IF(MOD(11,4)&lt;&gt;0,0,IF((B14-MAX(F14,'1. Assumptions'!$B$8))/'2. Trading'!F14&gt;=5,0.75,IF((B14-MAX(F14,'1. Assumptions'!$B$8))/'2. Trading'!F14&gt;=4.5,0.5,IF((B14-MAX(F14,'1. Assumptions'!$B$8))/'2. Trading'!F14&gt;=4,0.25,0))))</f>
        <v>0</v>
      </c>
      <c r="H14" s="13" t="n">
        <f aca="false">MAX(0,F14-'1. Assumptions'!$B$8)*G14</f>
        <v>0</v>
      </c>
      <c r="I14" s="16" t="n">
        <f aca="false">B14-H14</f>
        <v>134.731876220703</v>
      </c>
      <c r="J14" s="13" t="n">
        <f aca="false">F14-H14</f>
        <v>4.6645404006958</v>
      </c>
      <c r="K14" s="16" t="n">
        <f aca="false">I14-J14</f>
        <v>130.067335820007</v>
      </c>
    </row>
    <row r="15" customFormat="false" ht="15" hidden="false" customHeight="false" outlineLevel="0" collapsed="false">
      <c r="A15" s="0" t="s">
        <v>67</v>
      </c>
      <c r="B15" s="16" t="n">
        <f aca="false">I14</f>
        <v>134.731876220703</v>
      </c>
      <c r="C15" s="17" t="n">
        <f aca="false">IF('4. Covenants'!D14&lt;4,0.05,IF('4. Covenants'!D14&lt;4.5,0.055,IF('4. Covenants'!D14&lt;5,0.0575,0.06)))</f>
        <v>0.06</v>
      </c>
      <c r="D15" s="13" t="n">
        <f aca="false">B15*('1. Assumptions'!$B$10+C15)/4</f>
        <v>2.86305236968994</v>
      </c>
      <c r="E15" s="13" t="n">
        <f aca="false">'2. Trading'!G15</f>
        <v>3.3</v>
      </c>
      <c r="F15" s="13" t="n">
        <f aca="false">J14+E15-D15</f>
        <v>5.10148803100586</v>
      </c>
      <c r="G15" s="18" t="n">
        <f aca="false">IF(MOD(12,4)&lt;&gt;0,0,IF((B15-MAX(F15,'1. Assumptions'!$B$8))/'2. Trading'!F15&gt;=5,0.75,IF((B15-MAX(F15,'1. Assumptions'!$B$8))/'2. Trading'!F15&gt;=4.5,0.5,IF((B15-MAX(F15,'1. Assumptions'!$B$8))/'2. Trading'!F15&gt;=4,0.25,0))))</f>
        <v>0.75</v>
      </c>
      <c r="H15" s="13" t="n">
        <f aca="false">MAX(0,F15-'1. Assumptions'!$B$8)*G15</f>
        <v>0.0761160232543956</v>
      </c>
      <c r="I15" s="16" t="n">
        <f aca="false">B15-H15</f>
        <v>134.655760197449</v>
      </c>
      <c r="J15" s="13" t="n">
        <f aca="false">F15-H15</f>
        <v>5.02537200775147</v>
      </c>
      <c r="K15" s="16" t="n">
        <f aca="false">I15-J15</f>
        <v>129.630388189697</v>
      </c>
    </row>
    <row r="16" customFormat="false" ht="15" hidden="false" customHeight="false" outlineLevel="0" collapsed="false">
      <c r="A16" s="0" t="s">
        <v>68</v>
      </c>
      <c r="B16" s="16" t="n">
        <f aca="false">I15</f>
        <v>134.655760197449</v>
      </c>
      <c r="C16" s="17" t="n">
        <f aca="false">IF('4. Covenants'!D15&lt;4,0.05,IF('4. Covenants'!D15&lt;4.5,0.055,IF('4. Covenants'!D15&lt;5,0.0575,0.06)))</f>
        <v>0.06</v>
      </c>
      <c r="D16" s="13" t="n">
        <f aca="false">B16*('1. Assumptions'!$B$10+C16)/4</f>
        <v>2.86143490419579</v>
      </c>
      <c r="E16" s="13" t="n">
        <f aca="false">'2. Trading'!G16</f>
        <v>3.6</v>
      </c>
      <c r="F16" s="13" t="n">
        <f aca="false">J15+E16-D16</f>
        <v>5.76393710355568</v>
      </c>
      <c r="G16" s="18" t="n">
        <f aca="false">IF(MOD(13,4)&lt;&gt;0,0,IF((B16-MAX(F16,'1. Assumptions'!$B$8))/'2. Trading'!F16&gt;=5,0.75,IF((B16-MAX(F16,'1. Assumptions'!$B$8))/'2. Trading'!F16&gt;=4.5,0.5,IF((B16-MAX(F16,'1. Assumptions'!$B$8))/'2. Trading'!F16&gt;=4,0.25,0))))</f>
        <v>0</v>
      </c>
      <c r="H16" s="13" t="n">
        <f aca="false">MAX(0,F16-'1. Assumptions'!$B$8)*G16</f>
        <v>0</v>
      </c>
      <c r="I16" s="16" t="n">
        <f aca="false">B16-H16</f>
        <v>134.655760197449</v>
      </c>
      <c r="J16" s="13" t="n">
        <f aca="false">F16-H16</f>
        <v>5.76393710355568</v>
      </c>
      <c r="K16" s="16" t="n">
        <f aca="false">I16-J16</f>
        <v>128.891823093893</v>
      </c>
    </row>
    <row r="17" customFormat="false" ht="15" hidden="false" customHeight="false" outlineLevel="0" collapsed="false">
      <c r="A17" s="0" t="s">
        <v>69</v>
      </c>
      <c r="B17" s="16" t="n">
        <f aca="false">I16</f>
        <v>134.655760197449</v>
      </c>
      <c r="C17" s="17" t="n">
        <f aca="false">IF('4. Covenants'!D16&lt;4,0.05,IF('4. Covenants'!D16&lt;4.5,0.055,IF('4. Covenants'!D16&lt;5,0.0575,0.06)))</f>
        <v>0.06</v>
      </c>
      <c r="D17" s="13" t="n">
        <f aca="false">B17*('1. Assumptions'!$B$10+C17)/4</f>
        <v>2.86143490419579</v>
      </c>
      <c r="E17" s="13" t="n">
        <f aca="false">'2. Trading'!G17</f>
        <v>3.9</v>
      </c>
      <c r="F17" s="13" t="n">
        <f aca="false">J16+E17-D17</f>
        <v>6.80250219935989</v>
      </c>
      <c r="G17" s="18" t="n">
        <f aca="false">IF(MOD(14,4)&lt;&gt;0,0,IF((B17-MAX(F17,'1. Assumptions'!$B$8))/'2. Trading'!F17&gt;=5,0.75,IF((B17-MAX(F17,'1. Assumptions'!$B$8))/'2. Trading'!F17&gt;=4.5,0.5,IF((B17-MAX(F17,'1. Assumptions'!$B$8))/'2. Trading'!F17&gt;=4,0.25,0))))</f>
        <v>0</v>
      </c>
      <c r="H17" s="13" t="n">
        <f aca="false">MAX(0,F17-'1. Assumptions'!$B$8)*G17</f>
        <v>0</v>
      </c>
      <c r="I17" s="16" t="n">
        <f aca="false">B17-H17</f>
        <v>134.655760197449</v>
      </c>
      <c r="J17" s="13" t="n">
        <f aca="false">F17-H17</f>
        <v>6.80250219935989</v>
      </c>
      <c r="K17" s="16" t="n">
        <f aca="false">I17-J17</f>
        <v>127.853257998089</v>
      </c>
    </row>
    <row r="18" customFormat="false" ht="15" hidden="false" customHeight="false" outlineLevel="0" collapsed="false">
      <c r="A18" s="0" t="s">
        <v>70</v>
      </c>
      <c r="B18" s="16" t="n">
        <f aca="false">I17</f>
        <v>134.655760197449</v>
      </c>
      <c r="C18" s="17" t="n">
        <f aca="false">IF('4. Covenants'!D17&lt;4,0.05,IF('4. Covenants'!D17&lt;4.5,0.055,IF('4. Covenants'!D17&lt;5,0.0575,0.06)))</f>
        <v>0.0575</v>
      </c>
      <c r="D18" s="13" t="n">
        <f aca="false">B18*('1. Assumptions'!$B$10+C18)/4</f>
        <v>2.77727505407238</v>
      </c>
      <c r="E18" s="13" t="n">
        <f aca="false">'2. Trading'!G18</f>
        <v>4.2</v>
      </c>
      <c r="F18" s="13" t="n">
        <f aca="false">J17+E18-D18</f>
        <v>8.22522714528752</v>
      </c>
      <c r="G18" s="18" t="n">
        <f aca="false">IF(MOD(15,4)&lt;&gt;0,0,IF((B18-MAX(F18,'1. Assumptions'!$B$8))/'2. Trading'!F18&gt;=5,0.75,IF((B18-MAX(F18,'1. Assumptions'!$B$8))/'2. Trading'!F18&gt;=4.5,0.5,IF((B18-MAX(F18,'1. Assumptions'!$B$8))/'2. Trading'!F18&gt;=4,0.25,0))))</f>
        <v>0</v>
      </c>
      <c r="H18" s="13" t="n">
        <f aca="false">MAX(0,F18-'1. Assumptions'!$B$8)*G18</f>
        <v>0</v>
      </c>
      <c r="I18" s="16" t="n">
        <f aca="false">B18-H18</f>
        <v>134.655760197449</v>
      </c>
      <c r="J18" s="13" t="n">
        <f aca="false">F18-H18</f>
        <v>8.22522714528752</v>
      </c>
      <c r="K18" s="16" t="n">
        <f aca="false">I18-J18</f>
        <v>126.430533052161</v>
      </c>
    </row>
    <row r="19" customFormat="false" ht="15" hidden="false" customHeight="false" outlineLevel="0" collapsed="false">
      <c r="A19" s="0" t="s">
        <v>71</v>
      </c>
      <c r="B19" s="16" t="n">
        <f aca="false">I18</f>
        <v>134.655760197449</v>
      </c>
      <c r="C19" s="17" t="n">
        <f aca="false">IF('4. Covenants'!D18&lt;4,0.05,IF('4. Covenants'!D18&lt;4.5,0.055,IF('4. Covenants'!D18&lt;5,0.0575,0.06)))</f>
        <v>0.055</v>
      </c>
      <c r="D19" s="13" t="n">
        <f aca="false">B19*('1. Assumptions'!$B$10+C19)/4</f>
        <v>2.69311520394897</v>
      </c>
      <c r="E19" s="13" t="n">
        <f aca="false">'2. Trading'!G19</f>
        <v>4.4</v>
      </c>
      <c r="F19" s="13" t="n">
        <f aca="false">J18+E19-D19</f>
        <v>9.93211194133854</v>
      </c>
      <c r="G19" s="18" t="n">
        <f aca="false">IF(MOD(16,4)&lt;&gt;0,0,IF((B19-MAX(F19,'1. Assumptions'!$B$8))/'2. Trading'!F19&gt;=5,0.75,IF((B19-MAX(F19,'1. Assumptions'!$B$8))/'2. Trading'!F19&gt;=4.5,0.5,IF((B19-MAX(F19,'1. Assumptions'!$B$8))/'2. Trading'!F19&gt;=4,0.25,0))))</f>
        <v>0.25</v>
      </c>
      <c r="H19" s="13" t="n">
        <f aca="false">MAX(0,F19-'1. Assumptions'!$B$8)*G19</f>
        <v>1.23302798533464</v>
      </c>
      <c r="I19" s="16" t="n">
        <f aca="false">B19-H19</f>
        <v>133.422732212114</v>
      </c>
      <c r="J19" s="13" t="n">
        <f aca="false">F19-H19</f>
        <v>8.69908395600391</v>
      </c>
      <c r="K19" s="16" t="n">
        <f aca="false">I19-J19</f>
        <v>124.72364825611</v>
      </c>
    </row>
    <row r="20" customFormat="false" ht="15" hidden="false" customHeight="false" outlineLevel="0" collapsed="false">
      <c r="A20" s="0" t="s">
        <v>72</v>
      </c>
      <c r="B20" s="16" t="n">
        <f aca="false">I19</f>
        <v>133.422732212114</v>
      </c>
      <c r="C20" s="17" t="n">
        <f aca="false">IF('4. Covenants'!D19&lt;4,0.05,IF('4. Covenants'!D19&lt;4.5,0.055,IF('4. Covenants'!D19&lt;5,0.0575,0.06)))</f>
        <v>0.055</v>
      </c>
      <c r="D20" s="13" t="n">
        <f aca="false">B20*('1. Assumptions'!$B$10+C20)/4</f>
        <v>2.66845464424228</v>
      </c>
      <c r="E20" s="13" t="n">
        <f aca="false">'2. Trading'!G20</f>
        <v>4.6</v>
      </c>
      <c r="F20" s="13" t="n">
        <f aca="false">J19+E20-D20</f>
        <v>10.6306293117616</v>
      </c>
      <c r="G20" s="18" t="n">
        <f aca="false">IF(MOD(17,4)&lt;&gt;0,0,IF((B20-MAX(F20,'1. Assumptions'!$B$8))/'2. Trading'!F20&gt;=5,0.75,IF((B20-MAX(F20,'1. Assumptions'!$B$8))/'2. Trading'!F20&gt;=4.5,0.5,IF((B20-MAX(F20,'1. Assumptions'!$B$8))/'2. Trading'!F20&gt;=4,0.25,0))))</f>
        <v>0</v>
      </c>
      <c r="H20" s="13" t="n">
        <f aca="false">MAX(0,F20-'1. Assumptions'!$B$8)*G20</f>
        <v>0</v>
      </c>
      <c r="I20" s="16" t="n">
        <f aca="false">B20-H20</f>
        <v>133.422732212114</v>
      </c>
      <c r="J20" s="13" t="n">
        <f aca="false">F20-H20</f>
        <v>10.6306293117616</v>
      </c>
      <c r="K20" s="16" t="n">
        <f aca="false">I20-J20</f>
        <v>122.792102900352</v>
      </c>
    </row>
    <row r="21" customFormat="false" ht="15" hidden="false" customHeight="false" outlineLevel="0" collapsed="false">
      <c r="A21" s="0" t="s">
        <v>73</v>
      </c>
      <c r="B21" s="16" t="n">
        <f aca="false">I20</f>
        <v>133.422732212114</v>
      </c>
      <c r="C21" s="17" t="n">
        <f aca="false">IF('4. Covenants'!D20&lt;4,0.05,IF('4. Covenants'!D20&lt;4.5,0.055,IF('4. Covenants'!D20&lt;5,0.0575,0.06)))</f>
        <v>0.055</v>
      </c>
      <c r="D21" s="13" t="n">
        <f aca="false">B21*('1. Assumptions'!$B$10+C21)/4</f>
        <v>2.66845464424228</v>
      </c>
      <c r="E21" s="13" t="n">
        <f aca="false">'2. Trading'!G21</f>
        <v>4.8</v>
      </c>
      <c r="F21" s="13" t="n">
        <f aca="false">J20+E21-D21</f>
        <v>12.7621746675193</v>
      </c>
      <c r="G21" s="18" t="n">
        <f aca="false">IF(MOD(18,4)&lt;&gt;0,0,IF((B21-MAX(F21,'1. Assumptions'!$B$8))/'2. Trading'!F21&gt;=5,0.75,IF((B21-MAX(F21,'1. Assumptions'!$B$8))/'2. Trading'!F21&gt;=4.5,0.5,IF((B21-MAX(F21,'1. Assumptions'!$B$8))/'2. Trading'!F21&gt;=4,0.25,0))))</f>
        <v>0</v>
      </c>
      <c r="H21" s="13" t="n">
        <f aca="false">MAX(0,F21-'1. Assumptions'!$B$8)*G21</f>
        <v>0</v>
      </c>
      <c r="I21" s="16" t="n">
        <f aca="false">B21-H21</f>
        <v>133.422732212114</v>
      </c>
      <c r="J21" s="13" t="n">
        <f aca="false">F21-H21</f>
        <v>12.7621746675193</v>
      </c>
      <c r="K21" s="16" t="n">
        <f aca="false">I21-J21</f>
        <v>120.660557544595</v>
      </c>
    </row>
    <row r="22" customFormat="false" ht="15" hidden="false" customHeight="false" outlineLevel="0" collapsed="false">
      <c r="A22" s="0" t="s">
        <v>74</v>
      </c>
      <c r="B22" s="16" t="n">
        <f aca="false">I21</f>
        <v>133.422732212114</v>
      </c>
      <c r="C22" s="17" t="n">
        <f aca="false">IF('4. Covenants'!D21&lt;4,0.05,IF('4. Covenants'!D21&lt;4.5,0.055,IF('4. Covenants'!D21&lt;5,0.0575,0.06)))</f>
        <v>0.05</v>
      </c>
      <c r="D22" s="13" t="n">
        <f aca="false">B22*('1. Assumptions'!$B$10+C22)/4</f>
        <v>2.50167622897714</v>
      </c>
      <c r="E22" s="13" t="n">
        <f aca="false">'2. Trading'!G22</f>
        <v>4.9</v>
      </c>
      <c r="F22" s="13" t="n">
        <f aca="false">J21+E22-D22</f>
        <v>15.1604984385422</v>
      </c>
      <c r="G22" s="18" t="n">
        <f aca="false">IF(MOD(19,4)&lt;&gt;0,0,IF((B22-MAX(F22,'1. Assumptions'!$B$8))/'2. Trading'!F22&gt;=5,0.75,IF((B22-MAX(F22,'1. Assumptions'!$B$8))/'2. Trading'!F22&gt;=4.5,0.5,IF((B22-MAX(F22,'1. Assumptions'!$B$8))/'2. Trading'!F22&gt;=4,0.25,0))))</f>
        <v>0</v>
      </c>
      <c r="H22" s="13" t="n">
        <f aca="false">MAX(0,F22-'1. Assumptions'!$B$8)*G22</f>
        <v>0</v>
      </c>
      <c r="I22" s="16" t="n">
        <f aca="false">B22-H22</f>
        <v>133.422732212114</v>
      </c>
      <c r="J22" s="13" t="n">
        <f aca="false">F22-H22</f>
        <v>15.1604984385422</v>
      </c>
      <c r="K22" s="16" t="n">
        <f aca="false">I22-J22</f>
        <v>118.262233773572</v>
      </c>
    </row>
    <row r="23" customFormat="false" ht="15" hidden="false" customHeight="false" outlineLevel="0" collapsed="false">
      <c r="A23" s="0" t="s">
        <v>75</v>
      </c>
      <c r="B23" s="16" t="n">
        <f aca="false">I22</f>
        <v>133.422732212114</v>
      </c>
      <c r="C23" s="17" t="n">
        <f aca="false">IF('4. Covenants'!D22&lt;4,0.05,IF('4. Covenants'!D22&lt;4.5,0.055,IF('4. Covenants'!D22&lt;5,0.0575,0.06)))</f>
        <v>0.05</v>
      </c>
      <c r="D23" s="13" t="n">
        <f aca="false">B23*('1. Assumptions'!$B$10+C23)/4</f>
        <v>2.50167622897714</v>
      </c>
      <c r="E23" s="13" t="n">
        <f aca="false">'2. Trading'!G23</f>
        <v>5.1</v>
      </c>
      <c r="F23" s="13" t="n">
        <f aca="false">J22+E23-D23</f>
        <v>17.7588222095651</v>
      </c>
      <c r="G23" s="18" t="n">
        <f aca="false">IF(MOD(20,4)&lt;&gt;0,0,IF((B23-MAX(F23,'1. Assumptions'!$B$8))/'2. Trading'!F23&gt;=5,0.75,IF((B23-MAX(F23,'1. Assumptions'!$B$8))/'2. Trading'!F23&gt;=4.5,0.5,IF((B23-MAX(F23,'1. Assumptions'!$B$8))/'2. Trading'!F23&gt;=4,0.25,0))))</f>
        <v>0</v>
      </c>
      <c r="H23" s="13" t="n">
        <f aca="false">MAX(0,F23-'1. Assumptions'!$B$8)*G23</f>
        <v>0</v>
      </c>
      <c r="I23" s="16" t="n">
        <f aca="false">B23-H23</f>
        <v>133.422732212114</v>
      </c>
      <c r="J23" s="13" t="n">
        <f aca="false">F23-H23</f>
        <v>17.7588222095651</v>
      </c>
      <c r="K23" s="16" t="n">
        <f aca="false">I23-J23</f>
        <v>115.663910002549</v>
      </c>
    </row>
    <row r="24" customFormat="false" ht="15" hidden="false" customHeight="false" outlineLevel="0" collapsed="false">
      <c r="A24" s="0" t="s">
        <v>76</v>
      </c>
      <c r="B24" s="16" t="n">
        <f aca="false">I23</f>
        <v>133.422732212114</v>
      </c>
      <c r="C24" s="17" t="n">
        <f aca="false">IF('4. Covenants'!D23&lt;4,0.05,IF('4. Covenants'!D23&lt;4.5,0.055,IF('4. Covenants'!D23&lt;5,0.0575,0.06)))</f>
        <v>0.05</v>
      </c>
      <c r="D24" s="13" t="n">
        <f aca="false">B24*('1. Assumptions'!$B$10+C24)/4</f>
        <v>2.50167622897714</v>
      </c>
      <c r="E24" s="13" t="n">
        <f aca="false">'2. Trading'!G24</f>
        <v>5.2</v>
      </c>
      <c r="F24" s="13" t="n">
        <f aca="false">J23+E24-D24</f>
        <v>20.4571459805879</v>
      </c>
      <c r="G24" s="18" t="n">
        <f aca="false">IF(MOD(21,4)&lt;&gt;0,0,IF((B24-MAX(F24,'1. Assumptions'!$B$8))/'2. Trading'!F24&gt;=5,0.75,IF((B24-MAX(F24,'1. Assumptions'!$B$8))/'2. Trading'!F24&gt;=4.5,0.5,IF((B24-MAX(F24,'1. Assumptions'!$B$8))/'2. Trading'!F24&gt;=4,0.25,0))))</f>
        <v>0</v>
      </c>
      <c r="H24" s="13" t="n">
        <f aca="false">MAX(0,F24-'1. Assumptions'!$B$8)*G24</f>
        <v>0</v>
      </c>
      <c r="I24" s="16" t="n">
        <f aca="false">B24-H24</f>
        <v>133.422732212114</v>
      </c>
      <c r="J24" s="13" t="n">
        <f aca="false">F24-H24</f>
        <v>20.4571459805879</v>
      </c>
      <c r="K24" s="16" t="n">
        <f aca="false">I24-J24</f>
        <v>112.965586231526</v>
      </c>
    </row>
    <row r="25" customFormat="false" ht="15" hidden="false" customHeight="false" outlineLevel="0" collapsed="false">
      <c r="A25" s="0" t="s">
        <v>77</v>
      </c>
      <c r="B25" s="16" t="n">
        <f aca="false">I24</f>
        <v>133.422732212114</v>
      </c>
      <c r="C25" s="17" t="n">
        <f aca="false">IF('4. Covenants'!D24&lt;4,0.05,IF('4. Covenants'!D24&lt;4.5,0.055,IF('4. Covenants'!D24&lt;5,0.0575,0.06)))</f>
        <v>0.05</v>
      </c>
      <c r="D25" s="13" t="n">
        <f aca="false">B25*('1. Assumptions'!$B$10+C25)/4</f>
        <v>2.50167622897714</v>
      </c>
      <c r="E25" s="13" t="n">
        <f aca="false">'2. Trading'!G25</f>
        <v>5.3</v>
      </c>
      <c r="F25" s="13" t="n">
        <f aca="false">J24+E25-D25</f>
        <v>23.2554697516108</v>
      </c>
      <c r="G25" s="18" t="n">
        <f aca="false">IF(MOD(22,4)&lt;&gt;0,0,IF((B25-MAX(F25,'1. Assumptions'!$B$8))/'2. Trading'!F25&gt;=5,0.75,IF((B25-MAX(F25,'1. Assumptions'!$B$8))/'2. Trading'!F25&gt;=4.5,0.5,IF((B25-MAX(F25,'1. Assumptions'!$B$8))/'2. Trading'!F25&gt;=4,0.25,0))))</f>
        <v>0</v>
      </c>
      <c r="H25" s="13" t="n">
        <f aca="false">MAX(0,F25-'1. Assumptions'!$B$8)*G25</f>
        <v>0</v>
      </c>
      <c r="I25" s="16" t="n">
        <f aca="false">B25-H25</f>
        <v>133.422732212114</v>
      </c>
      <c r="J25" s="13" t="n">
        <f aca="false">F25-H25</f>
        <v>23.2554697516108</v>
      </c>
      <c r="K25" s="16" t="n">
        <f aca="false">I25-J25</f>
        <v>110.167262460503</v>
      </c>
    </row>
    <row r="26" customFormat="false" ht="15" hidden="false" customHeight="false" outlineLevel="0" collapsed="false">
      <c r="A26" s="0" t="s">
        <v>78</v>
      </c>
      <c r="B26" s="16" t="n">
        <f aca="false">I25</f>
        <v>133.422732212114</v>
      </c>
      <c r="C26" s="17" t="n">
        <f aca="false">IF('4. Covenants'!D25&lt;4,0.05,IF('4. Covenants'!D25&lt;4.5,0.055,IF('4. Covenants'!D25&lt;5,0.0575,0.06)))</f>
        <v>0.05</v>
      </c>
      <c r="D26" s="13" t="n">
        <f aca="false">B26*('1. Assumptions'!$B$10+C26)/4</f>
        <v>2.50167622897714</v>
      </c>
      <c r="E26" s="13" t="n">
        <f aca="false">'2. Trading'!G26</f>
        <v>5.4</v>
      </c>
      <c r="F26" s="13" t="n">
        <f aca="false">J25+E26-D26</f>
        <v>26.1537935226337</v>
      </c>
      <c r="G26" s="18" t="n">
        <f aca="false">IF(MOD(23,4)&lt;&gt;0,0,IF((B26-MAX(F26,'1. Assumptions'!$B$8))/'2. Trading'!F26&gt;=5,0.75,IF((B26-MAX(F26,'1. Assumptions'!$B$8))/'2. Trading'!F26&gt;=4.5,0.5,IF((B26-MAX(F26,'1. Assumptions'!$B$8))/'2. Trading'!F26&gt;=4,0.25,0))))</f>
        <v>0</v>
      </c>
      <c r="H26" s="13" t="n">
        <f aca="false">MAX(0,F26-'1. Assumptions'!$B$8)*G26</f>
        <v>0</v>
      </c>
      <c r="I26" s="16" t="n">
        <f aca="false">B26-H26</f>
        <v>133.422732212114</v>
      </c>
      <c r="J26" s="13" t="n">
        <f aca="false">F26-H26</f>
        <v>26.1537935226337</v>
      </c>
      <c r="K26" s="16" t="n">
        <f aca="false">I26-J26</f>
        <v>107.26893868948</v>
      </c>
    </row>
    <row r="27" customFormat="false" ht="15" hidden="false" customHeight="false" outlineLevel="0" collapsed="false">
      <c r="A27" s="0" t="s">
        <v>79</v>
      </c>
      <c r="B27" s="16" t="n">
        <f aca="false">I26</f>
        <v>133.422732212114</v>
      </c>
      <c r="C27" s="17" t="n">
        <f aca="false">IF('4. Covenants'!D26&lt;4,0.05,IF('4. Covenants'!D26&lt;4.5,0.055,IF('4. Covenants'!D26&lt;5,0.0575,0.06)))</f>
        <v>0.05</v>
      </c>
      <c r="D27" s="13" t="n">
        <f aca="false">B27*('1. Assumptions'!$B$10+C27)/4</f>
        <v>2.50167622897714</v>
      </c>
      <c r="E27" s="13" t="n">
        <f aca="false">'2. Trading'!G27</f>
        <v>5.5</v>
      </c>
      <c r="F27" s="13" t="n">
        <f aca="false">J26+E27-D27</f>
        <v>29.1521172936565</v>
      </c>
      <c r="G27" s="18" t="n">
        <f aca="false">IF(MOD(24,4)&lt;&gt;0,0,IF((B27-MAX(F27,'1. Assumptions'!$B$8))/'2. Trading'!F27&gt;=5,0.75,IF((B27-MAX(F27,'1. Assumptions'!$B$8))/'2. Trading'!F27&gt;=4.5,0.5,IF((B27-MAX(F27,'1. Assumptions'!$B$8))/'2. Trading'!F27&gt;=4,0.25,0))))</f>
        <v>0</v>
      </c>
      <c r="H27" s="13" t="n">
        <f aca="false">MAX(0,F27-'1. Assumptions'!$B$8)*G27</f>
        <v>0</v>
      </c>
      <c r="I27" s="16" t="n">
        <f aca="false">B27-H27</f>
        <v>133.422732212114</v>
      </c>
      <c r="J27" s="13" t="n">
        <f aca="false">F27-H27</f>
        <v>29.1521172936565</v>
      </c>
      <c r="K27" s="16" t="n">
        <f aca="false">I27-J27</f>
        <v>104.270614918458</v>
      </c>
    </row>
    <row r="28" customFormat="false" ht="15" hidden="false" customHeight="false" outlineLevel="0" collapsed="false">
      <c r="A28" s="0" t="s">
        <v>80</v>
      </c>
      <c r="B28" s="16" t="n">
        <f aca="false">I27</f>
        <v>133.422732212114</v>
      </c>
      <c r="C28" s="17" t="n">
        <f aca="false">IF('4. Covenants'!D27&lt;4,0.05,IF('4. Covenants'!D27&lt;4.5,0.055,IF('4. Covenants'!D27&lt;5,0.0575,0.06)))</f>
        <v>0.05</v>
      </c>
      <c r="D28" s="13" t="n">
        <f aca="false">B28*('1. Assumptions'!$B$10+C28)/4</f>
        <v>2.50167622897714</v>
      </c>
      <c r="E28" s="13" t="n">
        <f aca="false">'2. Trading'!G28</f>
        <v>5.6</v>
      </c>
      <c r="F28" s="13" t="n">
        <f aca="false">J27+E28-D28</f>
        <v>32.2504410646794</v>
      </c>
      <c r="G28" s="18" t="n">
        <f aca="false">IF(MOD(25,4)&lt;&gt;0,0,IF((B28-MAX(F28,'1. Assumptions'!$B$8))/'2. Trading'!F28&gt;=5,0.75,IF((B28-MAX(F28,'1. Assumptions'!$B$8))/'2. Trading'!F28&gt;=4.5,0.5,IF((B28-MAX(F28,'1. Assumptions'!$B$8))/'2. Trading'!F28&gt;=4,0.25,0))))</f>
        <v>0</v>
      </c>
      <c r="H28" s="13" t="n">
        <f aca="false">MAX(0,F28-'1. Assumptions'!$B$8)*G28</f>
        <v>0</v>
      </c>
      <c r="I28" s="16" t="n">
        <f aca="false">B28-H28</f>
        <v>133.422732212114</v>
      </c>
      <c r="J28" s="13" t="n">
        <f aca="false">F28-H28</f>
        <v>32.2504410646794</v>
      </c>
      <c r="K28" s="16" t="n">
        <f aca="false">I28-J28</f>
        <v>101.172291147435</v>
      </c>
    </row>
    <row r="29" customFormat="false" ht="15" hidden="false" customHeight="false" outlineLevel="0" collapsed="false">
      <c r="A29" s="0" t="s">
        <v>81</v>
      </c>
      <c r="B29" s="16" t="n">
        <f aca="false">I28</f>
        <v>133.422732212114</v>
      </c>
      <c r="C29" s="17" t="n">
        <f aca="false">IF('4. Covenants'!D28&lt;4,0.05,IF('4. Covenants'!D28&lt;4.5,0.055,IF('4. Covenants'!D28&lt;5,0.0575,0.06)))</f>
        <v>0.05</v>
      </c>
      <c r="D29" s="13" t="n">
        <f aca="false">B29*('1. Assumptions'!$B$10+C29)/4</f>
        <v>2.50167622897714</v>
      </c>
      <c r="E29" s="13" t="n">
        <f aca="false">'2. Trading'!G29</f>
        <v>5.7</v>
      </c>
      <c r="F29" s="13" t="n">
        <f aca="false">J28+E29-D29</f>
        <v>35.4487648357022</v>
      </c>
      <c r="G29" s="18" t="n">
        <f aca="false">IF(MOD(26,4)&lt;&gt;0,0,IF((B29-MAX(F29,'1. Assumptions'!$B$8))/'2. Trading'!F29&gt;=5,0.75,IF((B29-MAX(F29,'1. Assumptions'!$B$8))/'2. Trading'!F29&gt;=4.5,0.5,IF((B29-MAX(F29,'1. Assumptions'!$B$8))/'2. Trading'!F29&gt;=4,0.25,0))))</f>
        <v>0</v>
      </c>
      <c r="H29" s="13" t="n">
        <f aca="false">MAX(0,F29-'1. Assumptions'!$B$8)*G29</f>
        <v>0</v>
      </c>
      <c r="I29" s="16" t="n">
        <f aca="false">B29-H29</f>
        <v>133.422732212114</v>
      </c>
      <c r="J29" s="13" t="n">
        <f aca="false">F29-H29</f>
        <v>35.4487648357022</v>
      </c>
      <c r="K29" s="16" t="n">
        <f aca="false">I29-J29</f>
        <v>97.9739673764119</v>
      </c>
    </row>
    <row r="30" customFormat="false" ht="15" hidden="false" customHeight="false" outlineLevel="0" collapsed="false">
      <c r="A30" s="0" t="s">
        <v>82</v>
      </c>
      <c r="B30" s="16" t="n">
        <f aca="false">I29</f>
        <v>133.422732212114</v>
      </c>
      <c r="C30" s="17" t="n">
        <f aca="false">IF('4. Covenants'!D29&lt;4,0.05,IF('4. Covenants'!D29&lt;4.5,0.055,IF('4. Covenants'!D29&lt;5,0.0575,0.06)))</f>
        <v>0.05</v>
      </c>
      <c r="D30" s="13" t="n">
        <f aca="false">B30*('1. Assumptions'!$B$10+C30)/4</f>
        <v>2.50167622897714</v>
      </c>
      <c r="E30" s="13" t="n">
        <f aca="false">'2. Trading'!G30</f>
        <v>5.8</v>
      </c>
      <c r="F30" s="13" t="n">
        <f aca="false">J29+E30-D30</f>
        <v>38.7470886067251</v>
      </c>
      <c r="G30" s="18" t="n">
        <f aca="false">IF(MOD(27,4)&lt;&gt;0,0,IF((B30-MAX(F30,'1. Assumptions'!$B$8))/'2. Trading'!F30&gt;=5,0.75,IF((B30-MAX(F30,'1. Assumptions'!$B$8))/'2. Trading'!F30&gt;=4.5,0.5,IF((B30-MAX(F30,'1. Assumptions'!$B$8))/'2. Trading'!F30&gt;=4,0.25,0))))</f>
        <v>0</v>
      </c>
      <c r="H30" s="13" t="n">
        <f aca="false">MAX(0,F30-'1. Assumptions'!$B$8)*G30</f>
        <v>0</v>
      </c>
      <c r="I30" s="16" t="n">
        <f aca="false">B30-H30</f>
        <v>133.422732212114</v>
      </c>
      <c r="J30" s="13" t="n">
        <f aca="false">F30-H30</f>
        <v>38.7470886067251</v>
      </c>
      <c r="K30" s="16" t="n">
        <f aca="false">I30-J30</f>
        <v>94.675643605389</v>
      </c>
    </row>
    <row r="31" customFormat="false" ht="15" hidden="false" customHeight="false" outlineLevel="0" collapsed="false">
      <c r="A31" s="0" t="s">
        <v>83</v>
      </c>
      <c r="B31" s="16" t="n">
        <f aca="false">I30</f>
        <v>133.422732212114</v>
      </c>
      <c r="C31" s="17" t="n">
        <f aca="false">IF('4. Covenants'!D30&lt;4,0.05,IF('4. Covenants'!D30&lt;4.5,0.055,IF('4. Covenants'!D30&lt;5,0.0575,0.06)))</f>
        <v>0.05</v>
      </c>
      <c r="D31" s="13" t="n">
        <f aca="false">B31*('1. Assumptions'!$B$10+C31)/4</f>
        <v>2.50167622897714</v>
      </c>
      <c r="E31" s="13" t="n">
        <f aca="false">'2. Trading'!G31</f>
        <v>5.9</v>
      </c>
      <c r="F31" s="13" t="n">
        <f aca="false">J30+E31-D31</f>
        <v>42.145412377748</v>
      </c>
      <c r="G31" s="18" t="n">
        <f aca="false">IF(MOD(28,4)&lt;&gt;0,0,IF((B31-MAX(F31,'1. Assumptions'!$B$8))/'2. Trading'!F31&gt;=5,0.75,IF((B31-MAX(F31,'1. Assumptions'!$B$8))/'2. Trading'!F31&gt;=4.5,0.5,IF((B31-MAX(F31,'1. Assumptions'!$B$8))/'2. Trading'!F31&gt;=4,0.25,0))))</f>
        <v>0</v>
      </c>
      <c r="H31" s="13" t="n">
        <f aca="false">MAX(0,F31-'1. Assumptions'!$B$8)*G31</f>
        <v>0</v>
      </c>
      <c r="I31" s="16" t="n">
        <f aca="false">B31-H31</f>
        <v>133.422732212114</v>
      </c>
      <c r="J31" s="13" t="n">
        <f aca="false">F31-H31</f>
        <v>42.145412377748</v>
      </c>
      <c r="K31" s="16" t="n">
        <f aca="false">I31-J31</f>
        <v>91.2773198343661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1"/>
    <col collapsed="false" customWidth="true" hidden="false" outlineLevel="0" max="3" min="3" style="0" width="19"/>
    <col collapsed="false" customWidth="true" hidden="false" outlineLevel="0" max="5" min="4" style="0" width="10"/>
    <col collapsed="false" customWidth="true" hidden="false" outlineLevel="0" max="6" min="6" style="0" width="15"/>
    <col collapsed="false" customWidth="true" hidden="false" outlineLevel="0" max="7" min="7" style="0" width="17"/>
    <col collapsed="false" customWidth="true" hidden="false" outlineLevel="0" max="8" min="8" style="0" width="12"/>
    <col collapsed="false" customWidth="true" hidden="false" outlineLevel="0" max="9" min="9" style="0" width="9"/>
    <col collapsed="false" customWidth="true" hidden="false" outlineLevel="0" max="10" min="10" style="0" width="19"/>
    <col collapsed="false" customWidth="true" hidden="false" outlineLevel="0" max="11" min="11" style="0" width="20"/>
    <col collapsed="false" customWidth="true" hidden="false" outlineLevel="0" max="12" min="12" style="0" width="12"/>
    <col collapsed="false" customWidth="true" hidden="false" outlineLevel="0" max="13" min="13" style="0" width="14"/>
    <col collapsed="false" customWidth="true" hidden="false" outlineLevel="0" max="14" min="14" style="0" width="10"/>
    <col collapsed="false" customWidth="true" hidden="false" outlineLevel="0" max="15" min="15" style="0" width="9"/>
  </cols>
  <sheetData>
    <row r="1" customFormat="false" ht="16.15" hidden="false" customHeight="false" outlineLevel="0" collapsed="false">
      <c r="A1" s="7" t="s">
        <v>95</v>
      </c>
    </row>
    <row r="3" customFormat="false" ht="28.35" hidden="false" customHeight="false" outlineLevel="0" collapsed="false">
      <c r="A3" s="14" t="s">
        <v>49</v>
      </c>
      <c r="B3" s="14" t="s">
        <v>94</v>
      </c>
      <c r="C3" s="14" t="s">
        <v>54</v>
      </c>
      <c r="D3" s="14" t="s">
        <v>96</v>
      </c>
      <c r="E3" s="14" t="s">
        <v>97</v>
      </c>
      <c r="F3" s="14" t="s">
        <v>98</v>
      </c>
      <c r="G3" s="14" t="s">
        <v>99</v>
      </c>
      <c r="H3" s="14" t="s">
        <v>100</v>
      </c>
      <c r="I3" s="14" t="s">
        <v>101</v>
      </c>
      <c r="J3" s="14" t="s">
        <v>102</v>
      </c>
      <c r="K3" s="14" t="s">
        <v>103</v>
      </c>
      <c r="L3" s="14" t="s">
        <v>104</v>
      </c>
      <c r="M3" s="14" t="s">
        <v>105</v>
      </c>
      <c r="N3" s="14" t="s">
        <v>97</v>
      </c>
      <c r="O3" s="14" t="s">
        <v>101</v>
      </c>
    </row>
    <row r="4" customFormat="false" ht="15" hidden="false" customHeight="false" outlineLevel="0" collapsed="false">
      <c r="A4" s="0" t="s">
        <v>56</v>
      </c>
      <c r="B4" s="16" t="n">
        <f aca="false">'3. Debt and cash'!K4</f>
        <v>131.8359375</v>
      </c>
      <c r="C4" s="13" t="n">
        <f aca="false">'2. Trading'!F4</f>
        <v>29.2</v>
      </c>
      <c r="D4" s="19" t="n">
        <f aca="false">B4/C4</f>
        <v>4.51492936643836</v>
      </c>
      <c r="E4" s="19" t="n">
        <f aca="false">'1. Assumptions'!$B$16</f>
        <v>6</v>
      </c>
      <c r="F4" s="13" t="n">
        <f aca="false">B4/E4</f>
        <v>21.97265625</v>
      </c>
      <c r="G4" s="13" t="n">
        <f aca="false">C4-F4</f>
        <v>7.22734375</v>
      </c>
      <c r="H4" s="20" t="n">
        <f aca="false">G4/C4</f>
        <v>0.247511772260274</v>
      </c>
      <c r="I4" s="0" t="str">
        <f aca="false">IF(D4&gt;E4,"BREACH","pass")</f>
        <v>pass</v>
      </c>
      <c r="J4" s="19" t="n">
        <f aca="false">B4/'2. Trading'!B4</f>
        <v>5.2734375</v>
      </c>
      <c r="K4" s="0" t="str">
        <f aca="false">IF(J4&gt;E4,"BREACH","pass")</f>
        <v>pass</v>
      </c>
      <c r="L4" s="13" t="n">
        <f aca="false">'3. Debt and cash'!D4*4</f>
        <v>11.34375</v>
      </c>
      <c r="M4" s="19" t="n">
        <f aca="false">C4/L4</f>
        <v>2.57410468319559</v>
      </c>
      <c r="N4" s="19" t="n">
        <f aca="false">'1. Assumptions'!$B$20</f>
        <v>1.75</v>
      </c>
      <c r="O4" s="0" t="str">
        <f aca="false">IF(M4&lt;N4,"BREACH","pass")</f>
        <v>pass</v>
      </c>
    </row>
    <row r="5" customFormat="false" ht="15" hidden="false" customHeight="false" outlineLevel="0" collapsed="false">
      <c r="A5" s="0" t="s">
        <v>57</v>
      </c>
      <c r="B5" s="16" t="n">
        <f aca="false">'3. Debt and cash'!K5</f>
        <v>131.071875</v>
      </c>
      <c r="C5" s="13" t="n">
        <f aca="false">'2. Trading'!F5</f>
        <v>29.6</v>
      </c>
      <c r="D5" s="19" t="n">
        <f aca="false">B5/C5</f>
        <v>4.42810388513514</v>
      </c>
      <c r="E5" s="19" t="n">
        <f aca="false">'1. Assumptions'!$B$16</f>
        <v>6</v>
      </c>
      <c r="F5" s="13" t="n">
        <f aca="false">B5/E5</f>
        <v>21.8453125</v>
      </c>
      <c r="G5" s="13" t="n">
        <f aca="false">C5-F5</f>
        <v>7.7546875</v>
      </c>
      <c r="H5" s="20" t="n">
        <f aca="false">G5/C5</f>
        <v>0.261982685810811</v>
      </c>
      <c r="I5" s="0" t="str">
        <f aca="false">IF(D5&gt;E5,"BREACH","pass")</f>
        <v>pass</v>
      </c>
      <c r="J5" s="19" t="n">
        <f aca="false">B5/'2. Trading'!B5</f>
        <v>5.16031003937008</v>
      </c>
      <c r="K5" s="0" t="str">
        <f aca="false">IF(J5&gt;E5,"BREACH","pass")</f>
        <v>pass</v>
      </c>
      <c r="L5" s="13" t="n">
        <f aca="false">'3. Debt and cash'!D5*4</f>
        <v>11.34375</v>
      </c>
      <c r="M5" s="19" t="n">
        <f aca="false">C5/L5</f>
        <v>2.60936639118457</v>
      </c>
      <c r="N5" s="19" t="n">
        <f aca="false">'1. Assumptions'!$B$20</f>
        <v>1.75</v>
      </c>
      <c r="O5" s="0" t="str">
        <f aca="false">IF(M5&lt;N5,"BREACH","pass")</f>
        <v>pass</v>
      </c>
    </row>
    <row r="6" customFormat="false" ht="15" hidden="false" customHeight="false" outlineLevel="0" collapsed="false">
      <c r="A6" s="0" t="s">
        <v>58</v>
      </c>
      <c r="B6" s="16" t="n">
        <f aca="false">'3. Debt and cash'!K6</f>
        <v>130.221875</v>
      </c>
      <c r="C6" s="13" t="n">
        <f aca="false">'2. Trading'!F6</f>
        <v>29.9</v>
      </c>
      <c r="D6" s="19" t="n">
        <f aca="false">B6/C6</f>
        <v>4.3552466555184</v>
      </c>
      <c r="E6" s="19" t="n">
        <f aca="false">'1. Assumptions'!$B$16</f>
        <v>6</v>
      </c>
      <c r="F6" s="13" t="n">
        <f aca="false">B6/E6</f>
        <v>21.7036458333333</v>
      </c>
      <c r="G6" s="13" t="n">
        <f aca="false">C6-F6</f>
        <v>8.19635416666666</v>
      </c>
      <c r="H6" s="20" t="n">
        <f aca="false">G6/C6</f>
        <v>0.274125557413601</v>
      </c>
      <c r="I6" s="0" t="str">
        <f aca="false">IF(D6&gt;E6,"BREACH","pass")</f>
        <v>pass</v>
      </c>
      <c r="J6" s="19" t="n">
        <f aca="false">B6/'2. Trading'!B6</f>
        <v>5.06699902723736</v>
      </c>
      <c r="K6" s="0" t="str">
        <f aca="false">IF(J6&gt;E6,"BREACH","pass")</f>
        <v>pass</v>
      </c>
      <c r="L6" s="13" t="n">
        <f aca="false">'3. Debt and cash'!D6*4</f>
        <v>11</v>
      </c>
      <c r="M6" s="19" t="n">
        <f aca="false">C6/L6</f>
        <v>2.71818181818182</v>
      </c>
      <c r="N6" s="19" t="n">
        <f aca="false">'1. Assumptions'!$B$20</f>
        <v>1.75</v>
      </c>
      <c r="O6" s="0" t="str">
        <f aca="false">IF(M6&lt;N6,"BREACH","pass")</f>
        <v>pass</v>
      </c>
    </row>
    <row r="7" customFormat="false" ht="15" hidden="false" customHeight="false" outlineLevel="0" collapsed="false">
      <c r="A7" s="0" t="s">
        <v>59</v>
      </c>
      <c r="B7" s="16" t="n">
        <f aca="false">'3. Debt and cash'!K7</f>
        <v>129.271875</v>
      </c>
      <c r="C7" s="13" t="n">
        <f aca="false">'2. Trading'!F7</f>
        <v>30.1</v>
      </c>
      <c r="D7" s="19" t="n">
        <f aca="false">B7/C7</f>
        <v>4.29474667774086</v>
      </c>
      <c r="E7" s="19" t="n">
        <f aca="false">'1. Assumptions'!$B$16</f>
        <v>6</v>
      </c>
      <c r="F7" s="13" t="n">
        <f aca="false">B7/E7</f>
        <v>21.5453125</v>
      </c>
      <c r="G7" s="13" t="n">
        <f aca="false">C7-F7</f>
        <v>8.5546875</v>
      </c>
      <c r="H7" s="20" t="n">
        <f aca="false">G7/C7</f>
        <v>0.284208887043189</v>
      </c>
      <c r="I7" s="0" t="str">
        <f aca="false">IF(D7&gt;E7,"BREACH","pass")</f>
        <v>pass</v>
      </c>
      <c r="J7" s="19" t="n">
        <f aca="false">B7/'2. Trading'!B7</f>
        <v>4.99119208494209</v>
      </c>
      <c r="K7" s="0" t="str">
        <f aca="false">IF(J7&gt;E7,"BREACH","pass")</f>
        <v>pass</v>
      </c>
      <c r="L7" s="13" t="n">
        <f aca="false">'3. Debt and cash'!D7*4</f>
        <v>11</v>
      </c>
      <c r="M7" s="19" t="n">
        <f aca="false">C7/L7</f>
        <v>2.73636363636364</v>
      </c>
      <c r="N7" s="19" t="n">
        <f aca="false">'1. Assumptions'!$B$20</f>
        <v>1.75</v>
      </c>
      <c r="O7" s="0" t="str">
        <f aca="false">IF(M7&lt;N7,"BREACH","pass")</f>
        <v>pass</v>
      </c>
    </row>
    <row r="8" customFormat="false" ht="15" hidden="false" customHeight="false" outlineLevel="0" collapsed="false">
      <c r="A8" s="0" t="s">
        <v>60</v>
      </c>
      <c r="B8" s="16" t="n">
        <f aca="false">'3. Debt and cash'!K8</f>
        <v>128.505734375</v>
      </c>
      <c r="C8" s="13" t="n">
        <f aca="false">'2. Trading'!F8</f>
        <v>29.4</v>
      </c>
      <c r="D8" s="19" t="n">
        <f aca="false">B8/C8</f>
        <v>4.37094334608844</v>
      </c>
      <c r="E8" s="19" t="n">
        <f aca="false">'1. Assumptions'!$B$17</f>
        <v>5.75</v>
      </c>
      <c r="F8" s="13" t="n">
        <f aca="false">B8/E8</f>
        <v>22.3488233695652</v>
      </c>
      <c r="G8" s="13" t="n">
        <f aca="false">C8-F8</f>
        <v>7.05117663043478</v>
      </c>
      <c r="H8" s="20" t="n">
        <f aca="false">G8/C8</f>
        <v>0.239835939810707</v>
      </c>
      <c r="I8" s="0" t="str">
        <f aca="false">IF(D8&gt;E8,"BREACH","pass")</f>
        <v>pass</v>
      </c>
      <c r="J8" s="19" t="n">
        <f aca="false">B8/'2. Trading'!B8</f>
        <v>5.09943390376984</v>
      </c>
      <c r="K8" s="0" t="str">
        <f aca="false">IF(J8&gt;E8,"BREACH","pass")</f>
        <v>pass</v>
      </c>
      <c r="L8" s="13" t="n">
        <f aca="false">'3. Debt and cash'!D8*4</f>
        <v>10.9354375</v>
      </c>
      <c r="M8" s="19" t="n">
        <f aca="false">C8/L8</f>
        <v>2.68850697560111</v>
      </c>
      <c r="N8" s="19" t="n">
        <f aca="false">'1. Assumptions'!$B$20</f>
        <v>1.75</v>
      </c>
      <c r="O8" s="0" t="str">
        <f aca="false">IF(M8&lt;N8,"BREACH","pass")</f>
        <v>pass</v>
      </c>
    </row>
    <row r="9" customFormat="false" ht="15" hidden="false" customHeight="false" outlineLevel="0" collapsed="false">
      <c r="A9" s="0" t="s">
        <v>61</v>
      </c>
      <c r="B9" s="16" t="n">
        <f aca="false">'3. Debt and cash'!K9</f>
        <v>128.13959375</v>
      </c>
      <c r="C9" s="13" t="n">
        <f aca="false">'2. Trading'!F9</f>
        <v>27.8</v>
      </c>
      <c r="D9" s="19" t="n">
        <f aca="false">B9/C9</f>
        <v>4.60933790467626</v>
      </c>
      <c r="E9" s="19" t="n">
        <f aca="false">'1. Assumptions'!$B$17</f>
        <v>5.75</v>
      </c>
      <c r="F9" s="13" t="n">
        <f aca="false">B9/E9</f>
        <v>22.2851467391304</v>
      </c>
      <c r="G9" s="13" t="n">
        <f aca="false">C9-F9</f>
        <v>5.51485326086957</v>
      </c>
      <c r="H9" s="20" t="n">
        <f aca="false">G9/C9</f>
        <v>0.198376016578042</v>
      </c>
      <c r="I9" s="0" t="str">
        <f aca="false">IF(D9&gt;E9,"BREACH","pass")</f>
        <v>pass</v>
      </c>
      <c r="J9" s="19" t="n">
        <f aca="false">B9/'2. Trading'!B9</f>
        <v>5.4296438029661</v>
      </c>
      <c r="K9" s="0" t="str">
        <f aca="false">IF(J9&gt;E9,"BREACH","pass")</f>
        <v>pass</v>
      </c>
      <c r="L9" s="13" t="n">
        <f aca="false">'3. Debt and cash'!D9*4</f>
        <v>10.9354375</v>
      </c>
      <c r="M9" s="19" t="n">
        <f aca="false">C9/L9</f>
        <v>2.5421936708065</v>
      </c>
      <c r="N9" s="19" t="n">
        <f aca="false">'1. Assumptions'!$B$20</f>
        <v>1.75</v>
      </c>
      <c r="O9" s="0" t="str">
        <f aca="false">IF(M9&lt;N9,"BREACH","pass")</f>
        <v>pass</v>
      </c>
    </row>
    <row r="10" customFormat="false" ht="15" hidden="false" customHeight="false" outlineLevel="0" collapsed="false">
      <c r="A10" s="0" t="s">
        <v>62</v>
      </c>
      <c r="B10" s="16" t="n">
        <f aca="false">'3. Debt and cash'!K10</f>
        <v>128.358886230469</v>
      </c>
      <c r="C10" s="13" t="n">
        <f aca="false">'2. Trading'!F10</f>
        <v>25.7</v>
      </c>
      <c r="D10" s="19" t="n">
        <f aca="false">B10/C10</f>
        <v>4.99450919184703</v>
      </c>
      <c r="E10" s="19" t="n">
        <f aca="false">'1. Assumptions'!$B$17</f>
        <v>5.75</v>
      </c>
      <c r="F10" s="13" t="n">
        <f aca="false">B10/E10</f>
        <v>22.3232845618207</v>
      </c>
      <c r="G10" s="13" t="n">
        <f aca="false">C10-F10</f>
        <v>3.37671543817935</v>
      </c>
      <c r="H10" s="20" t="n">
        <f aca="false">G10/C10</f>
        <v>0.131389705765733</v>
      </c>
      <c r="I10" s="0" t="str">
        <f aca="false">IF(D10&gt;E10,"BREACH","pass")</f>
        <v>pass</v>
      </c>
      <c r="J10" s="19" t="n">
        <f aca="false">B10/'2. Trading'!B10</f>
        <v>5.97018075490552</v>
      </c>
      <c r="K10" s="0" t="str">
        <f aca="false">IF(J10&gt;E10,"BREACH","pass")</f>
        <v>BREACH</v>
      </c>
      <c r="L10" s="13" t="n">
        <f aca="false">'3. Debt and cash'!D10*4</f>
        <v>11.277169921875</v>
      </c>
      <c r="M10" s="19" t="n">
        <f aca="false">C10/L10</f>
        <v>2.27894056558891</v>
      </c>
      <c r="N10" s="19" t="n">
        <f aca="false">'1. Assumptions'!$B$20</f>
        <v>1.75</v>
      </c>
      <c r="O10" s="0" t="str">
        <f aca="false">IF(M10&lt;N10,"BREACH","pass")</f>
        <v>pass</v>
      </c>
    </row>
    <row r="11" customFormat="false" ht="15" hidden="false" customHeight="false" outlineLevel="0" collapsed="false">
      <c r="A11" s="0" t="s">
        <v>63</v>
      </c>
      <c r="B11" s="16" t="n">
        <f aca="false">'3. Debt and cash'!K11</f>
        <v>129.078178710938</v>
      </c>
      <c r="C11" s="13" t="n">
        <f aca="false">'2. Trading'!F11</f>
        <v>23.28</v>
      </c>
      <c r="D11" s="19" t="n">
        <f aca="false">B11/C11</f>
        <v>5.54459530545264</v>
      </c>
      <c r="E11" s="19" t="n">
        <f aca="false">'1. Assumptions'!$B$17</f>
        <v>5.75</v>
      </c>
      <c r="F11" s="13" t="n">
        <f aca="false">B11/E11</f>
        <v>22.44837890625</v>
      </c>
      <c r="G11" s="13" t="n">
        <f aca="false">C11-F11</f>
        <v>0.831621093749998</v>
      </c>
      <c r="H11" s="20" t="n">
        <f aca="false">G11/C11</f>
        <v>0.0357225555734535</v>
      </c>
      <c r="I11" s="0" t="str">
        <f aca="false">IF(D11&gt;E11,"BREACH","pass")</f>
        <v>pass</v>
      </c>
      <c r="J11" s="19" t="n">
        <f aca="false">B11/'2. Trading'!B11</f>
        <v>6.65351436654317</v>
      </c>
      <c r="K11" s="0" t="str">
        <f aca="false">IF(J11&gt;E11,"BREACH","pass")</f>
        <v>BREACH</v>
      </c>
      <c r="L11" s="13" t="n">
        <f aca="false">'3. Debt and cash'!D11*4</f>
        <v>11.277169921875</v>
      </c>
      <c r="M11" s="19" t="n">
        <f aca="false">C11/L11</f>
        <v>2.0643477185568</v>
      </c>
      <c r="N11" s="19" t="n">
        <f aca="false">'1. Assumptions'!$B$20</f>
        <v>1.75</v>
      </c>
      <c r="O11" s="0" t="str">
        <f aca="false">IF(M11&lt;N11,"BREACH","pass")</f>
        <v>pass</v>
      </c>
    </row>
    <row r="12" customFormat="false" ht="15" hidden="false" customHeight="false" outlineLevel="0" collapsed="false">
      <c r="A12" s="0" t="s">
        <v>64</v>
      </c>
      <c r="B12" s="16" t="n">
        <f aca="false">'3. Debt and cash'!K12</f>
        <v>129.741231080627</v>
      </c>
      <c r="C12" s="13" t="n">
        <f aca="false">'2. Trading'!F12</f>
        <v>20</v>
      </c>
      <c r="D12" s="19" t="n">
        <f aca="false">B12/C12</f>
        <v>6.48706155403137</v>
      </c>
      <c r="E12" s="19" t="n">
        <f aca="false">'1. Assumptions'!$B$18</f>
        <v>5.5</v>
      </c>
      <c r="F12" s="13" t="n">
        <f aca="false">B12/E12</f>
        <v>23.5893147419323</v>
      </c>
      <c r="G12" s="13" t="n">
        <f aca="false">C12-F12</f>
        <v>-3.58931474193226</v>
      </c>
      <c r="H12" s="20" t="n">
        <f aca="false">G12/C12</f>
        <v>-0.179465737096613</v>
      </c>
      <c r="I12" s="0" t="str">
        <f aca="false">IF(D12&gt;E12,"BREACH","pass")</f>
        <v>BREACH</v>
      </c>
      <c r="J12" s="19" t="n">
        <f aca="false">B12/'2. Trading'!B12</f>
        <v>6.48706155403137</v>
      </c>
      <c r="K12" s="0" t="str">
        <f aca="false">IF(J12&gt;E12,"BREACH","pass")</f>
        <v>BREACH</v>
      </c>
      <c r="L12" s="13" t="n">
        <f aca="false">'3. Debt and cash'!D12*4</f>
        <v>11.4522094787598</v>
      </c>
      <c r="M12" s="19" t="n">
        <f aca="false">C12/L12</f>
        <v>1.7463878945887</v>
      </c>
      <c r="N12" s="19" t="n">
        <f aca="false">'1. Assumptions'!$B$21</f>
        <v>2</v>
      </c>
      <c r="O12" s="0" t="str">
        <f aca="false">IF(M12&lt;N12,"BREACH","pass")</f>
        <v>BREACH</v>
      </c>
    </row>
    <row r="13" customFormat="false" ht="15" hidden="false" customHeight="false" outlineLevel="0" collapsed="false">
      <c r="A13" s="0" t="s">
        <v>65</v>
      </c>
      <c r="B13" s="16" t="n">
        <f aca="false">'3. Debt and cash'!K13</f>
        <v>130.104283450317</v>
      </c>
      <c r="C13" s="13" t="n">
        <f aca="false">'2. Trading'!F13</f>
        <v>21.2</v>
      </c>
      <c r="D13" s="19" t="n">
        <f aca="false">B13/C13</f>
        <v>6.13699450237346</v>
      </c>
      <c r="E13" s="19" t="n">
        <f aca="false">'1. Assumptions'!$B$18</f>
        <v>5.5</v>
      </c>
      <c r="F13" s="13" t="n">
        <f aca="false">B13/E13</f>
        <v>23.6553242636941</v>
      </c>
      <c r="G13" s="13" t="n">
        <f aca="false">C13-F13</f>
        <v>-2.45532426369407</v>
      </c>
      <c r="H13" s="20" t="n">
        <f aca="false">G13/C13</f>
        <v>-0.11581718224972</v>
      </c>
      <c r="I13" s="0" t="str">
        <f aca="false">IF(D13&gt;E13,"BREACH","pass")</f>
        <v>BREACH</v>
      </c>
      <c r="J13" s="19" t="n">
        <f aca="false">B13/'2. Trading'!B13</f>
        <v>6.13699450237346</v>
      </c>
      <c r="K13" s="0" t="str">
        <f aca="false">IF(J13&gt;E13,"BREACH","pass")</f>
        <v>BREACH</v>
      </c>
      <c r="L13" s="13" t="n">
        <f aca="false">'3. Debt and cash'!D13*4</f>
        <v>11.4522094787598</v>
      </c>
      <c r="M13" s="19" t="n">
        <f aca="false">C13/L13</f>
        <v>1.85117116826402</v>
      </c>
      <c r="N13" s="19" t="n">
        <f aca="false">'1. Assumptions'!$B$21</f>
        <v>2</v>
      </c>
      <c r="O13" s="0" t="str">
        <f aca="false">IF(M13&lt;N13,"BREACH","pass")</f>
        <v>BREACH</v>
      </c>
    </row>
    <row r="14" customFormat="false" ht="15" hidden="false" customHeight="false" outlineLevel="0" collapsed="false">
      <c r="A14" s="0" t="s">
        <v>66</v>
      </c>
      <c r="B14" s="16" t="n">
        <f aca="false">'3. Debt and cash'!K14</f>
        <v>130.067335820007</v>
      </c>
      <c r="C14" s="13" t="n">
        <f aca="false">'2. Trading'!F14</f>
        <v>22.8</v>
      </c>
      <c r="D14" s="19" t="n">
        <f aca="false">B14/C14</f>
        <v>5.70470771140383</v>
      </c>
      <c r="E14" s="19" t="n">
        <f aca="false">'1. Assumptions'!$B$18</f>
        <v>5.5</v>
      </c>
      <c r="F14" s="13" t="n">
        <f aca="false">B14/E14</f>
        <v>23.6486065127286</v>
      </c>
      <c r="G14" s="13" t="n">
        <f aca="false">C14-F14</f>
        <v>-0.848606512728601</v>
      </c>
      <c r="H14" s="20" t="n">
        <f aca="false">G14/C14</f>
        <v>-0.0372195838916053</v>
      </c>
      <c r="I14" s="0" t="str">
        <f aca="false">IF(D14&gt;E14,"BREACH","pass")</f>
        <v>BREACH</v>
      </c>
      <c r="J14" s="19" t="n">
        <f aca="false">B14/'2. Trading'!B14</f>
        <v>5.70470771140383</v>
      </c>
      <c r="K14" s="0" t="str">
        <f aca="false">IF(J14&gt;E14,"BREACH","pass")</f>
        <v>BREACH</v>
      </c>
      <c r="L14" s="13" t="n">
        <f aca="false">'3. Debt and cash'!D14*4</f>
        <v>11.4522094787598</v>
      </c>
      <c r="M14" s="19" t="n">
        <f aca="false">C14/L14</f>
        <v>1.99088219983112</v>
      </c>
      <c r="N14" s="19" t="n">
        <f aca="false">'1. Assumptions'!$B$21</f>
        <v>2</v>
      </c>
      <c r="O14" s="0" t="str">
        <f aca="false">IF(M14&lt;N14,"BREACH","pass")</f>
        <v>BREACH</v>
      </c>
    </row>
    <row r="15" customFormat="false" ht="15" hidden="false" customHeight="false" outlineLevel="0" collapsed="false">
      <c r="A15" s="0" t="s">
        <v>67</v>
      </c>
      <c r="B15" s="16" t="n">
        <f aca="false">'3. Debt and cash'!K15</f>
        <v>129.630388189697</v>
      </c>
      <c r="C15" s="13" t="n">
        <f aca="false">'2. Trading'!F15</f>
        <v>24.3</v>
      </c>
      <c r="D15" s="19" t="n">
        <f aca="false">B15/C15</f>
        <v>5.33458387611923</v>
      </c>
      <c r="E15" s="19" t="n">
        <f aca="false">'1. Assumptions'!$B$18</f>
        <v>5.5</v>
      </c>
      <c r="F15" s="13" t="n">
        <f aca="false">B15/E15</f>
        <v>23.5691614890359</v>
      </c>
      <c r="G15" s="13" t="n">
        <f aca="false">C15-F15</f>
        <v>0.730838510964134</v>
      </c>
      <c r="H15" s="20" t="n">
        <f aca="false">G15/C15</f>
        <v>0.0300756588874129</v>
      </c>
      <c r="I15" s="0" t="str">
        <f aca="false">IF(D15&gt;E15,"BREACH","pass")</f>
        <v>pass</v>
      </c>
      <c r="J15" s="19" t="n">
        <f aca="false">B15/'2. Trading'!B15</f>
        <v>5.33458387611923</v>
      </c>
      <c r="K15" s="0" t="str">
        <f aca="false">IF(J15&gt;E15,"BREACH","pass")</f>
        <v>pass</v>
      </c>
      <c r="L15" s="13" t="n">
        <f aca="false">'3. Debt and cash'!D15*4</f>
        <v>11.4522094787598</v>
      </c>
      <c r="M15" s="19" t="n">
        <f aca="false">C15/L15</f>
        <v>2.12186129192527</v>
      </c>
      <c r="N15" s="19" t="n">
        <f aca="false">'1. Assumptions'!$B$21</f>
        <v>2</v>
      </c>
      <c r="O15" s="0" t="str">
        <f aca="false">IF(M15&lt;N15,"BREACH","pass")</f>
        <v>pass</v>
      </c>
    </row>
    <row r="16" customFormat="false" ht="15" hidden="false" customHeight="false" outlineLevel="0" collapsed="false">
      <c r="A16" s="0" t="s">
        <v>68</v>
      </c>
      <c r="B16" s="16" t="n">
        <f aca="false">'3. Debt and cash'!K16</f>
        <v>128.891823093893</v>
      </c>
      <c r="C16" s="13" t="n">
        <f aca="false">'2. Trading'!F16</f>
        <v>25.7</v>
      </c>
      <c r="D16" s="19" t="n">
        <f aca="false">B16/C16</f>
        <v>5.01524603478183</v>
      </c>
      <c r="E16" s="19" t="n">
        <f aca="false">'1. Assumptions'!$B$19</f>
        <v>5.25</v>
      </c>
      <c r="F16" s="13" t="n">
        <f aca="false">B16/E16</f>
        <v>24.5508234464558</v>
      </c>
      <c r="G16" s="13" t="n">
        <f aca="false">C16-F16</f>
        <v>1.14917655354418</v>
      </c>
      <c r="H16" s="20" t="n">
        <f aca="false">G16/C16</f>
        <v>0.0447150409939371</v>
      </c>
      <c r="I16" s="0" t="str">
        <f aca="false">IF(D16&gt;E16,"BREACH","pass")</f>
        <v>pass</v>
      </c>
      <c r="J16" s="19" t="n">
        <f aca="false">B16/'2. Trading'!B16</f>
        <v>5.01524603478183</v>
      </c>
      <c r="K16" s="0" t="str">
        <f aca="false">IF(J16&gt;E16,"BREACH","pass")</f>
        <v>pass</v>
      </c>
      <c r="L16" s="13" t="n">
        <f aca="false">'3. Debt and cash'!D16*4</f>
        <v>11.4457396167831</v>
      </c>
      <c r="M16" s="19" t="n">
        <f aca="false">C16/L16</f>
        <v>2.24537695775601</v>
      </c>
      <c r="N16" s="19" t="n">
        <f aca="false">'1. Assumptions'!$B$21</f>
        <v>2</v>
      </c>
      <c r="O16" s="0" t="str">
        <f aca="false">IF(M16&lt;N16,"BREACH","pass")</f>
        <v>pass</v>
      </c>
    </row>
    <row r="17" customFormat="false" ht="15" hidden="false" customHeight="false" outlineLevel="0" collapsed="false">
      <c r="A17" s="0" t="s">
        <v>69</v>
      </c>
      <c r="B17" s="16" t="n">
        <f aca="false">'3. Debt and cash'!K17</f>
        <v>127.853257998089</v>
      </c>
      <c r="C17" s="13" t="n">
        <f aca="false">'2. Trading'!F17</f>
        <v>27</v>
      </c>
      <c r="D17" s="19" t="n">
        <f aca="false">B17/C17</f>
        <v>4.73530585178107</v>
      </c>
      <c r="E17" s="19" t="n">
        <f aca="false">'1. Assumptions'!$B$19</f>
        <v>5.25</v>
      </c>
      <c r="F17" s="13" t="n">
        <f aca="false">B17/E17</f>
        <v>24.3530015234455</v>
      </c>
      <c r="G17" s="13" t="n">
        <f aca="false">C17-F17</f>
        <v>2.64699847655451</v>
      </c>
      <c r="H17" s="20" t="n">
        <f aca="false">G17/C17</f>
        <v>0.0980369806131299</v>
      </c>
      <c r="I17" s="0" t="str">
        <f aca="false">IF(D17&gt;E17,"BREACH","pass")</f>
        <v>pass</v>
      </c>
      <c r="J17" s="19" t="n">
        <f aca="false">B17/'2. Trading'!B17</f>
        <v>4.73530585178107</v>
      </c>
      <c r="K17" s="0" t="str">
        <f aca="false">IF(J17&gt;E17,"BREACH","pass")</f>
        <v>pass</v>
      </c>
      <c r="L17" s="13" t="n">
        <f aca="false">'3. Debt and cash'!D17*4</f>
        <v>11.4457396167831</v>
      </c>
      <c r="M17" s="19" t="n">
        <f aca="false">C17/L17</f>
        <v>2.35895633694211</v>
      </c>
      <c r="N17" s="19" t="n">
        <f aca="false">'1. Assumptions'!$B$21</f>
        <v>2</v>
      </c>
      <c r="O17" s="0" t="str">
        <f aca="false">IF(M17&lt;N17,"BREACH","pass")</f>
        <v>pass</v>
      </c>
    </row>
    <row r="18" customFormat="false" ht="15" hidden="false" customHeight="false" outlineLevel="0" collapsed="false">
      <c r="A18" s="0" t="s">
        <v>70</v>
      </c>
      <c r="B18" s="16" t="n">
        <f aca="false">'3. Debt and cash'!K18</f>
        <v>126.430533052161</v>
      </c>
      <c r="C18" s="13" t="n">
        <f aca="false">'2. Trading'!F18</f>
        <v>28.2</v>
      </c>
      <c r="D18" s="19" t="n">
        <f aca="false">B18/C18</f>
        <v>4.48335223589224</v>
      </c>
      <c r="E18" s="19" t="n">
        <f aca="false">'1. Assumptions'!$B$19</f>
        <v>5.25</v>
      </c>
      <c r="F18" s="13" t="n">
        <f aca="false">B18/E18</f>
        <v>24.0820062956498</v>
      </c>
      <c r="G18" s="13" t="n">
        <f aca="false">C18-F18</f>
        <v>4.11799370435024</v>
      </c>
      <c r="H18" s="20" t="n">
        <f aca="false">G18/C18</f>
        <v>0.146028145544335</v>
      </c>
      <c r="I18" s="0" t="str">
        <f aca="false">IF(D18&gt;E18,"BREACH","pass")</f>
        <v>pass</v>
      </c>
      <c r="J18" s="19" t="n">
        <f aca="false">B18/'2. Trading'!B18</f>
        <v>4.48335223589224</v>
      </c>
      <c r="K18" s="0" t="str">
        <f aca="false">IF(J18&gt;E18,"BREACH","pass")</f>
        <v>pass</v>
      </c>
      <c r="L18" s="13" t="n">
        <f aca="false">'3. Debt and cash'!D18*4</f>
        <v>11.1091002162895</v>
      </c>
      <c r="M18" s="19" t="n">
        <f aca="false">C18/L18</f>
        <v>2.53845941173973</v>
      </c>
      <c r="N18" s="19" t="n">
        <f aca="false">'1. Assumptions'!$B$21</f>
        <v>2</v>
      </c>
      <c r="O18" s="0" t="str">
        <f aca="false">IF(M18&lt;N18,"BREACH","pass")</f>
        <v>pass</v>
      </c>
    </row>
    <row r="19" customFormat="false" ht="15" hidden="false" customHeight="false" outlineLevel="0" collapsed="false">
      <c r="A19" s="0" t="s">
        <v>71</v>
      </c>
      <c r="B19" s="16" t="n">
        <f aca="false">'3. Debt and cash'!K19</f>
        <v>124.72364825611</v>
      </c>
      <c r="C19" s="13" t="n">
        <f aca="false">'2. Trading'!F19</f>
        <v>29.3</v>
      </c>
      <c r="D19" s="19" t="n">
        <f aca="false">B19/C19</f>
        <v>4.25677980396281</v>
      </c>
      <c r="E19" s="19" t="n">
        <f aca="false">'1. Assumptions'!$B$19</f>
        <v>5.25</v>
      </c>
      <c r="F19" s="13" t="n">
        <f aca="false">B19/E19</f>
        <v>23.7568853821162</v>
      </c>
      <c r="G19" s="13" t="n">
        <f aca="false">C19-F19</f>
        <v>5.54311461788378</v>
      </c>
      <c r="H19" s="20" t="n">
        <f aca="false">G19/C19</f>
        <v>0.18918479924518</v>
      </c>
      <c r="I19" s="0" t="str">
        <f aca="false">IF(D19&gt;E19,"BREACH","pass")</f>
        <v>pass</v>
      </c>
      <c r="J19" s="19" t="n">
        <f aca="false">B19/'2. Trading'!B19</f>
        <v>4.25677980396281</v>
      </c>
      <c r="K19" s="0" t="str">
        <f aca="false">IF(J19&gt;E19,"BREACH","pass")</f>
        <v>pass</v>
      </c>
      <c r="L19" s="13" t="n">
        <f aca="false">'3. Debt and cash'!D19*4</f>
        <v>10.7724608157959</v>
      </c>
      <c r="M19" s="19" t="n">
        <f aca="false">C19/L19</f>
        <v>2.71989849868256</v>
      </c>
      <c r="N19" s="19" t="n">
        <f aca="false">'1. Assumptions'!$B$21</f>
        <v>2</v>
      </c>
      <c r="O19" s="0" t="str">
        <f aca="false">IF(M19&lt;N19,"BREACH","pass")</f>
        <v>pass</v>
      </c>
    </row>
    <row r="20" customFormat="false" ht="15" hidden="false" customHeight="false" outlineLevel="0" collapsed="false">
      <c r="A20" s="0" t="s">
        <v>72</v>
      </c>
      <c r="B20" s="16" t="n">
        <f aca="false">'3. Debt and cash'!K20</f>
        <v>122.792102900352</v>
      </c>
      <c r="C20" s="13" t="n">
        <f aca="false">'2. Trading'!F20</f>
        <v>30.2</v>
      </c>
      <c r="D20" s="19" t="n">
        <f aca="false">B20/C20</f>
        <v>4.0659636721971</v>
      </c>
      <c r="E20" s="19" t="n">
        <f aca="false">'1. Assumptions'!$B$19</f>
        <v>5.25</v>
      </c>
      <c r="F20" s="13" t="n">
        <f aca="false">B20/E20</f>
        <v>23.3889719810195</v>
      </c>
      <c r="G20" s="13" t="n">
        <f aca="false">C20-F20</f>
        <v>6.81102801898048</v>
      </c>
      <c r="H20" s="20" t="n">
        <f aca="false">G20/C20</f>
        <v>0.225530729105314</v>
      </c>
      <c r="I20" s="0" t="str">
        <f aca="false">IF(D20&gt;E20,"BREACH","pass")</f>
        <v>pass</v>
      </c>
      <c r="J20" s="19" t="n">
        <f aca="false">B20/'2. Trading'!B20</f>
        <v>4.0659636721971</v>
      </c>
      <c r="K20" s="0" t="str">
        <f aca="false">IF(J20&gt;E20,"BREACH","pass")</f>
        <v>pass</v>
      </c>
      <c r="L20" s="13" t="n">
        <f aca="false">'3. Debt and cash'!D20*4</f>
        <v>10.6738185769691</v>
      </c>
      <c r="M20" s="19" t="n">
        <f aca="false">C20/L20</f>
        <v>2.82935294264439</v>
      </c>
      <c r="N20" s="19" t="n">
        <f aca="false">'1. Assumptions'!$B$21</f>
        <v>2</v>
      </c>
      <c r="O20" s="0" t="str">
        <f aca="false">IF(M20&lt;N20,"BREACH","pass")</f>
        <v>pass</v>
      </c>
    </row>
    <row r="21" customFormat="false" ht="15" hidden="false" customHeight="false" outlineLevel="0" collapsed="false">
      <c r="A21" s="0" t="s">
        <v>73</v>
      </c>
      <c r="B21" s="16" t="n">
        <f aca="false">'3. Debt and cash'!K21</f>
        <v>120.660557544595</v>
      </c>
      <c r="C21" s="13" t="n">
        <f aca="false">'2. Trading'!F21</f>
        <v>31</v>
      </c>
      <c r="D21" s="19" t="n">
        <f aca="false">B21/C21</f>
        <v>3.89227604982564</v>
      </c>
      <c r="E21" s="19" t="n">
        <f aca="false">'1. Assumptions'!$B$19</f>
        <v>5.25</v>
      </c>
      <c r="F21" s="13" t="n">
        <f aca="false">B21/E21</f>
        <v>22.9829633418276</v>
      </c>
      <c r="G21" s="13" t="n">
        <f aca="false">C21-F21</f>
        <v>8.01703665817243</v>
      </c>
      <c r="H21" s="20" t="n">
        <f aca="false">G21/C21</f>
        <v>0.258614085747498</v>
      </c>
      <c r="I21" s="0" t="str">
        <f aca="false">IF(D21&gt;E21,"BREACH","pass")</f>
        <v>pass</v>
      </c>
      <c r="J21" s="19" t="n">
        <f aca="false">B21/'2. Trading'!B21</f>
        <v>3.89227604982564</v>
      </c>
      <c r="K21" s="0" t="str">
        <f aca="false">IF(J21&gt;E21,"BREACH","pass")</f>
        <v>pass</v>
      </c>
      <c r="L21" s="13" t="n">
        <f aca="false">'3. Debt and cash'!D21*4</f>
        <v>10.6738185769691</v>
      </c>
      <c r="M21" s="19" t="n">
        <f aca="false">C21/L21</f>
        <v>2.90430268946941</v>
      </c>
      <c r="N21" s="19" t="n">
        <f aca="false">'1. Assumptions'!$B$21</f>
        <v>2</v>
      </c>
      <c r="O21" s="0" t="str">
        <f aca="false">IF(M21&lt;N21,"BREACH","pass")</f>
        <v>pass</v>
      </c>
    </row>
    <row r="22" customFormat="false" ht="15" hidden="false" customHeight="false" outlineLevel="0" collapsed="false">
      <c r="A22" s="0" t="s">
        <v>74</v>
      </c>
      <c r="B22" s="16" t="n">
        <f aca="false">'3. Debt and cash'!K22</f>
        <v>118.262233773572</v>
      </c>
      <c r="C22" s="13" t="n">
        <f aca="false">'2. Trading'!F22</f>
        <v>31.8</v>
      </c>
      <c r="D22" s="19" t="n">
        <f aca="false">B22/C22</f>
        <v>3.71893816898025</v>
      </c>
      <c r="E22" s="19" t="n">
        <f aca="false">'1. Assumptions'!$B$19</f>
        <v>5.25</v>
      </c>
      <c r="F22" s="13" t="n">
        <f aca="false">B22/E22</f>
        <v>22.5261397663946</v>
      </c>
      <c r="G22" s="13" t="n">
        <f aca="false">C22-F22</f>
        <v>9.27386023360536</v>
      </c>
      <c r="H22" s="20" t="n">
        <f aca="false">G22/C22</f>
        <v>0.291630824956143</v>
      </c>
      <c r="I22" s="0" t="str">
        <f aca="false">IF(D22&gt;E22,"BREACH","pass")</f>
        <v>pass</v>
      </c>
      <c r="J22" s="19" t="n">
        <f aca="false">B22/'2. Trading'!B22</f>
        <v>3.71893816898025</v>
      </c>
      <c r="K22" s="0" t="str">
        <f aca="false">IF(J22&gt;E22,"BREACH","pass")</f>
        <v>pass</v>
      </c>
      <c r="L22" s="13" t="n">
        <f aca="false">'3. Debt and cash'!D22*4</f>
        <v>10.0067049159086</v>
      </c>
      <c r="M22" s="19" t="n">
        <f aca="false">C22/L22</f>
        <v>3.17786926538072</v>
      </c>
      <c r="N22" s="19" t="n">
        <f aca="false">'1. Assumptions'!$B$21</f>
        <v>2</v>
      </c>
      <c r="O22" s="0" t="str">
        <f aca="false">IF(M22&lt;N22,"BREACH","pass")</f>
        <v>pass</v>
      </c>
    </row>
    <row r="23" customFormat="false" ht="15" hidden="false" customHeight="false" outlineLevel="0" collapsed="false">
      <c r="A23" s="0" t="s">
        <v>75</v>
      </c>
      <c r="B23" s="16" t="n">
        <f aca="false">'3. Debt and cash'!K23</f>
        <v>115.663910002549</v>
      </c>
      <c r="C23" s="13" t="n">
        <f aca="false">'2. Trading'!F23</f>
        <v>32.5</v>
      </c>
      <c r="D23" s="19" t="n">
        <f aca="false">B23/C23</f>
        <v>3.55888953853997</v>
      </c>
      <c r="E23" s="19" t="n">
        <f aca="false">'1. Assumptions'!$B$19</f>
        <v>5.25</v>
      </c>
      <c r="F23" s="13" t="n">
        <f aca="false">B23/E23</f>
        <v>22.0312209528665</v>
      </c>
      <c r="G23" s="13" t="n">
        <f aca="false">C23-F23</f>
        <v>10.4687790471335</v>
      </c>
      <c r="H23" s="20" t="n">
        <f aca="false">G23/C23</f>
        <v>0.322116278373339</v>
      </c>
      <c r="I23" s="0" t="str">
        <f aca="false">IF(D23&gt;E23,"BREACH","pass")</f>
        <v>pass</v>
      </c>
      <c r="J23" s="19" t="n">
        <f aca="false">B23/'2. Trading'!B23</f>
        <v>3.55888953853997</v>
      </c>
      <c r="K23" s="0" t="str">
        <f aca="false">IF(J23&gt;E23,"BREACH","pass")</f>
        <v>pass</v>
      </c>
      <c r="L23" s="13" t="n">
        <f aca="false">'3. Debt and cash'!D23*4</f>
        <v>10.0067049159086</v>
      </c>
      <c r="M23" s="19" t="n">
        <f aca="false">C23/L23</f>
        <v>3.24782236241741</v>
      </c>
      <c r="N23" s="19" t="n">
        <f aca="false">'1. Assumptions'!$B$21</f>
        <v>2</v>
      </c>
      <c r="O23" s="0" t="str">
        <f aca="false">IF(M23&lt;N23,"BREACH","pass")</f>
        <v>pass</v>
      </c>
    </row>
    <row r="24" customFormat="false" ht="15" hidden="false" customHeight="false" outlineLevel="0" collapsed="false">
      <c r="A24" s="0" t="s">
        <v>76</v>
      </c>
      <c r="B24" s="16" t="n">
        <f aca="false">'3. Debt and cash'!K24</f>
        <v>112.965586231526</v>
      </c>
      <c r="C24" s="13" t="n">
        <f aca="false">'2. Trading'!F24</f>
        <v>33.1</v>
      </c>
      <c r="D24" s="19" t="n">
        <f aca="false">B24/C24</f>
        <v>3.41285759007632</v>
      </c>
      <c r="E24" s="19" t="n">
        <f aca="false">'1. Assumptions'!$B$19</f>
        <v>5.25</v>
      </c>
      <c r="F24" s="13" t="n">
        <f aca="false">B24/E24</f>
        <v>21.5172545202907</v>
      </c>
      <c r="G24" s="13" t="n">
        <f aca="false">C24-F24</f>
        <v>11.5827454797093</v>
      </c>
      <c r="H24" s="20" t="n">
        <f aca="false">G24/C24</f>
        <v>0.349931887604511</v>
      </c>
      <c r="I24" s="0" t="str">
        <f aca="false">IF(D24&gt;E24,"BREACH","pass")</f>
        <v>pass</v>
      </c>
      <c r="J24" s="19" t="n">
        <f aca="false">B24/'2. Trading'!B24</f>
        <v>3.41285759007632</v>
      </c>
      <c r="K24" s="0" t="str">
        <f aca="false">IF(J24&gt;E24,"BREACH","pass")</f>
        <v>pass</v>
      </c>
      <c r="L24" s="13" t="n">
        <f aca="false">'3. Debt and cash'!D24*4</f>
        <v>10.0067049159086</v>
      </c>
      <c r="M24" s="19" t="n">
        <f aca="false">C24/L24</f>
        <v>3.30778215987742</v>
      </c>
      <c r="N24" s="19" t="n">
        <f aca="false">'1. Assumptions'!$B$21</f>
        <v>2</v>
      </c>
      <c r="O24" s="0" t="str">
        <f aca="false">IF(M24&lt;N24,"BREACH","pass")</f>
        <v>pass</v>
      </c>
    </row>
    <row r="25" customFormat="false" ht="15" hidden="false" customHeight="false" outlineLevel="0" collapsed="false">
      <c r="A25" s="0" t="s">
        <v>77</v>
      </c>
      <c r="B25" s="16" t="n">
        <f aca="false">'3. Debt and cash'!K25</f>
        <v>110.167262460503</v>
      </c>
      <c r="C25" s="13" t="n">
        <f aca="false">'2. Trading'!F25</f>
        <v>33.7</v>
      </c>
      <c r="D25" s="19" t="n">
        <f aca="false">B25/C25</f>
        <v>3.26905823324936</v>
      </c>
      <c r="E25" s="19" t="n">
        <f aca="false">'1. Assumptions'!$B$19</f>
        <v>5.25</v>
      </c>
      <c r="F25" s="13" t="n">
        <f aca="false">B25/E25</f>
        <v>20.9842404686673</v>
      </c>
      <c r="G25" s="13" t="n">
        <f aca="false">C25-F25</f>
        <v>12.7157595313327</v>
      </c>
      <c r="H25" s="20" t="n">
        <f aca="false">G25/C25</f>
        <v>0.377322241285837</v>
      </c>
      <c r="I25" s="0" t="str">
        <f aca="false">IF(D25&gt;E25,"BREACH","pass")</f>
        <v>pass</v>
      </c>
      <c r="J25" s="19" t="n">
        <f aca="false">B25/'2. Trading'!B25</f>
        <v>3.26905823324936</v>
      </c>
      <c r="K25" s="0" t="str">
        <f aca="false">IF(J25&gt;E25,"BREACH","pass")</f>
        <v>pass</v>
      </c>
      <c r="L25" s="13" t="n">
        <f aca="false">'3. Debt and cash'!D25*4</f>
        <v>10.0067049159086</v>
      </c>
      <c r="M25" s="19" t="n">
        <f aca="false">C25/L25</f>
        <v>3.36774195733743</v>
      </c>
      <c r="N25" s="19" t="n">
        <f aca="false">'1. Assumptions'!$B$21</f>
        <v>2</v>
      </c>
      <c r="O25" s="0" t="str">
        <f aca="false">IF(M25&lt;N25,"BREACH","pass")</f>
        <v>pass</v>
      </c>
    </row>
    <row r="26" customFormat="false" ht="15" hidden="false" customHeight="false" outlineLevel="0" collapsed="false">
      <c r="A26" s="0" t="s">
        <v>78</v>
      </c>
      <c r="B26" s="16" t="n">
        <f aca="false">'3. Debt and cash'!K26</f>
        <v>107.26893868948</v>
      </c>
      <c r="C26" s="13" t="n">
        <f aca="false">'2. Trading'!F26</f>
        <v>34.3</v>
      </c>
      <c r="D26" s="19" t="n">
        <f aca="false">B26/C26</f>
        <v>3.12737430581576</v>
      </c>
      <c r="E26" s="19" t="n">
        <f aca="false">'1. Assumptions'!$B$19</f>
        <v>5.25</v>
      </c>
      <c r="F26" s="13" t="n">
        <f aca="false">B26/E26</f>
        <v>20.4321787979963</v>
      </c>
      <c r="G26" s="13" t="n">
        <f aca="false">C26-F26</f>
        <v>13.8678212020037</v>
      </c>
      <c r="H26" s="20" t="n">
        <f aca="false">G26/C26</f>
        <v>0.404309656035094</v>
      </c>
      <c r="I26" s="0" t="str">
        <f aca="false">IF(D26&gt;E26,"BREACH","pass")</f>
        <v>pass</v>
      </c>
      <c r="J26" s="19" t="n">
        <f aca="false">B26/'2. Trading'!B26</f>
        <v>3.12737430581576</v>
      </c>
      <c r="K26" s="0" t="str">
        <f aca="false">IF(J26&gt;E26,"BREACH","pass")</f>
        <v>pass</v>
      </c>
      <c r="L26" s="13" t="n">
        <f aca="false">'3. Debt and cash'!D26*4</f>
        <v>10.0067049159086</v>
      </c>
      <c r="M26" s="19" t="n">
        <f aca="false">C26/L26</f>
        <v>3.42770175479745</v>
      </c>
      <c r="N26" s="19" t="n">
        <f aca="false">'1. Assumptions'!$B$21</f>
        <v>2</v>
      </c>
      <c r="O26" s="0" t="str">
        <f aca="false">IF(M26&lt;N26,"BREACH","pass")</f>
        <v>pass</v>
      </c>
    </row>
    <row r="27" customFormat="false" ht="15" hidden="false" customHeight="false" outlineLevel="0" collapsed="false">
      <c r="A27" s="0" t="s">
        <v>79</v>
      </c>
      <c r="B27" s="16" t="n">
        <f aca="false">'3. Debt and cash'!K27</f>
        <v>104.270614918458</v>
      </c>
      <c r="C27" s="13" t="n">
        <f aca="false">'2. Trading'!F27</f>
        <v>34.8</v>
      </c>
      <c r="D27" s="19" t="n">
        <f aca="false">B27/C27</f>
        <v>2.99628203788671</v>
      </c>
      <c r="E27" s="19" t="n">
        <f aca="false">'1. Assumptions'!$B$19</f>
        <v>5.25</v>
      </c>
      <c r="F27" s="13" t="n">
        <f aca="false">B27/E27</f>
        <v>19.8610695082776</v>
      </c>
      <c r="G27" s="13" t="n">
        <f aca="false">C27-F27</f>
        <v>14.9389304917224</v>
      </c>
      <c r="H27" s="20" t="n">
        <f aca="false">G27/C27</f>
        <v>0.429279611831103</v>
      </c>
      <c r="I27" s="0" t="str">
        <f aca="false">IF(D27&gt;E27,"BREACH","pass")</f>
        <v>pass</v>
      </c>
      <c r="J27" s="19" t="n">
        <f aca="false">B27/'2. Trading'!B27</f>
        <v>2.99628203788671</v>
      </c>
      <c r="K27" s="0" t="str">
        <f aca="false">IF(J27&gt;E27,"BREACH","pass")</f>
        <v>pass</v>
      </c>
      <c r="L27" s="13" t="n">
        <f aca="false">'3. Debt and cash'!D27*4</f>
        <v>10.0067049159086</v>
      </c>
      <c r="M27" s="19" t="n">
        <f aca="false">C27/L27</f>
        <v>3.47766825268079</v>
      </c>
      <c r="N27" s="19" t="n">
        <f aca="false">'1. Assumptions'!$B$21</f>
        <v>2</v>
      </c>
      <c r="O27" s="0" t="str">
        <f aca="false">IF(M27&lt;N27,"BREACH","pass")</f>
        <v>pass</v>
      </c>
    </row>
    <row r="28" customFormat="false" ht="15" hidden="false" customHeight="false" outlineLevel="0" collapsed="false">
      <c r="A28" s="0" t="s">
        <v>80</v>
      </c>
      <c r="B28" s="16" t="n">
        <f aca="false">'3. Debt and cash'!K28</f>
        <v>101.172291147435</v>
      </c>
      <c r="C28" s="13" t="n">
        <f aca="false">'2. Trading'!F28</f>
        <v>35.3</v>
      </c>
      <c r="D28" s="19" t="n">
        <f aca="false">B28/C28</f>
        <v>2.86607057074886</v>
      </c>
      <c r="E28" s="19" t="n">
        <f aca="false">'1. Assumptions'!$B$19</f>
        <v>5.25</v>
      </c>
      <c r="F28" s="13" t="n">
        <f aca="false">B28/E28</f>
        <v>19.2709125995114</v>
      </c>
      <c r="G28" s="13" t="n">
        <f aca="false">C28-F28</f>
        <v>16.0290874004886</v>
      </c>
      <c r="H28" s="20" t="n">
        <f aca="false">G28/C28</f>
        <v>0.454081796047836</v>
      </c>
      <c r="I28" s="0" t="str">
        <f aca="false">IF(D28&gt;E28,"BREACH","pass")</f>
        <v>pass</v>
      </c>
      <c r="J28" s="19" t="n">
        <f aca="false">B28/'2. Trading'!B28</f>
        <v>2.86607057074886</v>
      </c>
      <c r="K28" s="0" t="str">
        <f aca="false">IF(J28&gt;E28,"BREACH","pass")</f>
        <v>pass</v>
      </c>
      <c r="L28" s="13" t="n">
        <f aca="false">'3. Debt and cash'!D28*4</f>
        <v>10.0067049159086</v>
      </c>
      <c r="M28" s="19" t="n">
        <f aca="false">C28/L28</f>
        <v>3.52763475056414</v>
      </c>
      <c r="N28" s="19" t="n">
        <f aca="false">'1. Assumptions'!$B$21</f>
        <v>2</v>
      </c>
      <c r="O28" s="0" t="str">
        <f aca="false">IF(M28&lt;N28,"BREACH","pass")</f>
        <v>pass</v>
      </c>
    </row>
    <row r="29" customFormat="false" ht="15" hidden="false" customHeight="false" outlineLevel="0" collapsed="false">
      <c r="A29" s="0" t="s">
        <v>81</v>
      </c>
      <c r="B29" s="16" t="n">
        <f aca="false">'3. Debt and cash'!K29</f>
        <v>97.9739673764119</v>
      </c>
      <c r="C29" s="13" t="n">
        <f aca="false">'2. Trading'!F29</f>
        <v>35.8</v>
      </c>
      <c r="D29" s="19" t="n">
        <f aca="false">B29/C29</f>
        <v>2.73670299934111</v>
      </c>
      <c r="E29" s="19" t="n">
        <f aca="false">'1. Assumptions'!$B$19</f>
        <v>5.25</v>
      </c>
      <c r="F29" s="13" t="n">
        <f aca="false">B29/E29</f>
        <v>18.6617080716975</v>
      </c>
      <c r="G29" s="13" t="n">
        <f aca="false">C29-F29</f>
        <v>17.1382919283025</v>
      </c>
      <c r="H29" s="20" t="n">
        <f aca="false">G29/C29</f>
        <v>0.47872323822074</v>
      </c>
      <c r="I29" s="0" t="str">
        <f aca="false">IF(D29&gt;E29,"BREACH","pass")</f>
        <v>pass</v>
      </c>
      <c r="J29" s="19" t="n">
        <f aca="false">B29/'2. Trading'!B29</f>
        <v>2.73670299934111</v>
      </c>
      <c r="K29" s="0" t="str">
        <f aca="false">IF(J29&gt;E29,"BREACH","pass")</f>
        <v>pass</v>
      </c>
      <c r="L29" s="13" t="n">
        <f aca="false">'3. Debt and cash'!D29*4</f>
        <v>10.0067049159086</v>
      </c>
      <c r="M29" s="19" t="n">
        <f aca="false">C29/L29</f>
        <v>3.57760124844748</v>
      </c>
      <c r="N29" s="19" t="n">
        <f aca="false">'1. Assumptions'!$B$21</f>
        <v>2</v>
      </c>
      <c r="O29" s="0" t="str">
        <f aca="false">IF(M29&lt;N29,"BREACH","pass")</f>
        <v>pass</v>
      </c>
    </row>
    <row r="30" customFormat="false" ht="15" hidden="false" customHeight="false" outlineLevel="0" collapsed="false">
      <c r="A30" s="0" t="s">
        <v>82</v>
      </c>
      <c r="B30" s="16" t="n">
        <f aca="false">'3. Debt and cash'!K30</f>
        <v>94.675643605389</v>
      </c>
      <c r="C30" s="13" t="n">
        <f aca="false">'2. Trading'!F30</f>
        <v>36.2</v>
      </c>
      <c r="D30" s="19" t="n">
        <f aca="false">B30/C30</f>
        <v>2.6153492708671</v>
      </c>
      <c r="E30" s="19" t="n">
        <f aca="false">'1. Assumptions'!$B$19</f>
        <v>5.25</v>
      </c>
      <c r="F30" s="13" t="n">
        <f aca="false">B30/E30</f>
        <v>18.033455924836</v>
      </c>
      <c r="G30" s="13" t="n">
        <f aca="false">C30-F30</f>
        <v>18.166544075164</v>
      </c>
      <c r="H30" s="20" t="n">
        <f aca="false">G30/C30</f>
        <v>0.501838234120553</v>
      </c>
      <c r="I30" s="0" t="str">
        <f aca="false">IF(D30&gt;E30,"BREACH","pass")</f>
        <v>pass</v>
      </c>
      <c r="J30" s="19" t="n">
        <f aca="false">B30/'2. Trading'!B30</f>
        <v>2.6153492708671</v>
      </c>
      <c r="K30" s="0" t="str">
        <f aca="false">IF(J30&gt;E30,"BREACH","pass")</f>
        <v>pass</v>
      </c>
      <c r="L30" s="13" t="n">
        <f aca="false">'3. Debt and cash'!D30*4</f>
        <v>10.0067049159086</v>
      </c>
      <c r="M30" s="19" t="n">
        <f aca="false">C30/L30</f>
        <v>3.61757444675416</v>
      </c>
      <c r="N30" s="19" t="n">
        <f aca="false">'1. Assumptions'!$B$21</f>
        <v>2</v>
      </c>
      <c r="O30" s="0" t="str">
        <f aca="false">IF(M30&lt;N30,"BREACH","pass")</f>
        <v>pass</v>
      </c>
    </row>
    <row r="31" customFormat="false" ht="15" hidden="false" customHeight="false" outlineLevel="0" collapsed="false">
      <c r="A31" s="0" t="s">
        <v>83</v>
      </c>
      <c r="B31" s="16" t="n">
        <f aca="false">'3. Debt and cash'!K31</f>
        <v>91.2773198343661</v>
      </c>
      <c r="C31" s="13" t="n">
        <f aca="false">'2. Trading'!F31</f>
        <v>36.6</v>
      </c>
      <c r="D31" s="19" t="n">
        <f aca="false">B31/C31</f>
        <v>2.49391584246902</v>
      </c>
      <c r="E31" s="19" t="n">
        <f aca="false">'1. Assumptions'!$B$19</f>
        <v>5.25</v>
      </c>
      <c r="F31" s="13" t="n">
        <f aca="false">B31/E31</f>
        <v>17.3861561589269</v>
      </c>
      <c r="G31" s="13" t="n">
        <f aca="false">C31-F31</f>
        <v>19.2138438410731</v>
      </c>
      <c r="H31" s="20" t="n">
        <f aca="false">G31/C31</f>
        <v>0.524968410958282</v>
      </c>
      <c r="I31" s="0" t="str">
        <f aca="false">IF(D31&gt;E31,"BREACH","pass")</f>
        <v>pass</v>
      </c>
      <c r="J31" s="19" t="n">
        <f aca="false">B31/'2. Trading'!B31</f>
        <v>2.49391584246902</v>
      </c>
      <c r="K31" s="0" t="str">
        <f aca="false">IF(J31&gt;E31,"BREACH","pass")</f>
        <v>pass</v>
      </c>
      <c r="L31" s="13" t="n">
        <f aca="false">'3. Debt and cash'!D31*4</f>
        <v>10.0067049159086</v>
      </c>
      <c r="M31" s="19" t="n">
        <f aca="false">C31/L31</f>
        <v>3.65754764506083</v>
      </c>
      <c r="N31" s="19" t="n">
        <f aca="false">'1. Assumptions'!$B$21</f>
        <v>2</v>
      </c>
      <c r="O31" s="0" t="str">
        <f aca="false">IF(M31&lt;N31,"BREACH","pass")</f>
        <v>pass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70"/>
    <col collapsed="false" customWidth="true" hidden="false" outlineLevel="0" max="2" min="2" style="0" width="14"/>
    <col collapsed="false" customWidth="true" hidden="false" outlineLevel="0" max="3" min="3" style="0" width="62"/>
    <col collapsed="false" customWidth="true" hidden="false" outlineLevel="0" max="5" min="4" style="0" width="12"/>
    <col collapsed="false" customWidth="true" hidden="false" outlineLevel="0" max="6" min="6" style="0" width="2"/>
    <col collapsed="false" customWidth="true" hidden="false" outlineLevel="0" max="9" min="7" style="0" width="12"/>
  </cols>
  <sheetData>
    <row r="1" customFormat="false" ht="17.35" hidden="false" customHeight="false" outlineLevel="0" collapsed="false">
      <c r="A1" s="21" t="s">
        <v>106</v>
      </c>
    </row>
    <row r="2" customFormat="false" ht="15" hidden="false" customHeight="false" outlineLevel="0" collapsed="false">
      <c r="A2" s="22" t="s">
        <v>107</v>
      </c>
    </row>
    <row r="4" customFormat="false" ht="15" hidden="false" customHeight="false" outlineLevel="0" collapsed="false">
      <c r="A4" s="5" t="s">
        <v>108</v>
      </c>
      <c r="B4" s="23" t="n">
        <v>45</v>
      </c>
      <c r="C4" s="22" t="s">
        <v>109</v>
      </c>
    </row>
    <row r="5" customFormat="false" ht="15" hidden="false" customHeight="false" outlineLevel="0" collapsed="false">
      <c r="A5" s="5" t="s">
        <v>110</v>
      </c>
      <c r="B5" s="24" t="n">
        <v>15</v>
      </c>
      <c r="C5" s="22" t="s">
        <v>111</v>
      </c>
    </row>
    <row r="7" customFormat="false" ht="15" hidden="false" customHeight="false" outlineLevel="0" collapsed="false">
      <c r="A7" s="25" t="s">
        <v>112</v>
      </c>
    </row>
    <row r="8" customFormat="false" ht="15" hidden="false" customHeight="false" outlineLevel="0" collapsed="false">
      <c r="A8" s="5" t="s">
        <v>113</v>
      </c>
      <c r="B8" s="26" t="n">
        <f aca="false">SUMPRODUCT(--('3. Debt and cash'!C5:C23&lt;&gt;'3. Debt and cash'!C4:C22))</f>
        <v>6</v>
      </c>
      <c r="C8" s="22" t="s">
        <v>114</v>
      </c>
    </row>
    <row r="9" customFormat="false" ht="15" hidden="false" customHeight="false" outlineLevel="0" collapsed="false">
      <c r="A9" s="5" t="s">
        <v>115</v>
      </c>
      <c r="B9" s="26" t="n">
        <f aca="false">SUMPRODUCT(('3. Debt and cash'!C4:C22-'3. Debt and cash'!C5:C23)*('3. Debt and cash'!C4:C22&gt;'3. Debt and cash'!C5:C23))*10000</f>
        <v>125</v>
      </c>
      <c r="C9" s="22" t="s">
        <v>116</v>
      </c>
    </row>
    <row r="10" customFormat="false" ht="15" hidden="false" customHeight="false" outlineLevel="0" collapsed="false">
      <c r="A10" s="5" t="s">
        <v>117</v>
      </c>
      <c r="B10" s="27" t="n">
        <f aca="false">SUMPRODUCT(('3. Debt and cash'!C4:C22-'3. Debt and cash'!C5:C23)*('3. Debt and cash'!C4:C22&gt;'3. Debt and cash'!C5:C23)*'3. Debt and cash'!B5:B23)*B4/365</f>
        <v>0.207634002170278</v>
      </c>
      <c r="C10" s="22" t="s">
        <v>118</v>
      </c>
    </row>
    <row r="11" customFormat="false" ht="15" hidden="false" customHeight="false" outlineLevel="0" collapsed="false">
      <c r="A11" s="5" t="s">
        <v>119</v>
      </c>
      <c r="B11" s="27" t="n">
        <f aca="false">4*0.0025*'1. Assumptions'!B6*B4/365</f>
        <v>0.169520547945206</v>
      </c>
    </row>
    <row r="12" customFormat="false" ht="15" hidden="false" customHeight="false" outlineLevel="0" collapsed="false">
      <c r="A12" s="25" t="s">
        <v>120</v>
      </c>
    </row>
    <row r="13" customFormat="false" ht="15" hidden="false" customHeight="false" outlineLevel="0" collapsed="false">
      <c r="A13" s="5" t="s">
        <v>121</v>
      </c>
      <c r="B13" s="28" t="n">
        <f aca="false">SUM('3. Debt and cash'!H4:H11)</f>
        <v>2.76812377929687</v>
      </c>
      <c r="C13" s="22" t="s">
        <v>122</v>
      </c>
    </row>
    <row r="14" customFormat="false" ht="15" hidden="false" customHeight="false" outlineLevel="0" collapsed="false">
      <c r="A14" s="5" t="s">
        <v>123</v>
      </c>
      <c r="B14" s="28" t="n">
        <f aca="false">'3. Debt and cash'!F19-'1. Assumptions'!B8</f>
        <v>4.93211194133854</v>
      </c>
      <c r="C14" s="22" t="s">
        <v>124</v>
      </c>
    </row>
    <row r="15" customFormat="false" ht="15" hidden="false" customHeight="false" outlineLevel="0" collapsed="false">
      <c r="A15" s="5" t="s">
        <v>125</v>
      </c>
      <c r="B15" s="29" t="n">
        <f aca="false">'3. Debt and cash'!G19</f>
        <v>0.25</v>
      </c>
    </row>
    <row r="16" customFormat="false" ht="15" hidden="false" customHeight="false" outlineLevel="0" collapsed="false">
      <c r="A16" s="5" t="s">
        <v>126</v>
      </c>
      <c r="B16" s="28" t="n">
        <f aca="false">'3. Debt and cash'!H19</f>
        <v>1.23302798533464</v>
      </c>
      <c r="C16" s="22" t="s">
        <v>127</v>
      </c>
    </row>
    <row r="17" customFormat="false" ht="15" hidden="false" customHeight="false" outlineLevel="0" collapsed="false">
      <c r="A17" s="25" t="s">
        <v>128</v>
      </c>
    </row>
    <row r="18" customFormat="false" ht="15" hidden="false" customHeight="false" outlineLevel="0" collapsed="false">
      <c r="A18" s="5" t="s">
        <v>129</v>
      </c>
      <c r="B18" s="28" t="n">
        <f aca="false">'4. Covenants'!B4/'1. Assumptions'!B19-'4. Covenants'!B4/'1. Assumptions'!B16</f>
        <v>3.13895089285714</v>
      </c>
      <c r="C18" s="22" t="s">
        <v>130</v>
      </c>
    </row>
    <row r="19" customFormat="false" ht="15" hidden="false" customHeight="false" outlineLevel="0" collapsed="false">
      <c r="A19" s="25" t="s">
        <v>131</v>
      </c>
    </row>
    <row r="20" customFormat="false" ht="15" hidden="false" customHeight="false" outlineLevel="0" collapsed="false">
      <c r="A20" s="5" t="s">
        <v>132</v>
      </c>
      <c r="B20" s="30" t="n">
        <f aca="false">('1. Assumptions'!B6-'1. Assumptions'!B8)/'2. Trading'!F4</f>
        <v>4.53767123287671</v>
      </c>
    </row>
    <row r="21" customFormat="false" ht="15" hidden="false" customHeight="false" outlineLevel="0" collapsed="false">
      <c r="A21" s="5" t="s">
        <v>133</v>
      </c>
      <c r="B21" s="31" t="n">
        <f aca="false">MAX(I39:I66)</f>
        <v>5</v>
      </c>
      <c r="C21" s="22" t="s">
        <v>134</v>
      </c>
    </row>
    <row r="22" customFormat="false" ht="15" hidden="false" customHeight="false" outlineLevel="0" collapsed="false">
      <c r="A22" s="5" t="s">
        <v>135</v>
      </c>
      <c r="B22" s="31" t="n">
        <f aca="false">MIN(H39:H66)</f>
        <v>15</v>
      </c>
      <c r="C22" s="22" t="s">
        <v>136</v>
      </c>
    </row>
    <row r="23" customFormat="false" ht="15" hidden="false" customHeight="false" outlineLevel="0" collapsed="false">
      <c r="A23" s="25" t="s">
        <v>137</v>
      </c>
    </row>
    <row r="24" customFormat="false" ht="15" hidden="false" customHeight="false" outlineLevel="0" collapsed="false">
      <c r="A24" s="5" t="s">
        <v>138</v>
      </c>
      <c r="B24" s="28" t="n">
        <f aca="false">'4. Covenants'!B12-'4. Covenants'!E12*'4. Covenants'!C12</f>
        <v>19.7412310806274</v>
      </c>
    </row>
    <row r="25" customFormat="false" ht="15" hidden="false" customHeight="false" outlineLevel="0" collapsed="false">
      <c r="A25" s="5" t="s">
        <v>139</v>
      </c>
      <c r="B25" s="30" t="n">
        <f aca="false">('4. Covenants'!B13-B24)/'4. Covenants'!C13</f>
        <v>5.20580435706085</v>
      </c>
      <c r="C25" s="22" t="s">
        <v>140</v>
      </c>
    </row>
    <row r="26" customFormat="false" ht="15" hidden="false" customHeight="false" outlineLevel="0" collapsed="false">
      <c r="A26" s="5" t="s">
        <v>141</v>
      </c>
      <c r="B26" s="30" t="n">
        <f aca="false">('4. Covenants'!B14-B24)/'4. Covenants'!C14</f>
        <v>4.83886424295526</v>
      </c>
      <c r="C26" s="22" t="s">
        <v>142</v>
      </c>
    </row>
    <row r="27" customFormat="false" ht="15" hidden="false" customHeight="false" outlineLevel="0" collapsed="false">
      <c r="A27" s="5" t="s">
        <v>143</v>
      </c>
      <c r="B27" s="26" t="n">
        <f aca="false">1+(B25&gt;'4. Covenants'!E13)+(B26&gt;'4. Covenants'!E14)</f>
        <v>1</v>
      </c>
      <c r="C27" s="22" t="s">
        <v>144</v>
      </c>
    </row>
    <row r="28" customFormat="false" ht="15" hidden="false" customHeight="false" outlineLevel="0" collapsed="false">
      <c r="A28" s="25" t="s">
        <v>145</v>
      </c>
    </row>
    <row r="29" customFormat="false" ht="15" hidden="false" customHeight="false" outlineLevel="0" collapsed="false">
      <c r="A29" s="5" t="s">
        <v>146</v>
      </c>
      <c r="B29" s="31" t="n">
        <f aca="false">MIN(G39:G66)</f>
        <v>19</v>
      </c>
      <c r="C29" s="22" t="s">
        <v>147</v>
      </c>
    </row>
    <row r="30" customFormat="false" ht="15" hidden="false" customHeight="false" outlineLevel="0" collapsed="false">
      <c r="A30" s="5" t="s">
        <v>148</v>
      </c>
      <c r="B30" s="28" t="n">
        <f aca="false">MAX(0,'3. Debt and cash'!J23-B5)</f>
        <v>2.75882220956507</v>
      </c>
    </row>
    <row r="31" customFormat="false" ht="15" hidden="false" customHeight="false" outlineLevel="0" collapsed="false">
      <c r="A31" s="5" t="s">
        <v>149</v>
      </c>
      <c r="B31" s="27" t="n">
        <f aca="false">B30/'4. Covenants'!C23</f>
        <v>0.0848868372173867</v>
      </c>
    </row>
    <row r="32" customFormat="false" ht="15" hidden="false" customHeight="false" outlineLevel="0" collapsed="false">
      <c r="A32" s="5" t="s">
        <v>150</v>
      </c>
      <c r="B32" s="28" t="n">
        <f aca="false">MAX(0,'3. Debt and cash'!J31-B5)</f>
        <v>27.145412377748</v>
      </c>
    </row>
    <row r="33" customFormat="false" ht="15" hidden="false" customHeight="false" outlineLevel="0" collapsed="false">
      <c r="A33" s="5" t="s">
        <v>151</v>
      </c>
      <c r="B33" s="27" t="n">
        <f aca="false">B32/'4. Covenants'!C31</f>
        <v>0.74167793381825</v>
      </c>
    </row>
    <row r="37" customFormat="false" ht="15" hidden="false" customHeight="false" outlineLevel="0" collapsed="false">
      <c r="A37" s="25" t="s">
        <v>152</v>
      </c>
    </row>
    <row r="38" customFormat="false" ht="15" hidden="false" customHeight="false" outlineLevel="0" collapsed="false">
      <c r="A38" s="32" t="s">
        <v>49</v>
      </c>
      <c r="B38" s="32" t="s">
        <v>96</v>
      </c>
      <c r="C38" s="32" t="s">
        <v>153</v>
      </c>
      <c r="D38" s="32" t="s">
        <v>93</v>
      </c>
      <c r="E38" s="32" t="s">
        <v>154</v>
      </c>
      <c r="F38" s="32" t="s">
        <v>155</v>
      </c>
      <c r="G38" s="32" t="s">
        <v>156</v>
      </c>
      <c r="H38" s="32" t="s">
        <v>157</v>
      </c>
    </row>
    <row r="39" customFormat="false" ht="15" hidden="false" customHeight="false" outlineLevel="0" collapsed="false">
      <c r="A39" s="31" t="n">
        <v>1</v>
      </c>
      <c r="B39" s="30" t="n">
        <f aca="false">'4. Covenants'!D4</f>
        <v>4.51492936643836</v>
      </c>
      <c r="C39" s="26" t="n">
        <f aca="false">IF(B39&lt;=$B$20,1,0)</f>
        <v>1</v>
      </c>
      <c r="D39" s="28" t="n">
        <f aca="false">'3. Debt and cash'!J4</f>
        <v>5.6640625</v>
      </c>
      <c r="E39" s="28" t="n">
        <f aca="false">MAX(0,D39-$B$5)</f>
        <v>0</v>
      </c>
      <c r="G39" s="26" t="n">
        <f aca="false">IF(E39&gt;0,A39,99)</f>
        <v>99</v>
      </c>
      <c r="H39" s="26" t="n">
        <f aca="false">IF(AND(A39&gt;8,C39=1),A39,99)</f>
        <v>99</v>
      </c>
      <c r="I39" s="26" t="n">
        <f aca="false">IF(AND(A39&lt;9,C39=1),A39,0)</f>
        <v>1</v>
      </c>
    </row>
    <row r="40" customFormat="false" ht="15" hidden="false" customHeight="false" outlineLevel="0" collapsed="false">
      <c r="A40" s="31" t="n">
        <v>2</v>
      </c>
      <c r="B40" s="30" t="n">
        <f aca="false">'4. Covenants'!D5</f>
        <v>4.42810388513514</v>
      </c>
      <c r="C40" s="26" t="n">
        <f aca="false">IF(B40&lt;=$B$20,1,0)</f>
        <v>1</v>
      </c>
      <c r="D40" s="28" t="n">
        <f aca="false">'3. Debt and cash'!J5</f>
        <v>6.428125</v>
      </c>
      <c r="E40" s="28" t="n">
        <f aca="false">MAX(0,D40-$B$5)</f>
        <v>0</v>
      </c>
      <c r="G40" s="26" t="n">
        <f aca="false">IF(E40&gt;0,A40,99)</f>
        <v>99</v>
      </c>
      <c r="H40" s="26" t="n">
        <f aca="false">IF(AND(A40&gt;8,C40=1),A40,99)</f>
        <v>99</v>
      </c>
      <c r="I40" s="26" t="n">
        <f aca="false">IF(AND(A40&lt;9,C40=1),A40,0)</f>
        <v>2</v>
      </c>
    </row>
    <row r="41" customFormat="false" ht="15" hidden="false" customHeight="false" outlineLevel="0" collapsed="false">
      <c r="A41" s="31" t="n">
        <v>3</v>
      </c>
      <c r="B41" s="30" t="n">
        <f aca="false">'4. Covenants'!D6</f>
        <v>4.3552466555184</v>
      </c>
      <c r="C41" s="26" t="n">
        <f aca="false">IF(B41&lt;=$B$20,1,0)</f>
        <v>1</v>
      </c>
      <c r="D41" s="28" t="n">
        <f aca="false">'3. Debt and cash'!J6</f>
        <v>7.278125</v>
      </c>
      <c r="E41" s="28" t="n">
        <f aca="false">MAX(0,D41-$B$5)</f>
        <v>0</v>
      </c>
      <c r="G41" s="26" t="n">
        <f aca="false">IF(E41&gt;0,A41,99)</f>
        <v>99</v>
      </c>
      <c r="H41" s="26" t="n">
        <f aca="false">IF(AND(A41&gt;8,C41=1),A41,99)</f>
        <v>99</v>
      </c>
      <c r="I41" s="26" t="n">
        <f aca="false">IF(AND(A41&lt;9,C41=1),A41,0)</f>
        <v>3</v>
      </c>
    </row>
    <row r="42" customFormat="false" ht="15" hidden="false" customHeight="false" outlineLevel="0" collapsed="false">
      <c r="A42" s="31" t="n">
        <v>4</v>
      </c>
      <c r="B42" s="30" t="n">
        <f aca="false">'4. Covenants'!D7</f>
        <v>4.29474667774086</v>
      </c>
      <c r="C42" s="26" t="n">
        <f aca="false">IF(B42&lt;=$B$20,1,0)</f>
        <v>1</v>
      </c>
      <c r="D42" s="28" t="n">
        <f aca="false">'3. Debt and cash'!J7</f>
        <v>7.42109375</v>
      </c>
      <c r="E42" s="28" t="n">
        <f aca="false">MAX(0,D42-$B$5)</f>
        <v>0</v>
      </c>
      <c r="G42" s="26" t="n">
        <f aca="false">IF(E42&gt;0,A42,99)</f>
        <v>99</v>
      </c>
      <c r="H42" s="26" t="n">
        <f aca="false">IF(AND(A42&gt;8,C42=1),A42,99)</f>
        <v>99</v>
      </c>
      <c r="I42" s="26" t="n">
        <f aca="false">IF(AND(A42&lt;9,C42=1),A42,0)</f>
        <v>4</v>
      </c>
    </row>
    <row r="43" customFormat="false" ht="15" hidden="false" customHeight="false" outlineLevel="0" collapsed="false">
      <c r="A43" s="31" t="n">
        <v>5</v>
      </c>
      <c r="B43" s="30" t="n">
        <f aca="false">'4. Covenants'!D8</f>
        <v>4.37094334608844</v>
      </c>
      <c r="C43" s="26" t="n">
        <f aca="false">IF(B43&lt;=$B$20,1,0)</f>
        <v>1</v>
      </c>
      <c r="D43" s="28" t="n">
        <f aca="false">'3. Debt and cash'!J8</f>
        <v>8.187234375</v>
      </c>
      <c r="E43" s="28" t="n">
        <f aca="false">MAX(0,D43-$B$5)</f>
        <v>0</v>
      </c>
      <c r="G43" s="26" t="n">
        <f aca="false">IF(E43&gt;0,A43,99)</f>
        <v>99</v>
      </c>
      <c r="H43" s="26" t="n">
        <f aca="false">IF(AND(A43&gt;8,C43=1),A43,99)</f>
        <v>99</v>
      </c>
      <c r="I43" s="26" t="n">
        <f aca="false">IF(AND(A43&lt;9,C43=1),A43,0)</f>
        <v>5</v>
      </c>
    </row>
    <row r="44" customFormat="false" ht="15" hidden="false" customHeight="false" outlineLevel="0" collapsed="false">
      <c r="A44" s="31" t="n">
        <v>6</v>
      </c>
      <c r="B44" s="30" t="n">
        <f aca="false">'4. Covenants'!D9</f>
        <v>4.60933790467626</v>
      </c>
      <c r="C44" s="26" t="n">
        <f aca="false">IF(B44&lt;=$B$20,1,0)</f>
        <v>0</v>
      </c>
      <c r="D44" s="28" t="n">
        <f aca="false">'3. Debt and cash'!J9</f>
        <v>8.553375</v>
      </c>
      <c r="E44" s="28" t="n">
        <f aca="false">MAX(0,D44-$B$5)</f>
        <v>0</v>
      </c>
      <c r="G44" s="26" t="n">
        <f aca="false">IF(E44&gt;0,A44,99)</f>
        <v>99</v>
      </c>
      <c r="H44" s="26" t="n">
        <f aca="false">IF(AND(A44&gt;8,C44=1),A44,99)</f>
        <v>99</v>
      </c>
      <c r="I44" s="26" t="n">
        <f aca="false">IF(AND(A44&lt;9,C44=1),A44,0)</f>
        <v>0</v>
      </c>
    </row>
    <row r="45" customFormat="false" ht="15" hidden="false" customHeight="false" outlineLevel="0" collapsed="false">
      <c r="A45" s="31" t="n">
        <v>7</v>
      </c>
      <c r="B45" s="30" t="n">
        <f aca="false">'4. Covenants'!D10</f>
        <v>4.99450919184703</v>
      </c>
      <c r="C45" s="26" t="n">
        <f aca="false">IF(B45&lt;=$B$20,1,0)</f>
        <v>0</v>
      </c>
      <c r="D45" s="28" t="n">
        <f aca="false">'3. Debt and cash'!J10</f>
        <v>8.33408251953125</v>
      </c>
      <c r="E45" s="28" t="n">
        <f aca="false">MAX(0,D45-$B$5)</f>
        <v>0</v>
      </c>
      <c r="G45" s="26" t="n">
        <f aca="false">IF(E45&gt;0,A45,99)</f>
        <v>99</v>
      </c>
      <c r="H45" s="26" t="n">
        <f aca="false">IF(AND(A45&gt;8,C45=1),A45,99)</f>
        <v>99</v>
      </c>
      <c r="I45" s="26" t="n">
        <f aca="false">IF(AND(A45&lt;9,C45=1),A45,0)</f>
        <v>0</v>
      </c>
    </row>
    <row r="46" customFormat="false" ht="15" hidden="false" customHeight="false" outlineLevel="0" collapsed="false">
      <c r="A46" s="31" t="n">
        <v>8</v>
      </c>
      <c r="B46" s="30" t="n">
        <f aca="false">'4. Covenants'!D11</f>
        <v>5.54459530545264</v>
      </c>
      <c r="C46" s="26" t="n">
        <f aca="false">IF(B46&lt;=$B$20,1,0)</f>
        <v>0</v>
      </c>
      <c r="D46" s="28" t="n">
        <f aca="false">'3. Debt and cash'!J11</f>
        <v>5.65369750976563</v>
      </c>
      <c r="E46" s="28" t="n">
        <f aca="false">MAX(0,D46-$B$5)</f>
        <v>0</v>
      </c>
      <c r="G46" s="26" t="n">
        <f aca="false">IF(E46&gt;0,A46,99)</f>
        <v>99</v>
      </c>
      <c r="H46" s="26" t="n">
        <f aca="false">IF(AND(A46&gt;8,C46=1),A46,99)</f>
        <v>99</v>
      </c>
      <c r="I46" s="26" t="n">
        <f aca="false">IF(AND(A46&lt;9,C46=1),A46,0)</f>
        <v>0</v>
      </c>
    </row>
    <row r="47" customFormat="false" ht="15" hidden="false" customHeight="false" outlineLevel="0" collapsed="false">
      <c r="A47" s="31" t="n">
        <v>9</v>
      </c>
      <c r="B47" s="30" t="n">
        <f aca="false">'4. Covenants'!D12</f>
        <v>6.48706155403137</v>
      </c>
      <c r="C47" s="26" t="n">
        <f aca="false">IF(B47&lt;=$B$20,1,0)</f>
        <v>0</v>
      </c>
      <c r="D47" s="28" t="n">
        <f aca="false">'3. Debt and cash'!J12</f>
        <v>4.99064514007568</v>
      </c>
      <c r="E47" s="28" t="n">
        <f aca="false">MAX(0,D47-$B$5)</f>
        <v>0</v>
      </c>
      <c r="G47" s="26" t="n">
        <f aca="false">IF(E47&gt;0,A47,99)</f>
        <v>99</v>
      </c>
      <c r="H47" s="26" t="n">
        <f aca="false">IF(AND(A47&gt;8,C47=1),A47,99)</f>
        <v>99</v>
      </c>
      <c r="I47" s="26" t="n">
        <f aca="false">IF(AND(A47&lt;9,C47=1),A47,0)</f>
        <v>0</v>
      </c>
    </row>
    <row r="48" customFormat="false" ht="15" hidden="false" customHeight="false" outlineLevel="0" collapsed="false">
      <c r="A48" s="31" t="n">
        <v>10</v>
      </c>
      <c r="B48" s="30" t="n">
        <f aca="false">'4. Covenants'!D13</f>
        <v>6.13699450237346</v>
      </c>
      <c r="C48" s="26" t="n">
        <f aca="false">IF(B48&lt;=$B$20,1,0)</f>
        <v>0</v>
      </c>
      <c r="D48" s="28" t="n">
        <f aca="false">'3. Debt and cash'!J13</f>
        <v>4.62759277038574</v>
      </c>
      <c r="E48" s="28" t="n">
        <f aca="false">MAX(0,D48-$B$5)</f>
        <v>0</v>
      </c>
      <c r="G48" s="26" t="n">
        <f aca="false">IF(E48&gt;0,A48,99)</f>
        <v>99</v>
      </c>
      <c r="H48" s="26" t="n">
        <f aca="false">IF(AND(A48&gt;8,C48=1),A48,99)</f>
        <v>99</v>
      </c>
      <c r="I48" s="26" t="n">
        <f aca="false">IF(AND(A48&lt;9,C48=1),A48,0)</f>
        <v>0</v>
      </c>
    </row>
    <row r="49" customFormat="false" ht="15" hidden="false" customHeight="false" outlineLevel="0" collapsed="false">
      <c r="A49" s="31" t="n">
        <v>11</v>
      </c>
      <c r="B49" s="30" t="n">
        <f aca="false">'4. Covenants'!D14</f>
        <v>5.70470771140383</v>
      </c>
      <c r="C49" s="26" t="n">
        <f aca="false">IF(B49&lt;=$B$20,1,0)</f>
        <v>0</v>
      </c>
      <c r="D49" s="28" t="n">
        <f aca="false">'3. Debt and cash'!J14</f>
        <v>4.6645404006958</v>
      </c>
      <c r="E49" s="28" t="n">
        <f aca="false">MAX(0,D49-$B$5)</f>
        <v>0</v>
      </c>
      <c r="G49" s="26" t="n">
        <f aca="false">IF(E49&gt;0,A49,99)</f>
        <v>99</v>
      </c>
      <c r="H49" s="26" t="n">
        <f aca="false">IF(AND(A49&gt;8,C49=1),A49,99)</f>
        <v>99</v>
      </c>
      <c r="I49" s="26" t="n">
        <f aca="false">IF(AND(A49&lt;9,C49=1),A49,0)</f>
        <v>0</v>
      </c>
    </row>
    <row r="50" customFormat="false" ht="15" hidden="false" customHeight="false" outlineLevel="0" collapsed="false">
      <c r="A50" s="31" t="n">
        <v>12</v>
      </c>
      <c r="B50" s="30" t="n">
        <f aca="false">'4. Covenants'!D15</f>
        <v>5.33458387611923</v>
      </c>
      <c r="C50" s="26" t="n">
        <f aca="false">IF(B50&lt;=$B$20,1,0)</f>
        <v>0</v>
      </c>
      <c r="D50" s="28" t="n">
        <f aca="false">'3. Debt and cash'!J15</f>
        <v>5.02537200775147</v>
      </c>
      <c r="E50" s="28" t="n">
        <f aca="false">MAX(0,D50-$B$5)</f>
        <v>0</v>
      </c>
      <c r="G50" s="26" t="n">
        <f aca="false">IF(E50&gt;0,A50,99)</f>
        <v>99</v>
      </c>
      <c r="H50" s="26" t="n">
        <f aca="false">IF(AND(A50&gt;8,C50=1),A50,99)</f>
        <v>99</v>
      </c>
      <c r="I50" s="26" t="n">
        <f aca="false">IF(AND(A50&lt;9,C50=1),A50,0)</f>
        <v>0</v>
      </c>
    </row>
    <row r="51" customFormat="false" ht="15" hidden="false" customHeight="false" outlineLevel="0" collapsed="false">
      <c r="A51" s="31" t="n">
        <v>13</v>
      </c>
      <c r="B51" s="30" t="n">
        <f aca="false">'4. Covenants'!D16</f>
        <v>5.01524603478183</v>
      </c>
      <c r="C51" s="26" t="n">
        <f aca="false">IF(B51&lt;=$B$20,1,0)</f>
        <v>0</v>
      </c>
      <c r="D51" s="28" t="n">
        <f aca="false">'3. Debt and cash'!J16</f>
        <v>5.76393710355568</v>
      </c>
      <c r="E51" s="28" t="n">
        <f aca="false">MAX(0,D51-$B$5)</f>
        <v>0</v>
      </c>
      <c r="G51" s="26" t="n">
        <f aca="false">IF(E51&gt;0,A51,99)</f>
        <v>99</v>
      </c>
      <c r="H51" s="26" t="n">
        <f aca="false">IF(AND(A51&gt;8,C51=1),A51,99)</f>
        <v>99</v>
      </c>
      <c r="I51" s="26" t="n">
        <f aca="false">IF(AND(A51&lt;9,C51=1),A51,0)</f>
        <v>0</v>
      </c>
    </row>
    <row r="52" customFormat="false" ht="15" hidden="false" customHeight="false" outlineLevel="0" collapsed="false">
      <c r="A52" s="31" t="n">
        <v>14</v>
      </c>
      <c r="B52" s="30" t="n">
        <f aca="false">'4. Covenants'!D17</f>
        <v>4.73530585178107</v>
      </c>
      <c r="C52" s="26" t="n">
        <f aca="false">IF(B52&lt;=$B$20,1,0)</f>
        <v>0</v>
      </c>
      <c r="D52" s="28" t="n">
        <f aca="false">'3. Debt and cash'!J17</f>
        <v>6.80250219935989</v>
      </c>
      <c r="E52" s="28" t="n">
        <f aca="false">MAX(0,D52-$B$5)</f>
        <v>0</v>
      </c>
      <c r="G52" s="26" t="n">
        <f aca="false">IF(E52&gt;0,A52,99)</f>
        <v>99</v>
      </c>
      <c r="H52" s="26" t="n">
        <f aca="false">IF(AND(A52&gt;8,C52=1),A52,99)</f>
        <v>99</v>
      </c>
      <c r="I52" s="26" t="n">
        <f aca="false">IF(AND(A52&lt;9,C52=1),A52,0)</f>
        <v>0</v>
      </c>
    </row>
    <row r="53" customFormat="false" ht="15" hidden="false" customHeight="false" outlineLevel="0" collapsed="false">
      <c r="A53" s="31" t="n">
        <v>15</v>
      </c>
      <c r="B53" s="30" t="n">
        <f aca="false">'4. Covenants'!D18</f>
        <v>4.48335223589224</v>
      </c>
      <c r="C53" s="26" t="n">
        <f aca="false">IF(B53&lt;=$B$20,1,0)</f>
        <v>1</v>
      </c>
      <c r="D53" s="28" t="n">
        <f aca="false">'3. Debt and cash'!J18</f>
        <v>8.22522714528752</v>
      </c>
      <c r="E53" s="28" t="n">
        <f aca="false">MAX(0,D53-$B$5)</f>
        <v>0</v>
      </c>
      <c r="G53" s="26" t="n">
        <f aca="false">IF(E53&gt;0,A53,99)</f>
        <v>99</v>
      </c>
      <c r="H53" s="26" t="n">
        <f aca="false">IF(AND(A53&gt;8,C53=1),A53,99)</f>
        <v>15</v>
      </c>
      <c r="I53" s="26" t="n">
        <f aca="false">IF(AND(A53&lt;9,C53=1),A53,0)</f>
        <v>0</v>
      </c>
    </row>
    <row r="54" customFormat="false" ht="15" hidden="false" customHeight="false" outlineLevel="0" collapsed="false">
      <c r="A54" s="31" t="n">
        <v>16</v>
      </c>
      <c r="B54" s="30" t="n">
        <f aca="false">'4. Covenants'!D19</f>
        <v>4.25677980396281</v>
      </c>
      <c r="C54" s="26" t="n">
        <f aca="false">IF(B54&lt;=$B$20,1,0)</f>
        <v>1</v>
      </c>
      <c r="D54" s="28" t="n">
        <f aca="false">'3. Debt and cash'!J19</f>
        <v>8.69908395600391</v>
      </c>
      <c r="E54" s="28" t="n">
        <f aca="false">MAX(0,D54-$B$5)</f>
        <v>0</v>
      </c>
      <c r="G54" s="26" t="n">
        <f aca="false">IF(E54&gt;0,A54,99)</f>
        <v>99</v>
      </c>
      <c r="H54" s="26" t="n">
        <f aca="false">IF(AND(A54&gt;8,C54=1),A54,99)</f>
        <v>16</v>
      </c>
      <c r="I54" s="26" t="n">
        <f aca="false">IF(AND(A54&lt;9,C54=1),A54,0)</f>
        <v>0</v>
      </c>
    </row>
    <row r="55" customFormat="false" ht="15" hidden="false" customHeight="false" outlineLevel="0" collapsed="false">
      <c r="A55" s="31" t="n">
        <v>17</v>
      </c>
      <c r="B55" s="30" t="n">
        <f aca="false">'4. Covenants'!D20</f>
        <v>4.0659636721971</v>
      </c>
      <c r="C55" s="26" t="n">
        <f aca="false">IF(B55&lt;=$B$20,1,0)</f>
        <v>1</v>
      </c>
      <c r="D55" s="28" t="n">
        <f aca="false">'3. Debt and cash'!J20</f>
        <v>10.6306293117616</v>
      </c>
      <c r="E55" s="28" t="n">
        <f aca="false">MAX(0,D55-$B$5)</f>
        <v>0</v>
      </c>
      <c r="G55" s="26" t="n">
        <f aca="false">IF(E55&gt;0,A55,99)</f>
        <v>99</v>
      </c>
      <c r="H55" s="26" t="n">
        <f aca="false">IF(AND(A55&gt;8,C55=1),A55,99)</f>
        <v>17</v>
      </c>
      <c r="I55" s="26" t="n">
        <f aca="false">IF(AND(A55&lt;9,C55=1),A55,0)</f>
        <v>0</v>
      </c>
    </row>
    <row r="56" customFormat="false" ht="15" hidden="false" customHeight="false" outlineLevel="0" collapsed="false">
      <c r="A56" s="31" t="n">
        <v>18</v>
      </c>
      <c r="B56" s="30" t="n">
        <f aca="false">'4. Covenants'!D21</f>
        <v>3.89227604982564</v>
      </c>
      <c r="C56" s="26" t="n">
        <f aca="false">IF(B56&lt;=$B$20,1,0)</f>
        <v>1</v>
      </c>
      <c r="D56" s="28" t="n">
        <f aca="false">'3. Debt and cash'!J21</f>
        <v>12.7621746675193</v>
      </c>
      <c r="E56" s="28" t="n">
        <f aca="false">MAX(0,D56-$B$5)</f>
        <v>0</v>
      </c>
      <c r="G56" s="26" t="n">
        <f aca="false">IF(E56&gt;0,A56,99)</f>
        <v>99</v>
      </c>
      <c r="H56" s="26" t="n">
        <f aca="false">IF(AND(A56&gt;8,C56=1),A56,99)</f>
        <v>18</v>
      </c>
      <c r="I56" s="26" t="n">
        <f aca="false">IF(AND(A56&lt;9,C56=1),A56,0)</f>
        <v>0</v>
      </c>
    </row>
    <row r="57" customFormat="false" ht="15" hidden="false" customHeight="false" outlineLevel="0" collapsed="false">
      <c r="A57" s="31" t="n">
        <v>19</v>
      </c>
      <c r="B57" s="30" t="n">
        <f aca="false">'4. Covenants'!D22</f>
        <v>3.71893816898025</v>
      </c>
      <c r="C57" s="26" t="n">
        <f aca="false">IF(B57&lt;=$B$20,1,0)</f>
        <v>1</v>
      </c>
      <c r="D57" s="28" t="n">
        <f aca="false">'3. Debt and cash'!J22</f>
        <v>15.1604984385422</v>
      </c>
      <c r="E57" s="28" t="n">
        <f aca="false">MAX(0,D57-$B$5)</f>
        <v>0.160498438542206</v>
      </c>
      <c r="G57" s="26" t="n">
        <f aca="false">IF(E57&gt;0,A57,99)</f>
        <v>19</v>
      </c>
      <c r="H57" s="26" t="n">
        <f aca="false">IF(AND(A57&gt;8,C57=1),A57,99)</f>
        <v>19</v>
      </c>
      <c r="I57" s="26" t="n">
        <f aca="false">IF(AND(A57&lt;9,C57=1),A57,0)</f>
        <v>0</v>
      </c>
    </row>
    <row r="58" customFormat="false" ht="15" hidden="false" customHeight="false" outlineLevel="0" collapsed="false">
      <c r="A58" s="31" t="n">
        <v>20</v>
      </c>
      <c r="B58" s="30" t="n">
        <f aca="false">'4. Covenants'!D23</f>
        <v>3.55888953853997</v>
      </c>
      <c r="C58" s="26" t="n">
        <f aca="false">IF(B58&lt;=$B$20,1,0)</f>
        <v>1</v>
      </c>
      <c r="D58" s="28" t="n">
        <f aca="false">'3. Debt and cash'!J23</f>
        <v>17.7588222095651</v>
      </c>
      <c r="E58" s="28" t="n">
        <f aca="false">MAX(0,D58-$B$5)</f>
        <v>2.75882220956507</v>
      </c>
      <c r="G58" s="26" t="n">
        <f aca="false">IF(E58&gt;0,A58,99)</f>
        <v>20</v>
      </c>
      <c r="H58" s="26" t="n">
        <f aca="false">IF(AND(A58&gt;8,C58=1),A58,99)</f>
        <v>20</v>
      </c>
      <c r="I58" s="26" t="n">
        <f aca="false">IF(AND(A58&lt;9,C58=1),A58,0)</f>
        <v>0</v>
      </c>
    </row>
    <row r="59" customFormat="false" ht="15" hidden="false" customHeight="false" outlineLevel="0" collapsed="false">
      <c r="A59" s="31" t="n">
        <v>21</v>
      </c>
      <c r="B59" s="30" t="n">
        <f aca="false">'4. Covenants'!D24</f>
        <v>3.41285759007632</v>
      </c>
      <c r="C59" s="26" t="n">
        <f aca="false">IF(B59&lt;=$B$20,1,0)</f>
        <v>1</v>
      </c>
      <c r="D59" s="28" t="n">
        <f aca="false">'3. Debt and cash'!J24</f>
        <v>20.4571459805879</v>
      </c>
      <c r="E59" s="28" t="n">
        <f aca="false">MAX(0,D59-$B$5)</f>
        <v>5.45714598058793</v>
      </c>
      <c r="G59" s="26" t="n">
        <f aca="false">IF(E59&gt;0,A59,99)</f>
        <v>21</v>
      </c>
      <c r="H59" s="26" t="n">
        <f aca="false">IF(AND(A59&gt;8,C59=1),A59,99)</f>
        <v>21</v>
      </c>
      <c r="I59" s="26" t="n">
        <f aca="false">IF(AND(A59&lt;9,C59=1),A59,0)</f>
        <v>0</v>
      </c>
    </row>
    <row r="60" customFormat="false" ht="15" hidden="false" customHeight="false" outlineLevel="0" collapsed="false">
      <c r="A60" s="31" t="n">
        <v>22</v>
      </c>
      <c r="B60" s="30" t="n">
        <f aca="false">'4. Covenants'!D25</f>
        <v>3.26905823324936</v>
      </c>
      <c r="C60" s="26" t="n">
        <f aca="false">IF(B60&lt;=$B$20,1,0)</f>
        <v>1</v>
      </c>
      <c r="D60" s="28" t="n">
        <f aca="false">'3. Debt and cash'!J25</f>
        <v>23.2554697516108</v>
      </c>
      <c r="E60" s="28" t="n">
        <f aca="false">MAX(0,D60-$B$5)</f>
        <v>8.25546975161079</v>
      </c>
      <c r="G60" s="26" t="n">
        <f aca="false">IF(E60&gt;0,A60,99)</f>
        <v>22</v>
      </c>
      <c r="H60" s="26" t="n">
        <f aca="false">IF(AND(A60&gt;8,C60=1),A60,99)</f>
        <v>22</v>
      </c>
      <c r="I60" s="26" t="n">
        <f aca="false">IF(AND(A60&lt;9,C60=1),A60,0)</f>
        <v>0</v>
      </c>
    </row>
    <row r="61" customFormat="false" ht="15" hidden="false" customHeight="false" outlineLevel="0" collapsed="false">
      <c r="A61" s="31" t="n">
        <v>23</v>
      </c>
      <c r="B61" s="30" t="n">
        <f aca="false">'4. Covenants'!D26</f>
        <v>3.12737430581576</v>
      </c>
      <c r="C61" s="26" t="n">
        <f aca="false">IF(B61&lt;=$B$20,1,0)</f>
        <v>1</v>
      </c>
      <c r="D61" s="28" t="n">
        <f aca="false">'3. Debt and cash'!J26</f>
        <v>26.1537935226337</v>
      </c>
      <c r="E61" s="28" t="n">
        <f aca="false">MAX(0,D61-$B$5)</f>
        <v>11.1537935226336</v>
      </c>
      <c r="G61" s="26" t="n">
        <f aca="false">IF(E61&gt;0,A61,99)</f>
        <v>23</v>
      </c>
      <c r="H61" s="26" t="n">
        <f aca="false">IF(AND(A61&gt;8,C61=1),A61,99)</f>
        <v>23</v>
      </c>
      <c r="I61" s="26" t="n">
        <f aca="false">IF(AND(A61&lt;9,C61=1),A61,0)</f>
        <v>0</v>
      </c>
    </row>
    <row r="62" customFormat="false" ht="15" hidden="false" customHeight="false" outlineLevel="0" collapsed="false">
      <c r="A62" s="31" t="n">
        <v>24</v>
      </c>
      <c r="B62" s="30" t="n">
        <f aca="false">'4. Covenants'!D27</f>
        <v>2.99628203788671</v>
      </c>
      <c r="C62" s="26" t="n">
        <f aca="false">IF(B62&lt;=$B$20,1,0)</f>
        <v>1</v>
      </c>
      <c r="D62" s="28" t="n">
        <f aca="false">'3. Debt and cash'!J27</f>
        <v>29.1521172936565</v>
      </c>
      <c r="E62" s="28" t="n">
        <f aca="false">MAX(0,D62-$B$5)</f>
        <v>14.1521172936565</v>
      </c>
      <c r="G62" s="26" t="n">
        <f aca="false">IF(E62&gt;0,A62,99)</f>
        <v>24</v>
      </c>
      <c r="H62" s="26" t="n">
        <f aca="false">IF(AND(A62&gt;8,C62=1),A62,99)</f>
        <v>24</v>
      </c>
      <c r="I62" s="26" t="n">
        <f aca="false">IF(AND(A62&lt;9,C62=1),A62,0)</f>
        <v>0</v>
      </c>
    </row>
    <row r="63" customFormat="false" ht="15" hidden="false" customHeight="false" outlineLevel="0" collapsed="false">
      <c r="A63" s="31" t="n">
        <v>25</v>
      </c>
      <c r="B63" s="30" t="n">
        <f aca="false">'4. Covenants'!D28</f>
        <v>2.86607057074886</v>
      </c>
      <c r="C63" s="26" t="n">
        <f aca="false">IF(B63&lt;=$B$20,1,0)</f>
        <v>1</v>
      </c>
      <c r="D63" s="28" t="n">
        <f aca="false">'3. Debt and cash'!J28</f>
        <v>32.2504410646794</v>
      </c>
      <c r="E63" s="28" t="n">
        <f aca="false">MAX(0,D63-$B$5)</f>
        <v>17.2504410646794</v>
      </c>
      <c r="G63" s="26" t="n">
        <f aca="false">IF(E63&gt;0,A63,99)</f>
        <v>25</v>
      </c>
      <c r="H63" s="26" t="n">
        <f aca="false">IF(AND(A63&gt;8,C63=1),A63,99)</f>
        <v>25</v>
      </c>
      <c r="I63" s="26" t="n">
        <f aca="false">IF(AND(A63&lt;9,C63=1),A63,0)</f>
        <v>0</v>
      </c>
    </row>
    <row r="64" customFormat="false" ht="15" hidden="false" customHeight="false" outlineLevel="0" collapsed="false">
      <c r="A64" s="31" t="n">
        <v>26</v>
      </c>
      <c r="B64" s="30" t="n">
        <f aca="false">'4. Covenants'!D29</f>
        <v>2.73670299934111</v>
      </c>
      <c r="C64" s="26" t="n">
        <f aca="false">IF(B64&lt;=$B$20,1,0)</f>
        <v>1</v>
      </c>
      <c r="D64" s="28" t="n">
        <f aca="false">'3. Debt and cash'!J29</f>
        <v>35.4487648357022</v>
      </c>
      <c r="E64" s="28" t="n">
        <f aca="false">MAX(0,D64-$B$5)</f>
        <v>20.4487648357022</v>
      </c>
      <c r="G64" s="26" t="n">
        <f aca="false">IF(E64&gt;0,A64,99)</f>
        <v>26</v>
      </c>
      <c r="H64" s="26" t="n">
        <f aca="false">IF(AND(A64&gt;8,C64=1),A64,99)</f>
        <v>26</v>
      </c>
      <c r="I64" s="26" t="n">
        <f aca="false">IF(AND(A64&lt;9,C64=1),A64,0)</f>
        <v>0</v>
      </c>
    </row>
    <row r="65" customFormat="false" ht="15" hidden="false" customHeight="false" outlineLevel="0" collapsed="false">
      <c r="A65" s="31" t="n">
        <v>27</v>
      </c>
      <c r="B65" s="30" t="n">
        <f aca="false">'4. Covenants'!D30</f>
        <v>2.6153492708671</v>
      </c>
      <c r="C65" s="26" t="n">
        <f aca="false">IF(B65&lt;=$B$20,1,0)</f>
        <v>1</v>
      </c>
      <c r="D65" s="28" t="n">
        <f aca="false">'3. Debt and cash'!J30</f>
        <v>38.7470886067251</v>
      </c>
      <c r="E65" s="28" t="n">
        <f aca="false">MAX(0,D65-$B$5)</f>
        <v>23.7470886067251</v>
      </c>
      <c r="G65" s="26" t="n">
        <f aca="false">IF(E65&gt;0,A65,99)</f>
        <v>27</v>
      </c>
      <c r="H65" s="26" t="n">
        <f aca="false">IF(AND(A65&gt;8,C65=1),A65,99)</f>
        <v>27</v>
      </c>
      <c r="I65" s="26" t="n">
        <f aca="false">IF(AND(A65&lt;9,C65=1),A65,0)</f>
        <v>0</v>
      </c>
    </row>
    <row r="66" customFormat="false" ht="15" hidden="false" customHeight="false" outlineLevel="0" collapsed="false">
      <c r="A66" s="31" t="n">
        <v>28</v>
      </c>
      <c r="B66" s="30" t="n">
        <f aca="false">'4. Covenants'!D31</f>
        <v>2.49391584246902</v>
      </c>
      <c r="C66" s="26" t="n">
        <f aca="false">IF(B66&lt;=$B$20,1,0)</f>
        <v>1</v>
      </c>
      <c r="D66" s="28" t="n">
        <f aca="false">'3. Debt and cash'!J31</f>
        <v>42.145412377748</v>
      </c>
      <c r="E66" s="28" t="n">
        <f aca="false">MAX(0,D66-$B$5)</f>
        <v>27.145412377748</v>
      </c>
      <c r="G66" s="26" t="n">
        <f aca="false">IF(E66&gt;0,A66,99)</f>
        <v>28</v>
      </c>
      <c r="H66" s="26" t="n">
        <f aca="false">IF(AND(A66&gt;8,C66=1),A66,99)</f>
        <v>28</v>
      </c>
      <c r="I66" s="26" t="n">
        <f aca="false">IF(AND(A66&lt;9,C66=1),A66,0)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62"/>
    <col collapsed="false" customWidth="true" hidden="false" outlineLevel="0" max="6" min="3" style="0" width="13"/>
    <col collapsed="false" customWidth="true" hidden="false" outlineLevel="0" max="7" min="7" style="0" width="2"/>
    <col collapsed="false" customWidth="true" hidden="false" outlineLevel="0" max="8" min="8" style="0" width="60"/>
  </cols>
  <sheetData>
    <row r="1" customFormat="false" ht="16.15" hidden="false" customHeight="false" outlineLevel="0" collapsed="false">
      <c r="A1" s="7" t="s">
        <v>158</v>
      </c>
    </row>
    <row r="2" customFormat="false" ht="15" hidden="false" customHeight="false" outlineLevel="0" collapsed="false">
      <c r="A2" s="2" t="s">
        <v>159</v>
      </c>
    </row>
    <row r="3" customFormat="false" ht="15" hidden="false" customHeight="false" outlineLevel="0" collapsed="false">
      <c r="A3" s="2" t="s">
        <v>160</v>
      </c>
    </row>
    <row r="5" customFormat="false" ht="15" hidden="false" customHeight="false" outlineLevel="0" collapsed="false">
      <c r="A5" s="14" t="s">
        <v>161</v>
      </c>
      <c r="B5" s="14" t="s">
        <v>162</v>
      </c>
      <c r="C5" s="14" t="s">
        <v>163</v>
      </c>
      <c r="D5" s="14" t="s">
        <v>164</v>
      </c>
      <c r="E5" s="14" t="s">
        <v>165</v>
      </c>
      <c r="F5" s="14" t="s">
        <v>166</v>
      </c>
      <c r="H5" s="11" t="s">
        <v>167</v>
      </c>
    </row>
    <row r="6" customFormat="false" ht="55.2" hidden="false" customHeight="false" outlineLevel="0" collapsed="false">
      <c r="A6" s="0" t="s">
        <v>168</v>
      </c>
      <c r="B6" s="4" t="s">
        <v>169</v>
      </c>
      <c r="C6" s="0" t="n">
        <v>29.2</v>
      </c>
      <c r="D6" s="13" t="n">
        <f aca="false">'4. Covenants'!C4</f>
        <v>29.2</v>
      </c>
      <c r="E6" s="33" t="n">
        <f aca="false">D6-C6</f>
        <v>0</v>
      </c>
      <c r="F6" s="0" t="str">
        <f aca="false">IF(ABS(E6)&lt;=0.01,"reproduced",IF(ABS(E6)&lt;=0.01*3,"rounding","to check"))</f>
        <v>reproduced</v>
      </c>
      <c r="H6" s="4" t="s">
        <v>170</v>
      </c>
    </row>
    <row r="7" customFormat="false" ht="15" hidden="false" customHeight="false" outlineLevel="0" collapsed="false">
      <c r="A7" s="0" t="s">
        <v>168</v>
      </c>
      <c r="B7" s="4" t="s">
        <v>171</v>
      </c>
      <c r="C7" s="0" t="n">
        <v>131.8</v>
      </c>
      <c r="D7" s="16" t="n">
        <f aca="false">'4. Covenants'!B4</f>
        <v>131.8359375</v>
      </c>
      <c r="E7" s="33" t="n">
        <f aca="false">D7-C7</f>
        <v>0.0359374999999886</v>
      </c>
      <c r="F7" s="0" t="str">
        <f aca="false">IF(ABS(E7)&lt;=0.05,"reproduced",IF(ABS(E7)&lt;=0.05*3,"rounding","to check"))</f>
        <v>reproduced</v>
      </c>
    </row>
    <row r="8" customFormat="false" ht="15" hidden="false" customHeight="false" outlineLevel="0" collapsed="false">
      <c r="A8" s="0" t="s">
        <v>168</v>
      </c>
      <c r="B8" s="4" t="s">
        <v>172</v>
      </c>
      <c r="C8" s="0" t="n">
        <v>4.51</v>
      </c>
      <c r="D8" s="19" t="n">
        <f aca="false">'4. Covenants'!D4</f>
        <v>4.51492936643836</v>
      </c>
      <c r="E8" s="33" t="n">
        <f aca="false">D8-C8</f>
        <v>0.00492936643835673</v>
      </c>
      <c r="F8" s="0" t="str">
        <f aca="false">IF(ABS(E8)&lt;=0.005,"reproduced",IF(ABS(E8)&lt;=0.005*3,"rounding","to check"))</f>
        <v>reproduced</v>
      </c>
    </row>
    <row r="9" customFormat="false" ht="15" hidden="false" customHeight="false" outlineLevel="0" collapsed="false">
      <c r="A9" s="0" t="s">
        <v>168</v>
      </c>
      <c r="B9" s="4" t="s">
        <v>173</v>
      </c>
      <c r="C9" s="0" t="n">
        <v>7.23</v>
      </c>
      <c r="D9" s="13" t="n">
        <f aca="false">'4. Covenants'!G4</f>
        <v>7.22734375</v>
      </c>
      <c r="E9" s="33" t="n">
        <f aca="false">D9-C9</f>
        <v>-0.00265625000000114</v>
      </c>
      <c r="F9" s="0" t="str">
        <f aca="false">IF(ABS(E9)&lt;=0.01,"reproduced",IF(ABS(E9)&lt;=0.01*3,"rounding","to check"))</f>
        <v>reproduced</v>
      </c>
    </row>
    <row r="10" customFormat="false" ht="15" hidden="false" customHeight="false" outlineLevel="0" collapsed="false">
      <c r="A10" s="0" t="s">
        <v>168</v>
      </c>
      <c r="B10" s="4" t="s">
        <v>174</v>
      </c>
      <c r="C10" s="0" t="n">
        <v>30.1</v>
      </c>
      <c r="D10" s="13" t="n">
        <f aca="false">'4. Covenants'!C7</f>
        <v>30.1</v>
      </c>
      <c r="E10" s="33" t="n">
        <f aca="false">D10-C10</f>
        <v>0</v>
      </c>
      <c r="F10" s="0" t="str">
        <f aca="false">IF(ABS(E10)&lt;=0.01,"reproduced",IF(ABS(E10)&lt;=0.01*3,"rounding","to check"))</f>
        <v>reproduced</v>
      </c>
    </row>
    <row r="11" customFormat="false" ht="15" hidden="false" customHeight="false" outlineLevel="0" collapsed="false">
      <c r="A11" s="0" t="s">
        <v>168</v>
      </c>
      <c r="B11" s="4" t="s">
        <v>175</v>
      </c>
      <c r="C11" s="0" t="n">
        <v>129.3</v>
      </c>
      <c r="D11" s="16" t="n">
        <f aca="false">'4. Covenants'!B7</f>
        <v>129.271875</v>
      </c>
      <c r="E11" s="33" t="n">
        <f aca="false">D11-C11</f>
        <v>-0.0281250000000171</v>
      </c>
      <c r="F11" s="0" t="str">
        <f aca="false">IF(ABS(E11)&lt;=0.05,"reproduced",IF(ABS(E11)&lt;=0.05*3,"rounding","to check"))</f>
        <v>reproduced</v>
      </c>
    </row>
    <row r="12" customFormat="false" ht="15" hidden="false" customHeight="false" outlineLevel="0" collapsed="false">
      <c r="A12" s="0" t="s">
        <v>168</v>
      </c>
      <c r="B12" s="4" t="s">
        <v>176</v>
      </c>
      <c r="C12" s="0" t="n">
        <v>4.29</v>
      </c>
      <c r="D12" s="19" t="n">
        <f aca="false">'4. Covenants'!D7</f>
        <v>4.29474667774086</v>
      </c>
      <c r="E12" s="33" t="n">
        <f aca="false">D12-C12</f>
        <v>0.00474667774086424</v>
      </c>
      <c r="F12" s="0" t="str">
        <f aca="false">IF(ABS(E12)&lt;=0.005,"reproduced",IF(ABS(E12)&lt;=0.005*3,"rounding","to check"))</f>
        <v>reproduced</v>
      </c>
    </row>
    <row r="13" customFormat="false" ht="15" hidden="false" customHeight="false" outlineLevel="0" collapsed="false">
      <c r="A13" s="0" t="s">
        <v>168</v>
      </c>
      <c r="B13" s="4" t="s">
        <v>177</v>
      </c>
      <c r="C13" s="0" t="n">
        <v>8.55</v>
      </c>
      <c r="D13" s="13" t="n">
        <f aca="false">'4. Covenants'!G7</f>
        <v>8.5546875</v>
      </c>
      <c r="E13" s="33" t="n">
        <f aca="false">D13-C13</f>
        <v>0.00468749999999929</v>
      </c>
      <c r="F13" s="0" t="str">
        <f aca="false">IF(ABS(E13)&lt;=0.01,"reproduced",IF(ABS(E13)&lt;=0.01*3,"rounding","to check"))</f>
        <v>reproduced</v>
      </c>
    </row>
    <row r="14" customFormat="false" ht="15" hidden="false" customHeight="false" outlineLevel="0" collapsed="false">
      <c r="A14" s="0" t="s">
        <v>168</v>
      </c>
      <c r="B14" s="4" t="s">
        <v>178</v>
      </c>
      <c r="C14" s="0" t="n">
        <v>23.28</v>
      </c>
      <c r="D14" s="13" t="n">
        <f aca="false">'4. Covenants'!C11</f>
        <v>23.28</v>
      </c>
      <c r="E14" s="33" t="n">
        <f aca="false">D14-C14</f>
        <v>0</v>
      </c>
      <c r="F14" s="0" t="str">
        <f aca="false">IF(ABS(E14)&lt;=0.01,"reproduced",IF(ABS(E14)&lt;=0.01*3,"rounding","to check"))</f>
        <v>reproduced</v>
      </c>
    </row>
    <row r="15" customFormat="false" ht="15" hidden="false" customHeight="false" outlineLevel="0" collapsed="false">
      <c r="A15" s="0" t="s">
        <v>168</v>
      </c>
      <c r="B15" s="4" t="s">
        <v>179</v>
      </c>
      <c r="C15" s="0" t="n">
        <v>129.1</v>
      </c>
      <c r="D15" s="16" t="n">
        <f aca="false">'4. Covenants'!B11</f>
        <v>129.078178710938</v>
      </c>
      <c r="E15" s="33" t="n">
        <f aca="false">D15-C15</f>
        <v>-0.0218212890625011</v>
      </c>
      <c r="F15" s="0" t="str">
        <f aca="false">IF(ABS(E15)&lt;=0.05,"reproduced",IF(ABS(E15)&lt;=0.05*3,"rounding","to check"))</f>
        <v>reproduced</v>
      </c>
    </row>
    <row r="16" customFormat="false" ht="15" hidden="false" customHeight="false" outlineLevel="0" collapsed="false">
      <c r="A16" s="0" t="s">
        <v>168</v>
      </c>
      <c r="B16" s="4" t="s">
        <v>180</v>
      </c>
      <c r="C16" s="0" t="n">
        <v>5.54</v>
      </c>
      <c r="D16" s="19" t="n">
        <f aca="false">'4. Covenants'!D11</f>
        <v>5.54459530545264</v>
      </c>
      <c r="E16" s="33" t="n">
        <f aca="false">D16-C16</f>
        <v>0.00459530545264197</v>
      </c>
      <c r="F16" s="0" t="str">
        <f aca="false">IF(ABS(E16)&lt;=0.005,"reproduced",IF(ABS(E16)&lt;=0.005*3,"rounding","to check"))</f>
        <v>reproduced</v>
      </c>
    </row>
    <row r="17" customFormat="false" ht="15" hidden="false" customHeight="false" outlineLevel="0" collapsed="false">
      <c r="A17" s="0" t="s">
        <v>168</v>
      </c>
      <c r="B17" s="4" t="s">
        <v>181</v>
      </c>
      <c r="C17" s="0" t="n">
        <v>0.83</v>
      </c>
      <c r="D17" s="13" t="n">
        <f aca="false">'4. Covenants'!G11</f>
        <v>0.831621093749998</v>
      </c>
      <c r="E17" s="33" t="n">
        <f aca="false">D17-C17</f>
        <v>0.00162109374999819</v>
      </c>
      <c r="F17" s="0" t="str">
        <f aca="false">IF(ABS(E17)&lt;=0.01,"reproduced",IF(ABS(E17)&lt;=0.01*3,"rounding","to check"))</f>
        <v>reproduced</v>
      </c>
    </row>
    <row r="18" customFormat="false" ht="15" hidden="false" customHeight="false" outlineLevel="0" collapsed="false">
      <c r="A18" s="0" t="s">
        <v>168</v>
      </c>
      <c r="B18" s="4" t="s">
        <v>182</v>
      </c>
      <c r="C18" s="0" t="n">
        <v>20</v>
      </c>
      <c r="D18" s="13" t="n">
        <f aca="false">'4. Covenants'!C12</f>
        <v>20</v>
      </c>
      <c r="E18" s="33" t="n">
        <f aca="false">D18-C18</f>
        <v>0</v>
      </c>
      <c r="F18" s="0" t="str">
        <f aca="false">IF(ABS(E18)&lt;=0.01,"reproduced",IF(ABS(E18)&lt;=0.01*3,"rounding","to check"))</f>
        <v>reproduced</v>
      </c>
    </row>
    <row r="19" customFormat="false" ht="15" hidden="false" customHeight="false" outlineLevel="0" collapsed="false">
      <c r="A19" s="0" t="s">
        <v>168</v>
      </c>
      <c r="B19" s="4" t="s">
        <v>183</v>
      </c>
      <c r="C19" s="0" t="n">
        <v>129.7</v>
      </c>
      <c r="D19" s="16" t="n">
        <f aca="false">'4. Covenants'!B12</f>
        <v>129.741231080627</v>
      </c>
      <c r="E19" s="33" t="n">
        <f aca="false">D19-C19</f>
        <v>0.0412310806274547</v>
      </c>
      <c r="F19" s="0" t="str">
        <f aca="false">IF(ABS(E19)&lt;=0.05,"reproduced",IF(ABS(E19)&lt;=0.05*3,"rounding","to check"))</f>
        <v>reproduced</v>
      </c>
    </row>
    <row r="20" customFormat="false" ht="15" hidden="false" customHeight="false" outlineLevel="0" collapsed="false">
      <c r="A20" s="0" t="s">
        <v>168</v>
      </c>
      <c r="B20" s="4" t="s">
        <v>184</v>
      </c>
      <c r="C20" s="0" t="n">
        <v>6.49</v>
      </c>
      <c r="D20" s="19" t="n">
        <f aca="false">'4. Covenants'!D12</f>
        <v>6.48706155403137</v>
      </c>
      <c r="E20" s="33" t="n">
        <f aca="false">D20-C20</f>
        <v>-0.00293844596862769</v>
      </c>
      <c r="F20" s="0" t="str">
        <f aca="false">IF(ABS(E20)&lt;=0.005,"reproduced",IF(ABS(E20)&lt;=0.005*3,"rounding","to check"))</f>
        <v>reproduced</v>
      </c>
    </row>
    <row r="21" customFormat="false" ht="15" hidden="false" customHeight="false" outlineLevel="0" collapsed="false">
      <c r="A21" s="0" t="s">
        <v>168</v>
      </c>
      <c r="B21" s="4" t="s">
        <v>185</v>
      </c>
      <c r="C21" s="0" t="n">
        <v>-3.59</v>
      </c>
      <c r="D21" s="13" t="n">
        <f aca="false">'4. Covenants'!G12</f>
        <v>-3.58931474193226</v>
      </c>
      <c r="E21" s="33" t="n">
        <f aca="false">D21-C21</f>
        <v>0.000685258067736783</v>
      </c>
      <c r="F21" s="0" t="str">
        <f aca="false">IF(ABS(E21)&lt;=0.01,"reproduced",IF(ABS(E21)&lt;=0.01*3,"rounding","to check"))</f>
        <v>reproduced</v>
      </c>
    </row>
    <row r="22" customFormat="false" ht="15" hidden="false" customHeight="false" outlineLevel="0" collapsed="false">
      <c r="A22" s="0" t="s">
        <v>168</v>
      </c>
      <c r="B22" s="4" t="s">
        <v>186</v>
      </c>
      <c r="C22" s="0" t="n">
        <v>24.3</v>
      </c>
      <c r="D22" s="13" t="n">
        <f aca="false">'4. Covenants'!C15</f>
        <v>24.3</v>
      </c>
      <c r="E22" s="33" t="n">
        <f aca="false">D22-C22</f>
        <v>0</v>
      </c>
      <c r="F22" s="0" t="str">
        <f aca="false">IF(ABS(E22)&lt;=0.01,"reproduced",IF(ABS(E22)&lt;=0.01*3,"rounding","to check"))</f>
        <v>reproduced</v>
      </c>
    </row>
    <row r="23" customFormat="false" ht="15" hidden="false" customHeight="false" outlineLevel="0" collapsed="false">
      <c r="A23" s="0" t="s">
        <v>168</v>
      </c>
      <c r="B23" s="4" t="s">
        <v>187</v>
      </c>
      <c r="C23" s="0" t="n">
        <v>129.6</v>
      </c>
      <c r="D23" s="16" t="n">
        <f aca="false">'4. Covenants'!B15</f>
        <v>129.630388189697</v>
      </c>
      <c r="E23" s="33" t="n">
        <f aca="false">D23-C23</f>
        <v>0.0303881896972769</v>
      </c>
      <c r="F23" s="0" t="str">
        <f aca="false">IF(ABS(E23)&lt;=0.05,"reproduced",IF(ABS(E23)&lt;=0.05*3,"rounding","to check"))</f>
        <v>reproduced</v>
      </c>
    </row>
    <row r="24" customFormat="false" ht="15" hidden="false" customHeight="false" outlineLevel="0" collapsed="false">
      <c r="A24" s="0" t="s">
        <v>168</v>
      </c>
      <c r="B24" s="4" t="s">
        <v>188</v>
      </c>
      <c r="C24" s="0" t="n">
        <v>5.33</v>
      </c>
      <c r="D24" s="19" t="n">
        <f aca="false">'4. Covenants'!D15</f>
        <v>5.33458387611923</v>
      </c>
      <c r="E24" s="33" t="n">
        <f aca="false">D24-C24</f>
        <v>0.00458387611922895</v>
      </c>
      <c r="F24" s="0" t="str">
        <f aca="false">IF(ABS(E24)&lt;=0.005,"reproduced",IF(ABS(E24)&lt;=0.005*3,"rounding","to check"))</f>
        <v>reproduced</v>
      </c>
    </row>
    <row r="25" customFormat="false" ht="15" hidden="false" customHeight="false" outlineLevel="0" collapsed="false">
      <c r="A25" s="0" t="s">
        <v>168</v>
      </c>
      <c r="B25" s="4" t="s">
        <v>189</v>
      </c>
      <c r="C25" s="0" t="n">
        <v>0.73</v>
      </c>
      <c r="D25" s="13" t="n">
        <f aca="false">'4. Covenants'!G15</f>
        <v>0.730838510964134</v>
      </c>
      <c r="E25" s="33" t="n">
        <f aca="false">D25-C25</f>
        <v>0.000838510964133565</v>
      </c>
      <c r="F25" s="0" t="str">
        <f aca="false">IF(ABS(E25)&lt;=0.01,"reproduced",IF(ABS(E25)&lt;=0.01*3,"rounding","to check"))</f>
        <v>reproduced</v>
      </c>
    </row>
    <row r="26" customFormat="false" ht="15" hidden="false" customHeight="false" outlineLevel="0" collapsed="false">
      <c r="A26" s="0" t="s">
        <v>168</v>
      </c>
      <c r="B26" s="4" t="s">
        <v>190</v>
      </c>
      <c r="C26" s="0" t="n">
        <v>29.3</v>
      </c>
      <c r="D26" s="13" t="n">
        <f aca="false">'4. Covenants'!C19</f>
        <v>29.3</v>
      </c>
      <c r="E26" s="33" t="n">
        <f aca="false">D26-C26</f>
        <v>0</v>
      </c>
      <c r="F26" s="0" t="str">
        <f aca="false">IF(ABS(E26)&lt;=0.01,"reproduced",IF(ABS(E26)&lt;=0.01*3,"rounding","to check"))</f>
        <v>reproduced</v>
      </c>
    </row>
    <row r="27" customFormat="false" ht="15" hidden="false" customHeight="false" outlineLevel="0" collapsed="false">
      <c r="A27" s="0" t="s">
        <v>168</v>
      </c>
      <c r="B27" s="4" t="s">
        <v>191</v>
      </c>
      <c r="C27" s="0" t="n">
        <v>124.7</v>
      </c>
      <c r="D27" s="16" t="n">
        <f aca="false">'4. Covenants'!B19</f>
        <v>124.72364825611</v>
      </c>
      <c r="E27" s="33" t="n">
        <f aca="false">D27-C27</f>
        <v>0.0236482561101781</v>
      </c>
      <c r="F27" s="0" t="str">
        <f aca="false">IF(ABS(E27)&lt;=0.05,"reproduced",IF(ABS(E27)&lt;=0.05*3,"rounding","to check"))</f>
        <v>reproduced</v>
      </c>
    </row>
    <row r="28" customFormat="false" ht="15" hidden="false" customHeight="false" outlineLevel="0" collapsed="false">
      <c r="A28" s="0" t="s">
        <v>168</v>
      </c>
      <c r="B28" s="4" t="s">
        <v>192</v>
      </c>
      <c r="C28" s="0" t="n">
        <v>4.26</v>
      </c>
      <c r="D28" s="19" t="n">
        <f aca="false">'4. Covenants'!D19</f>
        <v>4.25677980396281</v>
      </c>
      <c r="E28" s="33" t="n">
        <f aca="false">D28-C28</f>
        <v>-0.00322019603719514</v>
      </c>
      <c r="F28" s="0" t="str">
        <f aca="false">IF(ABS(E28)&lt;=0.005,"reproduced",IF(ABS(E28)&lt;=0.005*3,"rounding","to check"))</f>
        <v>reproduced</v>
      </c>
    </row>
    <row r="29" customFormat="false" ht="15" hidden="false" customHeight="false" outlineLevel="0" collapsed="false">
      <c r="A29" s="0" t="s">
        <v>168</v>
      </c>
      <c r="B29" s="4" t="s">
        <v>193</v>
      </c>
      <c r="C29" s="0" t="n">
        <v>5.54</v>
      </c>
      <c r="D29" s="13" t="n">
        <f aca="false">'4. Covenants'!G19</f>
        <v>5.54311461788378</v>
      </c>
      <c r="E29" s="33" t="n">
        <f aca="false">D29-C29</f>
        <v>0.00311461788377709</v>
      </c>
      <c r="F29" s="0" t="str">
        <f aca="false">IF(ABS(E29)&lt;=0.01,"reproduced",IF(ABS(E29)&lt;=0.01*3,"rounding","to check"))</f>
        <v>reproduced</v>
      </c>
    </row>
    <row r="30" customFormat="false" ht="15" hidden="false" customHeight="false" outlineLevel="0" collapsed="false">
      <c r="A30" s="0" t="s">
        <v>194</v>
      </c>
      <c r="B30" s="4" t="s">
        <v>195</v>
      </c>
      <c r="C30" s="0" t="n">
        <v>3.88</v>
      </c>
      <c r="D30" s="13" t="n">
        <f aca="false">'2. Trading'!E11</f>
        <v>3.88</v>
      </c>
      <c r="E30" s="33" t="n">
        <f aca="false">D30-C30</f>
        <v>0</v>
      </c>
      <c r="F30" s="0" t="str">
        <f aca="false">IF(ABS(E30)&lt;=0.005,"reproduced",IF(ABS(E30)&lt;=0.005*3,"rounding","to check"))</f>
        <v>reproduced</v>
      </c>
    </row>
    <row r="31" customFormat="false" ht="15" hidden="false" customHeight="false" outlineLevel="0" collapsed="false">
      <c r="A31" s="0" t="s">
        <v>194</v>
      </c>
      <c r="B31" s="4" t="s">
        <v>196</v>
      </c>
      <c r="C31" s="0" t="n">
        <v>5.97</v>
      </c>
      <c r="D31" s="19" t="n">
        <f aca="false">'4. Covenants'!J10</f>
        <v>5.97018075490552</v>
      </c>
      <c r="E31" s="33" t="n">
        <f aca="false">D31-C31</f>
        <v>0.000180754905524161</v>
      </c>
      <c r="F31" s="0" t="str">
        <f aca="false">IF(ABS(E31)&lt;=0.005,"reproduced",IF(ABS(E31)&lt;=0.005*3,"rounding","to check"))</f>
        <v>reproduced</v>
      </c>
    </row>
    <row r="32" customFormat="false" ht="15" hidden="false" customHeight="false" outlineLevel="0" collapsed="false">
      <c r="A32" s="0" t="s">
        <v>194</v>
      </c>
      <c r="B32" s="4" t="s">
        <v>197</v>
      </c>
      <c r="C32" s="0" t="n">
        <v>6.65</v>
      </c>
      <c r="D32" s="19" t="n">
        <f aca="false">'4. Covenants'!J11</f>
        <v>6.65351436654317</v>
      </c>
      <c r="E32" s="33" t="n">
        <f aca="false">D32-C32</f>
        <v>0.00351436654317006</v>
      </c>
      <c r="F32" s="0" t="str">
        <f aca="false">IF(ABS(E32)&lt;=0.005,"reproduced",IF(ABS(E32)&lt;=0.005*3,"rounding","to check"))</f>
        <v>reproduced</v>
      </c>
    </row>
    <row r="33" customFormat="false" ht="15" hidden="false" customHeight="false" outlineLevel="0" collapsed="false">
      <c r="A33" s="0" t="s">
        <v>168</v>
      </c>
      <c r="B33" s="4" t="s">
        <v>198</v>
      </c>
      <c r="C33" s="0" t="n">
        <v>0.036</v>
      </c>
      <c r="D33" s="20" t="n">
        <f aca="false">'4. Covenants'!H11</f>
        <v>0.0357225555734535</v>
      </c>
      <c r="E33" s="17" t="n">
        <f aca="false">D33-C33</f>
        <v>-0.000277444426546467</v>
      </c>
      <c r="F33" s="0" t="str">
        <f aca="false">IF(ABS(E33)&lt;=0.002,"reproduced",IF(ABS(E33)&lt;=0.002*3,"rounding","to check"))</f>
        <v>reproduced</v>
      </c>
    </row>
    <row r="34" customFormat="false" ht="15" hidden="false" customHeight="false" outlineLevel="0" collapsed="false">
      <c r="A34" s="0" t="s">
        <v>168</v>
      </c>
      <c r="B34" s="4" t="s">
        <v>199</v>
      </c>
      <c r="C34" s="0" t="n">
        <v>1.75</v>
      </c>
      <c r="D34" s="19" t="n">
        <f aca="false">'4. Covenants'!M12</f>
        <v>1.7463878945887</v>
      </c>
      <c r="E34" s="33" t="n">
        <f aca="false">D34-C34</f>
        <v>-0.00361210541130164</v>
      </c>
      <c r="F34" s="0" t="str">
        <f aca="false">IF(ABS(E34)&lt;=0.01,"reproduced",IF(ABS(E34)&lt;=0.01*3,"rounding","to check"))</f>
        <v>reproduced</v>
      </c>
    </row>
    <row r="35" customFormat="false" ht="15" hidden="false" customHeight="false" outlineLevel="0" collapsed="false">
      <c r="A35" s="0" t="s">
        <v>200</v>
      </c>
      <c r="B35" s="4" t="s">
        <v>201</v>
      </c>
      <c r="C35" s="0" t="n">
        <v>9</v>
      </c>
      <c r="D35" s="12" t="n">
        <f aca="false">'1. Assumptions'!B25</f>
        <v>9</v>
      </c>
      <c r="E35" s="33" t="n">
        <f aca="false">D35-C35</f>
        <v>0</v>
      </c>
      <c r="F35" s="0" t="str">
        <f aca="false">IF(ABS(E35)&lt;=0.01,"reproduced",IF(ABS(E35)&lt;=0.01*3,"rounding","to check"))</f>
        <v>reproduced</v>
      </c>
    </row>
    <row r="36" customFormat="false" ht="15" hidden="false" customHeight="false" outlineLevel="0" collapsed="false">
      <c r="A36" s="0" t="s">
        <v>202</v>
      </c>
      <c r="B36" s="4" t="s">
        <v>203</v>
      </c>
      <c r="C36" s="0" t="n">
        <v>133.4</v>
      </c>
      <c r="D36" s="16" t="n">
        <f aca="false">'3. Debt and cash'!I31</f>
        <v>133.422732212114</v>
      </c>
      <c r="E36" s="33" t="n">
        <f aca="false">D36-C36</f>
        <v>0.0227322121140787</v>
      </c>
      <c r="F36" s="0" t="str">
        <f aca="false">IF(ABS(E36)&lt;=0.5,"reproduced",IF(ABS(E36)&lt;=0.5*3,"rounding","to check"))</f>
        <v>reproduced</v>
      </c>
    </row>
    <row r="37" customFormat="false" ht="15" hidden="false" customHeight="false" outlineLevel="0" collapsed="false">
      <c r="A37" s="0" t="s">
        <v>202</v>
      </c>
      <c r="B37" s="4" t="s">
        <v>204</v>
      </c>
      <c r="C37" s="0" t="n">
        <v>2.49</v>
      </c>
      <c r="D37" s="19" t="n">
        <f aca="false">'4. Covenants'!D31</f>
        <v>2.49391584246902</v>
      </c>
      <c r="E37" s="33" t="n">
        <f aca="false">D37-C37</f>
        <v>0.00391584246901955</v>
      </c>
      <c r="F37" s="0" t="str">
        <f aca="false">IF(ABS(E37)&lt;=0.02,"reproduced",IF(ABS(E37)&lt;=0.02*3,"rounding","to check"))</f>
        <v>reproduced</v>
      </c>
    </row>
    <row r="38" customFormat="false" ht="15" hidden="false" customHeight="false" outlineLevel="0" collapsed="false">
      <c r="A38" s="5" t="s">
        <v>205</v>
      </c>
      <c r="B38" s="6" t="s">
        <v>206</v>
      </c>
      <c r="C38" s="5" t="n">
        <v>2.8</v>
      </c>
      <c r="D38" s="28" t="n">
        <f aca="false">'6. Clause by clause'!B13</f>
        <v>2.76812377929687</v>
      </c>
      <c r="E38" s="5" t="n">
        <f aca="false">D38-C38</f>
        <v>-0.0318762207031265</v>
      </c>
      <c r="F38" s="5" t="str">
        <f aca="false">IF(ABS(E38)&lt;=0.05,"reproduced",IF(ABS(E38)&lt;=0.05*3,"rounding","to check"))</f>
        <v>reproduced</v>
      </c>
    </row>
    <row r="39" customFormat="false" ht="15" hidden="false" customHeight="false" outlineLevel="0" collapsed="false">
      <c r="A39" s="5" t="s">
        <v>200</v>
      </c>
      <c r="B39" s="6" t="s">
        <v>207</v>
      </c>
      <c r="C39" s="5" t="n">
        <v>6</v>
      </c>
      <c r="D39" s="26" t="n">
        <f aca="false">'6. Clause by clause'!B8</f>
        <v>6</v>
      </c>
      <c r="E39" s="5" t="n">
        <f aca="false">D39-C39</f>
        <v>0</v>
      </c>
      <c r="F39" s="5" t="str">
        <f aca="false">IF(ABS(E39)&lt;=0.5,"reproduced",IF(ABS(E39)&lt;=0.5*3,"rounding","to check"))</f>
        <v>reproduced</v>
      </c>
    </row>
    <row r="40" customFormat="false" ht="28.35" hidden="false" customHeight="false" outlineLevel="0" collapsed="false">
      <c r="A40" s="5" t="s">
        <v>208</v>
      </c>
      <c r="B40" s="6" t="s">
        <v>209</v>
      </c>
      <c r="C40" s="5" t="n">
        <v>0.21</v>
      </c>
      <c r="D40" s="27" t="n">
        <f aca="false">'6. Clause by clause'!B10</f>
        <v>0.207634002170278</v>
      </c>
      <c r="E40" s="5" t="n">
        <f aca="false">D40-C40</f>
        <v>-0.00236599782972155</v>
      </c>
      <c r="F40" s="5" t="str">
        <f aca="false">IF(ABS(E40)&lt;=0.005,"reproduced",IF(ABS(E40)&lt;=0.005*3,"rounding","to check"))</f>
        <v>reproduced</v>
      </c>
    </row>
    <row r="41" customFormat="false" ht="28.35" hidden="false" customHeight="false" outlineLevel="0" collapsed="false">
      <c r="A41" s="5" t="s">
        <v>208</v>
      </c>
      <c r="B41" s="6" t="s">
        <v>210</v>
      </c>
      <c r="C41" s="5" t="n">
        <v>4.93</v>
      </c>
      <c r="D41" s="28" t="n">
        <f aca="false">'6. Clause by clause'!B14</f>
        <v>4.93211194133854</v>
      </c>
      <c r="E41" s="5" t="n">
        <f aca="false">D41-C41</f>
        <v>0.00211194133854065</v>
      </c>
      <c r="F41" s="5" t="str">
        <f aca="false">IF(ABS(E41)&lt;=0.005,"reproduced",IF(ABS(E41)&lt;=0.005*3,"rounding","to check"))</f>
        <v>reproduced</v>
      </c>
    </row>
    <row r="42" customFormat="false" ht="15" hidden="false" customHeight="false" outlineLevel="0" collapsed="false">
      <c r="A42" s="5" t="s">
        <v>208</v>
      </c>
      <c r="B42" s="6" t="s">
        <v>211</v>
      </c>
      <c r="C42" s="5" t="n">
        <v>1.23</v>
      </c>
      <c r="D42" s="28" t="n">
        <f aca="false">'6. Clause by clause'!B16</f>
        <v>1.23302798533464</v>
      </c>
      <c r="E42" s="5" t="n">
        <f aca="false">D42-C42</f>
        <v>0.00302798533463511</v>
      </c>
      <c r="F42" s="5" t="str">
        <f aca="false">IF(ABS(E42)&lt;=0.005,"reproduced",IF(ABS(E42)&lt;=0.005*3,"rounding","to check"))</f>
        <v>reproduced</v>
      </c>
    </row>
    <row r="43" customFormat="false" ht="15" hidden="false" customHeight="false" outlineLevel="0" collapsed="false">
      <c r="A43" s="5" t="s">
        <v>208</v>
      </c>
      <c r="B43" s="6" t="s">
        <v>212</v>
      </c>
      <c r="C43" s="5" t="n">
        <v>19</v>
      </c>
      <c r="D43" s="31" t="n">
        <f aca="false">'6. Clause by clause'!B29</f>
        <v>19</v>
      </c>
      <c r="E43" s="5" t="n">
        <f aca="false">D43-C43</f>
        <v>0</v>
      </c>
      <c r="F43" s="5" t="str">
        <f aca="false">IF(ABS(E43)&lt;=0.5,"reproduced",IF(ABS(E43)&lt;=0.5*3,"rounding","to check"))</f>
        <v>reproduced</v>
      </c>
    </row>
    <row r="44" customFormat="false" ht="28.35" hidden="false" customHeight="false" outlineLevel="0" collapsed="false">
      <c r="A44" s="5" t="s">
        <v>208</v>
      </c>
      <c r="B44" s="6" t="s">
        <v>213</v>
      </c>
      <c r="C44" s="5" t="n">
        <v>2.76</v>
      </c>
      <c r="D44" s="28" t="n">
        <f aca="false">'6. Clause by clause'!B30</f>
        <v>2.75882220956507</v>
      </c>
      <c r="E44" s="5" t="n">
        <f aca="false">D44-C44</f>
        <v>-0.00117779043493194</v>
      </c>
      <c r="F44" s="5" t="str">
        <f aca="false">IF(ABS(E44)&lt;=0.005,"reproduced",IF(ABS(E44)&lt;=0.005*3,"rounding","to check"))</f>
        <v>reproduced</v>
      </c>
    </row>
    <row r="45" customFormat="false" ht="28.35" hidden="false" customHeight="false" outlineLevel="0" collapsed="false">
      <c r="A45" s="5" t="s">
        <v>214</v>
      </c>
      <c r="B45" s="6" t="s">
        <v>215</v>
      </c>
      <c r="C45" s="5" t="n">
        <v>3.14</v>
      </c>
      <c r="D45" s="28" t="n">
        <f aca="false">'6. Clause by clause'!B18</f>
        <v>3.13895089285714</v>
      </c>
      <c r="E45" s="5" t="n">
        <f aca="false">D45-C45</f>
        <v>-0.00104910714285777</v>
      </c>
      <c r="F45" s="5" t="str">
        <f aca="false">IF(ABS(E45)&lt;=0.005,"reproduced",IF(ABS(E45)&lt;=0.005*3,"rounding","to check"))</f>
        <v>reproduced</v>
      </c>
    </row>
    <row r="46" customFormat="false" ht="15" hidden="false" customHeight="false" outlineLevel="0" collapsed="false">
      <c r="A46" s="5" t="s">
        <v>216</v>
      </c>
      <c r="B46" s="6" t="s">
        <v>217</v>
      </c>
      <c r="C46" s="5" t="n">
        <v>4.54</v>
      </c>
      <c r="D46" s="30" t="n">
        <f aca="false">'6. Clause by clause'!B20</f>
        <v>4.53767123287671</v>
      </c>
      <c r="E46" s="5" t="n">
        <f aca="false">D46-C46</f>
        <v>-0.00232876712328789</v>
      </c>
      <c r="F46" s="5" t="str">
        <f aca="false">IF(ABS(E46)&lt;=0.005,"reproduced",IF(ABS(E46)&lt;=0.005*3,"rounding","to check"))</f>
        <v>reproduced</v>
      </c>
    </row>
    <row r="47" customFormat="false" ht="15" hidden="false" customHeight="false" outlineLevel="0" collapsed="false">
      <c r="A47" s="5" t="s">
        <v>216</v>
      </c>
      <c r="B47" s="6" t="s">
        <v>135</v>
      </c>
      <c r="C47" s="5" t="n">
        <v>15</v>
      </c>
      <c r="D47" s="31" t="n">
        <f aca="false">'6. Clause by clause'!B22</f>
        <v>15</v>
      </c>
      <c r="E47" s="5" t="n">
        <f aca="false">D47-C47</f>
        <v>0</v>
      </c>
      <c r="F47" s="5" t="str">
        <f aca="false">IF(ABS(E47)&lt;=0.5,"reproduced",IF(ABS(E47)&lt;=0.5*3,"rounding","to check"))</f>
        <v>reproduced</v>
      </c>
    </row>
    <row r="48" customFormat="false" ht="28.35" hidden="false" customHeight="false" outlineLevel="0" collapsed="false">
      <c r="A48" s="5" t="s">
        <v>216</v>
      </c>
      <c r="B48" s="6" t="s">
        <v>218</v>
      </c>
      <c r="C48" s="5" t="n">
        <v>5</v>
      </c>
      <c r="D48" s="31" t="n">
        <f aca="false">'6. Clause by clause'!B21</f>
        <v>5</v>
      </c>
      <c r="E48" s="5" t="n">
        <f aca="false">D48-C48</f>
        <v>0</v>
      </c>
      <c r="F48" s="5" t="str">
        <f aca="false">IF(ABS(E48)&lt;=0.5,"reproduced",IF(ABS(E48)&lt;=0.5*3,"rounding","to check"))</f>
        <v>reproduced</v>
      </c>
    </row>
    <row r="49" customFormat="false" ht="15" hidden="false" customHeight="false" outlineLevel="0" collapsed="false">
      <c r="A49" s="5" t="s">
        <v>219</v>
      </c>
      <c r="B49" s="6" t="s">
        <v>220</v>
      </c>
      <c r="C49" s="5" t="n">
        <v>5.21</v>
      </c>
      <c r="D49" s="30" t="n">
        <f aca="false">'6. Clause by clause'!B25</f>
        <v>5.20580435706085</v>
      </c>
      <c r="E49" s="5" t="n">
        <f aca="false">D49-C49</f>
        <v>-0.00419564293915364</v>
      </c>
      <c r="F49" s="5" t="str">
        <f aca="false">IF(ABS(E49)&lt;=0.005,"reproduced",IF(ABS(E49)&lt;=0.005*3,"rounding","to check"))</f>
        <v>reproduced</v>
      </c>
    </row>
    <row r="50" customFormat="false" ht="28.35" hidden="false" customHeight="false" outlineLevel="0" collapsed="false">
      <c r="A50" s="5" t="s">
        <v>219</v>
      </c>
      <c r="B50" s="6" t="s">
        <v>221</v>
      </c>
      <c r="C50" s="5" t="n">
        <v>1</v>
      </c>
      <c r="D50" s="26" t="n">
        <f aca="false">'6. Clause by clause'!B27</f>
        <v>1</v>
      </c>
      <c r="E50" s="5" t="n">
        <f aca="false">D50-C50</f>
        <v>0</v>
      </c>
      <c r="F50" s="5" t="str">
        <f aca="false">IF(ABS(E50)&lt;=0.5,"reproduced",IF(ABS(E50)&lt;=0.5*3,"rounding","to check"))</f>
        <v>reproduced</v>
      </c>
    </row>
    <row r="51" customFormat="false" ht="15" hidden="false" customHeight="false" outlineLevel="0" collapsed="false">
      <c r="A51" s="5" t="s">
        <v>222</v>
      </c>
      <c r="B51" s="6" t="s">
        <v>223</v>
      </c>
      <c r="C51" s="5" t="n">
        <v>-2.46</v>
      </c>
      <c r="D51" s="28" t="n">
        <f aca="false">'4. Covenants'!G13</f>
        <v>-2.45532426369407</v>
      </c>
      <c r="E51" s="5" t="n">
        <f aca="false">D51-C51</f>
        <v>0.00467573630592977</v>
      </c>
      <c r="F51" s="5" t="str">
        <f aca="false">IF(ABS(E51)&lt;=0.01,"reproduced",IF(ABS(E51)&lt;=0.01*3,"rounding","to check"))</f>
        <v>reproduced</v>
      </c>
    </row>
    <row r="52" customFormat="false" ht="15" hidden="false" customHeight="false" outlineLevel="0" collapsed="false">
      <c r="A52" s="5" t="s">
        <v>222</v>
      </c>
      <c r="B52" s="6" t="s">
        <v>224</v>
      </c>
      <c r="C52" s="5" t="n">
        <v>-0.85</v>
      </c>
      <c r="D52" s="28" t="n">
        <f aca="false">'4. Covenants'!G14</f>
        <v>-0.848606512728601</v>
      </c>
      <c r="E52" s="5" t="n">
        <f aca="false">D52-C52</f>
        <v>0.00139348727139887</v>
      </c>
      <c r="F52" s="5" t="str">
        <f aca="false">IF(ABS(E52)&lt;=0.01,"reproduced",IF(ABS(E52)&lt;=0.01*3,"rounding","to check"))</f>
        <v>reproduced</v>
      </c>
    </row>
    <row r="53" customFormat="false" ht="15" hidden="false" customHeight="false" outlineLevel="0" collapsed="false">
      <c r="A53" s="5" t="s">
        <v>222</v>
      </c>
      <c r="B53" s="6" t="s">
        <v>225</v>
      </c>
      <c r="C53" s="5" t="n">
        <v>1.85</v>
      </c>
      <c r="D53" s="34" t="n">
        <f aca="false">'4. Covenants'!M13</f>
        <v>1.85117116826402</v>
      </c>
      <c r="E53" s="5" t="n">
        <f aca="false">D53-C53</f>
        <v>0.00117116826402008</v>
      </c>
      <c r="F53" s="5" t="str">
        <f aca="false">IF(ABS(E53)&lt;=0.01,"reproduced",IF(ABS(E53)&lt;=0.01*3,"rounding","to check"))</f>
        <v>reproduced</v>
      </c>
    </row>
    <row r="54" customFormat="false" ht="15" hidden="false" customHeight="false" outlineLevel="0" collapsed="false">
      <c r="A54" s="5" t="s">
        <v>222</v>
      </c>
      <c r="B54" s="6" t="s">
        <v>226</v>
      </c>
      <c r="C54" s="5" t="n">
        <v>1.99</v>
      </c>
      <c r="D54" s="34" t="n">
        <f aca="false">'4. Covenants'!M14</f>
        <v>1.99088219983112</v>
      </c>
      <c r="E54" s="5" t="n">
        <f aca="false">D54-C54</f>
        <v>0.00088219983111637</v>
      </c>
      <c r="F54" s="5" t="str">
        <f aca="false">IF(ABS(E54)&lt;=0.01,"reproduced",IF(ABS(E54)&lt;=0.01*3,"rounding","to check"))</f>
        <v>reproduced</v>
      </c>
    </row>
    <row r="55" customFormat="false" ht="15" hidden="false" customHeight="false" outlineLevel="0" collapsed="false">
      <c r="A55" s="5" t="s">
        <v>222</v>
      </c>
      <c r="B55" s="6" t="s">
        <v>227</v>
      </c>
      <c r="C55" s="5" t="n">
        <v>3.18</v>
      </c>
      <c r="D55" s="34" t="n">
        <f aca="false">'4. Covenants'!M22</f>
        <v>3.17786926538072</v>
      </c>
      <c r="E55" s="5" t="n">
        <f aca="false">D55-C55</f>
        <v>-0.00213073461927671</v>
      </c>
      <c r="F55" s="5" t="str">
        <f aca="false">IF(ABS(E55)&lt;=0.01,"reproduced",IF(ABS(E55)&lt;=0.01*3,"rounding","to check"))</f>
        <v>reproduced</v>
      </c>
    </row>
    <row r="56" customFormat="false" ht="15" hidden="false" customHeight="false" outlineLevel="0" collapsed="false">
      <c r="A56" s="5" t="s">
        <v>222</v>
      </c>
      <c r="B56" s="6" t="s">
        <v>228</v>
      </c>
      <c r="C56" s="5" t="n">
        <v>115.7</v>
      </c>
      <c r="D56" s="35" t="n">
        <f aca="false">'4. Covenants'!B23</f>
        <v>115.663910002549</v>
      </c>
      <c r="E56" s="5" t="n">
        <f aca="false">D56-C56</f>
        <v>-0.0360899974509863</v>
      </c>
      <c r="F56" s="5" t="str">
        <f aca="false">IF(ABS(E56)&lt;=0.05,"reproduced",IF(ABS(E56)&lt;=0.05*3,"rounding","to check"))</f>
        <v>reproduced</v>
      </c>
    </row>
    <row r="57" customFormat="false" ht="15" hidden="false" customHeight="false" outlineLevel="0" collapsed="false">
      <c r="A57" s="5" t="s">
        <v>202</v>
      </c>
      <c r="B57" s="6" t="s">
        <v>229</v>
      </c>
      <c r="C57" s="5" t="n">
        <v>42.1</v>
      </c>
      <c r="D57" s="28" t="n">
        <f aca="false">'3. Debt and cash'!J31</f>
        <v>42.145412377748</v>
      </c>
      <c r="E57" s="5" t="n">
        <f aca="false">D57-C57</f>
        <v>0.0454123777479509</v>
      </c>
      <c r="F57" s="5" t="str">
        <f aca="false">IF(ABS(E57)&lt;=0.05,"reproduced",IF(ABS(E57)&lt;=0.05*3,"rounding","to check"))</f>
        <v>reproduced</v>
      </c>
    </row>
    <row r="59" customFormat="false" ht="15" hidden="false" customHeight="false" outlineLevel="0" collapsed="false">
      <c r="A59" s="32" t="s">
        <v>230</v>
      </c>
      <c r="C59" s="32" t="n">
        <f aca="false">COUNTIF(F6:F57,"reproduced")</f>
        <v>52</v>
      </c>
    </row>
    <row r="60" customFormat="false" ht="15" hidden="false" customHeight="false" outlineLevel="0" collapsed="false">
      <c r="A60" s="32" t="s">
        <v>231</v>
      </c>
      <c r="C60" s="32" t="n">
        <f aca="false">COUNTIF(F6:F57,"rounding")</f>
        <v>0</v>
      </c>
    </row>
    <row r="61" customFormat="false" ht="15" hidden="false" customHeight="false" outlineLevel="0" collapsed="false">
      <c r="A61" s="32" t="s">
        <v>232</v>
      </c>
      <c r="C61" s="32" t="n">
        <f aca="false">COUNTIF(F6:F57,"to check")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2026-08-23T21:12:06Z</dcterms:created>
  <dc:creator>openpyxl</dc:creator>
  <dc:description/>
  <dc:language>en-US</dc:language>
  <cp:lastModifiedBy/>
  <dcterms:modified xsi:type="dcterms:W3CDTF">2026-09-23T21:32:22Z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