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Inputs" sheetId="2" state="visible" r:id="rId4"/>
    <sheet name="2. The two tests" sheetId="3" state="visible" r:id="rId5"/>
    <sheet name="4. The run-off moved" sheetId="4" state="visible" r:id="rId6"/>
    <sheet name="3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<sst xmlns="http://schemas.openxmlformats.org/spreadsheetml/2006/main" count="127" uniqueCount="111">
  <si>
    <t xml:space="preserve">Headroom and the add-back</t>
  </si>
  <si>
    <t xml:space="preserve">Companion workbook to How to Read a Credit Agreement — Julian R. Sterling</t>
  </si>
  <si>
    <t xml:space="preserve">What this workbook shows</t>
  </si>
  <si>
    <t xml:space="preserve">The same covenant tested twice — once on Consolidated EBITDA as defined, once on unadjusted EBITDA — so that the quarters in which the DEFINITION passes the test, and not the business, are visible.</t>
  </si>
  <si>
    <t xml:space="preserve">On the book's assumptions there are two such quarters: Q7 and Q8. The sheet finds them for you, and it will find different ones if you change the cap.</t>
  </si>
  <si>
    <t xml:space="preserve">The experiment worth running</t>
  </si>
  <si>
    <t xml:space="preserve">Set the cap to 100% on the Assumptions sheet of the companion facility workbook, or change it in cell B4 here. At 25% the Q8 disallowance disappears. At 15% the breach arrives a quarter earlier. The cap is not a detail.</t>
  </si>
  <si>
    <t xml:space="preserve">Then set the run-off to 12 quarters. The Q9 to Q11 default disappears entirely, because the add-back survives the covenant step-down.</t>
  </si>
  <si>
    <t xml:space="preserve">Why the cap is procyclical</t>
  </si>
  <si>
    <t xml:space="preserve">The cap is a percentage of unadjusted EBITDA, so the relief shrinks exactly in proportion to the problem it relieves. Column F shows the disallowance; it is zero while trading is good and largest at the trough.</t>
  </si>
  <si>
    <t xml:space="preserve">Revised 23 September 2026. Sheet 4 added: the run-off moved to 36 months, with the cap kept and with no cap, and the cap measured on EBITDA at closing. Chapter 28 says the 36-month run-off alone lets Q9 pass by 0.61; with the 20 per cent cap it kept, the pass is 0.41 (0.61 is Chapter 23's uncapped case). Net debt is now carried to four decimals. Fourteen checks.</t>
  </si>
  <si>
    <t xml:space="preserve">Inputs</t>
  </si>
  <si>
    <t xml:space="preserve">Add-back claimed each quarter (EUR m)</t>
  </si>
  <si>
    <t xml:space="preserve">Cap, as a % of unadjusted EBITDA</t>
  </si>
  <si>
    <t xml:space="preserve">The assumption that carries the answer</t>
  </si>
  <si>
    <t xml:space="preserve">Add-back runs off after (quarters)</t>
  </si>
  <si>
    <t xml:space="preserve">Net debt is taken from the facility workbook's path</t>
  </si>
  <si>
    <t xml:space="preserve">The same covenant, tested on the defined number and on the unadjusted one</t>
  </si>
  <si>
    <t xml:space="preserve">Quarter</t>
  </si>
  <si>
    <t xml:space="preserve">Unadjusted EBITDA</t>
  </si>
  <si>
    <t xml:space="preserve">Add-back claimed</t>
  </si>
  <si>
    <t xml:space="preserve">Cap</t>
  </si>
  <si>
    <t xml:space="preserve">Permitted</t>
  </si>
  <si>
    <t xml:space="preserve">Disallowed</t>
  </si>
  <si>
    <t xml:space="preserve">Consolidated EBITDA</t>
  </si>
  <si>
    <t xml:space="preserve">Net debt</t>
  </si>
  <si>
    <t xml:space="preserve">Covenant</t>
  </si>
  <si>
    <t xml:space="preserve">Ratio as defined</t>
  </si>
  <si>
    <t xml:space="preserve">Test</t>
  </si>
  <si>
    <t xml:space="preserve">Ratio unadjusted</t>
  </si>
  <si>
    <t xml:space="preserve">Is the definition what passes?</t>
  </si>
  <si>
    <t xml:space="preserve">Q1</t>
  </si>
  <si>
    <t xml:space="preserve">Q2</t>
  </si>
  <si>
    <t xml:space="preserve">Q3</t>
  </si>
  <si>
    <t xml:space="preserve">Q4</t>
  </si>
  <si>
    <t xml:space="preserve">Q5</t>
  </si>
  <si>
    <t xml:space="preserve">Q6</t>
  </si>
  <si>
    <t xml:space="preserve">Q7</t>
  </si>
  <si>
    <t xml:space="preserve">Q8</t>
  </si>
  <si>
    <t xml:space="preserve">Q9</t>
  </si>
  <si>
    <t xml:space="preserve">Q10</t>
  </si>
  <si>
    <t xml:space="preserve">Q11</t>
  </si>
  <si>
    <t xml:space="preserve">Q12</t>
  </si>
  <si>
    <t xml:space="preserve">Q13</t>
  </si>
  <si>
    <t xml:space="preserve">Q14</t>
  </si>
  <si>
    <t xml:space="preserve">Q15</t>
  </si>
  <si>
    <t xml:space="preserve">Q16</t>
  </si>
  <si>
    <t xml:space="preserve">Q17</t>
  </si>
  <si>
    <t xml:space="preserve">Q18</t>
  </si>
  <si>
    <t xml:space="preserve">Q19</t>
  </si>
  <si>
    <t xml:space="preserve">Q20</t>
  </si>
  <si>
    <t xml:space="preserve">Q21</t>
  </si>
  <si>
    <t xml:space="preserve">Q22</t>
  </si>
  <si>
    <t xml:space="preserve">Q23</t>
  </si>
  <si>
    <t xml:space="preserve">Q24</t>
  </si>
  <si>
    <t xml:space="preserve">Q25</t>
  </si>
  <si>
    <t xml:space="preserve">Q26</t>
  </si>
  <si>
    <t xml:space="preserve">Q27</t>
  </si>
  <si>
    <t xml:space="preserve">Q28</t>
  </si>
  <si>
    <t xml:space="preserve">The run-off moved, and the cap measured on another number</t>
  </si>
  <si>
    <t xml:space="preserve">Chapters 22, 23 and 28. Blue cells are inputs; the quarters, net debt and covenants come from sheet 2.</t>
  </si>
  <si>
    <t xml:space="preserve">Run-off moved to (quarters): Chapter 28's 36 months</t>
  </si>
  <si>
    <t xml:space="preserve">Cap kept, as a % of unadjusted EBITDA (sheet 1)</t>
  </si>
  <si>
    <t xml:space="preserve">EBITDA at closing, for a cap measured on it (Chapter 22)</t>
  </si>
  <si>
    <t xml:space="preserve">Add-back claimed with the run-off moved</t>
  </si>
  <si>
    <t xml:space="preserve">Permitted, cap kept</t>
  </si>
  <si>
    <t xml:space="preserve">Consolidated EBITDA, cap kept</t>
  </si>
  <si>
    <t xml:space="preserve">Leverage, cap kept</t>
  </si>
  <si>
    <t xml:space="preserve">Headroom, cap kept (EUR m)</t>
  </si>
  <si>
    <t xml:space="preserve">Permitted, no cap</t>
  </si>
  <si>
    <t xml:space="preserve">Leverage, no cap</t>
  </si>
  <si>
    <t xml:space="preserve">Headroom, no cap (EUR m)</t>
  </si>
  <si>
    <t xml:space="preserve">Q8 with the cap measured on EBITDA at closing (Chapter 22)</t>
  </si>
  <si>
    <t xml:space="preserve">Permitted add-back</t>
  </si>
  <si>
    <t xml:space="preserve">Leverage</t>
  </si>
  <si>
    <t xml:space="preserve">Headroom (EUR m)</t>
  </si>
  <si>
    <t xml:space="preserve">Headroom gained against the cap on current EBITDA</t>
  </si>
  <si>
    <t xml:space="preserve">Chapter 23 lets the add-back run uncapped for 36 months: Q9 passes by 0.61. Chapter 28 moves only the run-off and keeps the 20 per cent cap: at Q9 the cap allows 4.00 of the 4.20, and the test passes by 0.41, not 0.61. Q10 and Q11 pass either way.</t>
  </si>
  <si>
    <t xml:space="preserve">Checks — every figure the book prints, against what this workbook computes</t>
  </si>
  <si>
    <t xml:space="preserve">How to Read a Credit Agreement — Julian R. Sterling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</si>
  <si>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</si>
  <si>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</si>
  <si>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</si>
  <si>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</si>
  <si>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</si>
  <si>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</si>
  <si>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</si>
  <si>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</si>
  <si>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4</t>
  </si>
  <si>
    <t xml:space="preserve">Q8 — add-back permitted after the cap (EUR m)</t>
  </si>
  <si>
    <t xml:space="preserve">Ratios are checked to 0.005, amounts to the precision printed.</t>
  </si>
  <si>
    <t xml:space="preserve">Q8 — add-back disallowed (EUR m)</t>
  </si>
  <si>
    <t xml:space="preserve">Q7 — ratio on unadjusted EBITDA</t>
  </si>
  <si>
    <t xml:space="preserve">Q8 — ratio on unadjusted EBITDA</t>
  </si>
  <si>
    <t xml:space="preserve">Q7 — ratio as defined</t>
  </si>
  <si>
    <t xml:space="preserve">Q8 — ratio as defined</t>
  </si>
  <si>
    <t xml:space="preserve">Q9 — Consolidated EBITDA with the add-back run off (EUR m)</t>
  </si>
  <si>
    <t xml:space="preserve">Q9 — unadjusted EBITDA is higher than Q8 (EUR m)</t>
  </si>
  <si>
    <t xml:space="preserve">Ch. 1</t>
  </si>
  <si>
    <t xml:space="preserve">Q1 — Consolidated EBITDA (EUR m)</t>
  </si>
  <si>
    <t xml:space="preserve">Ch. 23</t>
  </si>
  <si>
    <t xml:space="preserve">Q9 headroom, add-back uncapped and run off after 36 months (EUR m)</t>
  </si>
  <si>
    <t xml:space="preserve">Q9 leverage, same terms</t>
  </si>
  <si>
    <t xml:space="preserve">Ch. 28</t>
  </si>
  <si>
    <t xml:space="preserve">Q9 headroom, 36-month run-off, 20% cap kept (revised; the first edition printed 0.61)</t>
  </si>
  <si>
    <t xml:space="preserve">Ch. 22</t>
  </si>
  <si>
    <t xml:space="preserve">Q8 leverage, cap on EBITDA at closing</t>
  </si>
  <si>
    <t xml:space="preserve">Q8 headroom, cap on EBITDA at closing (EUR m)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</si>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</sst>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0%"/>
    <numFmt numFmtId="167" formatCode="0"/>
    <numFmt numFmtId="168" formatCode="#,##0.0"/>
    <numFmt numFmtId="169" formatCode="#,##0.0000"/>
    <numFmt numFmtId="170" formatCode="0.00"/>
    <numFmt numFmtId="171" formatCode="0.00\x"/>
    <numFmt numFmtId="172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4"/>
      <color rgb="FF1F3864"/>
      <name val="Calibri"/>
      <family val="0"/>
      <charset val="1"/>
    </font>
    <font>
      <sz val="9"/>
      <color rgb="FF555555"/>
      <name val="Calibri"/>
      <family val="0"/>
      <charset val="1"/>
    </font>
    <font>
      <sz val="11"/>
      <color rgb="FF1F4E79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0"/>
      <color rgb="FF1F3864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5.5" hidden="false" customHeight="true" outlineLevel="0" collapsed="false">
      <c r="A5" s="4" t="s">
        <v>3</v>
      </c>
    </row>
    <row r="6" customFormat="false" ht="25.5" hidden="false" customHeight="true" outlineLevel="0" collapsed="false">
      <c r="A6" s="4" t="s">
        <v>4</v>
      </c>
    </row>
    <row r="8" customFormat="false" ht="15" hidden="false" customHeight="false" outlineLevel="0" collapsed="false">
      <c r="A8" s="3" t="s">
        <v>5</v>
      </c>
    </row>
    <row r="9" customFormat="false" ht="39" hidden="false" customHeight="true" outlineLevel="0" collapsed="false">
      <c r="A9" s="4" t="s">
        <v>6</v>
      </c>
    </row>
    <row r="10" customFormat="false" ht="25.5" hidden="false" customHeight="true" outlineLevel="0" collapsed="false">
      <c r="A10" s="4" t="s">
        <v>7</v>
      </c>
    </row>
    <row r="12" customFormat="false" ht="15" hidden="false" customHeight="false" outlineLevel="0" collapsed="false">
      <c r="A12" s="3" t="s">
        <v>8</v>
      </c>
    </row>
    <row r="13" customFormat="false" ht="39" hidden="false" customHeight="true" outlineLevel="0" collapsed="false">
      <c r="A13" s="4" t="s">
        <v>9</v>
      </c>
    </row>
    <row r="15" customFormat="false" ht="41.75" hidden="false" customHeight="false" outlineLevel="0" collapsed="false">
      <c r="A15" s="5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6" t="s">
        <v>11</v>
      </c>
    </row>
    <row r="3" customFormat="false" ht="15" hidden="false" customHeight="false" outlineLevel="0" collapsed="false">
      <c r="A3" s="0" t="s">
        <v>12</v>
      </c>
      <c r="B3" s="7" t="n">
        <v>4.2</v>
      </c>
    </row>
    <row r="4" customFormat="false" ht="15" hidden="false" customHeight="false" outlineLevel="0" collapsed="false">
      <c r="A4" s="8" t="s">
        <v>13</v>
      </c>
      <c r="B4" s="9" t="n">
        <v>0.2</v>
      </c>
      <c r="C4" s="2" t="s">
        <v>14</v>
      </c>
    </row>
    <row r="5" customFormat="false" ht="15" hidden="false" customHeight="false" outlineLevel="0" collapsed="false">
      <c r="A5" s="0" t="s">
        <v>15</v>
      </c>
      <c r="B5" s="10" t="n">
        <v>8</v>
      </c>
    </row>
    <row r="6" customFormat="false" ht="15" hidden="false" customHeight="false" outlineLevel="0" collapsed="false">
      <c r="A6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3" min="3" style="0" width="17"/>
    <col collapsed="false" customWidth="true" hidden="false" outlineLevel="0" max="5" min="4" style="0" width="11"/>
    <col collapsed="false" customWidth="true" hidden="false" outlineLevel="0" max="6" min="6" style="0" width="12"/>
    <col collapsed="false" customWidth="true" hidden="false" outlineLevel="0" max="7" min="7" style="0" width="20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16"/>
    <col collapsed="false" customWidth="true" hidden="false" outlineLevel="0" max="11" min="11" style="0" width="9"/>
    <col collapsed="false" customWidth="true" hidden="false" outlineLevel="0" max="12" min="12" style="0" width="16"/>
    <col collapsed="false" customWidth="true" hidden="false" outlineLevel="0" max="13" min="13" style="0" width="9"/>
    <col collapsed="false" customWidth="true" hidden="false" outlineLevel="0" max="14" min="14" style="0" width="26"/>
  </cols>
  <sheetData>
    <row r="1" customFormat="false" ht="16.15" hidden="false" customHeight="false" outlineLevel="0" collapsed="false">
      <c r="A1" s="6" t="s">
        <v>17</v>
      </c>
    </row>
    <row r="3" customFormat="false" ht="28.35" hidden="false" customHeight="false" outlineLevel="0" collapsed="false">
      <c r="A3" s="11" t="s">
        <v>18</v>
      </c>
      <c r="B3" s="11" t="s">
        <v>19</v>
      </c>
      <c r="C3" s="11" t="s">
        <v>20</v>
      </c>
      <c r="D3" s="11" t="s">
        <v>21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11" t="s">
        <v>29</v>
      </c>
      <c r="M3" s="11" t="s">
        <v>28</v>
      </c>
      <c r="N3" s="11" t="s">
        <v>30</v>
      </c>
    </row>
    <row r="4" customFormat="false" ht="15" hidden="false" customHeight="false" outlineLevel="0" collapsed="false">
      <c r="A4" s="0" t="s">
        <v>31</v>
      </c>
      <c r="B4" s="12" t="n">
        <v>25</v>
      </c>
      <c r="C4" s="13" t="n">
        <f aca="false">IF(1&lt;='1. Inputs'!$B$5,'1. Inputs'!$B$3,0)</f>
        <v>4.2</v>
      </c>
      <c r="D4" s="13" t="n">
        <f aca="false">'1. Inputs'!$B$4*B4</f>
        <v>5</v>
      </c>
      <c r="E4" s="13" t="n">
        <f aca="false">MIN(C4,D4)</f>
        <v>4.2</v>
      </c>
      <c r="F4" s="13" t="n">
        <f aca="false">C4-E4</f>
        <v>0</v>
      </c>
      <c r="G4" s="13" t="n">
        <f aca="false">B4+E4</f>
        <v>29.2</v>
      </c>
      <c r="H4" s="14" t="n">
        <v>131.8359</v>
      </c>
      <c r="I4" s="15" t="n">
        <v>6</v>
      </c>
      <c r="J4" s="15" t="n">
        <f aca="false">H4/G4</f>
        <v>4.51492808219178</v>
      </c>
      <c r="K4" s="0" t="str">
        <f aca="false">IF(J4&gt;I4,"BREACH","pass")</f>
        <v>pass</v>
      </c>
      <c r="L4" s="15" t="n">
        <f aca="false">H4/B4</f>
        <v>5.273436</v>
      </c>
      <c r="M4" s="0" t="str">
        <f aca="false">IF(L4&gt;I4,"BREACH","pass")</f>
        <v>pass</v>
      </c>
      <c r="N4" s="0" t="str">
        <f aca="false">IF(AND(J4&lt;=I4,L4&gt;I4),"YES — the add-back is the covenant","")</f>
        <v/>
      </c>
    </row>
    <row r="5" customFormat="false" ht="15" hidden="false" customHeight="false" outlineLevel="0" collapsed="false">
      <c r="A5" s="0" t="s">
        <v>32</v>
      </c>
      <c r="B5" s="12" t="n">
        <v>25.4</v>
      </c>
      <c r="C5" s="13" t="n">
        <f aca="false">IF(2&lt;='1. Inputs'!$B$5,'1. Inputs'!$B$3,0)</f>
        <v>4.2</v>
      </c>
      <c r="D5" s="13" t="n">
        <f aca="false">'1. Inputs'!$B$4*B5</f>
        <v>5.08</v>
      </c>
      <c r="E5" s="13" t="n">
        <f aca="false">MIN(C5,D5)</f>
        <v>4.2</v>
      </c>
      <c r="F5" s="13" t="n">
        <f aca="false">C5-E5</f>
        <v>0</v>
      </c>
      <c r="G5" s="13" t="n">
        <f aca="false">B5+E5</f>
        <v>29.6</v>
      </c>
      <c r="H5" s="14" t="n">
        <v>131.0719</v>
      </c>
      <c r="I5" s="15" t="n">
        <v>6</v>
      </c>
      <c r="J5" s="15" t="n">
        <f aca="false">H5/G5</f>
        <v>4.42810472972973</v>
      </c>
      <c r="K5" s="0" t="str">
        <f aca="false">IF(J5&gt;I5,"BREACH","pass")</f>
        <v>pass</v>
      </c>
      <c r="L5" s="15" t="n">
        <f aca="false">H5/B5</f>
        <v>5.16031102362205</v>
      </c>
      <c r="M5" s="0" t="str">
        <f aca="false">IF(L5&gt;I5,"BREACH","pass")</f>
        <v>pass</v>
      </c>
      <c r="N5" s="0" t="str">
        <f aca="false">IF(AND(J5&lt;=I5,L5&gt;I5),"YES — the add-back is the covenant","")</f>
        <v/>
      </c>
    </row>
    <row r="6" customFormat="false" ht="15" hidden="false" customHeight="false" outlineLevel="0" collapsed="false">
      <c r="A6" s="0" t="s">
        <v>33</v>
      </c>
      <c r="B6" s="12" t="n">
        <v>25.7</v>
      </c>
      <c r="C6" s="13" t="n">
        <f aca="false">IF(3&lt;='1. Inputs'!$B$5,'1. Inputs'!$B$3,0)</f>
        <v>4.2</v>
      </c>
      <c r="D6" s="13" t="n">
        <f aca="false">'1. Inputs'!$B$4*B6</f>
        <v>5.14</v>
      </c>
      <c r="E6" s="13" t="n">
        <f aca="false">MIN(C6,D6)</f>
        <v>4.2</v>
      </c>
      <c r="F6" s="13" t="n">
        <f aca="false">C6-E6</f>
        <v>0</v>
      </c>
      <c r="G6" s="13" t="n">
        <f aca="false">B6+E6</f>
        <v>29.9</v>
      </c>
      <c r="H6" s="14" t="n">
        <v>130.2219</v>
      </c>
      <c r="I6" s="15" t="n">
        <v>6</v>
      </c>
      <c r="J6" s="15" t="n">
        <f aca="false">H6/G6</f>
        <v>4.3552474916388</v>
      </c>
      <c r="K6" s="0" t="str">
        <f aca="false">IF(J6&gt;I6,"BREACH","pass")</f>
        <v>pass</v>
      </c>
      <c r="L6" s="15" t="n">
        <f aca="false">H6/B6</f>
        <v>5.067</v>
      </c>
      <c r="M6" s="0" t="str">
        <f aca="false">IF(L6&gt;I6,"BREACH","pass")</f>
        <v>pass</v>
      </c>
      <c r="N6" s="0" t="str">
        <f aca="false">IF(AND(J6&lt;=I6,L6&gt;I6),"YES — the add-back is the covenant","")</f>
        <v/>
      </c>
    </row>
    <row r="7" customFormat="false" ht="15" hidden="false" customHeight="false" outlineLevel="0" collapsed="false">
      <c r="A7" s="0" t="s">
        <v>34</v>
      </c>
      <c r="B7" s="12" t="n">
        <v>25.9</v>
      </c>
      <c r="C7" s="13" t="n">
        <f aca="false">IF(4&lt;='1. Inputs'!$B$5,'1. Inputs'!$B$3,0)</f>
        <v>4.2</v>
      </c>
      <c r="D7" s="13" t="n">
        <f aca="false">'1. Inputs'!$B$4*B7</f>
        <v>5.18</v>
      </c>
      <c r="E7" s="13" t="n">
        <f aca="false">MIN(C7,D7)</f>
        <v>4.2</v>
      </c>
      <c r="F7" s="13" t="n">
        <f aca="false">C7-E7</f>
        <v>0</v>
      </c>
      <c r="G7" s="13" t="n">
        <f aca="false">B7+E7</f>
        <v>30.1</v>
      </c>
      <c r="H7" s="14" t="n">
        <v>129.2719</v>
      </c>
      <c r="I7" s="15" t="n">
        <v>6</v>
      </c>
      <c r="J7" s="15" t="n">
        <f aca="false">H7/G7</f>
        <v>4.29474750830565</v>
      </c>
      <c r="K7" s="0" t="str">
        <f aca="false">IF(J7&gt;I7,"BREACH","pass")</f>
        <v>pass</v>
      </c>
      <c r="L7" s="15" t="n">
        <f aca="false">H7/B7</f>
        <v>4.99119305019305</v>
      </c>
      <c r="M7" s="0" t="str">
        <f aca="false">IF(L7&gt;I7,"BREACH","pass")</f>
        <v>pass</v>
      </c>
      <c r="N7" s="0" t="str">
        <f aca="false">IF(AND(J7&lt;=I7,L7&gt;I7),"YES — the add-back is the covenant","")</f>
        <v/>
      </c>
    </row>
    <row r="8" customFormat="false" ht="15" hidden="false" customHeight="false" outlineLevel="0" collapsed="false">
      <c r="A8" s="0" t="s">
        <v>35</v>
      </c>
      <c r="B8" s="12" t="n">
        <v>25.2</v>
      </c>
      <c r="C8" s="13" t="n">
        <f aca="false">IF(5&lt;='1. Inputs'!$B$5,'1. Inputs'!$B$3,0)</f>
        <v>4.2</v>
      </c>
      <c r="D8" s="13" t="n">
        <f aca="false">'1. Inputs'!$B$4*B8</f>
        <v>5.04</v>
      </c>
      <c r="E8" s="13" t="n">
        <f aca="false">MIN(C8,D8)</f>
        <v>4.2</v>
      </c>
      <c r="F8" s="13" t="n">
        <f aca="false">C8-E8</f>
        <v>0</v>
      </c>
      <c r="G8" s="13" t="n">
        <f aca="false">B8+E8</f>
        <v>29.4</v>
      </c>
      <c r="H8" s="14" t="n">
        <v>128.5057</v>
      </c>
      <c r="I8" s="15" t="n">
        <v>5.75</v>
      </c>
      <c r="J8" s="15" t="n">
        <f aca="false">H8/G8</f>
        <v>4.37094217687075</v>
      </c>
      <c r="K8" s="0" t="str">
        <f aca="false">IF(J8&gt;I8,"BREACH","pass")</f>
        <v>pass</v>
      </c>
      <c r="L8" s="15" t="n">
        <f aca="false">H8/B8</f>
        <v>5.09943253968254</v>
      </c>
      <c r="M8" s="0" t="str">
        <f aca="false">IF(L8&gt;I8,"BREACH","pass")</f>
        <v>pass</v>
      </c>
      <c r="N8" s="0" t="str">
        <f aca="false">IF(AND(J8&lt;=I8,L8&gt;I8),"YES — the add-back is the covenant","")</f>
        <v/>
      </c>
    </row>
    <row r="9" customFormat="false" ht="15" hidden="false" customHeight="false" outlineLevel="0" collapsed="false">
      <c r="A9" s="0" t="s">
        <v>36</v>
      </c>
      <c r="B9" s="12" t="n">
        <v>23.6</v>
      </c>
      <c r="C9" s="13" t="n">
        <f aca="false">IF(6&lt;='1. Inputs'!$B$5,'1. Inputs'!$B$3,0)</f>
        <v>4.2</v>
      </c>
      <c r="D9" s="13" t="n">
        <f aca="false">'1. Inputs'!$B$4*B9</f>
        <v>4.72</v>
      </c>
      <c r="E9" s="13" t="n">
        <f aca="false">MIN(C9,D9)</f>
        <v>4.2</v>
      </c>
      <c r="F9" s="13" t="n">
        <f aca="false">C9-E9</f>
        <v>0</v>
      </c>
      <c r="G9" s="13" t="n">
        <f aca="false">B9+E9</f>
        <v>27.8</v>
      </c>
      <c r="H9" s="14" t="n">
        <v>128.1396</v>
      </c>
      <c r="I9" s="15" t="n">
        <v>5.75</v>
      </c>
      <c r="J9" s="15" t="n">
        <f aca="false">H9/G9</f>
        <v>4.6093381294964</v>
      </c>
      <c r="K9" s="0" t="str">
        <f aca="false">IF(J9&gt;I9,"BREACH","pass")</f>
        <v>pass</v>
      </c>
      <c r="L9" s="15" t="n">
        <f aca="false">H9/B9</f>
        <v>5.42964406779661</v>
      </c>
      <c r="M9" s="0" t="str">
        <f aca="false">IF(L9&gt;I9,"BREACH","pass")</f>
        <v>pass</v>
      </c>
      <c r="N9" s="0" t="str">
        <f aca="false">IF(AND(J9&lt;=I9,L9&gt;I9),"YES — the add-back is the covenant","")</f>
        <v/>
      </c>
    </row>
    <row r="10" customFormat="false" ht="15" hidden="false" customHeight="false" outlineLevel="0" collapsed="false">
      <c r="A10" s="0" t="s">
        <v>37</v>
      </c>
      <c r="B10" s="12" t="n">
        <v>21.5</v>
      </c>
      <c r="C10" s="13" t="n">
        <f aca="false">IF(7&lt;='1. Inputs'!$B$5,'1. Inputs'!$B$3,0)</f>
        <v>4.2</v>
      </c>
      <c r="D10" s="13" t="n">
        <f aca="false">'1. Inputs'!$B$4*B10</f>
        <v>4.3</v>
      </c>
      <c r="E10" s="13" t="n">
        <f aca="false">MIN(C10,D10)</f>
        <v>4.2</v>
      </c>
      <c r="F10" s="13" t="n">
        <f aca="false">C10-E10</f>
        <v>0</v>
      </c>
      <c r="G10" s="13" t="n">
        <f aca="false">B10+E10</f>
        <v>25.7</v>
      </c>
      <c r="H10" s="14" t="n">
        <v>128.3589</v>
      </c>
      <c r="I10" s="15" t="n">
        <v>5.75</v>
      </c>
      <c r="J10" s="15" t="n">
        <f aca="false">H10/G10</f>
        <v>4.99450972762646</v>
      </c>
      <c r="K10" s="0" t="str">
        <f aca="false">IF(J10&gt;I10,"BREACH","pass")</f>
        <v>pass</v>
      </c>
      <c r="L10" s="15" t="n">
        <f aca="false">H10/B10</f>
        <v>5.97018139534884</v>
      </c>
      <c r="M10" s="0" t="str">
        <f aca="false">IF(L10&gt;I10,"BREACH","pass")</f>
        <v>BREACH</v>
      </c>
      <c r="N10" s="0" t="str">
        <f aca="false">IF(AND(J10&lt;=I10,L10&gt;I10),"YES — the add-back is the covenant","")</f>
        <v>YES — the add-back is the covenant</v>
      </c>
    </row>
    <row r="11" customFormat="false" ht="15" hidden="false" customHeight="false" outlineLevel="0" collapsed="false">
      <c r="A11" s="0" t="s">
        <v>38</v>
      </c>
      <c r="B11" s="12" t="n">
        <v>19.4</v>
      </c>
      <c r="C11" s="13" t="n">
        <f aca="false">IF(8&lt;='1. Inputs'!$B$5,'1. Inputs'!$B$3,0)</f>
        <v>4.2</v>
      </c>
      <c r="D11" s="13" t="n">
        <f aca="false">'1. Inputs'!$B$4*B11</f>
        <v>3.88</v>
      </c>
      <c r="E11" s="13" t="n">
        <f aca="false">MIN(C11,D11)</f>
        <v>3.88</v>
      </c>
      <c r="F11" s="13" t="n">
        <f aca="false">C11-E11</f>
        <v>0.32</v>
      </c>
      <c r="G11" s="13" t="n">
        <f aca="false">B11+E11</f>
        <v>23.28</v>
      </c>
      <c r="H11" s="14" t="n">
        <v>129.0782</v>
      </c>
      <c r="I11" s="15" t="n">
        <v>5.75</v>
      </c>
      <c r="J11" s="15" t="n">
        <f aca="false">H11/G11</f>
        <v>5.54459621993127</v>
      </c>
      <c r="K11" s="0" t="str">
        <f aca="false">IF(J11&gt;I11,"BREACH","pass")</f>
        <v>pass</v>
      </c>
      <c r="L11" s="15" t="n">
        <f aca="false">H11/B11</f>
        <v>6.65351546391753</v>
      </c>
      <c r="M11" s="0" t="str">
        <f aca="false">IF(L11&gt;I11,"BREACH","pass")</f>
        <v>BREACH</v>
      </c>
      <c r="N11" s="0" t="str">
        <f aca="false">IF(AND(J11&lt;=I11,L11&gt;I11),"YES — the add-back is the covenant","")</f>
        <v>YES — the add-back is the covenant</v>
      </c>
    </row>
    <row r="12" customFormat="false" ht="15" hidden="false" customHeight="false" outlineLevel="0" collapsed="false">
      <c r="A12" s="0" t="s">
        <v>39</v>
      </c>
      <c r="B12" s="12" t="n">
        <v>20</v>
      </c>
      <c r="C12" s="13" t="n">
        <f aca="false">IF(9&lt;='1. Inputs'!$B$5,'1. Inputs'!$B$3,0)</f>
        <v>0</v>
      </c>
      <c r="D12" s="13" t="n">
        <f aca="false">'1. Inputs'!$B$4*B12</f>
        <v>4</v>
      </c>
      <c r="E12" s="13" t="n">
        <f aca="false">MIN(C12,D12)</f>
        <v>0</v>
      </c>
      <c r="F12" s="13" t="n">
        <f aca="false">C12-E12</f>
        <v>0</v>
      </c>
      <c r="G12" s="13" t="n">
        <f aca="false">B12+E12</f>
        <v>20</v>
      </c>
      <c r="H12" s="14" t="n">
        <v>129.7412</v>
      </c>
      <c r="I12" s="15" t="n">
        <v>5.5</v>
      </c>
      <c r="J12" s="15" t="n">
        <f aca="false">H12/G12</f>
        <v>6.48706</v>
      </c>
      <c r="K12" s="0" t="str">
        <f aca="false">IF(J12&gt;I12,"BREACH","pass")</f>
        <v>BREACH</v>
      </c>
      <c r="L12" s="15" t="n">
        <f aca="false">H12/B12</f>
        <v>6.48706</v>
      </c>
      <c r="M12" s="0" t="str">
        <f aca="false">IF(L12&gt;I12,"BREACH","pass")</f>
        <v>BREACH</v>
      </c>
      <c r="N12" s="0" t="str">
        <f aca="false">IF(AND(J12&lt;=I12,L12&gt;I12),"YES — the add-back is the covenant","")</f>
        <v/>
      </c>
    </row>
    <row r="13" customFormat="false" ht="15" hidden="false" customHeight="false" outlineLevel="0" collapsed="false">
      <c r="A13" s="0" t="s">
        <v>40</v>
      </c>
      <c r="B13" s="12" t="n">
        <v>21.2</v>
      </c>
      <c r="C13" s="13" t="n">
        <f aca="false">IF(10&lt;='1. Inputs'!$B$5,'1. Inputs'!$B$3,0)</f>
        <v>0</v>
      </c>
      <c r="D13" s="13" t="n">
        <f aca="false">'1. Inputs'!$B$4*B13</f>
        <v>4.24</v>
      </c>
      <c r="E13" s="13" t="n">
        <f aca="false">MIN(C13,D13)</f>
        <v>0</v>
      </c>
      <c r="F13" s="13" t="n">
        <f aca="false">C13-E13</f>
        <v>0</v>
      </c>
      <c r="G13" s="13" t="n">
        <f aca="false">B13+E13</f>
        <v>21.2</v>
      </c>
      <c r="H13" s="14" t="n">
        <v>130.1043</v>
      </c>
      <c r="I13" s="15" t="n">
        <v>5.5</v>
      </c>
      <c r="J13" s="15" t="n">
        <f aca="false">H13/G13</f>
        <v>6.13699528301887</v>
      </c>
      <c r="K13" s="0" t="str">
        <f aca="false">IF(J13&gt;I13,"BREACH","pass")</f>
        <v>BREACH</v>
      </c>
      <c r="L13" s="15" t="n">
        <f aca="false">H13/B13</f>
        <v>6.13699528301887</v>
      </c>
      <c r="M13" s="0" t="str">
        <f aca="false">IF(L13&gt;I13,"BREACH","pass")</f>
        <v>BREACH</v>
      </c>
      <c r="N13" s="0" t="str">
        <f aca="false">IF(AND(J13&lt;=I13,L13&gt;I13),"YES — the add-back is the covenant","")</f>
        <v/>
      </c>
    </row>
    <row r="14" customFormat="false" ht="15" hidden="false" customHeight="false" outlineLevel="0" collapsed="false">
      <c r="A14" s="0" t="s">
        <v>41</v>
      </c>
      <c r="B14" s="12" t="n">
        <v>22.8</v>
      </c>
      <c r="C14" s="13" t="n">
        <f aca="false">IF(11&lt;='1. Inputs'!$B$5,'1. Inputs'!$B$3,0)</f>
        <v>0</v>
      </c>
      <c r="D14" s="13" t="n">
        <f aca="false">'1. Inputs'!$B$4*B14</f>
        <v>4.56</v>
      </c>
      <c r="E14" s="13" t="n">
        <f aca="false">MIN(C14,D14)</f>
        <v>0</v>
      </c>
      <c r="F14" s="13" t="n">
        <f aca="false">C14-E14</f>
        <v>0</v>
      </c>
      <c r="G14" s="13" t="n">
        <f aca="false">B14+E14</f>
        <v>22.8</v>
      </c>
      <c r="H14" s="14" t="n">
        <v>130.0673</v>
      </c>
      <c r="I14" s="15" t="n">
        <v>5.5</v>
      </c>
      <c r="J14" s="15" t="n">
        <f aca="false">H14/G14</f>
        <v>5.70470614035088</v>
      </c>
      <c r="K14" s="0" t="str">
        <f aca="false">IF(J14&gt;I14,"BREACH","pass")</f>
        <v>BREACH</v>
      </c>
      <c r="L14" s="15" t="n">
        <f aca="false">H14/B14</f>
        <v>5.70470614035088</v>
      </c>
      <c r="M14" s="0" t="str">
        <f aca="false">IF(L14&gt;I14,"BREACH","pass")</f>
        <v>BREACH</v>
      </c>
      <c r="N14" s="0" t="str">
        <f aca="false">IF(AND(J14&lt;=I14,L14&gt;I14),"YES — the add-back is the covenant","")</f>
        <v/>
      </c>
    </row>
    <row r="15" customFormat="false" ht="15" hidden="false" customHeight="false" outlineLevel="0" collapsed="false">
      <c r="A15" s="0" t="s">
        <v>42</v>
      </c>
      <c r="B15" s="12" t="n">
        <v>24.3</v>
      </c>
      <c r="C15" s="13" t="n">
        <f aca="false">IF(12&lt;='1. Inputs'!$B$5,'1. Inputs'!$B$3,0)</f>
        <v>0</v>
      </c>
      <c r="D15" s="13" t="n">
        <f aca="false">'1. Inputs'!$B$4*B15</f>
        <v>4.86</v>
      </c>
      <c r="E15" s="13" t="n">
        <f aca="false">MIN(C15,D15)</f>
        <v>0</v>
      </c>
      <c r="F15" s="13" t="n">
        <f aca="false">C15-E15</f>
        <v>0</v>
      </c>
      <c r="G15" s="13" t="n">
        <f aca="false">B15+E15</f>
        <v>24.3</v>
      </c>
      <c r="H15" s="14" t="n">
        <v>129.6304</v>
      </c>
      <c r="I15" s="15" t="n">
        <v>5.5</v>
      </c>
      <c r="J15" s="15" t="n">
        <f aca="false">H15/G15</f>
        <v>5.33458436213992</v>
      </c>
      <c r="K15" s="0" t="str">
        <f aca="false">IF(J15&gt;I15,"BREACH","pass")</f>
        <v>pass</v>
      </c>
      <c r="L15" s="15" t="n">
        <f aca="false">H15/B15</f>
        <v>5.33458436213992</v>
      </c>
      <c r="M15" s="0" t="str">
        <f aca="false">IF(L15&gt;I15,"BREACH","pass")</f>
        <v>pass</v>
      </c>
      <c r="N15" s="0" t="str">
        <f aca="false">IF(AND(J15&lt;=I15,L15&gt;I15),"YES — the add-back is the covenant","")</f>
        <v/>
      </c>
    </row>
    <row r="16" customFormat="false" ht="15" hidden="false" customHeight="false" outlineLevel="0" collapsed="false">
      <c r="A16" s="0" t="s">
        <v>43</v>
      </c>
      <c r="B16" s="12" t="n">
        <v>25.7</v>
      </c>
      <c r="C16" s="13" t="n">
        <f aca="false">IF(13&lt;='1. Inputs'!$B$5,'1. Inputs'!$B$3,0)</f>
        <v>0</v>
      </c>
      <c r="D16" s="13" t="n">
        <f aca="false">'1. Inputs'!$B$4*B16</f>
        <v>5.14</v>
      </c>
      <c r="E16" s="13" t="n">
        <f aca="false">MIN(C16,D16)</f>
        <v>0</v>
      </c>
      <c r="F16" s="13" t="n">
        <f aca="false">C16-E16</f>
        <v>0</v>
      </c>
      <c r="G16" s="13" t="n">
        <f aca="false">B16+E16</f>
        <v>25.7</v>
      </c>
      <c r="H16" s="14" t="n">
        <v>128.8918</v>
      </c>
      <c r="I16" s="15" t="n">
        <v>5.25</v>
      </c>
      <c r="J16" s="15" t="n">
        <f aca="false">H16/G16</f>
        <v>5.01524513618677</v>
      </c>
      <c r="K16" s="0" t="str">
        <f aca="false">IF(J16&gt;I16,"BREACH","pass")</f>
        <v>pass</v>
      </c>
      <c r="L16" s="15" t="n">
        <f aca="false">H16/B16</f>
        <v>5.01524513618677</v>
      </c>
      <c r="M16" s="0" t="str">
        <f aca="false">IF(L16&gt;I16,"BREACH","pass")</f>
        <v>pass</v>
      </c>
      <c r="N16" s="0" t="str">
        <f aca="false">IF(AND(J16&lt;=I16,L16&gt;I16),"YES — the add-back is the covenant","")</f>
        <v/>
      </c>
    </row>
    <row r="17" customFormat="false" ht="15" hidden="false" customHeight="false" outlineLevel="0" collapsed="false">
      <c r="A17" s="0" t="s">
        <v>44</v>
      </c>
      <c r="B17" s="12" t="n">
        <v>27</v>
      </c>
      <c r="C17" s="13" t="n">
        <f aca="false">IF(14&lt;='1. Inputs'!$B$5,'1. Inputs'!$B$3,0)</f>
        <v>0</v>
      </c>
      <c r="D17" s="13" t="n">
        <f aca="false">'1. Inputs'!$B$4*B17</f>
        <v>5.4</v>
      </c>
      <c r="E17" s="13" t="n">
        <f aca="false">MIN(C17,D17)</f>
        <v>0</v>
      </c>
      <c r="F17" s="13" t="n">
        <f aca="false">C17-E17</f>
        <v>0</v>
      </c>
      <c r="G17" s="13" t="n">
        <f aca="false">B17+E17</f>
        <v>27</v>
      </c>
      <c r="H17" s="14" t="n">
        <v>127.8533</v>
      </c>
      <c r="I17" s="15" t="n">
        <v>5.25</v>
      </c>
      <c r="J17" s="15" t="n">
        <f aca="false">H17/G17</f>
        <v>4.73530740740741</v>
      </c>
      <c r="K17" s="0" t="str">
        <f aca="false">IF(J17&gt;I17,"BREACH","pass")</f>
        <v>pass</v>
      </c>
      <c r="L17" s="15" t="n">
        <f aca="false">H17/B17</f>
        <v>4.73530740740741</v>
      </c>
      <c r="M17" s="0" t="str">
        <f aca="false">IF(L17&gt;I17,"BREACH","pass")</f>
        <v>pass</v>
      </c>
      <c r="N17" s="0" t="str">
        <f aca="false">IF(AND(J17&lt;=I17,L17&gt;I17),"YES — the add-back is the covenant","")</f>
        <v/>
      </c>
    </row>
    <row r="18" customFormat="false" ht="15" hidden="false" customHeight="false" outlineLevel="0" collapsed="false">
      <c r="A18" s="0" t="s">
        <v>45</v>
      </c>
      <c r="B18" s="12" t="n">
        <v>28.2</v>
      </c>
      <c r="C18" s="13" t="n">
        <f aca="false">IF(15&lt;='1. Inputs'!$B$5,'1. Inputs'!$B$3,0)</f>
        <v>0</v>
      </c>
      <c r="D18" s="13" t="n">
        <f aca="false">'1. Inputs'!$B$4*B18</f>
        <v>5.64</v>
      </c>
      <c r="E18" s="13" t="n">
        <f aca="false">MIN(C18,D18)</f>
        <v>0</v>
      </c>
      <c r="F18" s="13" t="n">
        <f aca="false">C18-E18</f>
        <v>0</v>
      </c>
      <c r="G18" s="13" t="n">
        <f aca="false">B18+E18</f>
        <v>28.2</v>
      </c>
      <c r="H18" s="14" t="n">
        <v>126.4305</v>
      </c>
      <c r="I18" s="15" t="n">
        <v>5.25</v>
      </c>
      <c r="J18" s="15" t="n">
        <f aca="false">H18/G18</f>
        <v>4.48335106382979</v>
      </c>
      <c r="K18" s="0" t="str">
        <f aca="false">IF(J18&gt;I18,"BREACH","pass")</f>
        <v>pass</v>
      </c>
      <c r="L18" s="15" t="n">
        <f aca="false">H18/B18</f>
        <v>4.48335106382979</v>
      </c>
      <c r="M18" s="0" t="str">
        <f aca="false">IF(L18&gt;I18,"BREACH","pass")</f>
        <v>pass</v>
      </c>
      <c r="N18" s="0" t="str">
        <f aca="false">IF(AND(J18&lt;=I18,L18&gt;I18),"YES — the add-back is the covenant","")</f>
        <v/>
      </c>
    </row>
    <row r="19" customFormat="false" ht="15" hidden="false" customHeight="false" outlineLevel="0" collapsed="false">
      <c r="A19" s="0" t="s">
        <v>46</v>
      </c>
      <c r="B19" s="12" t="n">
        <v>29.3</v>
      </c>
      <c r="C19" s="13" t="n">
        <f aca="false">IF(16&lt;='1. Inputs'!$B$5,'1. Inputs'!$B$3,0)</f>
        <v>0</v>
      </c>
      <c r="D19" s="13" t="n">
        <f aca="false">'1. Inputs'!$B$4*B19</f>
        <v>5.86</v>
      </c>
      <c r="E19" s="13" t="n">
        <f aca="false">MIN(C19,D19)</f>
        <v>0</v>
      </c>
      <c r="F19" s="13" t="n">
        <f aca="false">C19-E19</f>
        <v>0</v>
      </c>
      <c r="G19" s="13" t="n">
        <f aca="false">B19+E19</f>
        <v>29.3</v>
      </c>
      <c r="H19" s="14" t="n">
        <v>124.7236</v>
      </c>
      <c r="I19" s="15" t="n">
        <v>5.25</v>
      </c>
      <c r="J19" s="15" t="n">
        <f aca="false">H19/G19</f>
        <v>4.25677815699659</v>
      </c>
      <c r="K19" s="0" t="str">
        <f aca="false">IF(J19&gt;I19,"BREACH","pass")</f>
        <v>pass</v>
      </c>
      <c r="L19" s="15" t="n">
        <f aca="false">H19/B19</f>
        <v>4.25677815699659</v>
      </c>
      <c r="M19" s="0" t="str">
        <f aca="false">IF(L19&gt;I19,"BREACH","pass")</f>
        <v>pass</v>
      </c>
      <c r="N19" s="0" t="str">
        <f aca="false">IF(AND(J19&lt;=I19,L19&gt;I19),"YES — the add-back is the covenant","")</f>
        <v/>
      </c>
    </row>
    <row r="20" customFormat="false" ht="15" hidden="false" customHeight="false" outlineLevel="0" collapsed="false">
      <c r="A20" s="0" t="s">
        <v>47</v>
      </c>
      <c r="B20" s="12" t="n">
        <v>30.2</v>
      </c>
      <c r="C20" s="13" t="n">
        <f aca="false">IF(17&lt;='1. Inputs'!$B$5,'1. Inputs'!$B$3,0)</f>
        <v>0</v>
      </c>
      <c r="D20" s="13" t="n">
        <f aca="false">'1. Inputs'!$B$4*B20</f>
        <v>6.04</v>
      </c>
      <c r="E20" s="13" t="n">
        <f aca="false">MIN(C20,D20)</f>
        <v>0</v>
      </c>
      <c r="F20" s="13" t="n">
        <f aca="false">C20-E20</f>
        <v>0</v>
      </c>
      <c r="G20" s="13" t="n">
        <f aca="false">B20+E20</f>
        <v>30.2</v>
      </c>
      <c r="H20" s="14" t="n">
        <v>122.7921</v>
      </c>
      <c r="I20" s="15" t="n">
        <v>5.25</v>
      </c>
      <c r="J20" s="15" t="n">
        <f aca="false">H20/G20</f>
        <v>4.06596357615894</v>
      </c>
      <c r="K20" s="0" t="str">
        <f aca="false">IF(J20&gt;I20,"BREACH","pass")</f>
        <v>pass</v>
      </c>
      <c r="L20" s="15" t="n">
        <f aca="false">H20/B20</f>
        <v>4.06596357615894</v>
      </c>
      <c r="M20" s="0" t="str">
        <f aca="false">IF(L20&gt;I20,"BREACH","pass")</f>
        <v>pass</v>
      </c>
      <c r="N20" s="0" t="str">
        <f aca="false">IF(AND(J20&lt;=I20,L20&gt;I20),"YES — the add-back is the covenant","")</f>
        <v/>
      </c>
    </row>
    <row r="21" customFormat="false" ht="15" hidden="false" customHeight="false" outlineLevel="0" collapsed="false">
      <c r="A21" s="0" t="s">
        <v>48</v>
      </c>
      <c r="B21" s="12" t="n">
        <v>31</v>
      </c>
      <c r="C21" s="13" t="n">
        <f aca="false">IF(18&lt;='1. Inputs'!$B$5,'1. Inputs'!$B$3,0)</f>
        <v>0</v>
      </c>
      <c r="D21" s="13" t="n">
        <f aca="false">'1. Inputs'!$B$4*B21</f>
        <v>6.2</v>
      </c>
      <c r="E21" s="13" t="n">
        <f aca="false">MIN(C21,D21)</f>
        <v>0</v>
      </c>
      <c r="F21" s="13" t="n">
        <f aca="false">C21-E21</f>
        <v>0</v>
      </c>
      <c r="G21" s="13" t="n">
        <f aca="false">B21+E21</f>
        <v>31</v>
      </c>
      <c r="H21" s="14" t="n">
        <v>120.6606</v>
      </c>
      <c r="I21" s="15" t="n">
        <v>5.25</v>
      </c>
      <c r="J21" s="15" t="n">
        <f aca="false">H21/G21</f>
        <v>3.89227741935484</v>
      </c>
      <c r="K21" s="0" t="str">
        <f aca="false">IF(J21&gt;I21,"BREACH","pass")</f>
        <v>pass</v>
      </c>
      <c r="L21" s="15" t="n">
        <f aca="false">H21/B21</f>
        <v>3.89227741935484</v>
      </c>
      <c r="M21" s="0" t="str">
        <f aca="false">IF(L21&gt;I21,"BREACH","pass")</f>
        <v>pass</v>
      </c>
      <c r="N21" s="0" t="str">
        <f aca="false">IF(AND(J21&lt;=I21,L21&gt;I21),"YES — the add-back is the covenant","")</f>
        <v/>
      </c>
    </row>
    <row r="22" customFormat="false" ht="15" hidden="false" customHeight="false" outlineLevel="0" collapsed="false">
      <c r="A22" s="0" t="s">
        <v>49</v>
      </c>
      <c r="B22" s="12" t="n">
        <v>31.8</v>
      </c>
      <c r="C22" s="13" t="n">
        <f aca="false">IF(19&lt;='1. Inputs'!$B$5,'1. Inputs'!$B$3,0)</f>
        <v>0</v>
      </c>
      <c r="D22" s="13" t="n">
        <f aca="false">'1. Inputs'!$B$4*B22</f>
        <v>6.36</v>
      </c>
      <c r="E22" s="13" t="n">
        <f aca="false">MIN(C22,D22)</f>
        <v>0</v>
      </c>
      <c r="F22" s="13" t="n">
        <f aca="false">C22-E22</f>
        <v>0</v>
      </c>
      <c r="G22" s="13" t="n">
        <f aca="false">B22+E22</f>
        <v>31.8</v>
      </c>
      <c r="H22" s="14" t="n">
        <v>118.2622</v>
      </c>
      <c r="I22" s="15" t="n">
        <v>5.25</v>
      </c>
      <c r="J22" s="15" t="n">
        <f aca="false">H22/G22</f>
        <v>3.71893710691824</v>
      </c>
      <c r="K22" s="0" t="str">
        <f aca="false">IF(J22&gt;I22,"BREACH","pass")</f>
        <v>pass</v>
      </c>
      <c r="L22" s="15" t="n">
        <f aca="false">H22/B22</f>
        <v>3.71893710691824</v>
      </c>
      <c r="M22" s="0" t="str">
        <f aca="false">IF(L22&gt;I22,"BREACH","pass")</f>
        <v>pass</v>
      </c>
      <c r="N22" s="0" t="str">
        <f aca="false">IF(AND(J22&lt;=I22,L22&gt;I22),"YES — the add-back is the covenant","")</f>
        <v/>
      </c>
    </row>
    <row r="23" customFormat="false" ht="15" hidden="false" customHeight="false" outlineLevel="0" collapsed="false">
      <c r="A23" s="0" t="s">
        <v>50</v>
      </c>
      <c r="B23" s="12" t="n">
        <v>32.5</v>
      </c>
      <c r="C23" s="13" t="n">
        <f aca="false">IF(20&lt;='1. Inputs'!$B$5,'1. Inputs'!$B$3,0)</f>
        <v>0</v>
      </c>
      <c r="D23" s="13" t="n">
        <f aca="false">'1. Inputs'!$B$4*B23</f>
        <v>6.5</v>
      </c>
      <c r="E23" s="13" t="n">
        <f aca="false">MIN(C23,D23)</f>
        <v>0</v>
      </c>
      <c r="F23" s="13" t="n">
        <f aca="false">C23-E23</f>
        <v>0</v>
      </c>
      <c r="G23" s="13" t="n">
        <f aca="false">B23+E23</f>
        <v>32.5</v>
      </c>
      <c r="H23" s="14" t="n">
        <v>115.6639</v>
      </c>
      <c r="I23" s="15" t="n">
        <v>5.25</v>
      </c>
      <c r="J23" s="15" t="n">
        <f aca="false">H23/G23</f>
        <v>3.55888923076923</v>
      </c>
      <c r="K23" s="0" t="str">
        <f aca="false">IF(J23&gt;I23,"BREACH","pass")</f>
        <v>pass</v>
      </c>
      <c r="L23" s="15" t="n">
        <f aca="false">H23/B23</f>
        <v>3.55888923076923</v>
      </c>
      <c r="M23" s="0" t="str">
        <f aca="false">IF(L23&gt;I23,"BREACH","pass")</f>
        <v>pass</v>
      </c>
      <c r="N23" s="0" t="str">
        <f aca="false">IF(AND(J23&lt;=I23,L23&gt;I23),"YES — the add-back is the covenant","")</f>
        <v/>
      </c>
    </row>
    <row r="24" customFormat="false" ht="15" hidden="false" customHeight="false" outlineLevel="0" collapsed="false">
      <c r="A24" s="0" t="s">
        <v>51</v>
      </c>
      <c r="B24" s="12" t="n">
        <v>33.1</v>
      </c>
      <c r="C24" s="13" t="n">
        <f aca="false">IF(21&lt;='1. Inputs'!$B$5,'1. Inputs'!$B$3,0)</f>
        <v>0</v>
      </c>
      <c r="D24" s="13" t="n">
        <f aca="false">'1. Inputs'!$B$4*B24</f>
        <v>6.62</v>
      </c>
      <c r="E24" s="13" t="n">
        <f aca="false">MIN(C24,D24)</f>
        <v>0</v>
      </c>
      <c r="F24" s="13" t="n">
        <f aca="false">C24-E24</f>
        <v>0</v>
      </c>
      <c r="G24" s="13" t="n">
        <f aca="false">B24+E24</f>
        <v>33.1</v>
      </c>
      <c r="H24" s="14" t="n">
        <v>112.9656</v>
      </c>
      <c r="I24" s="15" t="n">
        <v>5.25</v>
      </c>
      <c r="J24" s="15" t="n">
        <f aca="false">H24/G24</f>
        <v>3.4128580060423</v>
      </c>
      <c r="K24" s="0" t="str">
        <f aca="false">IF(J24&gt;I24,"BREACH","pass")</f>
        <v>pass</v>
      </c>
      <c r="L24" s="15" t="n">
        <f aca="false">H24/B24</f>
        <v>3.4128580060423</v>
      </c>
      <c r="M24" s="0" t="str">
        <f aca="false">IF(L24&gt;I24,"BREACH","pass")</f>
        <v>pass</v>
      </c>
      <c r="N24" s="0" t="str">
        <f aca="false">IF(AND(J24&lt;=I24,L24&gt;I24),"YES — the add-back is the covenant","")</f>
        <v/>
      </c>
    </row>
    <row r="25" customFormat="false" ht="15" hidden="false" customHeight="false" outlineLevel="0" collapsed="false">
      <c r="A25" s="0" t="s">
        <v>52</v>
      </c>
      <c r="B25" s="12" t="n">
        <v>33.7</v>
      </c>
      <c r="C25" s="13" t="n">
        <f aca="false">IF(22&lt;='1. Inputs'!$B$5,'1. Inputs'!$B$3,0)</f>
        <v>0</v>
      </c>
      <c r="D25" s="13" t="n">
        <f aca="false">'1. Inputs'!$B$4*B25</f>
        <v>6.74</v>
      </c>
      <c r="E25" s="13" t="n">
        <f aca="false">MIN(C25,D25)</f>
        <v>0</v>
      </c>
      <c r="F25" s="13" t="n">
        <f aca="false">C25-E25</f>
        <v>0</v>
      </c>
      <c r="G25" s="13" t="n">
        <f aca="false">B25+E25</f>
        <v>33.7</v>
      </c>
      <c r="H25" s="14" t="n">
        <v>110.1673</v>
      </c>
      <c r="I25" s="15" t="n">
        <v>5.25</v>
      </c>
      <c r="J25" s="15" t="n">
        <f aca="false">H25/G25</f>
        <v>3.26905934718101</v>
      </c>
      <c r="K25" s="0" t="str">
        <f aca="false">IF(J25&gt;I25,"BREACH","pass")</f>
        <v>pass</v>
      </c>
      <c r="L25" s="15" t="n">
        <f aca="false">H25/B25</f>
        <v>3.26905934718101</v>
      </c>
      <c r="M25" s="0" t="str">
        <f aca="false">IF(L25&gt;I25,"BREACH","pass")</f>
        <v>pass</v>
      </c>
      <c r="N25" s="0" t="str">
        <f aca="false">IF(AND(J25&lt;=I25,L25&gt;I25),"YES — the add-back is the covenant","")</f>
        <v/>
      </c>
    </row>
    <row r="26" customFormat="false" ht="15" hidden="false" customHeight="false" outlineLevel="0" collapsed="false">
      <c r="A26" s="0" t="s">
        <v>53</v>
      </c>
      <c r="B26" s="12" t="n">
        <v>34.3</v>
      </c>
      <c r="C26" s="13" t="n">
        <f aca="false">IF(23&lt;='1. Inputs'!$B$5,'1. Inputs'!$B$3,0)</f>
        <v>0</v>
      </c>
      <c r="D26" s="13" t="n">
        <f aca="false">'1. Inputs'!$B$4*B26</f>
        <v>6.86</v>
      </c>
      <c r="E26" s="13" t="n">
        <f aca="false">MIN(C26,D26)</f>
        <v>0</v>
      </c>
      <c r="F26" s="13" t="n">
        <f aca="false">C26-E26</f>
        <v>0</v>
      </c>
      <c r="G26" s="13" t="n">
        <f aca="false">B26+E26</f>
        <v>34.3</v>
      </c>
      <c r="H26" s="14" t="n">
        <v>107.2689</v>
      </c>
      <c r="I26" s="15" t="n">
        <v>5.25</v>
      </c>
      <c r="J26" s="15" t="n">
        <f aca="false">H26/G26</f>
        <v>3.12737317784257</v>
      </c>
      <c r="K26" s="0" t="str">
        <f aca="false">IF(J26&gt;I26,"BREACH","pass")</f>
        <v>pass</v>
      </c>
      <c r="L26" s="15" t="n">
        <f aca="false">H26/B26</f>
        <v>3.12737317784257</v>
      </c>
      <c r="M26" s="0" t="str">
        <f aca="false">IF(L26&gt;I26,"BREACH","pass")</f>
        <v>pass</v>
      </c>
      <c r="N26" s="0" t="str">
        <f aca="false">IF(AND(J26&lt;=I26,L26&gt;I26),"YES — the add-back is the covenant","")</f>
        <v/>
      </c>
    </row>
    <row r="27" customFormat="false" ht="15" hidden="false" customHeight="false" outlineLevel="0" collapsed="false">
      <c r="A27" s="0" t="s">
        <v>54</v>
      </c>
      <c r="B27" s="12" t="n">
        <v>34.8</v>
      </c>
      <c r="C27" s="13" t="n">
        <f aca="false">IF(24&lt;='1. Inputs'!$B$5,'1. Inputs'!$B$3,0)</f>
        <v>0</v>
      </c>
      <c r="D27" s="13" t="n">
        <f aca="false">'1. Inputs'!$B$4*B27</f>
        <v>6.96</v>
      </c>
      <c r="E27" s="13" t="n">
        <f aca="false">MIN(C27,D27)</f>
        <v>0</v>
      </c>
      <c r="F27" s="13" t="n">
        <f aca="false">C27-E27</f>
        <v>0</v>
      </c>
      <c r="G27" s="13" t="n">
        <f aca="false">B27+E27</f>
        <v>34.8</v>
      </c>
      <c r="H27" s="14" t="n">
        <v>104.2706</v>
      </c>
      <c r="I27" s="15" t="n">
        <v>5.25</v>
      </c>
      <c r="J27" s="15" t="n">
        <f aca="false">H27/G27</f>
        <v>2.9962816091954</v>
      </c>
      <c r="K27" s="0" t="str">
        <f aca="false">IF(J27&gt;I27,"BREACH","pass")</f>
        <v>pass</v>
      </c>
      <c r="L27" s="15" t="n">
        <f aca="false">H27/B27</f>
        <v>2.9962816091954</v>
      </c>
      <c r="M27" s="0" t="str">
        <f aca="false">IF(L27&gt;I27,"BREACH","pass")</f>
        <v>pass</v>
      </c>
      <c r="N27" s="0" t="str">
        <f aca="false">IF(AND(J27&lt;=I27,L27&gt;I27),"YES — the add-back is the covenant","")</f>
        <v/>
      </c>
    </row>
    <row r="28" customFormat="false" ht="15" hidden="false" customHeight="false" outlineLevel="0" collapsed="false">
      <c r="A28" s="0" t="s">
        <v>55</v>
      </c>
      <c r="B28" s="12" t="n">
        <v>35.3</v>
      </c>
      <c r="C28" s="13" t="n">
        <f aca="false">IF(25&lt;='1. Inputs'!$B$5,'1. Inputs'!$B$3,0)</f>
        <v>0</v>
      </c>
      <c r="D28" s="13" t="n">
        <f aca="false">'1. Inputs'!$B$4*B28</f>
        <v>7.06</v>
      </c>
      <c r="E28" s="13" t="n">
        <f aca="false">MIN(C28,D28)</f>
        <v>0</v>
      </c>
      <c r="F28" s="13" t="n">
        <f aca="false">C28-E28</f>
        <v>0</v>
      </c>
      <c r="G28" s="13" t="n">
        <f aca="false">B28+E28</f>
        <v>35.3</v>
      </c>
      <c r="H28" s="14" t="n">
        <v>101.1723</v>
      </c>
      <c r="I28" s="15" t="n">
        <v>5.25</v>
      </c>
      <c r="J28" s="15" t="n">
        <f aca="false">H28/G28</f>
        <v>2.86607082152975</v>
      </c>
      <c r="K28" s="0" t="str">
        <f aca="false">IF(J28&gt;I28,"BREACH","pass")</f>
        <v>pass</v>
      </c>
      <c r="L28" s="15" t="n">
        <f aca="false">H28/B28</f>
        <v>2.86607082152975</v>
      </c>
      <c r="M28" s="0" t="str">
        <f aca="false">IF(L28&gt;I28,"BREACH","pass")</f>
        <v>pass</v>
      </c>
      <c r="N28" s="0" t="str">
        <f aca="false">IF(AND(J28&lt;=I28,L28&gt;I28),"YES — the add-back is the covenant","")</f>
        <v/>
      </c>
    </row>
    <row r="29" customFormat="false" ht="15" hidden="false" customHeight="false" outlineLevel="0" collapsed="false">
      <c r="A29" s="0" t="s">
        <v>56</v>
      </c>
      <c r="B29" s="12" t="n">
        <v>35.8</v>
      </c>
      <c r="C29" s="13" t="n">
        <f aca="false">IF(26&lt;='1. Inputs'!$B$5,'1. Inputs'!$B$3,0)</f>
        <v>0</v>
      </c>
      <c r="D29" s="13" t="n">
        <f aca="false">'1. Inputs'!$B$4*B29</f>
        <v>7.16</v>
      </c>
      <c r="E29" s="13" t="n">
        <f aca="false">MIN(C29,D29)</f>
        <v>0</v>
      </c>
      <c r="F29" s="13" t="n">
        <f aca="false">C29-E29</f>
        <v>0</v>
      </c>
      <c r="G29" s="13" t="n">
        <f aca="false">B29+E29</f>
        <v>35.8</v>
      </c>
      <c r="H29" s="14" t="n">
        <v>97.974</v>
      </c>
      <c r="I29" s="15" t="n">
        <v>5.25</v>
      </c>
      <c r="J29" s="15" t="n">
        <f aca="false">H29/G29</f>
        <v>2.73670391061453</v>
      </c>
      <c r="K29" s="0" t="str">
        <f aca="false">IF(J29&gt;I29,"BREACH","pass")</f>
        <v>pass</v>
      </c>
      <c r="L29" s="15" t="n">
        <f aca="false">H29/B29</f>
        <v>2.73670391061453</v>
      </c>
      <c r="M29" s="0" t="str">
        <f aca="false">IF(L29&gt;I29,"BREACH","pass")</f>
        <v>pass</v>
      </c>
      <c r="N29" s="0" t="str">
        <f aca="false">IF(AND(J29&lt;=I29,L29&gt;I29),"YES — the add-back is the covenant","")</f>
        <v/>
      </c>
    </row>
    <row r="30" customFormat="false" ht="15" hidden="false" customHeight="false" outlineLevel="0" collapsed="false">
      <c r="A30" s="0" t="s">
        <v>57</v>
      </c>
      <c r="B30" s="12" t="n">
        <v>36.2</v>
      </c>
      <c r="C30" s="13" t="n">
        <f aca="false">IF(27&lt;='1. Inputs'!$B$5,'1. Inputs'!$B$3,0)</f>
        <v>0</v>
      </c>
      <c r="D30" s="13" t="n">
        <f aca="false">'1. Inputs'!$B$4*B30</f>
        <v>7.24</v>
      </c>
      <c r="E30" s="13" t="n">
        <f aca="false">MIN(C30,D30)</f>
        <v>0</v>
      </c>
      <c r="F30" s="13" t="n">
        <f aca="false">C30-E30</f>
        <v>0</v>
      </c>
      <c r="G30" s="13" t="n">
        <f aca="false">B30+E30</f>
        <v>36.2</v>
      </c>
      <c r="H30" s="14" t="n">
        <v>94.6756</v>
      </c>
      <c r="I30" s="15" t="n">
        <v>5.25</v>
      </c>
      <c r="J30" s="15" t="n">
        <f aca="false">H30/G30</f>
        <v>2.61534806629834</v>
      </c>
      <c r="K30" s="0" t="str">
        <f aca="false">IF(J30&gt;I30,"BREACH","pass")</f>
        <v>pass</v>
      </c>
      <c r="L30" s="15" t="n">
        <f aca="false">H30/B30</f>
        <v>2.61534806629834</v>
      </c>
      <c r="M30" s="0" t="str">
        <f aca="false">IF(L30&gt;I30,"BREACH","pass")</f>
        <v>pass</v>
      </c>
      <c r="N30" s="0" t="str">
        <f aca="false">IF(AND(J30&lt;=I30,L30&gt;I30),"YES — the add-back is the covenant","")</f>
        <v/>
      </c>
    </row>
    <row r="31" customFormat="false" ht="15" hidden="false" customHeight="false" outlineLevel="0" collapsed="false">
      <c r="A31" s="0" t="s">
        <v>58</v>
      </c>
      <c r="B31" s="12" t="n">
        <v>36.6</v>
      </c>
      <c r="C31" s="13" t="n">
        <f aca="false">IF(28&lt;='1. Inputs'!$B$5,'1. Inputs'!$B$3,0)</f>
        <v>0</v>
      </c>
      <c r="D31" s="13" t="n">
        <f aca="false">'1. Inputs'!$B$4*B31</f>
        <v>7.32</v>
      </c>
      <c r="E31" s="13" t="n">
        <f aca="false">MIN(C31,D31)</f>
        <v>0</v>
      </c>
      <c r="F31" s="13" t="n">
        <f aca="false">C31-E31</f>
        <v>0</v>
      </c>
      <c r="G31" s="13" t="n">
        <f aca="false">B31+E31</f>
        <v>36.6</v>
      </c>
      <c r="H31" s="14" t="n">
        <v>91.2773</v>
      </c>
      <c r="I31" s="15" t="n">
        <v>5.25</v>
      </c>
      <c r="J31" s="15" t="n">
        <f aca="false">H31/G31</f>
        <v>2.49391530054645</v>
      </c>
      <c r="K31" s="0" t="str">
        <f aca="false">IF(J31&gt;I31,"BREACH","pass")</f>
        <v>pass</v>
      </c>
      <c r="L31" s="15" t="n">
        <f aca="false">H31/B31</f>
        <v>2.49391530054645</v>
      </c>
      <c r="M31" s="0" t="str">
        <f aca="false">IF(L31&gt;I31,"BREACH","pass")</f>
        <v>pass</v>
      </c>
      <c r="N31" s="0" t="str">
        <f aca="false">IF(AND(J31&lt;=I31,L31&gt;I31),"YES — the add-back is the covenant","")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4" min="2" style="0" width="14"/>
    <col collapsed="false" customWidth="true" hidden="false" outlineLevel="0" max="5" min="5" style="0" width="50"/>
  </cols>
  <sheetData>
    <row r="1" customFormat="false" ht="17.35" hidden="false" customHeight="false" outlineLevel="0" collapsed="false">
      <c r="A1" s="16" t="s">
        <v>59</v>
      </c>
    </row>
    <row r="2" customFormat="false" ht="15" hidden="false" customHeight="false" outlineLevel="0" collapsed="false">
      <c r="A2" s="17" t="s">
        <v>60</v>
      </c>
    </row>
    <row r="4" customFormat="false" ht="15" hidden="false" customHeight="false" outlineLevel="0" collapsed="false">
      <c r="A4" s="18" t="s">
        <v>61</v>
      </c>
      <c r="B4" s="19" t="n">
        <v>12</v>
      </c>
    </row>
    <row r="5" customFormat="false" ht="15" hidden="false" customHeight="false" outlineLevel="0" collapsed="false">
      <c r="A5" s="18" t="s">
        <v>62</v>
      </c>
      <c r="B5" s="20" t="n">
        <f aca="false">'1. Inputs'!B4</f>
        <v>0.2</v>
      </c>
    </row>
    <row r="6" customFormat="false" ht="15" hidden="false" customHeight="false" outlineLevel="0" collapsed="false">
      <c r="A6" s="18" t="s">
        <v>63</v>
      </c>
      <c r="B6" s="21" t="n">
        <v>25</v>
      </c>
    </row>
    <row r="8" customFormat="false" ht="15" hidden="false" customHeight="false" outlineLevel="0" collapsed="false">
      <c r="A8" s="22"/>
      <c r="B8" s="22" t="s">
        <v>39</v>
      </c>
      <c r="C8" s="22" t="s">
        <v>40</v>
      </c>
      <c r="D8" s="22" t="s">
        <v>41</v>
      </c>
    </row>
    <row r="9" customFormat="false" ht="15" hidden="false" customHeight="false" outlineLevel="0" collapsed="false">
      <c r="A9" s="18" t="s">
        <v>19</v>
      </c>
      <c r="B9" s="23" t="n">
        <f aca="false">'2. The two tests'!B12</f>
        <v>20</v>
      </c>
      <c r="C9" s="23" t="n">
        <f aca="false">'2. The two tests'!B13</f>
        <v>21.2</v>
      </c>
      <c r="D9" s="23" t="n">
        <f aca="false">'2. The two tests'!B14</f>
        <v>22.8</v>
      </c>
    </row>
    <row r="10" customFormat="false" ht="15" hidden="false" customHeight="false" outlineLevel="0" collapsed="false">
      <c r="A10" s="18" t="s">
        <v>64</v>
      </c>
      <c r="B10" s="23" t="n">
        <f aca="false">IF(9&lt;=$B$4,'1. Inputs'!$B$3,0)</f>
        <v>4.2</v>
      </c>
      <c r="C10" s="23" t="n">
        <f aca="false">IF(10&lt;=$B$4,'1. Inputs'!$B$3,0)</f>
        <v>4.2</v>
      </c>
      <c r="D10" s="23" t="n">
        <f aca="false">IF(11&lt;=$B$4,'1. Inputs'!$B$3,0)</f>
        <v>4.2</v>
      </c>
    </row>
    <row r="11" customFormat="false" ht="15" hidden="false" customHeight="false" outlineLevel="0" collapsed="false">
      <c r="A11" s="18" t="s">
        <v>65</v>
      </c>
      <c r="B11" s="23" t="n">
        <f aca="false">MIN(B10,$B$5*B9)</f>
        <v>4</v>
      </c>
      <c r="C11" s="23" t="n">
        <f aca="false">MIN(C10,$B$5*C9)</f>
        <v>4.2</v>
      </c>
      <c r="D11" s="23" t="n">
        <f aca="false">MIN(D10,$B$5*D9)</f>
        <v>4.2</v>
      </c>
    </row>
    <row r="12" customFormat="false" ht="15" hidden="false" customHeight="false" outlineLevel="0" collapsed="false">
      <c r="A12" s="18" t="s">
        <v>66</v>
      </c>
      <c r="B12" s="23" t="n">
        <f aca="false">B9+B11</f>
        <v>24</v>
      </c>
      <c r="C12" s="23" t="n">
        <f aca="false">C9+C11</f>
        <v>25.4</v>
      </c>
      <c r="D12" s="23" t="n">
        <f aca="false">D9+D11</f>
        <v>27</v>
      </c>
    </row>
    <row r="13" customFormat="false" ht="15" hidden="false" customHeight="false" outlineLevel="0" collapsed="false">
      <c r="A13" s="18" t="s">
        <v>67</v>
      </c>
      <c r="B13" s="24" t="n">
        <f aca="false">'2. The two tests'!H12/B12</f>
        <v>5.40588333333333</v>
      </c>
      <c r="C13" s="24" t="n">
        <f aca="false">'2. The two tests'!H13/C12</f>
        <v>5.12221653543307</v>
      </c>
      <c r="D13" s="24" t="n">
        <f aca="false">'2. The two tests'!H14/D12</f>
        <v>4.81730740740741</v>
      </c>
    </row>
    <row r="14" customFormat="false" ht="15" hidden="false" customHeight="false" outlineLevel="0" collapsed="false">
      <c r="A14" s="18" t="s">
        <v>26</v>
      </c>
      <c r="B14" s="24" t="n">
        <f aca="false">'2. The two tests'!I12</f>
        <v>5.5</v>
      </c>
      <c r="C14" s="24" t="n">
        <f aca="false">'2. The two tests'!I13</f>
        <v>5.5</v>
      </c>
      <c r="D14" s="24" t="n">
        <f aca="false">'2. The two tests'!I14</f>
        <v>5.5</v>
      </c>
    </row>
    <row r="15" customFormat="false" ht="15" hidden="false" customHeight="false" outlineLevel="0" collapsed="false">
      <c r="A15" s="18" t="s">
        <v>68</v>
      </c>
      <c r="B15" s="23" t="n">
        <f aca="false">B12-'2. The two tests'!H12/B14</f>
        <v>0.41069090909091</v>
      </c>
      <c r="C15" s="23" t="n">
        <f aca="false">C12-'2. The two tests'!H13/C14</f>
        <v>1.74467272727273</v>
      </c>
      <c r="D15" s="23" t="n">
        <f aca="false">D12-'2. The two tests'!H14/D14</f>
        <v>3.3514</v>
      </c>
    </row>
    <row r="16" customFormat="false" ht="15" hidden="false" customHeight="false" outlineLevel="0" collapsed="false">
      <c r="A16" s="18" t="s">
        <v>69</v>
      </c>
      <c r="B16" s="23" t="n">
        <f aca="false">B10</f>
        <v>4.2</v>
      </c>
      <c r="C16" s="23" t="n">
        <f aca="false">C10</f>
        <v>4.2</v>
      </c>
      <c r="D16" s="23" t="n">
        <f aca="false">D10</f>
        <v>4.2</v>
      </c>
    </row>
    <row r="17" customFormat="false" ht="15" hidden="false" customHeight="false" outlineLevel="0" collapsed="false">
      <c r="A17" s="18" t="s">
        <v>70</v>
      </c>
      <c r="B17" s="24" t="n">
        <f aca="false">'2. The two tests'!H12/(B9+B16)</f>
        <v>5.36120661157025</v>
      </c>
      <c r="C17" s="24" t="n">
        <f aca="false">'2. The two tests'!H13/(C9+C16)</f>
        <v>5.12221653543307</v>
      </c>
      <c r="D17" s="24" t="n">
        <f aca="false">'2. The two tests'!H14/(D9+D16)</f>
        <v>4.81730740740741</v>
      </c>
    </row>
    <row r="18" customFormat="false" ht="15" hidden="false" customHeight="false" outlineLevel="0" collapsed="false">
      <c r="A18" s="18" t="s">
        <v>71</v>
      </c>
      <c r="B18" s="23" t="n">
        <f aca="false">B9+B16-'2. The two tests'!H12/B14</f>
        <v>0.610690909090909</v>
      </c>
      <c r="C18" s="23" t="n">
        <f aca="false">C9+C16-'2. The two tests'!H13/C14</f>
        <v>1.74467272727273</v>
      </c>
      <c r="D18" s="23" t="n">
        <f aca="false">D9+D16-'2. The two tests'!H14/D14</f>
        <v>3.3514</v>
      </c>
    </row>
    <row r="20" customFormat="false" ht="15" hidden="false" customHeight="false" outlineLevel="0" collapsed="false">
      <c r="A20" s="25" t="s">
        <v>72</v>
      </c>
    </row>
    <row r="21" customFormat="false" ht="15" hidden="false" customHeight="false" outlineLevel="0" collapsed="false">
      <c r="A21" s="18" t="s">
        <v>73</v>
      </c>
      <c r="B21" s="23" t="n">
        <f aca="false">MIN('1. Inputs'!B3,'1. Inputs'!B4*B6)</f>
        <v>4.2</v>
      </c>
    </row>
    <row r="22" customFormat="false" ht="15" hidden="false" customHeight="false" outlineLevel="0" collapsed="false">
      <c r="A22" s="18" t="s">
        <v>24</v>
      </c>
      <c r="B22" s="23" t="n">
        <f aca="false">'2. The two tests'!B11+B21</f>
        <v>23.6</v>
      </c>
    </row>
    <row r="23" customFormat="false" ht="15" hidden="false" customHeight="false" outlineLevel="0" collapsed="false">
      <c r="A23" s="18" t="s">
        <v>74</v>
      </c>
      <c r="B23" s="24" t="n">
        <f aca="false">'2. The two tests'!H11/B22</f>
        <v>5.46941525423729</v>
      </c>
    </row>
    <row r="24" customFormat="false" ht="15" hidden="false" customHeight="false" outlineLevel="0" collapsed="false">
      <c r="A24" s="18" t="s">
        <v>75</v>
      </c>
      <c r="B24" s="23" t="n">
        <f aca="false">B22-'2. The two tests'!H11/'2. The two tests'!I11</f>
        <v>1.15161739130435</v>
      </c>
    </row>
    <row r="25" customFormat="false" ht="15" hidden="false" customHeight="false" outlineLevel="0" collapsed="false">
      <c r="A25" s="18" t="s">
        <v>76</v>
      </c>
      <c r="B25" s="23" t="n">
        <f aca="false">B24-('2. The two tests'!G11-'2. The two tests'!H11/'2. The two tests'!I11)</f>
        <v>0.32</v>
      </c>
    </row>
    <row r="27" customFormat="false" ht="45" hidden="false" customHeight="true" outlineLevel="0" collapsed="false">
      <c r="A27" s="26" t="s">
        <v>77</v>
      </c>
      <c r="B27" s="26"/>
      <c r="C27" s="26"/>
      <c r="D27" s="26"/>
      <c r="E27" s="26"/>
    </row>
  </sheetData>
  <mergeCells count="1">
    <mergeCell ref="A27:E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6" t="s">
        <v>78</v>
      </c>
    </row>
    <row r="2" customFormat="false" ht="15" hidden="false" customHeight="false" outlineLevel="0" collapsed="false">
      <c r="A2" s="2" t="s">
        <v>79</v>
      </c>
    </row>
    <row r="3" customFormat="false" ht="15" hidden="false" customHeight="false" outlineLevel="0" collapsed="false">
      <c r="A3" s="2" t="s">
        <v>80</v>
      </c>
    </row>
    <row r="5" customFormat="false" ht="15" hidden="false" customHeight="false" outlineLevel="0" collapsed="false">
      <c r="A5" s="11" t="s">
        <v>81</v>
      </c>
      <c r="B5" s="11" t="s">
        <v>82</v>
      </c>
      <c r="C5" s="11" t="s">
        <v>83</v>
      </c>
      <c r="D5" s="11" t="s">
        <v>84</v>
      </c>
      <c r="E5" s="11" t="s">
        <v>85</v>
      </c>
      <c r="F5" s="11" t="s">
        <v>86</v>
      </c>
      <c r="H5" s="8" t="s">
        <v>87</v>
      </c>
    </row>
    <row r="6" customFormat="false" ht="15" hidden="false" customHeight="false" outlineLevel="0" collapsed="false">
      <c r="A6" s="0" t="s">
        <v>88</v>
      </c>
      <c r="B6" s="4" t="s">
        <v>89</v>
      </c>
      <c r="C6" s="0" t="n">
        <v>3.88</v>
      </c>
      <c r="D6" s="13" t="n">
        <f aca="false">'2. The two tests'!E11</f>
        <v>3.88</v>
      </c>
      <c r="E6" s="27" t="n">
        <f aca="false">D6-C6</f>
        <v>0</v>
      </c>
      <c r="F6" s="0" t="str">
        <f aca="false">IF(ABS(E6)&lt;=0.005,"reproduced",IF(ABS(E6)&lt;=0.005*3,"rounding","to check"))</f>
        <v>reproduced</v>
      </c>
      <c r="H6" s="4" t="s">
        <v>90</v>
      </c>
    </row>
    <row r="7" customFormat="false" ht="15" hidden="false" customHeight="false" outlineLevel="0" collapsed="false">
      <c r="A7" s="0" t="s">
        <v>88</v>
      </c>
      <c r="B7" s="4" t="s">
        <v>91</v>
      </c>
      <c r="C7" s="0" t="n">
        <v>0.32</v>
      </c>
      <c r="D7" s="13" t="n">
        <f aca="false">'2. The two tests'!F11</f>
        <v>0.32</v>
      </c>
      <c r="E7" s="27" t="n">
        <f aca="false">D7-C7</f>
        <v>0</v>
      </c>
      <c r="F7" s="0" t="str">
        <f aca="false">IF(ABS(E7)&lt;=0.005,"reproduced",IF(ABS(E7)&lt;=0.005*3,"rounding","to check"))</f>
        <v>reproduced</v>
      </c>
    </row>
    <row r="8" customFormat="false" ht="15" hidden="false" customHeight="false" outlineLevel="0" collapsed="false">
      <c r="A8" s="0" t="s">
        <v>88</v>
      </c>
      <c r="B8" s="4" t="s">
        <v>92</v>
      </c>
      <c r="C8" s="0" t="n">
        <v>5.97</v>
      </c>
      <c r="D8" s="15" t="n">
        <f aca="false">'2. The two tests'!L10</f>
        <v>5.97018139534884</v>
      </c>
      <c r="E8" s="27" t="n">
        <f aca="false">D8-C8</f>
        <v>0.000181395348837654</v>
      </c>
      <c r="F8" s="0" t="str">
        <f aca="false">IF(ABS(E8)&lt;=0.005,"reproduced",IF(ABS(E8)&lt;=0.005*3,"rounding","to check"))</f>
        <v>reproduced</v>
      </c>
    </row>
    <row r="9" customFormat="false" ht="15" hidden="false" customHeight="false" outlineLevel="0" collapsed="false">
      <c r="A9" s="0" t="s">
        <v>88</v>
      </c>
      <c r="B9" s="4" t="s">
        <v>93</v>
      </c>
      <c r="C9" s="0" t="n">
        <v>6.65</v>
      </c>
      <c r="D9" s="15" t="n">
        <f aca="false">'2. The two tests'!L11</f>
        <v>6.65351546391753</v>
      </c>
      <c r="E9" s="27" t="n">
        <f aca="false">D9-C9</f>
        <v>0.00351546391752677</v>
      </c>
      <c r="F9" s="0" t="str">
        <f aca="false">IF(ABS(E9)&lt;=0.005,"reproduced",IF(ABS(E9)&lt;=0.005*3,"rounding","to check"))</f>
        <v>reproduced</v>
      </c>
    </row>
    <row r="10" customFormat="false" ht="15" hidden="false" customHeight="false" outlineLevel="0" collapsed="false">
      <c r="A10" s="0" t="s">
        <v>88</v>
      </c>
      <c r="B10" s="4" t="s">
        <v>94</v>
      </c>
      <c r="C10" s="0" t="n">
        <v>4.99</v>
      </c>
      <c r="D10" s="15" t="n">
        <f aca="false">'2. The two tests'!J10</f>
        <v>4.99450972762646</v>
      </c>
      <c r="E10" s="27" t="n">
        <f aca="false">D10-C10</f>
        <v>0.00450972762645918</v>
      </c>
      <c r="F10" s="0" t="str">
        <f aca="false">IF(ABS(E10)&lt;=0.005,"reproduced",IF(ABS(E10)&lt;=0.005*3,"rounding","to check"))</f>
        <v>reproduced</v>
      </c>
    </row>
    <row r="11" customFormat="false" ht="15" hidden="false" customHeight="false" outlineLevel="0" collapsed="false">
      <c r="A11" s="0" t="s">
        <v>88</v>
      </c>
      <c r="B11" s="4" t="s">
        <v>95</v>
      </c>
      <c r="C11" s="0" t="n">
        <v>5.54</v>
      </c>
      <c r="D11" s="15" t="n">
        <f aca="false">'2. The two tests'!J11</f>
        <v>5.54459621993127</v>
      </c>
      <c r="E11" s="27" t="n">
        <f aca="false">D11-C11</f>
        <v>0.00459621993127257</v>
      </c>
      <c r="F11" s="0" t="str">
        <f aca="false">IF(ABS(E11)&lt;=0.005,"reproduced",IF(ABS(E11)&lt;=0.005*3,"rounding","to check"))</f>
        <v>reproduced</v>
      </c>
    </row>
    <row r="12" customFormat="false" ht="15" hidden="false" customHeight="false" outlineLevel="0" collapsed="false">
      <c r="A12" s="0" t="s">
        <v>88</v>
      </c>
      <c r="B12" s="4" t="s">
        <v>96</v>
      </c>
      <c r="C12" s="0" t="n">
        <v>20</v>
      </c>
      <c r="D12" s="13" t="n">
        <f aca="false">'2. The two tests'!G12</f>
        <v>20</v>
      </c>
      <c r="E12" s="27" t="n">
        <f aca="false">D12-C12</f>
        <v>0</v>
      </c>
      <c r="F12" s="0" t="str">
        <f aca="false">IF(ABS(E12)&lt;=0.01,"reproduced",IF(ABS(E12)&lt;=0.01*3,"rounding","to check"))</f>
        <v>reproduced</v>
      </c>
    </row>
    <row r="13" customFormat="false" ht="15" hidden="false" customHeight="false" outlineLevel="0" collapsed="false">
      <c r="A13" s="0" t="s">
        <v>88</v>
      </c>
      <c r="B13" s="4" t="s">
        <v>97</v>
      </c>
      <c r="C13" s="0" t="n">
        <v>20</v>
      </c>
      <c r="D13" s="28" t="n">
        <f aca="false">'2. The two tests'!B12</f>
        <v>20</v>
      </c>
      <c r="E13" s="27" t="n">
        <f aca="false">D13-C13</f>
        <v>0</v>
      </c>
      <c r="F13" s="0" t="str">
        <f aca="false">IF(ABS(E13)&lt;=0.05,"reproduced",IF(ABS(E13)&lt;=0.05*3,"rounding","to check"))</f>
        <v>reproduced</v>
      </c>
    </row>
    <row r="14" customFormat="false" ht="15" hidden="false" customHeight="false" outlineLevel="0" collapsed="false">
      <c r="A14" s="0" t="s">
        <v>98</v>
      </c>
      <c r="B14" s="4" t="s">
        <v>99</v>
      </c>
      <c r="C14" s="0" t="n">
        <v>29.2</v>
      </c>
      <c r="D14" s="13" t="n">
        <f aca="false">'2. The two tests'!G4</f>
        <v>29.2</v>
      </c>
      <c r="E14" s="27" t="n">
        <f aca="false">D14-C14</f>
        <v>0</v>
      </c>
      <c r="F14" s="0" t="str">
        <f aca="false">IF(ABS(E14)&lt;=0.01,"reproduced",IF(ABS(E14)&lt;=0.01*3,"rounding","to check"))</f>
        <v>reproduced</v>
      </c>
    </row>
    <row r="15" customFormat="false" ht="15" hidden="false" customHeight="false" outlineLevel="0" collapsed="false">
      <c r="A15" s="18" t="s">
        <v>100</v>
      </c>
      <c r="B15" s="5" t="s">
        <v>101</v>
      </c>
      <c r="C15" s="18" t="n">
        <v>0.61</v>
      </c>
      <c r="D15" s="23" t="n">
        <f aca="false">'4. The run-off moved'!B18</f>
        <v>0.610690909090909</v>
      </c>
      <c r="E15" s="18" t="n">
        <f aca="false">D15-C15</f>
        <v>0.000690909090909186</v>
      </c>
      <c r="F15" s="18" t="str">
        <f aca="false">IF(ABS(E15)&lt;=0.005,"reproduced",IF(ABS(E15)&lt;=0.005*3,"rounding","to check"))</f>
        <v>reproduced</v>
      </c>
    </row>
    <row r="16" customFormat="false" ht="15" hidden="false" customHeight="false" outlineLevel="0" collapsed="false">
      <c r="A16" s="18" t="s">
        <v>100</v>
      </c>
      <c r="B16" s="5" t="s">
        <v>102</v>
      </c>
      <c r="C16" s="18" t="n">
        <v>5.36</v>
      </c>
      <c r="D16" s="24" t="n">
        <f aca="false">'4. The run-off moved'!B17</f>
        <v>5.36120661157025</v>
      </c>
      <c r="E16" s="18" t="n">
        <f aca="false">D16-C16</f>
        <v>0.0012066115702476</v>
      </c>
      <c r="F16" s="18" t="str">
        <f aca="false">IF(ABS(E16)&lt;=0.005,"reproduced",IF(ABS(E16)&lt;=0.005*3,"rounding","to check"))</f>
        <v>reproduced</v>
      </c>
    </row>
    <row r="17" customFormat="false" ht="28.35" hidden="false" customHeight="false" outlineLevel="0" collapsed="false">
      <c r="A17" s="18" t="s">
        <v>103</v>
      </c>
      <c r="B17" s="5" t="s">
        <v>104</v>
      </c>
      <c r="C17" s="18" t="n">
        <v>0.41</v>
      </c>
      <c r="D17" s="23" t="n">
        <f aca="false">'4. The run-off moved'!B15</f>
        <v>0.41069090909091</v>
      </c>
      <c r="E17" s="18" t="n">
        <f aca="false">D17-C17</f>
        <v>0.000690909090909908</v>
      </c>
      <c r="F17" s="18" t="str">
        <f aca="false">IF(ABS(E17)&lt;=0.005,"reproduced",IF(ABS(E17)&lt;=0.005*3,"rounding","to check"))</f>
        <v>reproduced</v>
      </c>
    </row>
    <row r="18" customFormat="false" ht="15" hidden="false" customHeight="false" outlineLevel="0" collapsed="false">
      <c r="A18" s="18" t="s">
        <v>105</v>
      </c>
      <c r="B18" s="5" t="s">
        <v>106</v>
      </c>
      <c r="C18" s="18" t="n">
        <v>5.47</v>
      </c>
      <c r="D18" s="24" t="n">
        <f aca="false">'4. The run-off moved'!B23</f>
        <v>5.46941525423729</v>
      </c>
      <c r="E18" s="18" t="n">
        <f aca="false">D18-C18</f>
        <v>-0.000584745762711059</v>
      </c>
      <c r="F18" s="18" t="str">
        <f aca="false">IF(ABS(E18)&lt;=0.005,"reproduced",IF(ABS(E18)&lt;=0.005*3,"rounding","to check"))</f>
        <v>reproduced</v>
      </c>
    </row>
    <row r="19" customFormat="false" ht="15" hidden="false" customHeight="false" outlineLevel="0" collapsed="false">
      <c r="A19" s="18" t="s">
        <v>105</v>
      </c>
      <c r="B19" s="5" t="s">
        <v>107</v>
      </c>
      <c r="C19" s="18" t="n">
        <v>1.15</v>
      </c>
      <c r="D19" s="23" t="n">
        <f aca="false">'4. The run-off moved'!B24</f>
        <v>1.15161739130435</v>
      </c>
      <c r="E19" s="18" t="n">
        <f aca="false">D19-C19</f>
        <v>0.00161739130434535</v>
      </c>
      <c r="F19" s="18" t="str">
        <f aca="false">IF(ABS(E19)&lt;=0.005,"reproduced",IF(ABS(E19)&lt;=0.005*3,"rounding","to check"))</f>
        <v>reproduced</v>
      </c>
    </row>
    <row r="21" customFormat="false" ht="15" hidden="false" customHeight="false" outlineLevel="0" collapsed="false">
      <c r="A21" s="22" t="s">
        <v>108</v>
      </c>
      <c r="C21" s="22" t="n">
        <f aca="false">COUNTIF(F6:F19,"reproduced")</f>
        <v>14</v>
      </c>
    </row>
    <row r="22" customFormat="false" ht="15" hidden="false" customHeight="false" outlineLevel="0" collapsed="false">
      <c r="A22" s="22" t="s">
        <v>109</v>
      </c>
      <c r="C22" s="22" t="n">
        <f aca="false">COUNTIF(F6:F19,"rounding")</f>
        <v>0</v>
      </c>
    </row>
    <row r="23" customFormat="false" ht="15" hidden="false" customHeight="false" outlineLevel="0" collapsed="false">
      <c r="A23" s="22" t="s">
        <v>110</v>
      </c>
      <c r="C23" s="22" t="n">
        <f aca="false">COUNTIF(F6:F19,"to check")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2026-08-23T21:12:06Z</dcterms:created>
  <dc:creator>openpyxl</dc:creator>
  <dc:description/>
  <dc:language>en-US</dc:language>
  <cp:lastModifiedBy/>
  <dcterms:modified xsi:type="dcterms:W3CDTF">2026-09-23T21:32:22Z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