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Inputs" sheetId="2" state="visible" r:id="rId4"/>
    <sheet name="Contract Sums" sheetId="3" state="visible" r:id="rId5"/>
    <sheet name="Bridge" sheetId="4" state="visible" r:id="rId6"/>
    <sheet name="Comparison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<sst xmlns="http://schemas.openxmlformats.org/spreadsheetml/2006/main" count="329" uniqueCount="224">
  <si>
    <t xml:space="preserve">Construction Cost Control -- Workbook 1 of 4</t>
  </si>
  <si>
    <t xml:space="preserve">The Bridge: contract sum to final account, both cases</t>
  </si>
  <si>
    <t xml:space="preserve">Julian R. Sterling. Companion files: julianrsterling.com/costcontrol</t>
  </si>
  <si>
    <t xml:space="preserve">What this workbook does</t>
  </si>
  <si>
    <t xml:space="preserve">Rebuilds both contract sums from their six components, then computes all eleven lines of</t>
  </si>
  <si>
    <t xml:space="preserve">the bridge for each case, then the bought / lost / recovered split and the knowability split.</t>
  </si>
  <si>
    <t xml:space="preserve">Chapters 1 to 11 of the book are reproduced here in full.</t>
  </si>
  <si>
    <t xml:space="preserve">Conventions</t>
  </si>
  <si>
    <t xml:space="preserve">Blue text is an input. Change it and everything recomputes.</t>
  </si>
  <si>
    <t xml:space="preserve">A yellow fill marks an assumption that decides the answer rather than merely feeding it.</t>
  </si>
  <si>
    <t xml:space="preserve">Black text is a formula. Do not overtype it.</t>
  </si>
  <si>
    <t xml:space="preserve">Green text on the Checks sheet is a link to a computed cell.</t>
  </si>
  <si>
    <t xml:space="preserve">The Checks sheet</t>
  </si>
  <si>
    <t xml:space="preserve">Every figure printed in the book appears there beside the figure this workbook computes,</t>
  </si>
  <si>
    <t xml:space="preserve">with the difference and PASS or FAIL. If a check ever reads FAIL, the workbook is wrong.</t>
  </si>
  <si>
    <t xml:space="preserve">There are no macros, no external links, no protection and no circular references.</t>
  </si>
  <si>
    <t xml:space="preserve">The file behaves identically in Excel, LibreOffice and Google Sheets.</t>
  </si>
  <si>
    <t xml:space="preserve">Revised 24 September 2026</t>
  </si>
  <si>
    <t xml:space="preserve">Comparison sheet, rows 38 to 47: the Case B rate premium at which the saving disappears, 302.82 per m2, a little over twice the 150 assumed.</t>
  </si>
  <si>
    <t xml:space="preserve">Chapter 11 says a premium several times larger would still leave Case B ahead; it would not, and the conclusion is sensitive to this one input.</t>
  </si>
  <si>
    <t xml:space="preserve">Inputs</t>
  </si>
  <si>
    <t xml:space="preserve">Case A</t>
  </si>
  <si>
    <t xml:space="preserve">Case B</t>
  </si>
  <si>
    <t xml:space="preserve">Note</t>
  </si>
  <si>
    <t xml:space="preserve">The scheme (shared by both cases)</t>
  </si>
  <si>
    <t xml:space="preserve">Units</t>
  </si>
  <si>
    <t xml:space="preserve">The same building in both cases</t>
  </si>
  <si>
    <t xml:space="preserve">Gross internal area, m2</t>
  </si>
  <si>
    <t xml:space="preserve">Net internal area, m2</t>
  </si>
  <si>
    <t xml:space="preserve">Revenue is earned on this; cost on the gross</t>
  </si>
  <si>
    <t xml:space="preserve">Storeys</t>
  </si>
  <si>
    <t xml:space="preserve">Contract period, weeks</t>
  </si>
  <si>
    <t xml:space="preserve">Contract sum build-up</t>
  </si>
  <si>
    <t xml:space="preserve">Measured works rate, per m2</t>
  </si>
  <si>
    <t xml:space="preserve">Case B prices a complete design, so it is dearer</t>
  </si>
  <si>
    <t xml:space="preserve">External works and site</t>
  </si>
  <si>
    <t xml:space="preserve">Preliminaries, per cent of works</t>
  </si>
  <si>
    <t xml:space="preserve">Overheads and profit, per cent of works plus prelims</t>
  </si>
  <si>
    <t xml:space="preserve">Contractor's design development allowance, per cent</t>
  </si>
  <si>
    <t xml:space="preserve">A first loss layer, not cover</t>
  </si>
  <si>
    <t xml:space="preserve">Provisional sums</t>
  </si>
  <si>
    <t xml:space="preserve">A placeholder, not a price</t>
  </si>
  <si>
    <t xml:space="preserve">Bridge inputs</t>
  </si>
  <si>
    <t xml:space="preserve">Design information issued at contract, per cent of Stage 4</t>
  </si>
  <si>
    <t xml:space="preserve">The input everything else runs on</t>
  </si>
  <si>
    <t xml:space="preserve">Premium on value priced after award</t>
  </si>
  <si>
    <t xml:space="preserve">Market figure; argue it in the workbook</t>
  </si>
  <si>
    <t xml:space="preserve">Provisional sums released</t>
  </si>
  <si>
    <t xml:space="preserve">Client changes at contract rates</t>
  </si>
  <si>
    <t xml:space="preserve">Identical: the client changes its mind just as often</t>
  </si>
  <si>
    <t xml:space="preserve">Post-award pricing premium on client changes</t>
  </si>
  <si>
    <t xml:space="preserve">Leverage, not bad faith</t>
  </si>
  <si>
    <t xml:space="preserve">Weeks late</t>
  </si>
  <si>
    <t xml:space="preserve">Weeks carrying an extension of time</t>
  </si>
  <si>
    <t xml:space="preserve">The client's weeks</t>
  </si>
  <si>
    <t xml:space="preserve">Time-related share of preliminaries</t>
  </si>
  <si>
    <t xml:space="preserve">Trade value exposed to disruption</t>
  </si>
  <si>
    <t xml:space="preserve">Disrupted weeks</t>
  </si>
  <si>
    <t xml:space="preserve">Labor productivity loss</t>
  </si>
  <si>
    <t xml:space="preserve">Not knowable at signature</t>
  </si>
  <si>
    <t xml:space="preserve">Statutory change, cost</t>
  </si>
  <si>
    <t xml:space="preserve">Bought, not lost</t>
  </si>
  <si>
    <t xml:space="preserve">Statutory change, weeks</t>
  </si>
  <si>
    <t xml:space="preserve">Carried into the program, not into this line</t>
  </si>
  <si>
    <t xml:space="preserve">Escalation index, per year</t>
  </si>
  <si>
    <t xml:space="preserve">Months from tender to midpoint of late-priced work</t>
  </si>
  <si>
    <t xml:space="preserve">A project fact, not a market fact</t>
  </si>
  <si>
    <t xml:space="preserve">Contra-charges recovered by the client</t>
  </si>
  <si>
    <t xml:space="preserve">Liquidated damages per week</t>
  </si>
  <si>
    <t xml:space="preserve">Liquidated damages cap, per cent of contract sum</t>
  </si>
  <si>
    <t xml:space="preserve">Retention, per cent</t>
  </si>
  <si>
    <t xml:space="preserve">Retention never released, per cent of retention held</t>
  </si>
  <si>
    <t xml:space="preserve">Finance rate used for the time value of retention</t>
  </si>
  <si>
    <t xml:space="preserve">Contract sums</t>
  </si>
  <si>
    <t xml:space="preserve">Each layer is a percentage of the layer beneath it</t>
  </si>
  <si>
    <t xml:space="preserve">Measured works</t>
  </si>
  <si>
    <t xml:space="preserve">Rate times gross internal area</t>
  </si>
  <si>
    <t xml:space="preserve">Works total</t>
  </si>
  <si>
    <t xml:space="preserve">Preliminaries</t>
  </si>
  <si>
    <t xml:space="preserve">Of the works</t>
  </si>
  <si>
    <t xml:space="preserve">Subtotal</t>
  </si>
  <si>
    <t xml:space="preserve">Overheads and profit</t>
  </si>
  <si>
    <t xml:space="preserve">Of works PLUS preliminaries</t>
  </si>
  <si>
    <t xml:space="preserve">Contractor's design development allowance</t>
  </si>
  <si>
    <t xml:space="preserve">Of the lot</t>
  </si>
  <si>
    <t xml:space="preserve">CONTRACT SUM</t>
  </si>
  <si>
    <t xml:space="preserve">Cost per m2 of gross internal area</t>
  </si>
  <si>
    <t xml:space="preserve">Cost per unit</t>
  </si>
  <si>
    <t xml:space="preserve">Net to gross efficiency</t>
  </si>
  <si>
    <t xml:space="preserve">Average net area per unit, m2</t>
  </si>
  <si>
    <t xml:space="preserve">Case B contract sum higher by</t>
  </si>
  <si>
    <t xml:space="preserve">The bridge from contract sum to final account</t>
  </si>
  <si>
    <t xml:space="preserve">share</t>
  </si>
  <si>
    <t xml:space="preserve">kind</t>
  </si>
  <si>
    <t xml:space="preserve">knowable</t>
  </si>
  <si>
    <t xml:space="preserve">Workings</t>
  </si>
  <si>
    <t xml:space="preserve">Value exposed to late design (works + prelims + OH&amp;P)</t>
  </si>
  <si>
    <t xml:space="preserve">Value priced after the contract was signed</t>
  </si>
  <si>
    <t xml:space="preserve">Design development gross</t>
  </si>
  <si>
    <t xml:space="preserve">Absorbed by the contractor's allowance</t>
  </si>
  <si>
    <t xml:space="preserve">Time-related preliminaries per week</t>
  </si>
  <si>
    <t xml:space="preserve">Weeks at the contractor's risk (never below zero)</t>
  </si>
  <si>
    <t xml:space="preserve">Trade spend per week</t>
  </si>
  <si>
    <t xml:space="preserve">Compound escalation factor</t>
  </si>
  <si>
    <t xml:space="preserve">Liquidated damages cap</t>
  </si>
  <si>
    <t xml:space="preserve">Retention held</t>
  </si>
  <si>
    <t xml:space="preserve">Average retention holding period, years</t>
  </si>
  <si>
    <t xml:space="preserve">Provisional sum overrun</t>
  </si>
  <si>
    <t xml:space="preserve">The eleven lines</t>
  </si>
  <si>
    <t xml:space="preserve">Design development beyond the contractor's allowance</t>
  </si>
  <si>
    <t xml:space="preserve">lost</t>
  </si>
  <si>
    <t xml:space="preserve">yes</t>
  </si>
  <si>
    <t xml:space="preserve">Provisional sums released above allowance</t>
  </si>
  <si>
    <t xml:space="preserve">Client changes, the scope itself</t>
  </si>
  <si>
    <t xml:space="preserve">bought</t>
  </si>
  <si>
    <t xml:space="preserve">no</t>
  </si>
  <si>
    <t xml:space="preserve">Client changes, premium for pricing them after award</t>
  </si>
  <si>
    <t xml:space="preserve">Prolongation of time-related preliminaries</t>
  </si>
  <si>
    <t xml:space="preserve">Disruption, lost labor productivity</t>
  </si>
  <si>
    <t xml:space="preserve">Statutory change after contract</t>
  </si>
  <si>
    <t xml:space="preserve">Escalation on work priced after the tender</t>
  </si>
  <si>
    <t xml:space="preserve">recovered</t>
  </si>
  <si>
    <t xml:space="preserve">Liquidated damages recovered by the client</t>
  </si>
  <si>
    <t xml:space="preserve">Retention never released</t>
  </si>
  <si>
    <t xml:space="preserve">TOTAL MOVEMENT</t>
  </si>
  <si>
    <t xml:space="preserve">Bought, lost, recovered</t>
  </si>
  <si>
    <t xml:space="preserve">Building the client bought</t>
  </si>
  <si>
    <t xml:space="preserve">Price the client lost</t>
  </si>
  <si>
    <t xml:space="preserve">Money recovered (positive: it reduces what the client pays)</t>
  </si>
  <si>
    <t xml:space="preserve">Check: bought plus lost less recovered equals the movement</t>
  </si>
  <si>
    <t xml:space="preserve">Knowable at signature</t>
  </si>
  <si>
    <t xml:space="preserve">Of the price lost, knowable at signature</t>
  </si>
  <si>
    <t xml:space="preserve">As a share of the price lost</t>
  </si>
  <si>
    <t xml:space="preserve">Knowable at signature, whole movement</t>
  </si>
  <si>
    <t xml:space="preserve">As a share of the movement</t>
  </si>
  <si>
    <t xml:space="preserve">Contract sum to final account</t>
  </si>
  <si>
    <t xml:space="preserve">Contract sum</t>
  </si>
  <si>
    <t xml:space="preserve">Movement</t>
  </si>
  <si>
    <t xml:space="preserve">FINAL ACCOUNT</t>
  </si>
  <si>
    <t xml:space="preserve">Gap as a share of the contract sum</t>
  </si>
  <si>
    <t xml:space="preserve">Final account cost per unit</t>
  </si>
  <si>
    <t xml:space="preserve">Final account cost per m2</t>
  </si>
  <si>
    <t xml:space="preserve">Other workings quoted in the book</t>
  </si>
  <si>
    <t xml:space="preserve">Retention: time value of the cash held (a FINANCING effect, not a line of the account)</t>
  </si>
  <si>
    <t xml:space="preserve">Liquidated damages uncapped</t>
  </si>
  <si>
    <t xml:space="preserve">Cap reached</t>
  </si>
  <si>
    <t xml:space="preserve">Value exposed to escalation</t>
  </si>
  <si>
    <t xml:space="preserve">The same building, bought differently</t>
  </si>
  <si>
    <t xml:space="preserve">B less A</t>
  </si>
  <si>
    <t xml:space="preserve">Total movement</t>
  </si>
  <si>
    <t xml:space="preserve">Final account</t>
  </si>
  <si>
    <t xml:space="preserve">Money recovered (positive)</t>
  </si>
  <si>
    <t xml:space="preserve">The whole argument in four numbers</t>
  </si>
  <si>
    <t xml:space="preserve">Case B contract sum, higher by</t>
  </si>
  <si>
    <t xml:space="preserve">Case B final account, lower by</t>
  </si>
  <si>
    <t xml:space="preserve">Ratio of saving to premium</t>
  </si>
  <si>
    <t xml:space="preserve">Case A gap / Case B gap</t>
  </si>
  <si>
    <t xml:space="preserve">Where the saving came from, line by line</t>
  </si>
  <si>
    <t xml:space="preserve">Movement, Case B less Case A</t>
  </si>
  <si>
    <t xml:space="preserve">Contract sum, Case B less Case A</t>
  </si>
  <si>
    <t xml:space="preserve">Final account, Case B less Case A</t>
  </si>
  <si>
    <t xml:space="preserve">The rate premium that would erase the saving (Chapter 11)</t>
  </si>
  <si>
    <t xml:space="preserve">Case B measured rate premium over Case A, per m2</t>
  </si>
  <si>
    <t xml:space="preserve">Each 1 per m2 of premium adds to the Case B contract sum</t>
  </si>
  <si>
    <t xml:space="preserve">... and to the Case B movement (design development, escalation, prolongation, retention)</t>
  </si>
  <si>
    <t xml:space="preserve">Each 1 per m2 of premium adds to the Case B final account</t>
  </si>
  <si>
    <t xml:space="preserve">Saving at the premium assumed</t>
  </si>
  <si>
    <t xml:space="preserve">PREMIUM AT WHICH THE SAVING IS ZERO, per m2</t>
  </si>
  <si>
    <t xml:space="preserve">As a multiple of the premium assumed</t>
  </si>
  <si>
    <t xml:space="preserve">Saving if the premium were twice the one assumed</t>
  </si>
  <si>
    <t xml:space="preserve">Linear in the rate while Case B design development stays above zero and the damages cap does not bind; both hold here. Chapter 11 says a premium several times larger would still leave Case B ahead: at about twice the 150, the saving is gone.</t>
  </si>
  <si>
    <t xml:space="preserve">Checks</t>
  </si>
  <si>
    <t xml:space="preserve">Every figure as printed in the book, beside the figure this workbook computes.</t>
  </si>
  <si>
    <t xml:space="preserve">A FAIL means the workbook is wrong, not the book. Everything here is computed from the raw inputs, so every check is exact: the tolerance column reads eight decimal places and no check uses it.</t>
  </si>
  <si>
    <t xml:space="preserve">Figure</t>
  </si>
  <si>
    <t xml:space="preserve">As printed</t>
  </si>
  <si>
    <t xml:space="preserve">Computed</t>
  </si>
  <si>
    <t xml:space="preserve">Difference</t>
  </si>
  <si>
    <t xml:space="preserve">Verdict</t>
  </si>
  <si>
    <t xml:space="preserve">Tolerance</t>
  </si>
  <si>
    <t xml:space="preserve">Case A, contract sum</t>
  </si>
  <si>
    <t xml:space="preserve">Design development allowance</t>
  </si>
  <si>
    <t xml:space="preserve">Cost per m2</t>
  </si>
  <si>
    <t xml:space="preserve">Average net area per unit</t>
  </si>
  <si>
    <t xml:space="preserve">Case B, contract sum</t>
  </si>
  <si>
    <t xml:space="preserve">Case A, workings</t>
  </si>
  <si>
    <t xml:space="preserve">Value exposed to late design</t>
  </si>
  <si>
    <t xml:space="preserve">Absorbed by the allowance</t>
  </si>
  <si>
    <t xml:space="preserve">Weeks at the contractor's risk</t>
  </si>
  <si>
    <t xml:space="preserve">Average holding period, years</t>
  </si>
  <si>
    <t xml:space="preserve">Case A, the eleven lines</t>
  </si>
  <si>
    <t xml:space="preserve">Design development</t>
  </si>
  <si>
    <t xml:space="preserve">Client changes, scope</t>
  </si>
  <si>
    <t xml:space="preserve">Client changes, premium</t>
  </si>
  <si>
    <t xml:space="preserve">Prolongation</t>
  </si>
  <si>
    <t xml:space="preserve">Disruption</t>
  </si>
  <si>
    <t xml:space="preserve">Statutory change</t>
  </si>
  <si>
    <t xml:space="preserve">Escalation</t>
  </si>
  <si>
    <t xml:space="preserve">Contra-charges</t>
  </si>
  <si>
    <t xml:space="preserve">Liquidated damages</t>
  </si>
  <si>
    <t xml:space="preserve">Case A, the splits</t>
  </si>
  <si>
    <t xml:space="preserve">Bought</t>
  </si>
  <si>
    <t xml:space="preserve">Lost</t>
  </si>
  <si>
    <t xml:space="preserve">Recovered</t>
  </si>
  <si>
    <t xml:space="preserve">Of the lost, knowable at signature</t>
  </si>
  <si>
    <t xml:space="preserve">Knowable share of the lost</t>
  </si>
  <si>
    <t xml:space="preserve">Knowable, whole movement</t>
  </si>
  <si>
    <t xml:space="preserve">Knowable share of the movement</t>
  </si>
  <si>
    <t xml:space="preserve">Not knowable</t>
  </si>
  <si>
    <t xml:space="preserve">Case A, the account</t>
  </si>
  <si>
    <t xml:space="preserve">Retention time value (financing, not the account)</t>
  </si>
  <si>
    <t xml:space="preserve">Case B, workings</t>
  </si>
  <si>
    <t xml:space="preserve">Case B, the eleven lines</t>
  </si>
  <si>
    <t xml:space="preserve">Case B, the splits and the account</t>
  </si>
  <si>
    <t xml:space="preserve">The comparison</t>
  </si>
  <si>
    <t xml:space="preserve">Case B final account lower by</t>
  </si>
  <si>
    <t xml:space="preserve">The rate premium (revised 24 September 2026)</t>
  </si>
  <si>
    <t xml:space="preserve">Rate premium that erases the Case B saving, per m2 (the book says several times 150 would not)</t>
  </si>
  <si>
    <t xml:space="preserve">As a multiple of the 150 assumed</t>
  </si>
  <si>
    <t xml:space="preserve">Saving at twice the premium (300 per m2)</t>
  </si>
  <si>
    <t xml:space="preserve">The linear reading holds: Case B design development above zero, damages cap not binding (1 = yes)</t>
  </si>
  <si>
    <t xml:space="preserve">Checks run</t>
  </si>
  <si>
    <t xml:space="preserve">PASS</t>
  </si>
  <si>
    <t xml:space="preserve">FAIL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</si>
</sst>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"/>
    <numFmt numFmtId="166" formatCode="0.0%"/>
    <numFmt numFmtId="167" formatCode="General"/>
    <numFmt numFmtId="168" formatCode="#,##0.0"/>
    <numFmt numFmtId="169" formatCode="#,##0.000"/>
    <numFmt numFmtId="170" formatCode="#,##0.00"/>
    <numFmt numFmtId="171" formatCode="0.00"/>
    <numFmt numFmtId="172" formatCode="#,##0.0000"/>
    <numFmt numFmtId="173" formatCode="0.00000000"/>
    <numFmt numFmtId="174" formatCode="0.0000%"/>
    <numFmt numFmtId="175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4283A"/>
      <name val="Calibri"/>
      <family val="0"/>
      <charset val="1"/>
    </font>
    <font>
      <b val="true"/>
      <sz val="11"/>
      <color rgb="FF14283A"/>
      <name val="Calibri"/>
      <family val="0"/>
      <charset val="1"/>
    </font>
    <font>
      <sz val="10"/>
      <name val="Calibri"/>
      <family val="0"/>
      <charset val="1"/>
    </font>
    <font>
      <b val="true"/>
      <sz val="10"/>
      <name val="Calibri"/>
      <family val="0"/>
      <charset val="1"/>
    </font>
    <font>
      <sz val="10"/>
      <color rgb="FF0000CC"/>
      <name val="Calibri"/>
      <family val="0"/>
      <charset val="1"/>
    </font>
    <font>
      <sz val="9"/>
      <color rgb="FF666666"/>
      <name val="Calibri"/>
      <family val="0"/>
      <charset val="1"/>
    </font>
    <font>
      <sz val="10"/>
      <color rgb="FF0066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BBBBB"/>
      </bottom>
      <diagonal/>
    </border>
    <border diagonalUp="false" diagonalDown="false">
      <left/>
      <right/>
      <top style="thin">
        <color rgb="FF333333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428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83A"/>
    <pageSetUpPr fitToPage="false"/>
  </sheetPr>
  <dimension ref="B2:B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5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/>
    </row>
    <row r="7" customFormat="false" ht="15" hidden="false" customHeight="false" outlineLevel="0" collapsed="false">
      <c r="B7" s="2" t="s">
        <v>3</v>
      </c>
    </row>
    <row r="8" customFormat="false" ht="15" hidden="false" customHeight="false" outlineLevel="0" collapsed="false">
      <c r="B8" s="3" t="s">
        <v>4</v>
      </c>
    </row>
    <row r="9" customFormat="false" ht="15" hidden="false" customHeight="false" outlineLevel="0" collapsed="false">
      <c r="B9" s="3" t="s">
        <v>5</v>
      </c>
    </row>
    <row r="10" customFormat="false" ht="15" hidden="false" customHeight="false" outlineLevel="0" collapsed="false">
      <c r="B10" s="3" t="s">
        <v>6</v>
      </c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2" t="s">
        <v>7</v>
      </c>
    </row>
    <row r="13" customFormat="false" ht="15" hidden="false" customHeight="false" outlineLevel="0" collapsed="false">
      <c r="B13" s="3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3" t="s">
        <v>10</v>
      </c>
    </row>
    <row r="16" customFormat="false" ht="15" hidden="false" customHeight="false" outlineLevel="0" collapsed="false">
      <c r="B16" s="3" t="s">
        <v>11</v>
      </c>
    </row>
    <row r="17" customFormat="false" ht="15" hidden="false" customHeight="false" outlineLevel="0" collapsed="false">
      <c r="B17" s="3"/>
    </row>
    <row r="18" customFormat="false" ht="15" hidden="false" customHeight="false" outlineLevel="0" collapsed="false">
      <c r="B18" s="2" t="s">
        <v>12</v>
      </c>
    </row>
    <row r="19" customFormat="false" ht="15" hidden="false" customHeight="false" outlineLevel="0" collapsed="false">
      <c r="B19" s="3" t="s">
        <v>13</v>
      </c>
    </row>
    <row r="20" customFormat="false" ht="15" hidden="false" customHeight="false" outlineLevel="0" collapsed="false">
      <c r="B20" s="3" t="s">
        <v>14</v>
      </c>
    </row>
    <row r="21" customFormat="false" ht="15" hidden="false" customHeight="false" outlineLevel="0" collapsed="false">
      <c r="B21" s="3"/>
    </row>
    <row r="22" customFormat="false" ht="15" hidden="false" customHeight="false" outlineLevel="0" collapsed="false">
      <c r="B22" s="3" t="s">
        <v>15</v>
      </c>
    </row>
    <row r="23" customFormat="false" ht="15" hidden="false" customHeight="false" outlineLevel="0" collapsed="false">
      <c r="B23" s="3" t="s">
        <v>16</v>
      </c>
    </row>
    <row r="25" customFormat="false" ht="15" hidden="false" customHeight="false" outlineLevel="0" collapsed="false">
      <c r="B25" s="2" t="s">
        <v>17</v>
      </c>
    </row>
    <row r="26" customFormat="false" ht="15" hidden="false" customHeight="false" outlineLevel="0" collapsed="false">
      <c r="B26" s="3" t="s">
        <v>18</v>
      </c>
    </row>
    <row r="27" customFormat="false" ht="15" hidden="false" customHeight="false" outlineLevel="0" collapsed="false">
      <c r="B27" s="3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83A"/>
    <pageSetUpPr fitToPage="false"/>
  </sheetPr>
  <dimension ref="B2:E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2"/>
    <col collapsed="false" customWidth="true" hidden="false" outlineLevel="0" max="4" min="3" style="0" width="15"/>
    <col collapsed="false" customWidth="true" hidden="false" outlineLevel="0" max="5" min="5" style="0" width="62"/>
  </cols>
  <sheetData>
    <row r="2" customFormat="false" ht="17.35" hidden="false" customHeight="false" outlineLevel="0" collapsed="false">
      <c r="B2" s="1" t="s">
        <v>20</v>
      </c>
    </row>
    <row r="3" customFormat="false" ht="15" hidden="false" customHeight="false" outlineLevel="0" collapsed="false">
      <c r="C3" s="4" t="s">
        <v>21</v>
      </c>
      <c r="D3" s="4" t="s">
        <v>22</v>
      </c>
      <c r="E3" s="4" t="s">
        <v>23</v>
      </c>
    </row>
    <row r="5" customFormat="false" ht="15" hidden="false" customHeight="false" outlineLevel="0" collapsed="false">
      <c r="B5" s="5" t="s">
        <v>24</v>
      </c>
      <c r="C5" s="6"/>
      <c r="D5" s="6"/>
      <c r="E5" s="6"/>
    </row>
    <row r="6" customFormat="false" ht="15" hidden="false" customHeight="false" outlineLevel="0" collapsed="false">
      <c r="B6" s="3" t="s">
        <v>25</v>
      </c>
      <c r="C6" s="7" t="n">
        <v>96</v>
      </c>
      <c r="E6" s="8" t="s">
        <v>26</v>
      </c>
    </row>
    <row r="7" customFormat="false" ht="15" hidden="false" customHeight="false" outlineLevel="0" collapsed="false">
      <c r="B7" s="3" t="s">
        <v>27</v>
      </c>
      <c r="C7" s="7" t="n">
        <v>8640</v>
      </c>
      <c r="E7" s="8"/>
    </row>
    <row r="8" customFormat="false" ht="15" hidden="false" customHeight="false" outlineLevel="0" collapsed="false">
      <c r="B8" s="3" t="s">
        <v>28</v>
      </c>
      <c r="C8" s="7" t="n">
        <v>7344</v>
      </c>
      <c r="E8" s="8" t="s">
        <v>29</v>
      </c>
    </row>
    <row r="9" customFormat="false" ht="15" hidden="false" customHeight="false" outlineLevel="0" collapsed="false">
      <c r="B9" s="3" t="s">
        <v>30</v>
      </c>
      <c r="C9" s="7" t="n">
        <v>6</v>
      </c>
      <c r="E9" s="8"/>
    </row>
    <row r="10" customFormat="false" ht="15" hidden="false" customHeight="false" outlineLevel="0" collapsed="false">
      <c r="B10" s="3" t="s">
        <v>31</v>
      </c>
      <c r="C10" s="7" t="n">
        <v>94</v>
      </c>
      <c r="E10" s="8"/>
    </row>
    <row r="12" customFormat="false" ht="15" hidden="false" customHeight="false" outlineLevel="0" collapsed="false">
      <c r="B12" s="5" t="s">
        <v>32</v>
      </c>
      <c r="C12" s="6"/>
      <c r="D12" s="6"/>
      <c r="E12" s="6"/>
    </row>
    <row r="13" customFormat="false" ht="15" hidden="false" customHeight="false" outlineLevel="0" collapsed="false">
      <c r="B13" s="3" t="s">
        <v>33</v>
      </c>
      <c r="C13" s="9" t="n">
        <v>2180</v>
      </c>
      <c r="D13" s="9" t="n">
        <v>2330</v>
      </c>
      <c r="E13" s="8" t="s">
        <v>34</v>
      </c>
    </row>
    <row r="14" customFormat="false" ht="15" hidden="false" customHeight="false" outlineLevel="0" collapsed="false">
      <c r="B14" s="3" t="s">
        <v>35</v>
      </c>
      <c r="C14" s="7" t="n">
        <v>1240000</v>
      </c>
      <c r="D14" s="7" t="n">
        <v>1240000</v>
      </c>
      <c r="E14" s="8"/>
    </row>
    <row r="15" customFormat="false" ht="15" hidden="false" customHeight="false" outlineLevel="0" collapsed="false">
      <c r="B15" s="3" t="s">
        <v>36</v>
      </c>
      <c r="C15" s="10" t="n">
        <v>0.15</v>
      </c>
      <c r="D15" s="10" t="n">
        <v>0.15</v>
      </c>
      <c r="E15" s="8"/>
    </row>
    <row r="16" customFormat="false" ht="15" hidden="false" customHeight="false" outlineLevel="0" collapsed="false">
      <c r="B16" s="3" t="s">
        <v>37</v>
      </c>
      <c r="C16" s="10" t="n">
        <v>0.06</v>
      </c>
      <c r="D16" s="10" t="n">
        <v>0.06</v>
      </c>
      <c r="E16" s="8"/>
    </row>
    <row r="17" customFormat="false" ht="15" hidden="false" customHeight="false" outlineLevel="0" collapsed="false">
      <c r="B17" s="3" t="s">
        <v>38</v>
      </c>
      <c r="C17" s="11" t="n">
        <v>0.02</v>
      </c>
      <c r="D17" s="11" t="n">
        <v>0.005</v>
      </c>
      <c r="E17" s="8" t="s">
        <v>39</v>
      </c>
    </row>
    <row r="18" customFormat="false" ht="15" hidden="false" customHeight="false" outlineLevel="0" collapsed="false">
      <c r="B18" s="3" t="s">
        <v>40</v>
      </c>
      <c r="C18" s="9" t="n">
        <v>1340000</v>
      </c>
      <c r="D18" s="9" t="n">
        <v>210000</v>
      </c>
      <c r="E18" s="8" t="s">
        <v>41</v>
      </c>
    </row>
    <row r="20" customFormat="false" ht="15" hidden="false" customHeight="false" outlineLevel="0" collapsed="false">
      <c r="B20" s="5" t="s">
        <v>42</v>
      </c>
      <c r="C20" s="6"/>
      <c r="D20" s="6"/>
      <c r="E20" s="6"/>
    </row>
    <row r="21" customFormat="false" ht="15" hidden="false" customHeight="false" outlineLevel="0" collapsed="false">
      <c r="B21" s="3" t="s">
        <v>43</v>
      </c>
      <c r="C21" s="11" t="n">
        <v>0.72</v>
      </c>
      <c r="D21" s="11" t="n">
        <v>0.96</v>
      </c>
      <c r="E21" s="8" t="s">
        <v>44</v>
      </c>
    </row>
    <row r="22" customFormat="false" ht="15" hidden="false" customHeight="false" outlineLevel="0" collapsed="false">
      <c r="B22" s="3" t="s">
        <v>45</v>
      </c>
      <c r="C22" s="11" t="n">
        <v>0.135</v>
      </c>
      <c r="D22" s="11" t="n">
        <v>0.135</v>
      </c>
      <c r="E22" s="8" t="s">
        <v>46</v>
      </c>
    </row>
    <row r="23" customFormat="false" ht="15" hidden="false" customHeight="false" outlineLevel="0" collapsed="false">
      <c r="B23" s="3" t="s">
        <v>47</v>
      </c>
      <c r="C23" s="7" t="n">
        <v>2150000</v>
      </c>
      <c r="D23" s="7" t="n">
        <v>243000</v>
      </c>
      <c r="E23" s="8"/>
    </row>
    <row r="24" customFormat="false" ht="15" hidden="false" customHeight="false" outlineLevel="0" collapsed="false">
      <c r="B24" s="3" t="s">
        <v>48</v>
      </c>
      <c r="C24" s="7" t="n">
        <v>742000</v>
      </c>
      <c r="D24" s="7" t="n">
        <v>742000</v>
      </c>
      <c r="E24" s="8" t="s">
        <v>49</v>
      </c>
    </row>
    <row r="25" customFormat="false" ht="15" hidden="false" customHeight="false" outlineLevel="0" collapsed="false">
      <c r="B25" s="3" t="s">
        <v>50</v>
      </c>
      <c r="C25" s="11" t="n">
        <v>0.142</v>
      </c>
      <c r="D25" s="11" t="n">
        <v>0.061</v>
      </c>
      <c r="E25" s="8" t="s">
        <v>51</v>
      </c>
    </row>
    <row r="26" customFormat="false" ht="15" hidden="false" customHeight="false" outlineLevel="0" collapsed="false">
      <c r="B26" s="3" t="s">
        <v>52</v>
      </c>
      <c r="C26" s="7" t="n">
        <v>14</v>
      </c>
      <c r="D26" s="7" t="n">
        <v>6</v>
      </c>
      <c r="E26" s="8"/>
    </row>
    <row r="27" customFormat="false" ht="15" hidden="false" customHeight="false" outlineLevel="0" collapsed="false">
      <c r="B27" s="3" t="s">
        <v>53</v>
      </c>
      <c r="C27" s="7" t="n">
        <v>11</v>
      </c>
      <c r="D27" s="7" t="n">
        <v>5</v>
      </c>
      <c r="E27" s="8" t="s">
        <v>54</v>
      </c>
    </row>
    <row r="28" customFormat="false" ht="15" hidden="false" customHeight="false" outlineLevel="0" collapsed="false">
      <c r="B28" s="3" t="s">
        <v>55</v>
      </c>
      <c r="C28" s="10" t="n">
        <v>0.72</v>
      </c>
      <c r="D28" s="10" t="n">
        <v>0.72</v>
      </c>
      <c r="E28" s="12" t="b">
        <f aca="false">TRUE()</f>
        <v>1</v>
      </c>
    </row>
    <row r="29" customFormat="false" ht="15" hidden="false" customHeight="false" outlineLevel="0" collapsed="false">
      <c r="B29" s="3" t="s">
        <v>56</v>
      </c>
      <c r="C29" s="7" t="n">
        <v>11200000</v>
      </c>
      <c r="D29" s="7" t="n">
        <v>11200000</v>
      </c>
      <c r="E29" s="8"/>
    </row>
    <row r="30" customFormat="false" ht="15" hidden="false" customHeight="false" outlineLevel="0" collapsed="false">
      <c r="B30" s="3" t="s">
        <v>57</v>
      </c>
      <c r="C30" s="7" t="n">
        <v>22</v>
      </c>
      <c r="D30" s="7" t="n">
        <v>9</v>
      </c>
      <c r="E30" s="8"/>
    </row>
    <row r="31" customFormat="false" ht="15" hidden="false" customHeight="false" outlineLevel="0" collapsed="false">
      <c r="B31" s="3" t="s">
        <v>58</v>
      </c>
      <c r="C31" s="11" t="n">
        <v>0.11</v>
      </c>
      <c r="D31" s="11" t="n">
        <v>0.045</v>
      </c>
      <c r="E31" s="8" t="s">
        <v>59</v>
      </c>
    </row>
    <row r="32" customFormat="false" ht="15" hidden="false" customHeight="false" outlineLevel="0" collapsed="false">
      <c r="B32" s="3" t="s">
        <v>60</v>
      </c>
      <c r="C32" s="7" t="n">
        <v>310000</v>
      </c>
      <c r="D32" s="7" t="n">
        <v>310000</v>
      </c>
      <c r="E32" s="8" t="s">
        <v>61</v>
      </c>
    </row>
    <row r="33" customFormat="false" ht="15" hidden="false" customHeight="false" outlineLevel="0" collapsed="false">
      <c r="B33" s="3" t="s">
        <v>62</v>
      </c>
      <c r="C33" s="7" t="n">
        <v>8</v>
      </c>
      <c r="D33" s="7" t="n">
        <v>5</v>
      </c>
      <c r="E33" s="8" t="s">
        <v>63</v>
      </c>
    </row>
    <row r="34" customFormat="false" ht="15" hidden="false" customHeight="false" outlineLevel="0" collapsed="false">
      <c r="B34" s="3" t="s">
        <v>64</v>
      </c>
      <c r="C34" s="10" t="n">
        <v>0.041</v>
      </c>
      <c r="D34" s="10" t="n">
        <v>0.041</v>
      </c>
      <c r="E34" s="8"/>
    </row>
    <row r="35" customFormat="false" ht="15" hidden="false" customHeight="false" outlineLevel="0" collapsed="false">
      <c r="B35" s="3" t="s">
        <v>65</v>
      </c>
      <c r="C35" s="9" t="n">
        <v>19</v>
      </c>
      <c r="D35" s="9" t="n">
        <v>11</v>
      </c>
      <c r="E35" s="8" t="s">
        <v>66</v>
      </c>
    </row>
    <row r="36" customFormat="false" ht="15" hidden="false" customHeight="false" outlineLevel="0" collapsed="false">
      <c r="B36" s="3" t="s">
        <v>67</v>
      </c>
      <c r="C36" s="7" t="n">
        <v>96000</v>
      </c>
      <c r="D36" s="7" t="n">
        <v>96000</v>
      </c>
      <c r="E36" s="8"/>
    </row>
    <row r="37" customFormat="false" ht="15" hidden="false" customHeight="false" outlineLevel="0" collapsed="false">
      <c r="B37" s="3" t="s">
        <v>68</v>
      </c>
      <c r="C37" s="7" t="n">
        <v>14500</v>
      </c>
      <c r="D37" s="7" t="n">
        <v>14500</v>
      </c>
      <c r="E37" s="8"/>
    </row>
    <row r="38" customFormat="false" ht="15" hidden="false" customHeight="false" outlineLevel="0" collapsed="false">
      <c r="B38" s="3" t="s">
        <v>69</v>
      </c>
      <c r="C38" s="10" t="n">
        <v>0.05</v>
      </c>
      <c r="D38" s="10" t="n">
        <v>0.05</v>
      </c>
      <c r="E38" s="8"/>
    </row>
    <row r="39" customFormat="false" ht="15" hidden="false" customHeight="false" outlineLevel="0" collapsed="false">
      <c r="B39" s="3" t="s">
        <v>70</v>
      </c>
      <c r="C39" s="10" t="n">
        <v>0.03</v>
      </c>
      <c r="D39" s="10" t="n">
        <v>0.03</v>
      </c>
      <c r="E39" s="8"/>
    </row>
    <row r="40" customFormat="false" ht="15" hidden="false" customHeight="false" outlineLevel="0" collapsed="false">
      <c r="B40" s="3" t="s">
        <v>71</v>
      </c>
      <c r="C40" s="10" t="n">
        <v>0.115</v>
      </c>
      <c r="D40" s="10" t="n">
        <v>0.115</v>
      </c>
      <c r="E40" s="12" t="b">
        <f aca="false">TRUE()</f>
        <v>1</v>
      </c>
    </row>
    <row r="41" customFormat="false" ht="15" hidden="false" customHeight="false" outlineLevel="0" collapsed="false">
      <c r="B41" s="3" t="s">
        <v>72</v>
      </c>
      <c r="C41" s="10" t="n">
        <v>0.079</v>
      </c>
      <c r="D41" s="10" t="n">
        <v>0.079</v>
      </c>
      <c r="E41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83A"/>
    <pageSetUpPr fitToPage="false"/>
  </sheetPr>
  <dimension ref="B2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6"/>
    <col collapsed="false" customWidth="true" hidden="false" outlineLevel="0" max="4" min="3" style="0" width="16"/>
    <col collapsed="false" customWidth="true" hidden="false" outlineLevel="0" max="5" min="5" style="0" width="50"/>
  </cols>
  <sheetData>
    <row r="2" customFormat="false" ht="17.35" hidden="false" customHeight="false" outlineLevel="0" collapsed="false">
      <c r="B2" s="1" t="s">
        <v>73</v>
      </c>
    </row>
    <row r="3" customFormat="false" ht="15" hidden="false" customHeight="false" outlineLevel="0" collapsed="false">
      <c r="C3" s="4" t="s">
        <v>21</v>
      </c>
      <c r="D3" s="4" t="s">
        <v>22</v>
      </c>
    </row>
    <row r="5" customFormat="false" ht="15" hidden="false" customHeight="false" outlineLevel="0" collapsed="false">
      <c r="B5" s="5" t="s">
        <v>74</v>
      </c>
      <c r="C5" s="6"/>
      <c r="D5" s="6"/>
      <c r="E5" s="6"/>
    </row>
    <row r="6" customFormat="false" ht="15" hidden="false" customHeight="false" outlineLevel="0" collapsed="false">
      <c r="B6" s="3" t="s">
        <v>75</v>
      </c>
      <c r="C6" s="13" t="n">
        <f aca="false">Inputs!$C$13*Inputs!$C$7</f>
        <v>18835200</v>
      </c>
      <c r="D6" s="13" t="n">
        <f aca="false">Inputs!$D$13*Inputs!$C$7</f>
        <v>20131200</v>
      </c>
      <c r="E6" s="8" t="s">
        <v>76</v>
      </c>
    </row>
    <row r="7" customFormat="false" ht="15" hidden="false" customHeight="false" outlineLevel="0" collapsed="false">
      <c r="B7" s="3" t="s">
        <v>35</v>
      </c>
      <c r="C7" s="13" t="n">
        <f aca="false">Inputs!$C$14</f>
        <v>1240000</v>
      </c>
      <c r="D7" s="13" t="n">
        <f aca="false">Inputs!$D$14</f>
        <v>1240000</v>
      </c>
    </row>
    <row r="8" customFormat="false" ht="15" hidden="false" customHeight="false" outlineLevel="0" collapsed="false">
      <c r="B8" s="14" t="s">
        <v>77</v>
      </c>
      <c r="C8" s="15" t="n">
        <f aca="false">C6+C7</f>
        <v>20075200</v>
      </c>
      <c r="D8" s="15" t="n">
        <f aca="false">D6+D7</f>
        <v>21371200</v>
      </c>
    </row>
    <row r="9" customFormat="false" ht="15" hidden="false" customHeight="false" outlineLevel="0" collapsed="false">
      <c r="B9" s="3" t="s">
        <v>78</v>
      </c>
      <c r="C9" s="13" t="n">
        <f aca="false">C8*Inputs!$C$15</f>
        <v>3011280</v>
      </c>
      <c r="D9" s="13" t="n">
        <f aca="false">D8*Inputs!$D$15</f>
        <v>3205680</v>
      </c>
      <c r="E9" s="8" t="s">
        <v>79</v>
      </c>
    </row>
    <row r="10" customFormat="false" ht="15" hidden="false" customHeight="false" outlineLevel="0" collapsed="false">
      <c r="B10" s="3" t="s">
        <v>80</v>
      </c>
      <c r="C10" s="13" t="n">
        <f aca="false">C8+C9</f>
        <v>23086480</v>
      </c>
      <c r="D10" s="13" t="n">
        <f aca="false">D8+D9</f>
        <v>24576880</v>
      </c>
    </row>
    <row r="11" customFormat="false" ht="15" hidden="false" customHeight="false" outlineLevel="0" collapsed="false">
      <c r="B11" s="3" t="s">
        <v>81</v>
      </c>
      <c r="C11" s="13" t="n">
        <f aca="false">C10*Inputs!$C$16</f>
        <v>1385188.8</v>
      </c>
      <c r="D11" s="13" t="n">
        <f aca="false">D10*Inputs!$D$16</f>
        <v>1474612.8</v>
      </c>
      <c r="E11" s="8" t="s">
        <v>82</v>
      </c>
    </row>
    <row r="12" customFormat="false" ht="15" hidden="false" customHeight="false" outlineLevel="0" collapsed="false">
      <c r="B12" s="3" t="s">
        <v>80</v>
      </c>
      <c r="C12" s="13" t="n">
        <f aca="false">C10+C11</f>
        <v>24471668.8</v>
      </c>
      <c r="D12" s="13" t="n">
        <f aca="false">D10+D11</f>
        <v>26051492.8</v>
      </c>
    </row>
    <row r="13" customFormat="false" ht="15" hidden="false" customHeight="false" outlineLevel="0" collapsed="false">
      <c r="B13" s="3" t="s">
        <v>83</v>
      </c>
      <c r="C13" s="13" t="n">
        <f aca="false">C12*Inputs!$C$17</f>
        <v>489433.376</v>
      </c>
      <c r="D13" s="13" t="n">
        <f aca="false">D12*Inputs!$D$17</f>
        <v>130257.464</v>
      </c>
      <c r="E13" s="8" t="s">
        <v>84</v>
      </c>
    </row>
    <row r="14" customFormat="false" ht="15" hidden="false" customHeight="false" outlineLevel="0" collapsed="false">
      <c r="B14" s="3" t="s">
        <v>40</v>
      </c>
      <c r="C14" s="13" t="n">
        <f aca="false">Inputs!$C$18</f>
        <v>1340000</v>
      </c>
      <c r="D14" s="13" t="n">
        <f aca="false">Inputs!$D$18</f>
        <v>210000</v>
      </c>
    </row>
    <row r="15" customFormat="false" ht="15" hidden="false" customHeight="false" outlineLevel="0" collapsed="false">
      <c r="B15" s="14" t="s">
        <v>85</v>
      </c>
      <c r="C15" s="15" t="n">
        <f aca="false">C12+C13+C14</f>
        <v>26301102.176</v>
      </c>
      <c r="D15" s="15" t="n">
        <f aca="false">D12+D13+D14</f>
        <v>26391750.264</v>
      </c>
    </row>
    <row r="17" customFormat="false" ht="15" hidden="false" customHeight="false" outlineLevel="0" collapsed="false">
      <c r="B17" s="3" t="s">
        <v>86</v>
      </c>
      <c r="C17" s="13" t="n">
        <f aca="false">C15/Inputs!$C$7</f>
        <v>3044.10904814815</v>
      </c>
      <c r="D17" s="13" t="n">
        <f aca="false">D15/Inputs!$C$7</f>
        <v>3054.600725</v>
      </c>
    </row>
    <row r="18" customFormat="false" ht="15" hidden="false" customHeight="false" outlineLevel="0" collapsed="false">
      <c r="B18" s="3" t="s">
        <v>87</v>
      </c>
      <c r="C18" s="13" t="n">
        <f aca="false">C15/Inputs!$C$6</f>
        <v>273969.814333333</v>
      </c>
      <c r="D18" s="13" t="n">
        <f aca="false">D15/Inputs!$C$6</f>
        <v>274914.06525</v>
      </c>
    </row>
    <row r="19" customFormat="false" ht="15" hidden="false" customHeight="false" outlineLevel="0" collapsed="false">
      <c r="B19" s="3" t="s">
        <v>88</v>
      </c>
      <c r="C19" s="16" t="n">
        <f aca="false">Inputs!$C$8/Inputs!$C$7</f>
        <v>0.85</v>
      </c>
      <c r="D19" s="16" t="n">
        <f aca="false">Inputs!$C$8/Inputs!$C$7</f>
        <v>0.85</v>
      </c>
    </row>
    <row r="20" customFormat="false" ht="15" hidden="false" customHeight="false" outlineLevel="0" collapsed="false">
      <c r="B20" s="3" t="s">
        <v>89</v>
      </c>
      <c r="C20" s="17" t="n">
        <f aca="false">Inputs!$C$8/Inputs!$C$6</f>
        <v>76.5</v>
      </c>
      <c r="D20" s="17" t="n">
        <f aca="false">Inputs!$C$8/Inputs!$C$6</f>
        <v>76.5</v>
      </c>
    </row>
    <row r="22" customFormat="false" ht="15" hidden="false" customHeight="false" outlineLevel="0" collapsed="false">
      <c r="B22" s="4" t="s">
        <v>90</v>
      </c>
      <c r="D22" s="18" t="n">
        <f aca="false">D15-C15</f>
        <v>90648.0880000033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83A"/>
    <pageSetUpPr fitToPage="false"/>
  </sheetPr>
  <dimension ref="B2:H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6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2"/>
  </cols>
  <sheetData>
    <row r="2" customFormat="false" ht="17.35" hidden="false" customHeight="false" outlineLevel="0" collapsed="false">
      <c r="B2" s="1" t="s">
        <v>91</v>
      </c>
    </row>
    <row r="3" customFormat="false" ht="15" hidden="false" customHeight="false" outlineLevel="0" collapsed="false">
      <c r="C3" s="4" t="s">
        <v>21</v>
      </c>
      <c r="D3" s="4" t="s">
        <v>92</v>
      </c>
      <c r="E3" s="4" t="s">
        <v>22</v>
      </c>
      <c r="F3" s="4" t="s">
        <v>92</v>
      </c>
      <c r="G3" s="4" t="s">
        <v>93</v>
      </c>
      <c r="H3" s="4" t="s">
        <v>94</v>
      </c>
    </row>
    <row r="5" customFormat="false" ht="15" hidden="false" customHeight="false" outlineLevel="0" collapsed="false">
      <c r="B5" s="5" t="s">
        <v>95</v>
      </c>
      <c r="C5" s="6"/>
      <c r="D5" s="6"/>
      <c r="E5" s="6"/>
    </row>
    <row r="6" customFormat="false" ht="15" hidden="false" customHeight="false" outlineLevel="0" collapsed="false">
      <c r="B6" s="3" t="s">
        <v>96</v>
      </c>
      <c r="C6" s="13" t="n">
        <f aca="false">'Contract Sums'!C12</f>
        <v>24471668.8</v>
      </c>
      <c r="E6" s="13" t="n">
        <f aca="false">'Contract Sums'!D12</f>
        <v>26051492.8</v>
      </c>
    </row>
    <row r="7" customFormat="false" ht="15" hidden="false" customHeight="false" outlineLevel="0" collapsed="false">
      <c r="B7" s="3" t="s">
        <v>97</v>
      </c>
      <c r="C7" s="13" t="n">
        <f aca="false">C6*(1-Inputs!$C$21)</f>
        <v>6852067.264</v>
      </c>
      <c r="E7" s="13" t="n">
        <f aca="false">E6*(1-Inputs!$D$21)</f>
        <v>1042059.712</v>
      </c>
    </row>
    <row r="8" customFormat="false" ht="15" hidden="false" customHeight="false" outlineLevel="0" collapsed="false">
      <c r="B8" s="3" t="s">
        <v>98</v>
      </c>
      <c r="C8" s="13" t="n">
        <f aca="false">C7*Inputs!$C$22</f>
        <v>925029.08064</v>
      </c>
      <c r="E8" s="13" t="n">
        <f aca="false">E7*Inputs!$D$22</f>
        <v>140678.06112</v>
      </c>
    </row>
    <row r="9" customFormat="false" ht="15" hidden="false" customHeight="false" outlineLevel="0" collapsed="false">
      <c r="B9" s="3" t="s">
        <v>99</v>
      </c>
      <c r="C9" s="13" t="n">
        <f aca="false">MIN(C8,'Contract Sums'!C13)</f>
        <v>489433.376</v>
      </c>
      <c r="E9" s="13" t="n">
        <f aca="false">MIN(E8,'Contract Sums'!D13)</f>
        <v>130257.464</v>
      </c>
    </row>
    <row r="10" customFormat="false" ht="15" hidden="false" customHeight="false" outlineLevel="0" collapsed="false">
      <c r="B10" s="3" t="s">
        <v>100</v>
      </c>
      <c r="C10" s="13" t="n">
        <f aca="false">'Contract Sums'!C9*Inputs!$C$28/Inputs!$C$10</f>
        <v>23065.1234042553</v>
      </c>
      <c r="E10" s="13" t="n">
        <f aca="false">'Contract Sums'!D9*Inputs!$D$28/Inputs!$C$10</f>
        <v>24554.1446808511</v>
      </c>
    </row>
    <row r="11" customFormat="false" ht="15" hidden="false" customHeight="false" outlineLevel="0" collapsed="false">
      <c r="B11" s="3" t="s">
        <v>101</v>
      </c>
      <c r="C11" s="13" t="n">
        <f aca="false">MAX(0,Inputs!$C$26-Inputs!$C$27)</f>
        <v>3</v>
      </c>
      <c r="E11" s="13" t="n">
        <f aca="false">MAX(0,Inputs!$D$26-Inputs!$D$27)</f>
        <v>1</v>
      </c>
    </row>
    <row r="12" customFormat="false" ht="15" hidden="false" customHeight="false" outlineLevel="0" collapsed="false">
      <c r="B12" s="3" t="s">
        <v>102</v>
      </c>
      <c r="C12" s="13" t="n">
        <f aca="false">Inputs!$C$29/Inputs!$C$10</f>
        <v>119148.936170213</v>
      </c>
      <c r="E12" s="13" t="n">
        <f aca="false">Inputs!$D$29/Inputs!$C$10</f>
        <v>119148.936170213</v>
      </c>
    </row>
    <row r="13" customFormat="false" ht="15" hidden="false" customHeight="false" outlineLevel="0" collapsed="false">
      <c r="B13" s="3" t="s">
        <v>103</v>
      </c>
      <c r="C13" s="16" t="n">
        <f aca="false">(1+Inputs!$C$34)^(Inputs!$C$35/12)-1</f>
        <v>0.0656886041832803</v>
      </c>
      <c r="E13" s="16" t="n">
        <f aca="false">(1+Inputs!$D$34)^(Inputs!$D$35/12)-1</f>
        <v>0.0375200592611522</v>
      </c>
    </row>
    <row r="14" customFormat="false" ht="15" hidden="false" customHeight="false" outlineLevel="0" collapsed="false">
      <c r="B14" s="3" t="s">
        <v>104</v>
      </c>
      <c r="C14" s="13" t="n">
        <f aca="false">'Contract Sums'!C15*Inputs!$C$38</f>
        <v>1315055.1088</v>
      </c>
      <c r="E14" s="13" t="n">
        <f aca="false">'Contract Sums'!D15*Inputs!$D$38</f>
        <v>1319587.5132</v>
      </c>
    </row>
    <row r="15" customFormat="false" ht="15" hidden="false" customHeight="false" outlineLevel="0" collapsed="false">
      <c r="B15" s="3" t="s">
        <v>105</v>
      </c>
      <c r="C15" s="13" t="n">
        <f aca="false">'Contract Sums'!C15*Inputs!$C$39</f>
        <v>789033.06528</v>
      </c>
      <c r="E15" s="13" t="n">
        <f aca="false">'Contract Sums'!D15*Inputs!$D$39</f>
        <v>791752.50792</v>
      </c>
    </row>
    <row r="16" customFormat="false" ht="15" hidden="false" customHeight="false" outlineLevel="0" collapsed="false">
      <c r="B16" s="3" t="s">
        <v>106</v>
      </c>
      <c r="C16" s="19" t="n">
        <f aca="false">0.5*(Inputs!$C$10/104)+0.5*((Inputs!$C$10/52)+1)/2</f>
        <v>1.15384615384615</v>
      </c>
      <c r="E16" s="19" t="n">
        <f aca="false">0.5*(Inputs!$C$10/104)+0.5*((Inputs!$C$10/52)+1)/2</f>
        <v>1.15384615384615</v>
      </c>
    </row>
    <row r="17" customFormat="false" ht="15" hidden="false" customHeight="false" outlineLevel="0" collapsed="false">
      <c r="B17" s="3" t="s">
        <v>107</v>
      </c>
      <c r="C17" s="16" t="n">
        <f aca="false">Inputs!$C$23/Inputs!$C$18-1</f>
        <v>0.604477611940299</v>
      </c>
      <c r="E17" s="16" t="n">
        <f aca="false">Inputs!$D$23/Inputs!$D$18-1</f>
        <v>0.157142857142857</v>
      </c>
    </row>
    <row r="19" customFormat="false" ht="15" hidden="false" customHeight="false" outlineLevel="0" collapsed="false">
      <c r="B19" s="5" t="s">
        <v>108</v>
      </c>
      <c r="C19" s="6"/>
      <c r="D19" s="6"/>
      <c r="E19" s="6"/>
    </row>
    <row r="20" customFormat="false" ht="15" hidden="false" customHeight="false" outlineLevel="0" collapsed="false">
      <c r="B20" s="3" t="s">
        <v>109</v>
      </c>
      <c r="C20" s="13" t="n">
        <f aca="false">MAX(0,C8-C9)</f>
        <v>435595.70464</v>
      </c>
      <c r="D20" s="16" t="n">
        <f aca="false">C20/$C$32</f>
        <v>0.152719425344352</v>
      </c>
      <c r="E20" s="13" t="n">
        <f aca="false">MAX(0,E8-E9)</f>
        <v>10420.5971200001</v>
      </c>
      <c r="F20" s="16" t="n">
        <f aca="false">E20/$E$32</f>
        <v>0.00913026784602975</v>
      </c>
      <c r="G20" s="3" t="s">
        <v>110</v>
      </c>
      <c r="H20" s="3" t="s">
        <v>111</v>
      </c>
    </row>
    <row r="21" customFormat="false" ht="15" hidden="false" customHeight="false" outlineLevel="0" collapsed="false">
      <c r="B21" s="3" t="s">
        <v>112</v>
      </c>
      <c r="C21" s="13" t="n">
        <f aca="false">Inputs!$C$23-Inputs!$C$18</f>
        <v>810000</v>
      </c>
      <c r="D21" s="16" t="n">
        <f aca="false">C21/$C$32</f>
        <v>0.283985202818195</v>
      </c>
      <c r="E21" s="13" t="n">
        <f aca="false">Inputs!$D$23-Inputs!$D$18</f>
        <v>33000</v>
      </c>
      <c r="F21" s="16" t="n">
        <f aca="false">E21/$E$32</f>
        <v>0.028913778687471</v>
      </c>
      <c r="G21" s="3" t="s">
        <v>110</v>
      </c>
      <c r="H21" s="3" t="s">
        <v>111</v>
      </c>
    </row>
    <row r="22" customFormat="false" ht="15" hidden="false" customHeight="false" outlineLevel="0" collapsed="false">
      <c r="B22" s="3" t="s">
        <v>113</v>
      </c>
      <c r="C22" s="13" t="n">
        <f aca="false">Inputs!$C$24</f>
        <v>742000</v>
      </c>
      <c r="D22" s="16" t="n">
        <f aca="false">C22/$C$32</f>
        <v>0.2601444697421</v>
      </c>
      <c r="E22" s="13" t="n">
        <f aca="false">Inputs!$D$24</f>
        <v>742000</v>
      </c>
      <c r="F22" s="16" t="n">
        <f aca="false">E22/$E$32</f>
        <v>0.650121932912227</v>
      </c>
      <c r="G22" s="3" t="s">
        <v>114</v>
      </c>
      <c r="H22" s="3" t="s">
        <v>115</v>
      </c>
    </row>
    <row r="23" customFormat="false" ht="15" hidden="false" customHeight="false" outlineLevel="0" collapsed="false">
      <c r="B23" s="3" t="s">
        <v>116</v>
      </c>
      <c r="C23" s="13" t="n">
        <f aca="false">Inputs!$C$24*Inputs!$C$25</f>
        <v>105364</v>
      </c>
      <c r="D23" s="16" t="n">
        <f aca="false">C23/$C$32</f>
        <v>0.0369405147033782</v>
      </c>
      <c r="E23" s="13" t="n">
        <f aca="false">Inputs!$D$24*Inputs!$D$25</f>
        <v>45262</v>
      </c>
      <c r="F23" s="16" t="n">
        <f aca="false">E23/$E$32</f>
        <v>0.0396574379076459</v>
      </c>
      <c r="G23" s="3" t="s">
        <v>110</v>
      </c>
      <c r="H23" s="3" t="s">
        <v>111</v>
      </c>
    </row>
    <row r="24" customFormat="false" ht="15" hidden="false" customHeight="false" outlineLevel="0" collapsed="false">
      <c r="B24" s="3" t="s">
        <v>117</v>
      </c>
      <c r="C24" s="13" t="n">
        <f aca="false">C10*Inputs!$C$27</f>
        <v>253716.357446809</v>
      </c>
      <c r="D24" s="16" t="n">
        <f aca="false">C24/$C$32</f>
        <v>0.0889527052195379</v>
      </c>
      <c r="E24" s="13" t="n">
        <f aca="false">E10*Inputs!$D$27</f>
        <v>122770.723404255</v>
      </c>
      <c r="F24" s="16" t="n">
        <f aca="false">E24/$E$32</f>
        <v>0.107568652297314</v>
      </c>
      <c r="G24" s="3" t="s">
        <v>110</v>
      </c>
      <c r="H24" s="3" t="s">
        <v>111</v>
      </c>
    </row>
    <row r="25" customFormat="false" ht="15" hidden="false" customHeight="false" outlineLevel="0" collapsed="false">
      <c r="B25" s="3" t="s">
        <v>118</v>
      </c>
      <c r="C25" s="13" t="n">
        <f aca="false">C12*Inputs!$C$30*Inputs!$C$31</f>
        <v>288340.425531915</v>
      </c>
      <c r="D25" s="16" t="n">
        <f aca="false">C25/$C$32</f>
        <v>0.101091869414032</v>
      </c>
      <c r="E25" s="13" t="n">
        <f aca="false">E12*Inputs!$D$30*Inputs!$D$31</f>
        <v>48255.3191489362</v>
      </c>
      <c r="F25" s="16" t="n">
        <f aca="false">E25/$E$32</f>
        <v>0.0422801096474431</v>
      </c>
      <c r="G25" s="3" t="s">
        <v>110</v>
      </c>
      <c r="H25" s="3" t="s">
        <v>115</v>
      </c>
    </row>
    <row r="26" customFormat="false" ht="15" hidden="false" customHeight="false" outlineLevel="0" collapsed="false">
      <c r="B26" s="3" t="s">
        <v>119</v>
      </c>
      <c r="C26" s="13" t="n">
        <f aca="false">Inputs!$C$32</f>
        <v>310000</v>
      </c>
      <c r="D26" s="16" t="n">
        <f aca="false">C26/$C$32</f>
        <v>0.108685694905729</v>
      </c>
      <c r="E26" s="13" t="n">
        <f aca="false">Inputs!$D$32</f>
        <v>310000</v>
      </c>
      <c r="F26" s="16" t="n">
        <f aca="false">E26/$E$32</f>
        <v>0.271614284639879</v>
      </c>
      <c r="G26" s="3" t="s">
        <v>114</v>
      </c>
      <c r="H26" s="3" t="s">
        <v>115</v>
      </c>
    </row>
    <row r="27" customFormat="false" ht="15" hidden="false" customHeight="false" outlineLevel="0" collapsed="false">
      <c r="B27" s="3" t="s">
        <v>120</v>
      </c>
      <c r="C27" s="13" t="n">
        <f aca="false">(C20+C21+C22+C23)*C13</f>
        <v>137483.601609652</v>
      </c>
      <c r="D27" s="16" t="n">
        <f aca="false">C27/$C$32</f>
        <v>0.0482016154164111</v>
      </c>
      <c r="E27" s="13" t="n">
        <f aca="false">(E20+E21+E22+E23)*E13</f>
        <v>31167.2602711502</v>
      </c>
      <c r="F27" s="16" t="n">
        <f aca="false">E27/$E$32</f>
        <v>0.0273079777507529</v>
      </c>
      <c r="G27" s="3" t="s">
        <v>110</v>
      </c>
      <c r="H27" s="3" t="s">
        <v>111</v>
      </c>
    </row>
    <row r="28" customFormat="false" ht="15" hidden="false" customHeight="false" outlineLevel="0" collapsed="false">
      <c r="B28" s="3" t="s">
        <v>67</v>
      </c>
      <c r="C28" s="13" t="n">
        <f aca="false">-Inputs!$C$36</f>
        <v>-96000</v>
      </c>
      <c r="D28" s="16" t="n">
        <f aca="false">C28/$C$32</f>
        <v>-0.0336575055191935</v>
      </c>
      <c r="E28" s="13" t="n">
        <f aca="false">-Inputs!$D$36</f>
        <v>-96000</v>
      </c>
      <c r="F28" s="16" t="n">
        <f aca="false">E28/$E$32</f>
        <v>-0.0841128107271884</v>
      </c>
      <c r="G28" s="3" t="s">
        <v>121</v>
      </c>
      <c r="H28" s="3" t="s">
        <v>115</v>
      </c>
    </row>
    <row r="29" customFormat="false" ht="15" hidden="false" customHeight="false" outlineLevel="0" collapsed="false">
      <c r="B29" s="3" t="s">
        <v>122</v>
      </c>
      <c r="C29" s="13" t="n">
        <f aca="false">-MIN(MAX(0,(Inputs!$C$26-Inputs!$C$27))*Inputs!$C$37,C14)</f>
        <v>-43500</v>
      </c>
      <c r="D29" s="16" t="n">
        <f aca="false">C29/$C$32</f>
        <v>-0.0152510571883846</v>
      </c>
      <c r="E29" s="13" t="n">
        <f aca="false">-MIN(MAX(0,(Inputs!$D$26-Inputs!$D$27))*Inputs!$D$37,E14)</f>
        <v>-14500</v>
      </c>
      <c r="F29" s="16" t="n">
        <f aca="false">E29/$E$32</f>
        <v>-0.0127045391202524</v>
      </c>
      <c r="G29" s="3" t="s">
        <v>121</v>
      </c>
      <c r="H29" s="3" t="s">
        <v>111</v>
      </c>
    </row>
    <row r="30" customFormat="false" ht="15" hidden="false" customHeight="false" outlineLevel="0" collapsed="false">
      <c r="B30" s="3" t="s">
        <v>123</v>
      </c>
      <c r="C30" s="13" t="n">
        <f aca="false">-C15*Inputs!$C$40</f>
        <v>-90738.8025072</v>
      </c>
      <c r="D30" s="16" t="n">
        <f aca="false">C30/$C$32</f>
        <v>-0.0318129348561572</v>
      </c>
      <c r="E30" s="13" t="n">
        <f aca="false">-E15*Inputs!$D$40</f>
        <v>-91051.5384108</v>
      </c>
      <c r="F30" s="16" t="n">
        <f aca="false">E30/$E$32</f>
        <v>-0.0797770918413224</v>
      </c>
      <c r="G30" s="3" t="s">
        <v>121</v>
      </c>
      <c r="H30" s="3" t="s">
        <v>111</v>
      </c>
    </row>
    <row r="32" customFormat="false" ht="15" hidden="false" customHeight="false" outlineLevel="0" collapsed="false">
      <c r="B32" s="14" t="s">
        <v>124</v>
      </c>
      <c r="C32" s="15" t="n">
        <f aca="false">SUM(C20:C30)</f>
        <v>2852261.28672118</v>
      </c>
      <c r="E32" s="15" t="n">
        <f aca="false">SUM(E20:E30)</f>
        <v>1141324.36153354</v>
      </c>
    </row>
    <row r="34" customFormat="false" ht="15" hidden="false" customHeight="false" outlineLevel="0" collapsed="false">
      <c r="B34" s="5" t="s">
        <v>125</v>
      </c>
      <c r="C34" s="6"/>
      <c r="D34" s="6"/>
      <c r="E34" s="6"/>
    </row>
    <row r="35" customFormat="false" ht="15" hidden="false" customHeight="false" outlineLevel="0" collapsed="false">
      <c r="B35" s="3" t="s">
        <v>126</v>
      </c>
      <c r="C35" s="13" t="n">
        <f aca="false">SUMIF($G$20:$G$30,"bought",$C$20:$C$30)</f>
        <v>1052000</v>
      </c>
      <c r="E35" s="13" t="n">
        <f aca="false">SUMIF($G$20:$G$30,"bought",$E$20:$E$30)</f>
        <v>1052000</v>
      </c>
    </row>
    <row r="36" customFormat="false" ht="15" hidden="false" customHeight="false" outlineLevel="0" collapsed="false">
      <c r="B36" s="3" t="s">
        <v>127</v>
      </c>
      <c r="C36" s="13" t="n">
        <f aca="false">SUMIF($G$20:$G$30,"lost",$C$20:$C$30)</f>
        <v>2030500.08922838</v>
      </c>
      <c r="E36" s="13" t="n">
        <f aca="false">SUMIF($G$20:$G$30,"lost",$E$20:$E$30)</f>
        <v>290875.899944342</v>
      </c>
    </row>
    <row r="37" customFormat="false" ht="15" hidden="false" customHeight="false" outlineLevel="0" collapsed="false">
      <c r="B37" s="3" t="s">
        <v>128</v>
      </c>
      <c r="C37" s="13" t="n">
        <f aca="false">-SUMIF($G$20:$G$30,"recovered",$C$20:$C$30)</f>
        <v>230238.8025072</v>
      </c>
      <c r="E37" s="13" t="n">
        <f aca="false">-SUMIF($G$20:$G$30,"recovered",$E$20:$E$30)</f>
        <v>201551.5384108</v>
      </c>
    </row>
    <row r="38" customFormat="false" ht="15" hidden="false" customHeight="false" outlineLevel="0" collapsed="false">
      <c r="B38" s="3" t="s">
        <v>129</v>
      </c>
      <c r="C38" s="20" t="n">
        <f aca="false">C35+C36-C37-C32</f>
        <v>0</v>
      </c>
      <c r="E38" s="20" t="n">
        <f aca="false">E35+E36-E37-E32</f>
        <v>0</v>
      </c>
    </row>
    <row r="40" customFormat="false" ht="15" hidden="false" customHeight="false" outlineLevel="0" collapsed="false">
      <c r="B40" s="5" t="s">
        <v>130</v>
      </c>
      <c r="C40" s="6"/>
      <c r="D40" s="6"/>
      <c r="E40" s="6"/>
    </row>
    <row r="41" customFormat="false" ht="15" hidden="false" customHeight="false" outlineLevel="0" collapsed="false">
      <c r="B41" s="3" t="s">
        <v>131</v>
      </c>
      <c r="C41" s="13" t="n">
        <f aca="false">SUMIFS($C$20:$C$30,$G$20:$G$30,"lost",$H$20:$H$30,"yes")</f>
        <v>1742159.66369646</v>
      </c>
      <c r="E41" s="13" t="n">
        <f aca="false">SUMIFS($E$20:$E$30,$G$20:$G$30,"lost",$H$20:$H$30,"yes")</f>
        <v>242620.580795406</v>
      </c>
    </row>
    <row r="42" customFormat="false" ht="15" hidden="false" customHeight="false" outlineLevel="0" collapsed="false">
      <c r="B42" s="3" t="s">
        <v>132</v>
      </c>
      <c r="C42" s="16" t="n">
        <f aca="false">C41/C36</f>
        <v>0.857995364264432</v>
      </c>
      <c r="E42" s="16" t="n">
        <f aca="false">E41/E36</f>
        <v>0.834103412630027</v>
      </c>
    </row>
    <row r="43" customFormat="false" ht="15" hidden="false" customHeight="false" outlineLevel="0" collapsed="false">
      <c r="B43" s="3" t="s">
        <v>133</v>
      </c>
      <c r="C43" s="13" t="n">
        <f aca="false">SUMIF($H$20:$H$30,"yes",$C$20:$C$30)</f>
        <v>1607920.86118926</v>
      </c>
      <c r="E43" s="13" t="n">
        <f aca="false">SUMIF($H$20:$H$30,"yes",$E$20:$E$30)</f>
        <v>137069.042384606</v>
      </c>
    </row>
    <row r="44" customFormat="false" ht="15" hidden="false" customHeight="false" outlineLevel="0" collapsed="false">
      <c r="B44" s="3" t="s">
        <v>134</v>
      </c>
      <c r="C44" s="16" t="n">
        <f aca="false">C43/C32</f>
        <v>0.563735471457333</v>
      </c>
      <c r="E44" s="16" t="n">
        <f aca="false">E43/E32</f>
        <v>0.120096483527639</v>
      </c>
    </row>
    <row r="45" customFormat="false" ht="15" hidden="false" customHeight="false" outlineLevel="0" collapsed="false">
      <c r="B45" s="3" t="s">
        <v>59</v>
      </c>
      <c r="C45" s="13" t="n">
        <f aca="false">C32-C43</f>
        <v>1244340.42553192</v>
      </c>
      <c r="E45" s="13" t="n">
        <f aca="false">E32-E43</f>
        <v>1004255.31914894</v>
      </c>
    </row>
    <row r="47" customFormat="false" ht="15" hidden="false" customHeight="false" outlineLevel="0" collapsed="false">
      <c r="B47" s="5" t="s">
        <v>135</v>
      </c>
      <c r="C47" s="6"/>
      <c r="D47" s="6"/>
      <c r="E47" s="6"/>
    </row>
    <row r="48" customFormat="false" ht="15" hidden="false" customHeight="false" outlineLevel="0" collapsed="false">
      <c r="B48" s="3" t="s">
        <v>136</v>
      </c>
      <c r="C48" s="13" t="n">
        <f aca="false">'Contract Sums'!C15</f>
        <v>26301102.176</v>
      </c>
      <c r="E48" s="13" t="n">
        <f aca="false">'Contract Sums'!D15</f>
        <v>26391750.264</v>
      </c>
    </row>
    <row r="49" customFormat="false" ht="15" hidden="false" customHeight="false" outlineLevel="0" collapsed="false">
      <c r="B49" s="3" t="s">
        <v>137</v>
      </c>
      <c r="C49" s="13" t="n">
        <f aca="false">C32</f>
        <v>2852261.28672118</v>
      </c>
      <c r="E49" s="13" t="n">
        <f aca="false">E32</f>
        <v>1141324.36153354</v>
      </c>
    </row>
    <row r="50" customFormat="false" ht="15" hidden="false" customHeight="false" outlineLevel="0" collapsed="false">
      <c r="B50" s="14" t="s">
        <v>138</v>
      </c>
      <c r="C50" s="15" t="n">
        <f aca="false">C48+C49</f>
        <v>29153363.4627212</v>
      </c>
      <c r="E50" s="15" t="n">
        <f aca="false">E48+E49</f>
        <v>27533074.6255335</v>
      </c>
    </row>
    <row r="51" customFormat="false" ht="15" hidden="false" customHeight="false" outlineLevel="0" collapsed="false">
      <c r="B51" s="3" t="s">
        <v>139</v>
      </c>
      <c r="C51" s="16" t="n">
        <f aca="false">C49/C48</f>
        <v>0.10844645473922</v>
      </c>
      <c r="E51" s="16" t="n">
        <f aca="false">E49/E48</f>
        <v>0.0432454971768348</v>
      </c>
    </row>
    <row r="52" customFormat="false" ht="15" hidden="false" customHeight="false" outlineLevel="0" collapsed="false">
      <c r="B52" s="3" t="s">
        <v>140</v>
      </c>
      <c r="C52" s="13" t="n">
        <f aca="false">C50/Inputs!$C$6</f>
        <v>303680.869403346</v>
      </c>
      <c r="E52" s="13" t="n">
        <f aca="false">E50/Inputs!$C$6</f>
        <v>286802.860682641</v>
      </c>
    </row>
    <row r="53" customFormat="false" ht="15" hidden="false" customHeight="false" outlineLevel="0" collapsed="false">
      <c r="B53" s="3" t="s">
        <v>141</v>
      </c>
      <c r="C53" s="13" t="n">
        <f aca="false">C50/Inputs!$C$7</f>
        <v>3374.2318822594</v>
      </c>
      <c r="E53" s="13" t="n">
        <f aca="false">E50/Inputs!$C$7</f>
        <v>3186.69845202935</v>
      </c>
    </row>
    <row r="55" customFormat="false" ht="15" hidden="false" customHeight="false" outlineLevel="0" collapsed="false">
      <c r="B55" s="5" t="s">
        <v>142</v>
      </c>
      <c r="C55" s="6"/>
      <c r="D55" s="6"/>
      <c r="E55" s="6"/>
    </row>
    <row r="56" customFormat="false" ht="15" hidden="false" customHeight="false" outlineLevel="0" collapsed="false">
      <c r="B56" s="3" t="s">
        <v>143</v>
      </c>
      <c r="C56" s="13" t="n">
        <f aca="false">C15*Inputs!$C$41*C16</f>
        <v>71923.3986428308</v>
      </c>
      <c r="E56" s="13" t="n">
        <f aca="false">E15*Inputs!$D$41*E16</f>
        <v>72171.2862988615</v>
      </c>
    </row>
    <row r="57" customFormat="false" ht="15" hidden="false" customHeight="false" outlineLevel="0" collapsed="false">
      <c r="B57" s="3" t="s">
        <v>144</v>
      </c>
      <c r="C57" s="13" t="n">
        <f aca="false">MAX(0,C11)*Inputs!$C$37</f>
        <v>43500</v>
      </c>
      <c r="E57" s="13" t="n">
        <f aca="false">MAX(0,E11)*Inputs!$D$37</f>
        <v>14500</v>
      </c>
    </row>
    <row r="58" customFormat="false" ht="15" hidden="false" customHeight="false" outlineLevel="0" collapsed="false">
      <c r="B58" s="3" t="s">
        <v>145</v>
      </c>
      <c r="C58" s="3" t="str">
        <f aca="false">IF(C57&gt;C14,"yes","no")</f>
        <v>no</v>
      </c>
      <c r="E58" s="3" t="str">
        <f aca="false">IF(E57&gt;E14,"yes","no")</f>
        <v>no</v>
      </c>
    </row>
    <row r="59" customFormat="false" ht="15" hidden="false" customHeight="false" outlineLevel="0" collapsed="false">
      <c r="B59" s="3" t="s">
        <v>146</v>
      </c>
      <c r="C59" s="13" t="n">
        <f aca="false">C20+C21+C22+C23</f>
        <v>2092959.70464</v>
      </c>
      <c r="E59" s="13" t="n">
        <f aca="false">E20+E21+E22+E23</f>
        <v>830682.59712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83A"/>
    <pageSetUpPr fitToPage="false"/>
  </sheetPr>
  <dimension ref="B2:E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6"/>
    <col collapsed="false" customWidth="true" hidden="false" outlineLevel="0" max="5" min="3" style="0" width="18"/>
  </cols>
  <sheetData>
    <row r="2" customFormat="false" ht="17.35" hidden="false" customHeight="false" outlineLevel="0" collapsed="false">
      <c r="B2" s="1" t="s">
        <v>147</v>
      </c>
    </row>
    <row r="3" customFormat="false" ht="15" hidden="false" customHeight="false" outlineLevel="0" collapsed="false">
      <c r="C3" s="4" t="s">
        <v>21</v>
      </c>
      <c r="D3" s="4" t="s">
        <v>22</v>
      </c>
      <c r="E3" s="4" t="s">
        <v>148</v>
      </c>
    </row>
    <row r="5" customFormat="false" ht="15" hidden="false" customHeight="false" outlineLevel="0" collapsed="false">
      <c r="B5" s="3" t="s">
        <v>136</v>
      </c>
      <c r="C5" s="13" t="n">
        <f aca="false">Bridge!C48</f>
        <v>26301102.176</v>
      </c>
      <c r="D5" s="13" t="n">
        <f aca="false">Bridge!E48</f>
        <v>26391750.264</v>
      </c>
      <c r="E5" s="13" t="n">
        <f aca="false">D5-C5</f>
        <v>90648.0880000033</v>
      </c>
    </row>
    <row r="6" customFormat="false" ht="15" hidden="false" customHeight="false" outlineLevel="0" collapsed="false">
      <c r="B6" s="3" t="s">
        <v>149</v>
      </c>
      <c r="C6" s="13" t="n">
        <f aca="false">Bridge!C32</f>
        <v>2852261.28672118</v>
      </c>
      <c r="D6" s="13" t="n">
        <f aca="false">Bridge!E32</f>
        <v>1141324.36153354</v>
      </c>
      <c r="E6" s="13" t="n">
        <f aca="false">D6-C6</f>
        <v>-1710936.92518763</v>
      </c>
    </row>
    <row r="7" customFormat="false" ht="15" hidden="false" customHeight="false" outlineLevel="0" collapsed="false">
      <c r="B7" s="3" t="s">
        <v>150</v>
      </c>
      <c r="C7" s="13" t="n">
        <f aca="false">Bridge!C50</f>
        <v>29153363.4627212</v>
      </c>
      <c r="D7" s="13" t="n">
        <f aca="false">Bridge!E50</f>
        <v>27533074.6255335</v>
      </c>
      <c r="E7" s="13" t="n">
        <f aca="false">D7-C7</f>
        <v>-1620288.83718763</v>
      </c>
    </row>
    <row r="9" customFormat="false" ht="15" hidden="false" customHeight="false" outlineLevel="0" collapsed="false">
      <c r="B9" s="3" t="s">
        <v>126</v>
      </c>
      <c r="C9" s="13" t="n">
        <f aca="false">Bridge!C35</f>
        <v>1052000</v>
      </c>
      <c r="D9" s="13" t="n">
        <f aca="false">Bridge!E35</f>
        <v>1052000</v>
      </c>
      <c r="E9" s="13" t="n">
        <f aca="false">D9-C9</f>
        <v>0</v>
      </c>
    </row>
    <row r="10" customFormat="false" ht="15" hidden="false" customHeight="false" outlineLevel="0" collapsed="false">
      <c r="B10" s="3" t="s">
        <v>127</v>
      </c>
      <c r="C10" s="13" t="n">
        <f aca="false">Bridge!C36</f>
        <v>2030500.08922838</v>
      </c>
      <c r="D10" s="13" t="n">
        <f aca="false">Bridge!E36</f>
        <v>290875.899944342</v>
      </c>
      <c r="E10" s="13" t="n">
        <f aca="false">D10-C10</f>
        <v>-1739624.18928403</v>
      </c>
    </row>
    <row r="11" customFormat="false" ht="15" hidden="false" customHeight="false" outlineLevel="0" collapsed="false">
      <c r="B11" s="3" t="s">
        <v>151</v>
      </c>
      <c r="C11" s="13" t="n">
        <f aca="false">Bridge!C37</f>
        <v>230238.8025072</v>
      </c>
      <c r="D11" s="13" t="n">
        <f aca="false">Bridge!E37</f>
        <v>201551.5384108</v>
      </c>
      <c r="E11" s="13" t="n">
        <f aca="false">D11-C11</f>
        <v>-28687.2640964</v>
      </c>
    </row>
    <row r="13" customFormat="false" ht="15" hidden="false" customHeight="false" outlineLevel="0" collapsed="false">
      <c r="B13" s="3" t="s">
        <v>139</v>
      </c>
      <c r="C13" s="16" t="n">
        <f aca="false">Bridge!C51</f>
        <v>0.10844645473922</v>
      </c>
      <c r="D13" s="16" t="n">
        <f aca="false">Bridge!E51</f>
        <v>0.0432454971768348</v>
      </c>
    </row>
    <row r="15" customFormat="false" ht="15" hidden="false" customHeight="false" outlineLevel="0" collapsed="false">
      <c r="B15" s="5" t="s">
        <v>152</v>
      </c>
      <c r="C15" s="6"/>
      <c r="D15" s="6"/>
      <c r="E15" s="6"/>
    </row>
    <row r="16" customFormat="false" ht="15" hidden="false" customHeight="false" outlineLevel="0" collapsed="false">
      <c r="B16" s="4" t="s">
        <v>153</v>
      </c>
      <c r="C16" s="18" t="n">
        <f aca="false">D5-C5</f>
        <v>90648.0880000033</v>
      </c>
    </row>
    <row r="17" customFormat="false" ht="15" hidden="false" customHeight="false" outlineLevel="0" collapsed="false">
      <c r="B17" s="4" t="s">
        <v>154</v>
      </c>
      <c r="C17" s="18" t="n">
        <f aca="false">C7-D7</f>
        <v>1620288.83718763</v>
      </c>
    </row>
    <row r="18" customFormat="false" ht="15" hidden="false" customHeight="false" outlineLevel="0" collapsed="false">
      <c r="B18" s="4" t="s">
        <v>155</v>
      </c>
      <c r="C18" s="21" t="n">
        <f aca="false">C17/C16</f>
        <v>17.8744954575057</v>
      </c>
    </row>
    <row r="19" customFormat="false" ht="15" hidden="false" customHeight="false" outlineLevel="0" collapsed="false">
      <c r="B19" s="4" t="s">
        <v>156</v>
      </c>
      <c r="C19" s="22" t="n">
        <f aca="false">C13</f>
        <v>0.10844645473922</v>
      </c>
      <c r="D19" s="22" t="n">
        <f aca="false">D13</f>
        <v>0.0432454971768348</v>
      </c>
    </row>
    <row r="21" customFormat="false" ht="15" hidden="false" customHeight="false" outlineLevel="0" collapsed="false">
      <c r="B21" s="5" t="s">
        <v>157</v>
      </c>
      <c r="C21" s="6"/>
      <c r="D21" s="6"/>
      <c r="E21" s="6"/>
    </row>
    <row r="22" customFormat="false" ht="15" hidden="false" customHeight="false" outlineLevel="0" collapsed="false">
      <c r="C22" s="4" t="s">
        <v>21</v>
      </c>
      <c r="D22" s="4" t="s">
        <v>22</v>
      </c>
      <c r="E22" s="4" t="s">
        <v>148</v>
      </c>
    </row>
    <row r="23" customFormat="false" ht="15" hidden="false" customHeight="false" outlineLevel="0" collapsed="false">
      <c r="B23" s="3" t="str">
        <f aca="false">Bridge!B20</f>
        <v>Design development beyond the contractor's allowance</v>
      </c>
      <c r="C23" s="13" t="n">
        <f aca="false">Bridge!C20</f>
        <v>435595.70464</v>
      </c>
      <c r="D23" s="13" t="n">
        <f aca="false">Bridge!E20</f>
        <v>10420.5971200001</v>
      </c>
      <c r="E23" s="13" t="n">
        <f aca="false">D23-C23</f>
        <v>-425175.10752</v>
      </c>
    </row>
    <row r="24" customFormat="false" ht="15" hidden="false" customHeight="false" outlineLevel="0" collapsed="false">
      <c r="B24" s="3" t="str">
        <f aca="false">Bridge!B21</f>
        <v>Provisional sums released above allowance</v>
      </c>
      <c r="C24" s="13" t="n">
        <f aca="false">Bridge!C21</f>
        <v>810000</v>
      </c>
      <c r="D24" s="13" t="n">
        <f aca="false">Bridge!E21</f>
        <v>33000</v>
      </c>
      <c r="E24" s="13" t="n">
        <f aca="false">D24-C24</f>
        <v>-777000</v>
      </c>
    </row>
    <row r="25" customFormat="false" ht="15" hidden="false" customHeight="false" outlineLevel="0" collapsed="false">
      <c r="B25" s="3" t="str">
        <f aca="false">Bridge!B22</f>
        <v>Client changes, the scope itself</v>
      </c>
      <c r="C25" s="13" t="n">
        <f aca="false">Bridge!C22</f>
        <v>742000</v>
      </c>
      <c r="D25" s="13" t="n">
        <f aca="false">Bridge!E22</f>
        <v>742000</v>
      </c>
      <c r="E25" s="13" t="n">
        <f aca="false">D25-C25</f>
        <v>0</v>
      </c>
    </row>
    <row r="26" customFormat="false" ht="15" hidden="false" customHeight="false" outlineLevel="0" collapsed="false">
      <c r="B26" s="3" t="str">
        <f aca="false">Bridge!B23</f>
        <v>Client changes, premium for pricing them after award</v>
      </c>
      <c r="C26" s="13" t="n">
        <f aca="false">Bridge!C23</f>
        <v>105364</v>
      </c>
      <c r="D26" s="13" t="n">
        <f aca="false">Bridge!E23</f>
        <v>45262</v>
      </c>
      <c r="E26" s="13" t="n">
        <f aca="false">D26-C26</f>
        <v>-60102</v>
      </c>
    </row>
    <row r="27" customFormat="false" ht="15" hidden="false" customHeight="false" outlineLevel="0" collapsed="false">
      <c r="B27" s="3" t="str">
        <f aca="false">Bridge!B24</f>
        <v>Prolongation of time-related preliminaries</v>
      </c>
      <c r="C27" s="13" t="n">
        <f aca="false">Bridge!C24</f>
        <v>253716.357446809</v>
      </c>
      <c r="D27" s="13" t="n">
        <f aca="false">Bridge!E24</f>
        <v>122770.723404255</v>
      </c>
      <c r="E27" s="13" t="n">
        <f aca="false">D27-C27</f>
        <v>-130945.634042553</v>
      </c>
    </row>
    <row r="28" customFormat="false" ht="15" hidden="false" customHeight="false" outlineLevel="0" collapsed="false">
      <c r="B28" s="3" t="str">
        <f aca="false">Bridge!B25</f>
        <v>Disruption, lost labor productivity</v>
      </c>
      <c r="C28" s="13" t="n">
        <f aca="false">Bridge!C25</f>
        <v>288340.425531915</v>
      </c>
      <c r="D28" s="13" t="n">
        <f aca="false">Bridge!E25</f>
        <v>48255.3191489362</v>
      </c>
      <c r="E28" s="13" t="n">
        <f aca="false">D28-C28</f>
        <v>-240085.106382979</v>
      </c>
    </row>
    <row r="29" customFormat="false" ht="15" hidden="false" customHeight="false" outlineLevel="0" collapsed="false">
      <c r="B29" s="3" t="str">
        <f aca="false">Bridge!B26</f>
        <v>Statutory change after contract</v>
      </c>
      <c r="C29" s="13" t="n">
        <f aca="false">Bridge!C26</f>
        <v>310000</v>
      </c>
      <c r="D29" s="13" t="n">
        <f aca="false">Bridge!E26</f>
        <v>310000</v>
      </c>
      <c r="E29" s="13" t="n">
        <f aca="false">D29-C29</f>
        <v>0</v>
      </c>
    </row>
    <row r="30" customFormat="false" ht="15" hidden="false" customHeight="false" outlineLevel="0" collapsed="false">
      <c r="B30" s="3" t="str">
        <f aca="false">Bridge!B27</f>
        <v>Escalation on work priced after the tender</v>
      </c>
      <c r="C30" s="13" t="n">
        <f aca="false">Bridge!C27</f>
        <v>137483.601609652</v>
      </c>
      <c r="D30" s="13" t="n">
        <f aca="false">Bridge!E27</f>
        <v>31167.2602711502</v>
      </c>
      <c r="E30" s="13" t="n">
        <f aca="false">D30-C30</f>
        <v>-106316.341338502</v>
      </c>
    </row>
    <row r="31" customFormat="false" ht="15" hidden="false" customHeight="false" outlineLevel="0" collapsed="false">
      <c r="B31" s="3" t="str">
        <f aca="false">Bridge!B28</f>
        <v>Contra-charges recovered by the client</v>
      </c>
      <c r="C31" s="13" t="n">
        <f aca="false">Bridge!C28</f>
        <v>-96000</v>
      </c>
      <c r="D31" s="13" t="n">
        <f aca="false">Bridge!E28</f>
        <v>-96000</v>
      </c>
      <c r="E31" s="13" t="n">
        <f aca="false">D31-C31</f>
        <v>0</v>
      </c>
    </row>
    <row r="32" customFormat="false" ht="15" hidden="false" customHeight="false" outlineLevel="0" collapsed="false">
      <c r="B32" s="3" t="str">
        <f aca="false">Bridge!B29</f>
        <v>Liquidated damages recovered by the client</v>
      </c>
      <c r="C32" s="13" t="n">
        <f aca="false">Bridge!C29</f>
        <v>-43500</v>
      </c>
      <c r="D32" s="13" t="n">
        <f aca="false">Bridge!E29</f>
        <v>-14500</v>
      </c>
      <c r="E32" s="13" t="n">
        <f aca="false">D32-C32</f>
        <v>29000</v>
      </c>
    </row>
    <row r="33" customFormat="false" ht="15" hidden="false" customHeight="false" outlineLevel="0" collapsed="false">
      <c r="B33" s="3" t="str">
        <f aca="false">Bridge!B30</f>
        <v>Retention never released</v>
      </c>
      <c r="C33" s="13" t="n">
        <f aca="false">Bridge!C30</f>
        <v>-90738.8025072</v>
      </c>
      <c r="D33" s="13" t="n">
        <f aca="false">Bridge!E30</f>
        <v>-91051.5384108</v>
      </c>
      <c r="E33" s="13" t="n">
        <f aca="false">D33-C33</f>
        <v>-312.735903599998</v>
      </c>
    </row>
    <row r="34" customFormat="false" ht="15" hidden="false" customHeight="false" outlineLevel="0" collapsed="false">
      <c r="B34" s="4" t="s">
        <v>158</v>
      </c>
      <c r="E34" s="15" t="n">
        <f aca="false">SUM(E23:E33)</f>
        <v>-1710936.92518763</v>
      </c>
    </row>
    <row r="35" customFormat="false" ht="15" hidden="false" customHeight="false" outlineLevel="0" collapsed="false">
      <c r="B35" s="3" t="s">
        <v>159</v>
      </c>
      <c r="E35" s="13" t="n">
        <f aca="false">E5</f>
        <v>90648.0880000033</v>
      </c>
    </row>
    <row r="36" customFormat="false" ht="15" hidden="false" customHeight="false" outlineLevel="0" collapsed="false">
      <c r="B36" s="4" t="s">
        <v>160</v>
      </c>
      <c r="E36" s="15" t="n">
        <f aca="false">E34+E35</f>
        <v>-1620288.83718763</v>
      </c>
    </row>
    <row r="38" customFormat="false" ht="15" hidden="false" customHeight="false" outlineLevel="0" collapsed="false">
      <c r="B38" s="5" t="s">
        <v>161</v>
      </c>
    </row>
    <row r="39" customFormat="false" ht="15" hidden="false" customHeight="false" outlineLevel="0" collapsed="false">
      <c r="B39" s="4" t="s">
        <v>162</v>
      </c>
      <c r="C39" s="23" t="n">
        <f aca="false">Inputs!D13-Inputs!C13</f>
        <v>150</v>
      </c>
    </row>
    <row r="40" customFormat="false" ht="15" hidden="false" customHeight="false" outlineLevel="0" collapsed="false">
      <c r="B40" s="4" t="s">
        <v>163</v>
      </c>
      <c r="C40" s="23" t="n">
        <f aca="false">Inputs!C7*(1+Inputs!D15)*(1+Inputs!D16)*(1+Inputs!D17)</f>
        <v>10584.8208</v>
      </c>
    </row>
    <row r="41" customFormat="false" ht="15" hidden="false" customHeight="false" outlineLevel="0" collapsed="false">
      <c r="B41" s="4" t="s">
        <v>164</v>
      </c>
      <c r="C41" s="23" t="n">
        <f aca="false">Inputs!C7*(1+Inputs!D15)*(1+Inputs!D16)*IF(Bridge!E20&gt;0,(1-Inputs!D21)*Inputs!D22-Inputs!D17,0)*(1+Bridge!E13)+Inputs!C7*Inputs!D15*Inputs!D28/Inputs!C10*Inputs!D27-Inputs!C7*(1+Inputs!D15)*(1+Inputs!D16)*(1+Inputs!D17)*Inputs!D39*Inputs!D40</f>
        <v>17.4873417001307</v>
      </c>
    </row>
    <row r="42" customFormat="false" ht="15" hidden="false" customHeight="false" outlineLevel="0" collapsed="false">
      <c r="B42" s="4" t="s">
        <v>165</v>
      </c>
      <c r="C42" s="23" t="n">
        <f aca="false">C40+C41</f>
        <v>10602.3081417001</v>
      </c>
    </row>
    <row r="43" customFormat="false" ht="15" hidden="false" customHeight="false" outlineLevel="0" collapsed="false">
      <c r="B43" s="4" t="s">
        <v>166</v>
      </c>
      <c r="C43" s="18" t="n">
        <f aca="false">C17</f>
        <v>1620288.83718763</v>
      </c>
    </row>
    <row r="44" customFormat="false" ht="15" hidden="false" customHeight="false" outlineLevel="0" collapsed="false">
      <c r="B44" s="4" t="s">
        <v>167</v>
      </c>
      <c r="C44" s="24" t="n">
        <f aca="false">C39+C43/C42</f>
        <v>302.824160129326</v>
      </c>
    </row>
    <row r="45" customFormat="false" ht="15" hidden="false" customHeight="false" outlineLevel="0" collapsed="false">
      <c r="B45" s="4" t="s">
        <v>168</v>
      </c>
      <c r="C45" s="25" t="n">
        <f aca="false">IF(C39=0,"",C44/C39)</f>
        <v>2.0188277341955</v>
      </c>
    </row>
    <row r="46" customFormat="false" ht="15" hidden="false" customHeight="false" outlineLevel="0" collapsed="false">
      <c r="B46" s="4" t="s">
        <v>169</v>
      </c>
      <c r="C46" s="18" t="n">
        <f aca="false">C43-C42*C39</f>
        <v>29942.6159326134</v>
      </c>
    </row>
    <row r="47" customFormat="false" ht="45" hidden="false" customHeight="true" outlineLevel="0" collapsed="false">
      <c r="B47" s="26" t="s">
        <v>170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83A"/>
    <pageSetUpPr fitToPage="false"/>
  </sheetPr>
  <dimension ref="B2:G1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2"/>
    <col collapsed="false" customWidth="true" hidden="false" outlineLevel="0" max="4" min="3" style="0" width="18"/>
    <col collapsed="false" customWidth="true" hidden="false" outlineLevel="0" max="5" min="5" style="0" width="16"/>
    <col collapsed="false" customWidth="true" hidden="false" outlineLevel="0" max="6" min="6" style="0" width="10"/>
    <col collapsed="false" customWidth="true" hidden="false" outlineLevel="0" max="7" min="7" style="0" width="12"/>
  </cols>
  <sheetData>
    <row r="2" customFormat="false" ht="17.35" hidden="false" customHeight="false" outlineLevel="0" collapsed="false">
      <c r="B2" s="1" t="s">
        <v>171</v>
      </c>
    </row>
    <row r="3" customFormat="false" ht="15" hidden="false" customHeight="false" outlineLevel="0" collapsed="false">
      <c r="B3" s="3" t="s">
        <v>172</v>
      </c>
    </row>
    <row r="4" customFormat="false" ht="15" hidden="false" customHeight="false" outlineLevel="0" collapsed="false">
      <c r="B4" s="3" t="s">
        <v>173</v>
      </c>
    </row>
    <row r="6" customFormat="false" ht="15" hidden="false" customHeight="false" outlineLevel="0" collapsed="false">
      <c r="B6" s="27" t="s">
        <v>174</v>
      </c>
      <c r="C6" s="27" t="s">
        <v>175</v>
      </c>
      <c r="D6" s="27" t="s">
        <v>176</v>
      </c>
      <c r="E6" s="27" t="s">
        <v>177</v>
      </c>
      <c r="F6" s="27" t="s">
        <v>178</v>
      </c>
      <c r="G6" s="27" t="s">
        <v>179</v>
      </c>
    </row>
    <row r="7" customFormat="false" ht="15" hidden="false" customHeight="false" outlineLevel="0" collapsed="false">
      <c r="B7" s="2" t="s">
        <v>180</v>
      </c>
    </row>
    <row r="8" customFormat="false" ht="15" hidden="false" customHeight="false" outlineLevel="0" collapsed="false">
      <c r="B8" s="3" t="s">
        <v>75</v>
      </c>
      <c r="C8" s="13" t="n">
        <v>18835200</v>
      </c>
      <c r="D8" s="28" t="n">
        <f aca="false">ROUND('Contract Sums'!C6,0)</f>
        <v>18835200</v>
      </c>
      <c r="E8" s="29" t="n">
        <f aca="false">D8-C8</f>
        <v>0</v>
      </c>
      <c r="F8" s="4" t="str">
        <f aca="false">IF(ABS(E8)&lt;=G8,"PASS","FAIL")</f>
        <v>PASS</v>
      </c>
      <c r="G8" s="30" t="n">
        <v>1E-008</v>
      </c>
    </row>
    <row r="9" customFormat="false" ht="15" hidden="false" customHeight="false" outlineLevel="0" collapsed="false">
      <c r="B9" s="3" t="s">
        <v>35</v>
      </c>
      <c r="C9" s="13" t="n">
        <v>1240000</v>
      </c>
      <c r="D9" s="28" t="n">
        <f aca="false">ROUND('Contract Sums'!C7,0)</f>
        <v>1240000</v>
      </c>
      <c r="E9" s="29" t="n">
        <f aca="false">D9-C9</f>
        <v>0</v>
      </c>
      <c r="F9" s="4" t="str">
        <f aca="false">IF(ABS(E9)&lt;=G9,"PASS","FAIL")</f>
        <v>PASS</v>
      </c>
      <c r="G9" s="30" t="n">
        <v>1E-008</v>
      </c>
    </row>
    <row r="10" customFormat="false" ht="15" hidden="false" customHeight="false" outlineLevel="0" collapsed="false">
      <c r="B10" s="3" t="s">
        <v>77</v>
      </c>
      <c r="C10" s="13" t="n">
        <v>20075200</v>
      </c>
      <c r="D10" s="28" t="n">
        <f aca="false">ROUND('Contract Sums'!C8,0)</f>
        <v>20075200</v>
      </c>
      <c r="E10" s="29" t="n">
        <f aca="false">D10-C10</f>
        <v>0</v>
      </c>
      <c r="F10" s="4" t="str">
        <f aca="false">IF(ABS(E10)&lt;=G10,"PASS","FAIL")</f>
        <v>PASS</v>
      </c>
      <c r="G10" s="30" t="n">
        <v>1E-008</v>
      </c>
    </row>
    <row r="11" customFormat="false" ht="15" hidden="false" customHeight="false" outlineLevel="0" collapsed="false">
      <c r="B11" s="3" t="s">
        <v>78</v>
      </c>
      <c r="C11" s="13" t="n">
        <v>3011280</v>
      </c>
      <c r="D11" s="28" t="n">
        <f aca="false">ROUND('Contract Sums'!C9,0)</f>
        <v>3011280</v>
      </c>
      <c r="E11" s="29" t="n">
        <f aca="false">D11-C11</f>
        <v>0</v>
      </c>
      <c r="F11" s="4" t="str">
        <f aca="false">IF(ABS(E11)&lt;=G11,"PASS","FAIL")</f>
        <v>PASS</v>
      </c>
      <c r="G11" s="30" t="n">
        <v>1E-008</v>
      </c>
    </row>
    <row r="12" customFormat="false" ht="15" hidden="false" customHeight="false" outlineLevel="0" collapsed="false">
      <c r="B12" s="3" t="s">
        <v>81</v>
      </c>
      <c r="C12" s="13" t="n">
        <v>1385189</v>
      </c>
      <c r="D12" s="28" t="n">
        <f aca="false">ROUND('Contract Sums'!C11,0)</f>
        <v>1385189</v>
      </c>
      <c r="E12" s="29" t="n">
        <f aca="false">D12-C12</f>
        <v>0</v>
      </c>
      <c r="F12" s="4" t="str">
        <f aca="false">IF(ABS(E12)&lt;=G12,"PASS","FAIL")</f>
        <v>PASS</v>
      </c>
      <c r="G12" s="30" t="n">
        <v>1E-008</v>
      </c>
    </row>
    <row r="13" customFormat="false" ht="15" hidden="false" customHeight="false" outlineLevel="0" collapsed="false">
      <c r="B13" s="3" t="s">
        <v>181</v>
      </c>
      <c r="C13" s="13" t="n">
        <v>489433</v>
      </c>
      <c r="D13" s="28" t="n">
        <f aca="false">ROUND('Contract Sums'!C13,0)</f>
        <v>489433</v>
      </c>
      <c r="E13" s="29" t="n">
        <f aca="false">D13-C13</f>
        <v>0</v>
      </c>
      <c r="F13" s="4" t="str">
        <f aca="false">IF(ABS(E13)&lt;=G13,"PASS","FAIL")</f>
        <v>PASS</v>
      </c>
      <c r="G13" s="30" t="n">
        <v>1E-008</v>
      </c>
    </row>
    <row r="14" customFormat="false" ht="15" hidden="false" customHeight="false" outlineLevel="0" collapsed="false">
      <c r="B14" s="3" t="s">
        <v>85</v>
      </c>
      <c r="C14" s="13" t="n">
        <v>26301102</v>
      </c>
      <c r="D14" s="28" t="n">
        <f aca="false">ROUND('Contract Sums'!C15,0)</f>
        <v>26301102</v>
      </c>
      <c r="E14" s="29" t="n">
        <f aca="false">D14-C14</f>
        <v>0</v>
      </c>
      <c r="F14" s="4" t="str">
        <f aca="false">IF(ABS(E14)&lt;=G14,"PASS","FAIL")</f>
        <v>PASS</v>
      </c>
      <c r="G14" s="30" t="n">
        <v>1E-008</v>
      </c>
    </row>
    <row r="15" customFormat="false" ht="15" hidden="false" customHeight="false" outlineLevel="0" collapsed="false">
      <c r="B15" s="3" t="s">
        <v>182</v>
      </c>
      <c r="C15" s="13" t="n">
        <v>3044</v>
      </c>
      <c r="D15" s="28" t="n">
        <f aca="false">ROUND('Contract Sums'!C17,0)</f>
        <v>3044</v>
      </c>
      <c r="E15" s="29" t="n">
        <f aca="false">D15-C15</f>
        <v>0</v>
      </c>
      <c r="F15" s="4" t="str">
        <f aca="false">IF(ABS(E15)&lt;=G15,"PASS","FAIL")</f>
        <v>PASS</v>
      </c>
      <c r="G15" s="30" t="n">
        <v>1E-008</v>
      </c>
    </row>
    <row r="16" customFormat="false" ht="15" hidden="false" customHeight="false" outlineLevel="0" collapsed="false">
      <c r="B16" s="3" t="s">
        <v>87</v>
      </c>
      <c r="C16" s="13" t="n">
        <v>273970</v>
      </c>
      <c r="D16" s="28" t="n">
        <f aca="false">ROUND('Contract Sums'!C18,0)</f>
        <v>273970</v>
      </c>
      <c r="E16" s="29" t="n">
        <f aca="false">D16-C16</f>
        <v>0</v>
      </c>
      <c r="F16" s="4" t="str">
        <f aca="false">IF(ABS(E16)&lt;=G16,"PASS","FAIL")</f>
        <v>PASS</v>
      </c>
      <c r="G16" s="30" t="n">
        <v>1E-008</v>
      </c>
    </row>
    <row r="17" customFormat="false" ht="15" hidden="false" customHeight="false" outlineLevel="0" collapsed="false">
      <c r="B17" s="3" t="s">
        <v>88</v>
      </c>
      <c r="C17" s="31" t="n">
        <v>0.85</v>
      </c>
      <c r="D17" s="32" t="n">
        <f aca="false">ROUND('Contract Sums'!C19,3)</f>
        <v>0.85</v>
      </c>
      <c r="E17" s="29" t="n">
        <f aca="false">D17-C17</f>
        <v>0</v>
      </c>
      <c r="F17" s="4" t="str">
        <f aca="false">IF(ABS(E17)&lt;=G17,"PASS","FAIL")</f>
        <v>PASS</v>
      </c>
      <c r="G17" s="30" t="n">
        <v>1E-008</v>
      </c>
    </row>
    <row r="18" customFormat="false" ht="15" hidden="false" customHeight="false" outlineLevel="0" collapsed="false">
      <c r="B18" s="3" t="s">
        <v>183</v>
      </c>
      <c r="C18" s="17" t="n">
        <v>76.5</v>
      </c>
      <c r="D18" s="33" t="n">
        <f aca="false">ROUND('Contract Sums'!C20,1)</f>
        <v>76.5</v>
      </c>
      <c r="E18" s="29" t="n">
        <f aca="false">D18-C18</f>
        <v>0</v>
      </c>
      <c r="F18" s="4" t="str">
        <f aca="false">IF(ABS(E18)&lt;=G18,"PASS","FAIL")</f>
        <v>PASS</v>
      </c>
      <c r="G18" s="30" t="n">
        <v>1E-008</v>
      </c>
    </row>
    <row r="19" customFormat="false" ht="15" hidden="false" customHeight="false" outlineLevel="0" collapsed="false">
      <c r="B19" s="2" t="s">
        <v>184</v>
      </c>
    </row>
    <row r="20" customFormat="false" ht="15" hidden="false" customHeight="false" outlineLevel="0" collapsed="false">
      <c r="B20" s="3" t="s">
        <v>75</v>
      </c>
      <c r="C20" s="13" t="n">
        <v>20131200</v>
      </c>
      <c r="D20" s="28" t="n">
        <f aca="false">ROUND('Contract Sums'!D6,0)</f>
        <v>20131200</v>
      </c>
      <c r="E20" s="29" t="n">
        <f aca="false">D20-C20</f>
        <v>0</v>
      </c>
      <c r="F20" s="4" t="str">
        <f aca="false">IF(ABS(E20)&lt;=G20,"PASS","FAIL")</f>
        <v>PASS</v>
      </c>
      <c r="G20" s="30" t="n">
        <v>1E-008</v>
      </c>
    </row>
    <row r="21" customFormat="false" ht="15" hidden="false" customHeight="false" outlineLevel="0" collapsed="false">
      <c r="B21" s="3" t="s">
        <v>77</v>
      </c>
      <c r="C21" s="13" t="n">
        <v>21371200</v>
      </c>
      <c r="D21" s="28" t="n">
        <f aca="false">ROUND('Contract Sums'!D8,0)</f>
        <v>21371200</v>
      </c>
      <c r="E21" s="29" t="n">
        <f aca="false">D21-C21</f>
        <v>0</v>
      </c>
      <c r="F21" s="4" t="str">
        <f aca="false">IF(ABS(E21)&lt;=G21,"PASS","FAIL")</f>
        <v>PASS</v>
      </c>
      <c r="G21" s="30" t="n">
        <v>1E-008</v>
      </c>
    </row>
    <row r="22" customFormat="false" ht="15" hidden="false" customHeight="false" outlineLevel="0" collapsed="false">
      <c r="B22" s="3" t="s">
        <v>78</v>
      </c>
      <c r="C22" s="13" t="n">
        <v>3205680</v>
      </c>
      <c r="D22" s="28" t="n">
        <f aca="false">ROUND('Contract Sums'!D9,0)</f>
        <v>3205680</v>
      </c>
      <c r="E22" s="29" t="n">
        <f aca="false">D22-C22</f>
        <v>0</v>
      </c>
      <c r="F22" s="4" t="str">
        <f aca="false">IF(ABS(E22)&lt;=G22,"PASS","FAIL")</f>
        <v>PASS</v>
      </c>
      <c r="G22" s="30" t="n">
        <v>1E-008</v>
      </c>
    </row>
    <row r="23" customFormat="false" ht="15" hidden="false" customHeight="false" outlineLevel="0" collapsed="false">
      <c r="B23" s="3" t="s">
        <v>81</v>
      </c>
      <c r="C23" s="13" t="n">
        <v>1474613</v>
      </c>
      <c r="D23" s="28" t="n">
        <f aca="false">ROUND('Contract Sums'!D11,0)</f>
        <v>1474613</v>
      </c>
      <c r="E23" s="29" t="n">
        <f aca="false">D23-C23</f>
        <v>0</v>
      </c>
      <c r="F23" s="4" t="str">
        <f aca="false">IF(ABS(E23)&lt;=G23,"PASS","FAIL")</f>
        <v>PASS</v>
      </c>
      <c r="G23" s="30" t="n">
        <v>1E-008</v>
      </c>
    </row>
    <row r="24" customFormat="false" ht="15" hidden="false" customHeight="false" outlineLevel="0" collapsed="false">
      <c r="B24" s="3" t="s">
        <v>181</v>
      </c>
      <c r="C24" s="13" t="n">
        <v>130257</v>
      </c>
      <c r="D24" s="28" t="n">
        <f aca="false">ROUND('Contract Sums'!D13,0)</f>
        <v>130257</v>
      </c>
      <c r="E24" s="29" t="n">
        <f aca="false">D24-C24</f>
        <v>0</v>
      </c>
      <c r="F24" s="4" t="str">
        <f aca="false">IF(ABS(E24)&lt;=G24,"PASS","FAIL")</f>
        <v>PASS</v>
      </c>
      <c r="G24" s="30" t="n">
        <v>1E-008</v>
      </c>
    </row>
    <row r="25" customFormat="false" ht="15" hidden="false" customHeight="false" outlineLevel="0" collapsed="false">
      <c r="B25" s="3" t="s">
        <v>85</v>
      </c>
      <c r="C25" s="13" t="n">
        <v>26391750</v>
      </c>
      <c r="D25" s="28" t="n">
        <f aca="false">ROUND('Contract Sums'!D15,0)</f>
        <v>26391750</v>
      </c>
      <c r="E25" s="29" t="n">
        <f aca="false">D25-C25</f>
        <v>0</v>
      </c>
      <c r="F25" s="4" t="str">
        <f aca="false">IF(ABS(E25)&lt;=G25,"PASS","FAIL")</f>
        <v>PASS</v>
      </c>
      <c r="G25" s="30" t="n">
        <v>1E-008</v>
      </c>
    </row>
    <row r="26" customFormat="false" ht="15" hidden="false" customHeight="false" outlineLevel="0" collapsed="false">
      <c r="B26" s="3" t="s">
        <v>182</v>
      </c>
      <c r="C26" s="13" t="n">
        <v>3055</v>
      </c>
      <c r="D26" s="28" t="n">
        <f aca="false">ROUND('Contract Sums'!D17,0)</f>
        <v>3055</v>
      </c>
      <c r="E26" s="29" t="n">
        <f aca="false">D26-C26</f>
        <v>0</v>
      </c>
      <c r="F26" s="4" t="str">
        <f aca="false">IF(ABS(E26)&lt;=G26,"PASS","FAIL")</f>
        <v>PASS</v>
      </c>
      <c r="G26" s="30" t="n">
        <v>1E-008</v>
      </c>
    </row>
    <row r="27" customFormat="false" ht="15" hidden="false" customHeight="false" outlineLevel="0" collapsed="false">
      <c r="B27" s="3" t="s">
        <v>87</v>
      </c>
      <c r="C27" s="13" t="n">
        <v>274914</v>
      </c>
      <c r="D27" s="28" t="n">
        <f aca="false">ROUND('Contract Sums'!D18,0)</f>
        <v>274914</v>
      </c>
      <c r="E27" s="29" t="n">
        <f aca="false">D27-C27</f>
        <v>0</v>
      </c>
      <c r="F27" s="4" t="str">
        <f aca="false">IF(ABS(E27)&lt;=G27,"PASS","FAIL")</f>
        <v>PASS</v>
      </c>
      <c r="G27" s="30" t="n">
        <v>1E-008</v>
      </c>
    </row>
    <row r="28" customFormat="false" ht="15" hidden="false" customHeight="false" outlineLevel="0" collapsed="false">
      <c r="B28" s="2" t="s">
        <v>185</v>
      </c>
    </row>
    <row r="29" customFormat="false" ht="15" hidden="false" customHeight="false" outlineLevel="0" collapsed="false">
      <c r="B29" s="3" t="s">
        <v>186</v>
      </c>
      <c r="C29" s="13" t="n">
        <v>6852067</v>
      </c>
      <c r="D29" s="28" t="n">
        <f aca="false">ROUND(Bridge!C7,0)</f>
        <v>6852067</v>
      </c>
      <c r="E29" s="29" t="n">
        <f aca="false">D29-C29</f>
        <v>0</v>
      </c>
      <c r="F29" s="4" t="str">
        <f aca="false">IF(ABS(E29)&lt;=G29,"PASS","FAIL")</f>
        <v>PASS</v>
      </c>
      <c r="G29" s="30" t="n">
        <v>1E-008</v>
      </c>
    </row>
    <row r="30" customFormat="false" ht="15" hidden="false" customHeight="false" outlineLevel="0" collapsed="false">
      <c r="B30" s="3" t="s">
        <v>98</v>
      </c>
      <c r="C30" s="13" t="n">
        <v>925029</v>
      </c>
      <c r="D30" s="28" t="n">
        <f aca="false">ROUND(Bridge!C8,0)</f>
        <v>925029</v>
      </c>
      <c r="E30" s="29" t="n">
        <f aca="false">D30-C30</f>
        <v>0</v>
      </c>
      <c r="F30" s="4" t="str">
        <f aca="false">IF(ABS(E30)&lt;=G30,"PASS","FAIL")</f>
        <v>PASS</v>
      </c>
      <c r="G30" s="30" t="n">
        <v>1E-008</v>
      </c>
    </row>
    <row r="31" customFormat="false" ht="15" hidden="false" customHeight="false" outlineLevel="0" collapsed="false">
      <c r="B31" s="3" t="s">
        <v>187</v>
      </c>
      <c r="C31" s="13" t="n">
        <v>489433</v>
      </c>
      <c r="D31" s="28" t="n">
        <f aca="false">ROUND(Bridge!C9,0)</f>
        <v>489433</v>
      </c>
      <c r="E31" s="29" t="n">
        <f aca="false">D31-C31</f>
        <v>0</v>
      </c>
      <c r="F31" s="4" t="str">
        <f aca="false">IF(ABS(E31)&lt;=G31,"PASS","FAIL")</f>
        <v>PASS</v>
      </c>
      <c r="G31" s="30" t="n">
        <v>1E-008</v>
      </c>
    </row>
    <row r="32" customFormat="false" ht="15" hidden="false" customHeight="false" outlineLevel="0" collapsed="false">
      <c r="B32" s="3" t="s">
        <v>100</v>
      </c>
      <c r="C32" s="13" t="n">
        <v>23065</v>
      </c>
      <c r="D32" s="28" t="n">
        <f aca="false">ROUND(Bridge!C10,0)</f>
        <v>23065</v>
      </c>
      <c r="E32" s="29" t="n">
        <f aca="false">D32-C32</f>
        <v>0</v>
      </c>
      <c r="F32" s="4" t="str">
        <f aca="false">IF(ABS(E32)&lt;=G32,"PASS","FAIL")</f>
        <v>PASS</v>
      </c>
      <c r="G32" s="30" t="n">
        <v>1E-008</v>
      </c>
    </row>
    <row r="33" customFormat="false" ht="15" hidden="false" customHeight="false" outlineLevel="0" collapsed="false">
      <c r="B33" s="3" t="s">
        <v>188</v>
      </c>
      <c r="C33" s="13" t="n">
        <v>3</v>
      </c>
      <c r="D33" s="28" t="n">
        <f aca="false">ROUND(Bridge!C11,0)</f>
        <v>3</v>
      </c>
      <c r="E33" s="29" t="n">
        <f aca="false">D33-C33</f>
        <v>0</v>
      </c>
      <c r="F33" s="4" t="str">
        <f aca="false">IF(ABS(E33)&lt;=G33,"PASS","FAIL")</f>
        <v>PASS</v>
      </c>
      <c r="G33" s="30" t="n">
        <v>1E-008</v>
      </c>
    </row>
    <row r="34" customFormat="false" ht="15" hidden="false" customHeight="false" outlineLevel="0" collapsed="false">
      <c r="B34" s="3" t="s">
        <v>102</v>
      </c>
      <c r="C34" s="13" t="n">
        <v>119149</v>
      </c>
      <c r="D34" s="28" t="n">
        <f aca="false">ROUND(Bridge!C12,0)</f>
        <v>119149</v>
      </c>
      <c r="E34" s="29" t="n">
        <f aca="false">D34-C34</f>
        <v>0</v>
      </c>
      <c r="F34" s="4" t="str">
        <f aca="false">IF(ABS(E34)&lt;=G34,"PASS","FAIL")</f>
        <v>PASS</v>
      </c>
      <c r="G34" s="30" t="n">
        <v>1E-008</v>
      </c>
    </row>
    <row r="35" customFormat="false" ht="15" hidden="false" customHeight="false" outlineLevel="0" collapsed="false">
      <c r="B35" s="3" t="s">
        <v>103</v>
      </c>
      <c r="C35" s="31" t="n">
        <v>0.066</v>
      </c>
      <c r="D35" s="32" t="n">
        <f aca="false">ROUND(Bridge!C13,3)</f>
        <v>0.066</v>
      </c>
      <c r="E35" s="29" t="n">
        <f aca="false">D35-C35</f>
        <v>0</v>
      </c>
      <c r="F35" s="4" t="str">
        <f aca="false">IF(ABS(E35)&lt;=G35,"PASS","FAIL")</f>
        <v>PASS</v>
      </c>
      <c r="G35" s="30" t="n">
        <v>1E-008</v>
      </c>
    </row>
    <row r="36" customFormat="false" ht="15" hidden="false" customHeight="false" outlineLevel="0" collapsed="false">
      <c r="B36" s="3" t="s">
        <v>104</v>
      </c>
      <c r="C36" s="13" t="n">
        <v>1315055</v>
      </c>
      <c r="D36" s="28" t="n">
        <f aca="false">ROUND(Bridge!C14,0)</f>
        <v>1315055</v>
      </c>
      <c r="E36" s="29" t="n">
        <f aca="false">D36-C36</f>
        <v>0</v>
      </c>
      <c r="F36" s="4" t="str">
        <f aca="false">IF(ABS(E36)&lt;=G36,"PASS","FAIL")</f>
        <v>PASS</v>
      </c>
      <c r="G36" s="30" t="n">
        <v>1E-008</v>
      </c>
    </row>
    <row r="37" customFormat="false" ht="15" hidden="false" customHeight="false" outlineLevel="0" collapsed="false">
      <c r="B37" s="3" t="s">
        <v>105</v>
      </c>
      <c r="C37" s="13" t="n">
        <v>789033</v>
      </c>
      <c r="D37" s="28" t="n">
        <f aca="false">ROUND(Bridge!C15,0)</f>
        <v>789033</v>
      </c>
      <c r="E37" s="29" t="n">
        <f aca="false">D37-C37</f>
        <v>0</v>
      </c>
      <c r="F37" s="4" t="str">
        <f aca="false">IF(ABS(E37)&lt;=G37,"PASS","FAIL")</f>
        <v>PASS</v>
      </c>
      <c r="G37" s="30" t="n">
        <v>1E-008</v>
      </c>
    </row>
    <row r="38" customFormat="false" ht="15" hidden="false" customHeight="false" outlineLevel="0" collapsed="false">
      <c r="B38" s="3" t="s">
        <v>189</v>
      </c>
      <c r="C38" s="19" t="n">
        <v>1.154</v>
      </c>
      <c r="D38" s="34" t="n">
        <f aca="false">ROUND(Bridge!C16,3)</f>
        <v>1.154</v>
      </c>
      <c r="E38" s="29" t="n">
        <f aca="false">D38-C38</f>
        <v>0</v>
      </c>
      <c r="F38" s="4" t="str">
        <f aca="false">IF(ABS(E38)&lt;=G38,"PASS","FAIL")</f>
        <v>PASS</v>
      </c>
      <c r="G38" s="30" t="n">
        <v>1E-008</v>
      </c>
    </row>
    <row r="39" customFormat="false" ht="15" hidden="false" customHeight="false" outlineLevel="0" collapsed="false">
      <c r="B39" s="3" t="s">
        <v>107</v>
      </c>
      <c r="C39" s="31" t="n">
        <v>0.604</v>
      </c>
      <c r="D39" s="32" t="n">
        <f aca="false">ROUND(Bridge!C17,3)</f>
        <v>0.604</v>
      </c>
      <c r="E39" s="29" t="n">
        <f aca="false">D39-C39</f>
        <v>0</v>
      </c>
      <c r="F39" s="4" t="str">
        <f aca="false">IF(ABS(E39)&lt;=G39,"PASS","FAIL")</f>
        <v>PASS</v>
      </c>
      <c r="G39" s="30" t="n">
        <v>1E-008</v>
      </c>
    </row>
    <row r="40" customFormat="false" ht="15" hidden="false" customHeight="false" outlineLevel="0" collapsed="false">
      <c r="B40" s="3" t="s">
        <v>146</v>
      </c>
      <c r="C40" s="13" t="n">
        <v>2092960</v>
      </c>
      <c r="D40" s="28" t="n">
        <f aca="false">ROUND(Bridge!C59,0)</f>
        <v>2092960</v>
      </c>
      <c r="E40" s="29" t="n">
        <f aca="false">D40-C40</f>
        <v>0</v>
      </c>
      <c r="F40" s="4" t="str">
        <f aca="false">IF(ABS(E40)&lt;=G40,"PASS","FAIL")</f>
        <v>PASS</v>
      </c>
      <c r="G40" s="30" t="n">
        <v>1E-008</v>
      </c>
    </row>
    <row r="41" customFormat="false" ht="15" hidden="false" customHeight="false" outlineLevel="0" collapsed="false">
      <c r="B41" s="3" t="s">
        <v>144</v>
      </c>
      <c r="C41" s="13" t="n">
        <v>43500</v>
      </c>
      <c r="D41" s="28" t="n">
        <f aca="false">ROUND(Bridge!C57,0)</f>
        <v>43500</v>
      </c>
      <c r="E41" s="29" t="n">
        <f aca="false">D41-C41</f>
        <v>0</v>
      </c>
      <c r="F41" s="4" t="str">
        <f aca="false">IF(ABS(E41)&lt;=G41,"PASS","FAIL")</f>
        <v>PASS</v>
      </c>
      <c r="G41" s="30" t="n">
        <v>1E-008</v>
      </c>
    </row>
    <row r="42" customFormat="false" ht="15" hidden="false" customHeight="false" outlineLevel="0" collapsed="false">
      <c r="B42" s="2" t="s">
        <v>190</v>
      </c>
    </row>
    <row r="43" customFormat="false" ht="15" hidden="false" customHeight="false" outlineLevel="0" collapsed="false">
      <c r="B43" s="3" t="s">
        <v>191</v>
      </c>
      <c r="C43" s="13" t="n">
        <v>435596</v>
      </c>
      <c r="D43" s="28" t="n">
        <f aca="false">ROUND(Bridge!C20,0)</f>
        <v>435596</v>
      </c>
      <c r="E43" s="29" t="n">
        <f aca="false">D43-C43</f>
        <v>0</v>
      </c>
      <c r="F43" s="4" t="str">
        <f aca="false">IF(ABS(E43)&lt;=G43,"PASS","FAIL")</f>
        <v>PASS</v>
      </c>
      <c r="G43" s="30" t="n">
        <v>1E-008</v>
      </c>
    </row>
    <row r="44" customFormat="false" ht="15" hidden="false" customHeight="false" outlineLevel="0" collapsed="false">
      <c r="B44" s="3" t="s">
        <v>40</v>
      </c>
      <c r="C44" s="13" t="n">
        <v>810000</v>
      </c>
      <c r="D44" s="28" t="n">
        <f aca="false">ROUND(Bridge!C21,0)</f>
        <v>810000</v>
      </c>
      <c r="E44" s="29" t="n">
        <f aca="false">D44-C44</f>
        <v>0</v>
      </c>
      <c r="F44" s="4" t="str">
        <f aca="false">IF(ABS(E44)&lt;=G44,"PASS","FAIL")</f>
        <v>PASS</v>
      </c>
      <c r="G44" s="30" t="n">
        <v>1E-008</v>
      </c>
    </row>
    <row r="45" customFormat="false" ht="15" hidden="false" customHeight="false" outlineLevel="0" collapsed="false">
      <c r="B45" s="3" t="s">
        <v>192</v>
      </c>
      <c r="C45" s="13" t="n">
        <v>742000</v>
      </c>
      <c r="D45" s="28" t="n">
        <f aca="false">ROUND(Bridge!C22,0)</f>
        <v>742000</v>
      </c>
      <c r="E45" s="29" t="n">
        <f aca="false">D45-C45</f>
        <v>0</v>
      </c>
      <c r="F45" s="4" t="str">
        <f aca="false">IF(ABS(E45)&lt;=G45,"PASS","FAIL")</f>
        <v>PASS</v>
      </c>
      <c r="G45" s="30" t="n">
        <v>1E-008</v>
      </c>
    </row>
    <row r="46" customFormat="false" ht="15" hidden="false" customHeight="false" outlineLevel="0" collapsed="false">
      <c r="B46" s="3" t="s">
        <v>193</v>
      </c>
      <c r="C46" s="13" t="n">
        <v>105364</v>
      </c>
      <c r="D46" s="28" t="n">
        <f aca="false">ROUND(Bridge!C23,0)</f>
        <v>105364</v>
      </c>
      <c r="E46" s="29" t="n">
        <f aca="false">D46-C46</f>
        <v>0</v>
      </c>
      <c r="F46" s="4" t="str">
        <f aca="false">IF(ABS(E46)&lt;=G46,"PASS","FAIL")</f>
        <v>PASS</v>
      </c>
      <c r="G46" s="30" t="n">
        <v>1E-008</v>
      </c>
    </row>
    <row r="47" customFormat="false" ht="15" hidden="false" customHeight="false" outlineLevel="0" collapsed="false">
      <c r="B47" s="3" t="s">
        <v>194</v>
      </c>
      <c r="C47" s="13" t="n">
        <v>253716</v>
      </c>
      <c r="D47" s="28" t="n">
        <f aca="false">ROUND(Bridge!C24,0)</f>
        <v>253716</v>
      </c>
      <c r="E47" s="29" t="n">
        <f aca="false">D47-C47</f>
        <v>0</v>
      </c>
      <c r="F47" s="4" t="str">
        <f aca="false">IF(ABS(E47)&lt;=G47,"PASS","FAIL")</f>
        <v>PASS</v>
      </c>
      <c r="G47" s="30" t="n">
        <v>1E-008</v>
      </c>
    </row>
    <row r="48" customFormat="false" ht="15" hidden="false" customHeight="false" outlineLevel="0" collapsed="false">
      <c r="B48" s="3" t="s">
        <v>195</v>
      </c>
      <c r="C48" s="13" t="n">
        <v>288340</v>
      </c>
      <c r="D48" s="28" t="n">
        <f aca="false">ROUND(Bridge!C25,0)</f>
        <v>288340</v>
      </c>
      <c r="E48" s="29" t="n">
        <f aca="false">D48-C48</f>
        <v>0</v>
      </c>
      <c r="F48" s="4" t="str">
        <f aca="false">IF(ABS(E48)&lt;=G48,"PASS","FAIL")</f>
        <v>PASS</v>
      </c>
      <c r="G48" s="30" t="n">
        <v>1E-008</v>
      </c>
    </row>
    <row r="49" customFormat="false" ht="15" hidden="false" customHeight="false" outlineLevel="0" collapsed="false">
      <c r="B49" s="3" t="s">
        <v>196</v>
      </c>
      <c r="C49" s="13" t="n">
        <v>310000</v>
      </c>
      <c r="D49" s="28" t="n">
        <f aca="false">ROUND(Bridge!C26,0)</f>
        <v>310000</v>
      </c>
      <c r="E49" s="29" t="n">
        <f aca="false">D49-C49</f>
        <v>0</v>
      </c>
      <c r="F49" s="4" t="str">
        <f aca="false">IF(ABS(E49)&lt;=G49,"PASS","FAIL")</f>
        <v>PASS</v>
      </c>
      <c r="G49" s="30" t="n">
        <v>1E-008</v>
      </c>
    </row>
    <row r="50" customFormat="false" ht="15" hidden="false" customHeight="false" outlineLevel="0" collapsed="false">
      <c r="B50" s="3" t="s">
        <v>197</v>
      </c>
      <c r="C50" s="13" t="n">
        <v>137484</v>
      </c>
      <c r="D50" s="28" t="n">
        <f aca="false">ROUND(Bridge!C27,0)</f>
        <v>137484</v>
      </c>
      <c r="E50" s="29" t="n">
        <f aca="false">D50-C50</f>
        <v>0</v>
      </c>
      <c r="F50" s="4" t="str">
        <f aca="false">IF(ABS(E50)&lt;=G50,"PASS","FAIL")</f>
        <v>PASS</v>
      </c>
      <c r="G50" s="30" t="n">
        <v>1E-008</v>
      </c>
    </row>
    <row r="51" customFormat="false" ht="15" hidden="false" customHeight="false" outlineLevel="0" collapsed="false">
      <c r="B51" s="3" t="s">
        <v>198</v>
      </c>
      <c r="C51" s="13" t="n">
        <v>-96000</v>
      </c>
      <c r="D51" s="28" t="n">
        <f aca="false">ROUND(Bridge!C28,0)</f>
        <v>-96000</v>
      </c>
      <c r="E51" s="29" t="n">
        <f aca="false">D51-C51</f>
        <v>0</v>
      </c>
      <c r="F51" s="4" t="str">
        <f aca="false">IF(ABS(E51)&lt;=G51,"PASS","FAIL")</f>
        <v>PASS</v>
      </c>
      <c r="G51" s="30" t="n">
        <v>1E-008</v>
      </c>
    </row>
    <row r="52" customFormat="false" ht="15" hidden="false" customHeight="false" outlineLevel="0" collapsed="false">
      <c r="B52" s="3" t="s">
        <v>199</v>
      </c>
      <c r="C52" s="13" t="n">
        <v>-43500</v>
      </c>
      <c r="D52" s="28" t="n">
        <f aca="false">ROUND(Bridge!C29,0)</f>
        <v>-43500</v>
      </c>
      <c r="E52" s="29" t="n">
        <f aca="false">D52-C52</f>
        <v>0</v>
      </c>
      <c r="F52" s="4" t="str">
        <f aca="false">IF(ABS(E52)&lt;=G52,"PASS","FAIL")</f>
        <v>PASS</v>
      </c>
      <c r="G52" s="30" t="n">
        <v>1E-008</v>
      </c>
    </row>
    <row r="53" customFormat="false" ht="15" hidden="false" customHeight="false" outlineLevel="0" collapsed="false">
      <c r="B53" s="3" t="s">
        <v>123</v>
      </c>
      <c r="C53" s="13" t="n">
        <v>-90739</v>
      </c>
      <c r="D53" s="28" t="n">
        <f aca="false">ROUND(Bridge!C30,0)</f>
        <v>-90739</v>
      </c>
      <c r="E53" s="29" t="n">
        <f aca="false">D53-C53</f>
        <v>0</v>
      </c>
      <c r="F53" s="4" t="str">
        <f aca="false">IF(ABS(E53)&lt;=G53,"PASS","FAIL")</f>
        <v>PASS</v>
      </c>
      <c r="G53" s="30" t="n">
        <v>1E-008</v>
      </c>
    </row>
    <row r="54" customFormat="false" ht="15" hidden="false" customHeight="false" outlineLevel="0" collapsed="false">
      <c r="B54" s="3" t="s">
        <v>124</v>
      </c>
      <c r="C54" s="13" t="n">
        <v>2852261</v>
      </c>
      <c r="D54" s="28" t="n">
        <f aca="false">ROUND(Bridge!C32,0)</f>
        <v>2852261</v>
      </c>
      <c r="E54" s="29" t="n">
        <f aca="false">D54-C54</f>
        <v>0</v>
      </c>
      <c r="F54" s="4" t="str">
        <f aca="false">IF(ABS(E54)&lt;=G54,"PASS","FAIL")</f>
        <v>PASS</v>
      </c>
      <c r="G54" s="30" t="n">
        <v>1E-008</v>
      </c>
    </row>
    <row r="55" customFormat="false" ht="15" hidden="false" customHeight="false" outlineLevel="0" collapsed="false">
      <c r="B55" s="2" t="s">
        <v>200</v>
      </c>
    </row>
    <row r="56" customFormat="false" ht="15" hidden="false" customHeight="false" outlineLevel="0" collapsed="false">
      <c r="B56" s="3" t="s">
        <v>201</v>
      </c>
      <c r="C56" s="13" t="n">
        <v>1052000</v>
      </c>
      <c r="D56" s="28" t="n">
        <f aca="false">ROUND(Bridge!C35,0)</f>
        <v>1052000</v>
      </c>
      <c r="E56" s="29" t="n">
        <f aca="false">D56-C56</f>
        <v>0</v>
      </c>
      <c r="F56" s="4" t="str">
        <f aca="false">IF(ABS(E56)&lt;=G56,"PASS","FAIL")</f>
        <v>PASS</v>
      </c>
      <c r="G56" s="30" t="n">
        <v>1E-008</v>
      </c>
    </row>
    <row r="57" customFormat="false" ht="15" hidden="false" customHeight="false" outlineLevel="0" collapsed="false">
      <c r="B57" s="3" t="s">
        <v>202</v>
      </c>
      <c r="C57" s="13" t="n">
        <v>2030500</v>
      </c>
      <c r="D57" s="28" t="n">
        <f aca="false">ROUND(Bridge!C36,0)</f>
        <v>2030500</v>
      </c>
      <c r="E57" s="29" t="n">
        <f aca="false">D57-C57</f>
        <v>0</v>
      </c>
      <c r="F57" s="4" t="str">
        <f aca="false">IF(ABS(E57)&lt;=G57,"PASS","FAIL")</f>
        <v>PASS</v>
      </c>
      <c r="G57" s="30" t="n">
        <v>1E-008</v>
      </c>
    </row>
    <row r="58" customFormat="false" ht="15" hidden="false" customHeight="false" outlineLevel="0" collapsed="false">
      <c r="B58" s="3" t="s">
        <v>203</v>
      </c>
      <c r="C58" s="13" t="n">
        <v>230239</v>
      </c>
      <c r="D58" s="28" t="n">
        <f aca="false">ROUND(Bridge!C37,0)</f>
        <v>230239</v>
      </c>
      <c r="E58" s="29" t="n">
        <f aca="false">D58-C58</f>
        <v>0</v>
      </c>
      <c r="F58" s="4" t="str">
        <f aca="false">IF(ABS(E58)&lt;=G58,"PASS","FAIL")</f>
        <v>PASS</v>
      </c>
      <c r="G58" s="30" t="n">
        <v>1E-008</v>
      </c>
    </row>
    <row r="59" customFormat="false" ht="15" hidden="false" customHeight="false" outlineLevel="0" collapsed="false">
      <c r="B59" s="3" t="s">
        <v>204</v>
      </c>
      <c r="C59" s="13" t="n">
        <v>1742160</v>
      </c>
      <c r="D59" s="28" t="n">
        <f aca="false">ROUND(Bridge!C41,0)</f>
        <v>1742160</v>
      </c>
      <c r="E59" s="29" t="n">
        <f aca="false">D59-C59</f>
        <v>0</v>
      </c>
      <c r="F59" s="4" t="str">
        <f aca="false">IF(ABS(E59)&lt;=G59,"PASS","FAIL")</f>
        <v>PASS</v>
      </c>
      <c r="G59" s="30" t="n">
        <v>1E-008</v>
      </c>
    </row>
    <row r="60" customFormat="false" ht="15" hidden="false" customHeight="false" outlineLevel="0" collapsed="false">
      <c r="B60" s="3" t="s">
        <v>205</v>
      </c>
      <c r="C60" s="31" t="n">
        <v>0.858</v>
      </c>
      <c r="D60" s="32" t="n">
        <f aca="false">ROUND(Bridge!C42,3)</f>
        <v>0.858</v>
      </c>
      <c r="E60" s="29" t="n">
        <f aca="false">D60-C60</f>
        <v>0</v>
      </c>
      <c r="F60" s="4" t="str">
        <f aca="false">IF(ABS(E60)&lt;=G60,"PASS","FAIL")</f>
        <v>PASS</v>
      </c>
      <c r="G60" s="30" t="n">
        <v>1E-008</v>
      </c>
    </row>
    <row r="61" customFormat="false" ht="15" hidden="false" customHeight="false" outlineLevel="0" collapsed="false">
      <c r="B61" s="3" t="s">
        <v>206</v>
      </c>
      <c r="C61" s="13" t="n">
        <v>1607921</v>
      </c>
      <c r="D61" s="28" t="n">
        <f aca="false">ROUND(Bridge!C43,0)</f>
        <v>1607921</v>
      </c>
      <c r="E61" s="29" t="n">
        <f aca="false">D61-C61</f>
        <v>0</v>
      </c>
      <c r="F61" s="4" t="str">
        <f aca="false">IF(ABS(E61)&lt;=G61,"PASS","FAIL")</f>
        <v>PASS</v>
      </c>
      <c r="G61" s="30" t="n">
        <v>1E-008</v>
      </c>
    </row>
    <row r="62" customFormat="false" ht="15" hidden="false" customHeight="false" outlineLevel="0" collapsed="false">
      <c r="B62" s="3" t="s">
        <v>207</v>
      </c>
      <c r="C62" s="31" t="n">
        <v>0.564</v>
      </c>
      <c r="D62" s="32" t="n">
        <f aca="false">ROUND(Bridge!C44,3)</f>
        <v>0.564</v>
      </c>
      <c r="E62" s="29" t="n">
        <f aca="false">D62-C62</f>
        <v>0</v>
      </c>
      <c r="F62" s="4" t="str">
        <f aca="false">IF(ABS(E62)&lt;=G62,"PASS","FAIL")</f>
        <v>PASS</v>
      </c>
      <c r="G62" s="30" t="n">
        <v>1E-008</v>
      </c>
    </row>
    <row r="63" customFormat="false" ht="15" hidden="false" customHeight="false" outlineLevel="0" collapsed="false">
      <c r="B63" s="3" t="s">
        <v>208</v>
      </c>
      <c r="C63" s="13" t="n">
        <v>1244340</v>
      </c>
      <c r="D63" s="28" t="n">
        <f aca="false">ROUND(Bridge!C45,0)</f>
        <v>1244340</v>
      </c>
      <c r="E63" s="29" t="n">
        <f aca="false">D63-C63</f>
        <v>0</v>
      </c>
      <c r="F63" s="4" t="str">
        <f aca="false">IF(ABS(E63)&lt;=G63,"PASS","FAIL")</f>
        <v>PASS</v>
      </c>
      <c r="G63" s="30" t="n">
        <v>1E-008</v>
      </c>
    </row>
    <row r="64" customFormat="false" ht="15" hidden="false" customHeight="false" outlineLevel="0" collapsed="false">
      <c r="B64" s="2" t="s">
        <v>209</v>
      </c>
    </row>
    <row r="65" customFormat="false" ht="15" hidden="false" customHeight="false" outlineLevel="0" collapsed="false">
      <c r="B65" s="3" t="s">
        <v>138</v>
      </c>
      <c r="C65" s="13" t="n">
        <v>29153363</v>
      </c>
      <c r="D65" s="28" t="n">
        <f aca="false">ROUND(Bridge!C50,0)</f>
        <v>29153363</v>
      </c>
      <c r="E65" s="29" t="n">
        <f aca="false">D65-C65</f>
        <v>0</v>
      </c>
      <c r="F65" s="4" t="str">
        <f aca="false">IF(ABS(E65)&lt;=G65,"PASS","FAIL")</f>
        <v>PASS</v>
      </c>
      <c r="G65" s="30" t="n">
        <v>1E-008</v>
      </c>
    </row>
    <row r="66" customFormat="false" ht="15" hidden="false" customHeight="false" outlineLevel="0" collapsed="false">
      <c r="B66" s="3" t="s">
        <v>139</v>
      </c>
      <c r="C66" s="31" t="n">
        <v>0.108</v>
      </c>
      <c r="D66" s="32" t="n">
        <f aca="false">ROUND(Bridge!C51,3)</f>
        <v>0.108</v>
      </c>
      <c r="E66" s="29" t="n">
        <f aca="false">D66-C66</f>
        <v>0</v>
      </c>
      <c r="F66" s="4" t="str">
        <f aca="false">IF(ABS(E66)&lt;=G66,"PASS","FAIL")</f>
        <v>PASS</v>
      </c>
      <c r="G66" s="30" t="n">
        <v>1E-008</v>
      </c>
    </row>
    <row r="67" customFormat="false" ht="15" hidden="false" customHeight="false" outlineLevel="0" collapsed="false">
      <c r="B67" s="3" t="s">
        <v>140</v>
      </c>
      <c r="C67" s="13" t="n">
        <v>303681</v>
      </c>
      <c r="D67" s="28" t="n">
        <f aca="false">ROUND(Bridge!C52,0)</f>
        <v>303681</v>
      </c>
      <c r="E67" s="29" t="n">
        <f aca="false">D67-C67</f>
        <v>0</v>
      </c>
      <c r="F67" s="4" t="str">
        <f aca="false">IF(ABS(E67)&lt;=G67,"PASS","FAIL")</f>
        <v>PASS</v>
      </c>
      <c r="G67" s="30" t="n">
        <v>1E-008</v>
      </c>
    </row>
    <row r="68" customFormat="false" ht="15" hidden="false" customHeight="false" outlineLevel="0" collapsed="false">
      <c r="B68" s="3" t="s">
        <v>141</v>
      </c>
      <c r="C68" s="13" t="n">
        <v>3374</v>
      </c>
      <c r="D68" s="28" t="n">
        <f aca="false">ROUND(Bridge!C53,0)</f>
        <v>3374</v>
      </c>
      <c r="E68" s="29" t="n">
        <f aca="false">D68-C68</f>
        <v>0</v>
      </c>
      <c r="F68" s="4" t="str">
        <f aca="false">IF(ABS(E68)&lt;=G68,"PASS","FAIL")</f>
        <v>PASS</v>
      </c>
      <c r="G68" s="30" t="n">
        <v>1E-008</v>
      </c>
    </row>
    <row r="69" customFormat="false" ht="15" hidden="false" customHeight="false" outlineLevel="0" collapsed="false">
      <c r="B69" s="3" t="s">
        <v>210</v>
      </c>
      <c r="C69" s="13" t="n">
        <v>71923</v>
      </c>
      <c r="D69" s="28" t="n">
        <f aca="false">ROUND(Bridge!C56,0)</f>
        <v>71923</v>
      </c>
      <c r="E69" s="29" t="n">
        <f aca="false">D69-C69</f>
        <v>0</v>
      </c>
      <c r="F69" s="4" t="str">
        <f aca="false">IF(ABS(E69)&lt;=G69,"PASS","FAIL")</f>
        <v>PASS</v>
      </c>
      <c r="G69" s="30" t="n">
        <v>1E-008</v>
      </c>
    </row>
    <row r="70" customFormat="false" ht="15" hidden="false" customHeight="false" outlineLevel="0" collapsed="false">
      <c r="B70" s="2" t="s">
        <v>211</v>
      </c>
    </row>
    <row r="71" customFormat="false" ht="15" hidden="false" customHeight="false" outlineLevel="0" collapsed="false">
      <c r="B71" s="3" t="s">
        <v>186</v>
      </c>
      <c r="C71" s="13" t="n">
        <v>1042060</v>
      </c>
      <c r="D71" s="28" t="n">
        <f aca="false">ROUND(Bridge!E7,0)</f>
        <v>1042060</v>
      </c>
      <c r="E71" s="29" t="n">
        <f aca="false">D71-C71</f>
        <v>0</v>
      </c>
      <c r="F71" s="4" t="str">
        <f aca="false">IF(ABS(E71)&lt;=G71,"PASS","FAIL")</f>
        <v>PASS</v>
      </c>
      <c r="G71" s="30" t="n">
        <v>1E-008</v>
      </c>
    </row>
    <row r="72" customFormat="false" ht="15" hidden="false" customHeight="false" outlineLevel="0" collapsed="false">
      <c r="B72" s="3" t="s">
        <v>98</v>
      </c>
      <c r="C72" s="13" t="n">
        <v>140678</v>
      </c>
      <c r="D72" s="28" t="n">
        <f aca="false">ROUND(Bridge!E8,0)</f>
        <v>140678</v>
      </c>
      <c r="E72" s="29" t="n">
        <f aca="false">D72-C72</f>
        <v>0</v>
      </c>
      <c r="F72" s="4" t="str">
        <f aca="false">IF(ABS(E72)&lt;=G72,"PASS","FAIL")</f>
        <v>PASS</v>
      </c>
      <c r="G72" s="30" t="n">
        <v>1E-008</v>
      </c>
    </row>
    <row r="73" customFormat="false" ht="15" hidden="false" customHeight="false" outlineLevel="0" collapsed="false">
      <c r="B73" s="3" t="s">
        <v>187</v>
      </c>
      <c r="C73" s="13" t="n">
        <v>130257</v>
      </c>
      <c r="D73" s="28" t="n">
        <f aca="false">ROUND(Bridge!E9,0)</f>
        <v>130257</v>
      </c>
      <c r="E73" s="29" t="n">
        <f aca="false">D73-C73</f>
        <v>0</v>
      </c>
      <c r="F73" s="4" t="str">
        <f aca="false">IF(ABS(E73)&lt;=G73,"PASS","FAIL")</f>
        <v>PASS</v>
      </c>
      <c r="G73" s="30" t="n">
        <v>1E-008</v>
      </c>
    </row>
    <row r="74" customFormat="false" ht="15" hidden="false" customHeight="false" outlineLevel="0" collapsed="false">
      <c r="B74" s="3" t="s">
        <v>100</v>
      </c>
      <c r="C74" s="13" t="n">
        <v>24554</v>
      </c>
      <c r="D74" s="28" t="n">
        <f aca="false">ROUND(Bridge!E10,0)</f>
        <v>24554</v>
      </c>
      <c r="E74" s="29" t="n">
        <f aca="false">D74-C74</f>
        <v>0</v>
      </c>
      <c r="F74" s="4" t="str">
        <f aca="false">IF(ABS(E74)&lt;=G74,"PASS","FAIL")</f>
        <v>PASS</v>
      </c>
      <c r="G74" s="30" t="n">
        <v>1E-008</v>
      </c>
    </row>
    <row r="75" customFormat="false" ht="15" hidden="false" customHeight="false" outlineLevel="0" collapsed="false">
      <c r="B75" s="3" t="s">
        <v>188</v>
      </c>
      <c r="C75" s="13" t="n">
        <v>1</v>
      </c>
      <c r="D75" s="28" t="n">
        <f aca="false">ROUND(Bridge!E11,0)</f>
        <v>1</v>
      </c>
      <c r="E75" s="29" t="n">
        <f aca="false">D75-C75</f>
        <v>0</v>
      </c>
      <c r="F75" s="4" t="str">
        <f aca="false">IF(ABS(E75)&lt;=G75,"PASS","FAIL")</f>
        <v>PASS</v>
      </c>
      <c r="G75" s="30" t="n">
        <v>1E-008</v>
      </c>
    </row>
    <row r="76" customFormat="false" ht="15" hidden="false" customHeight="false" outlineLevel="0" collapsed="false">
      <c r="B76" s="3" t="s">
        <v>103</v>
      </c>
      <c r="C76" s="31" t="n">
        <v>0.038</v>
      </c>
      <c r="D76" s="32" t="n">
        <f aca="false">ROUND(Bridge!E13,3)</f>
        <v>0.038</v>
      </c>
      <c r="E76" s="29" t="n">
        <f aca="false">D76-C76</f>
        <v>0</v>
      </c>
      <c r="F76" s="4" t="str">
        <f aca="false">IF(ABS(E76)&lt;=G76,"PASS","FAIL")</f>
        <v>PASS</v>
      </c>
      <c r="G76" s="30" t="n">
        <v>1E-008</v>
      </c>
    </row>
    <row r="77" customFormat="false" ht="15" hidden="false" customHeight="false" outlineLevel="0" collapsed="false">
      <c r="B77" s="3" t="s">
        <v>104</v>
      </c>
      <c r="C77" s="13" t="n">
        <v>1319588</v>
      </c>
      <c r="D77" s="28" t="n">
        <f aca="false">ROUND(Bridge!E14,0)</f>
        <v>1319588</v>
      </c>
      <c r="E77" s="29" t="n">
        <f aca="false">D77-C77</f>
        <v>0</v>
      </c>
      <c r="F77" s="4" t="str">
        <f aca="false">IF(ABS(E77)&lt;=G77,"PASS","FAIL")</f>
        <v>PASS</v>
      </c>
      <c r="G77" s="30" t="n">
        <v>1E-008</v>
      </c>
    </row>
    <row r="78" customFormat="false" ht="15" hidden="false" customHeight="false" outlineLevel="0" collapsed="false">
      <c r="B78" s="3" t="s">
        <v>105</v>
      </c>
      <c r="C78" s="13" t="n">
        <v>791753</v>
      </c>
      <c r="D78" s="28" t="n">
        <f aca="false">ROUND(Bridge!E15,0)</f>
        <v>791753</v>
      </c>
      <c r="E78" s="29" t="n">
        <f aca="false">D78-C78</f>
        <v>0</v>
      </c>
      <c r="F78" s="4" t="str">
        <f aca="false">IF(ABS(E78)&lt;=G78,"PASS","FAIL")</f>
        <v>PASS</v>
      </c>
      <c r="G78" s="30" t="n">
        <v>1E-008</v>
      </c>
    </row>
    <row r="79" customFormat="false" ht="15" hidden="false" customHeight="false" outlineLevel="0" collapsed="false">
      <c r="B79" s="3" t="s">
        <v>107</v>
      </c>
      <c r="C79" s="31" t="n">
        <v>0.157</v>
      </c>
      <c r="D79" s="32" t="n">
        <f aca="false">ROUND(Bridge!E17,3)</f>
        <v>0.157</v>
      </c>
      <c r="E79" s="29" t="n">
        <f aca="false">D79-C79</f>
        <v>0</v>
      </c>
      <c r="F79" s="4" t="str">
        <f aca="false">IF(ABS(E79)&lt;=G79,"PASS","FAIL")</f>
        <v>PASS</v>
      </c>
      <c r="G79" s="30" t="n">
        <v>1E-008</v>
      </c>
    </row>
    <row r="80" customFormat="false" ht="15" hidden="false" customHeight="false" outlineLevel="0" collapsed="false">
      <c r="B80" s="3" t="s">
        <v>146</v>
      </c>
      <c r="C80" s="13" t="n">
        <v>830683</v>
      </c>
      <c r="D80" s="28" t="n">
        <f aca="false">ROUND(Bridge!E59,0)</f>
        <v>830683</v>
      </c>
      <c r="E80" s="29" t="n">
        <f aca="false">D80-C80</f>
        <v>0</v>
      </c>
      <c r="F80" s="4" t="str">
        <f aca="false">IF(ABS(E80)&lt;=G80,"PASS","FAIL")</f>
        <v>PASS</v>
      </c>
      <c r="G80" s="30" t="n">
        <v>1E-008</v>
      </c>
    </row>
    <row r="81" customFormat="false" ht="15" hidden="false" customHeight="false" outlineLevel="0" collapsed="false">
      <c r="B81" s="2" t="s">
        <v>212</v>
      </c>
    </row>
    <row r="82" customFormat="false" ht="15" hidden="false" customHeight="false" outlineLevel="0" collapsed="false">
      <c r="B82" s="3" t="s">
        <v>191</v>
      </c>
      <c r="C82" s="13" t="n">
        <v>10421</v>
      </c>
      <c r="D82" s="28" t="n">
        <f aca="false">ROUND(Bridge!E20,0)</f>
        <v>10421</v>
      </c>
      <c r="E82" s="29" t="n">
        <f aca="false">D82-C82</f>
        <v>0</v>
      </c>
      <c r="F82" s="4" t="str">
        <f aca="false">IF(ABS(E82)&lt;=G82,"PASS","FAIL")</f>
        <v>PASS</v>
      </c>
      <c r="G82" s="30" t="n">
        <v>1E-008</v>
      </c>
    </row>
    <row r="83" customFormat="false" ht="15" hidden="false" customHeight="false" outlineLevel="0" collapsed="false">
      <c r="B83" s="3" t="s">
        <v>40</v>
      </c>
      <c r="C83" s="13" t="n">
        <v>33000</v>
      </c>
      <c r="D83" s="28" t="n">
        <f aca="false">ROUND(Bridge!E21,0)</f>
        <v>33000</v>
      </c>
      <c r="E83" s="29" t="n">
        <f aca="false">D83-C83</f>
        <v>0</v>
      </c>
      <c r="F83" s="4" t="str">
        <f aca="false">IF(ABS(E83)&lt;=G83,"PASS","FAIL")</f>
        <v>PASS</v>
      </c>
      <c r="G83" s="30" t="n">
        <v>1E-008</v>
      </c>
    </row>
    <row r="84" customFormat="false" ht="15" hidden="false" customHeight="false" outlineLevel="0" collapsed="false">
      <c r="B84" s="3" t="s">
        <v>192</v>
      </c>
      <c r="C84" s="13" t="n">
        <v>742000</v>
      </c>
      <c r="D84" s="28" t="n">
        <f aca="false">ROUND(Bridge!E22,0)</f>
        <v>742000</v>
      </c>
      <c r="E84" s="29" t="n">
        <f aca="false">D84-C84</f>
        <v>0</v>
      </c>
      <c r="F84" s="4" t="str">
        <f aca="false">IF(ABS(E84)&lt;=G84,"PASS","FAIL")</f>
        <v>PASS</v>
      </c>
      <c r="G84" s="30" t="n">
        <v>1E-008</v>
      </c>
    </row>
    <row r="85" customFormat="false" ht="15" hidden="false" customHeight="false" outlineLevel="0" collapsed="false">
      <c r="B85" s="3" t="s">
        <v>193</v>
      </c>
      <c r="C85" s="13" t="n">
        <v>45262</v>
      </c>
      <c r="D85" s="28" t="n">
        <f aca="false">ROUND(Bridge!E23,0)</f>
        <v>45262</v>
      </c>
      <c r="E85" s="29" t="n">
        <f aca="false">D85-C85</f>
        <v>0</v>
      </c>
      <c r="F85" s="4" t="str">
        <f aca="false">IF(ABS(E85)&lt;=G85,"PASS","FAIL")</f>
        <v>PASS</v>
      </c>
      <c r="G85" s="30" t="n">
        <v>1E-008</v>
      </c>
    </row>
    <row r="86" customFormat="false" ht="15" hidden="false" customHeight="false" outlineLevel="0" collapsed="false">
      <c r="B86" s="3" t="s">
        <v>194</v>
      </c>
      <c r="C86" s="13" t="n">
        <v>122771</v>
      </c>
      <c r="D86" s="28" t="n">
        <f aca="false">ROUND(Bridge!E24,0)</f>
        <v>122771</v>
      </c>
      <c r="E86" s="29" t="n">
        <f aca="false">D86-C86</f>
        <v>0</v>
      </c>
      <c r="F86" s="4" t="str">
        <f aca="false">IF(ABS(E86)&lt;=G86,"PASS","FAIL")</f>
        <v>PASS</v>
      </c>
      <c r="G86" s="30" t="n">
        <v>1E-008</v>
      </c>
    </row>
    <row r="87" customFormat="false" ht="15" hidden="false" customHeight="false" outlineLevel="0" collapsed="false">
      <c r="B87" s="3" t="s">
        <v>195</v>
      </c>
      <c r="C87" s="13" t="n">
        <v>48255</v>
      </c>
      <c r="D87" s="28" t="n">
        <f aca="false">ROUND(Bridge!E25,0)</f>
        <v>48255</v>
      </c>
      <c r="E87" s="29" t="n">
        <f aca="false">D87-C87</f>
        <v>0</v>
      </c>
      <c r="F87" s="4" t="str">
        <f aca="false">IF(ABS(E87)&lt;=G87,"PASS","FAIL")</f>
        <v>PASS</v>
      </c>
      <c r="G87" s="30" t="n">
        <v>1E-008</v>
      </c>
    </row>
    <row r="88" customFormat="false" ht="15" hidden="false" customHeight="false" outlineLevel="0" collapsed="false">
      <c r="B88" s="3" t="s">
        <v>196</v>
      </c>
      <c r="C88" s="13" t="n">
        <v>310000</v>
      </c>
      <c r="D88" s="28" t="n">
        <f aca="false">ROUND(Bridge!E26,0)</f>
        <v>310000</v>
      </c>
      <c r="E88" s="29" t="n">
        <f aca="false">D88-C88</f>
        <v>0</v>
      </c>
      <c r="F88" s="4" t="str">
        <f aca="false">IF(ABS(E88)&lt;=G88,"PASS","FAIL")</f>
        <v>PASS</v>
      </c>
      <c r="G88" s="30" t="n">
        <v>1E-008</v>
      </c>
    </row>
    <row r="89" customFormat="false" ht="15" hidden="false" customHeight="false" outlineLevel="0" collapsed="false">
      <c r="B89" s="3" t="s">
        <v>197</v>
      </c>
      <c r="C89" s="13" t="n">
        <v>31167</v>
      </c>
      <c r="D89" s="28" t="n">
        <f aca="false">ROUND(Bridge!E27,0)</f>
        <v>31167</v>
      </c>
      <c r="E89" s="29" t="n">
        <f aca="false">D89-C89</f>
        <v>0</v>
      </c>
      <c r="F89" s="4" t="str">
        <f aca="false">IF(ABS(E89)&lt;=G89,"PASS","FAIL")</f>
        <v>PASS</v>
      </c>
      <c r="G89" s="30" t="n">
        <v>1E-008</v>
      </c>
    </row>
    <row r="90" customFormat="false" ht="15" hidden="false" customHeight="false" outlineLevel="0" collapsed="false">
      <c r="B90" s="3" t="s">
        <v>198</v>
      </c>
      <c r="C90" s="13" t="n">
        <v>-96000</v>
      </c>
      <c r="D90" s="28" t="n">
        <f aca="false">ROUND(Bridge!E28,0)</f>
        <v>-96000</v>
      </c>
      <c r="E90" s="29" t="n">
        <f aca="false">D90-C90</f>
        <v>0</v>
      </c>
      <c r="F90" s="4" t="str">
        <f aca="false">IF(ABS(E90)&lt;=G90,"PASS","FAIL")</f>
        <v>PASS</v>
      </c>
      <c r="G90" s="30" t="n">
        <v>1E-008</v>
      </c>
    </row>
    <row r="91" customFormat="false" ht="15" hidden="false" customHeight="false" outlineLevel="0" collapsed="false">
      <c r="B91" s="3" t="s">
        <v>199</v>
      </c>
      <c r="C91" s="13" t="n">
        <v>-14500</v>
      </c>
      <c r="D91" s="28" t="n">
        <f aca="false">ROUND(Bridge!E29,0)</f>
        <v>-14500</v>
      </c>
      <c r="E91" s="29" t="n">
        <f aca="false">D91-C91</f>
        <v>0</v>
      </c>
      <c r="F91" s="4" t="str">
        <f aca="false">IF(ABS(E91)&lt;=G91,"PASS","FAIL")</f>
        <v>PASS</v>
      </c>
      <c r="G91" s="30" t="n">
        <v>1E-008</v>
      </c>
    </row>
    <row r="92" customFormat="false" ht="15" hidden="false" customHeight="false" outlineLevel="0" collapsed="false">
      <c r="B92" s="3" t="s">
        <v>123</v>
      </c>
      <c r="C92" s="13" t="n">
        <v>-91052</v>
      </c>
      <c r="D92" s="28" t="n">
        <f aca="false">ROUND(Bridge!E30,0)</f>
        <v>-91052</v>
      </c>
      <c r="E92" s="29" t="n">
        <f aca="false">D92-C92</f>
        <v>0</v>
      </c>
      <c r="F92" s="4" t="str">
        <f aca="false">IF(ABS(E92)&lt;=G92,"PASS","FAIL")</f>
        <v>PASS</v>
      </c>
      <c r="G92" s="30" t="n">
        <v>1E-008</v>
      </c>
    </row>
    <row r="93" customFormat="false" ht="15" hidden="false" customHeight="false" outlineLevel="0" collapsed="false">
      <c r="B93" s="3" t="s">
        <v>124</v>
      </c>
      <c r="C93" s="13" t="n">
        <v>1141324</v>
      </c>
      <c r="D93" s="28" t="n">
        <f aca="false">ROUND(Bridge!E32,0)</f>
        <v>1141324</v>
      </c>
      <c r="E93" s="29" t="n">
        <f aca="false">D93-C93</f>
        <v>0</v>
      </c>
      <c r="F93" s="4" t="str">
        <f aca="false">IF(ABS(E93)&lt;=G93,"PASS","FAIL")</f>
        <v>PASS</v>
      </c>
      <c r="G93" s="30" t="n">
        <v>1E-008</v>
      </c>
    </row>
    <row r="94" customFormat="false" ht="15" hidden="false" customHeight="false" outlineLevel="0" collapsed="false">
      <c r="B94" s="2" t="s">
        <v>213</v>
      </c>
    </row>
    <row r="95" customFormat="false" ht="15" hidden="false" customHeight="false" outlineLevel="0" collapsed="false">
      <c r="B95" s="3" t="s">
        <v>201</v>
      </c>
      <c r="C95" s="13" t="n">
        <v>1052000</v>
      </c>
      <c r="D95" s="28" t="n">
        <f aca="false">ROUND(Bridge!E35,0)</f>
        <v>1052000</v>
      </c>
      <c r="E95" s="29" t="n">
        <f aca="false">D95-C95</f>
        <v>0</v>
      </c>
      <c r="F95" s="4" t="str">
        <f aca="false">IF(ABS(E95)&lt;=G95,"PASS","FAIL")</f>
        <v>PASS</v>
      </c>
      <c r="G95" s="30" t="n">
        <v>1E-008</v>
      </c>
    </row>
    <row r="96" customFormat="false" ht="15" hidden="false" customHeight="false" outlineLevel="0" collapsed="false">
      <c r="B96" s="3" t="s">
        <v>202</v>
      </c>
      <c r="C96" s="13" t="n">
        <v>290876</v>
      </c>
      <c r="D96" s="28" t="n">
        <f aca="false">ROUND(Bridge!E36,0)</f>
        <v>290876</v>
      </c>
      <c r="E96" s="29" t="n">
        <f aca="false">D96-C96</f>
        <v>0</v>
      </c>
      <c r="F96" s="4" t="str">
        <f aca="false">IF(ABS(E96)&lt;=G96,"PASS","FAIL")</f>
        <v>PASS</v>
      </c>
      <c r="G96" s="30" t="n">
        <v>1E-008</v>
      </c>
    </row>
    <row r="97" customFormat="false" ht="15" hidden="false" customHeight="false" outlineLevel="0" collapsed="false">
      <c r="B97" s="3" t="s">
        <v>203</v>
      </c>
      <c r="C97" s="13" t="n">
        <v>201552</v>
      </c>
      <c r="D97" s="28" t="n">
        <f aca="false">ROUND(Bridge!E37,0)</f>
        <v>201552</v>
      </c>
      <c r="E97" s="29" t="n">
        <f aca="false">D97-C97</f>
        <v>0</v>
      </c>
      <c r="F97" s="4" t="str">
        <f aca="false">IF(ABS(E97)&lt;=G97,"PASS","FAIL")</f>
        <v>PASS</v>
      </c>
      <c r="G97" s="30" t="n">
        <v>1E-008</v>
      </c>
    </row>
    <row r="98" customFormat="false" ht="15" hidden="false" customHeight="false" outlineLevel="0" collapsed="false">
      <c r="B98" s="3" t="s">
        <v>204</v>
      </c>
      <c r="C98" s="13" t="n">
        <v>242621</v>
      </c>
      <c r="D98" s="28" t="n">
        <f aca="false">ROUND(Bridge!E41,0)</f>
        <v>242621</v>
      </c>
      <c r="E98" s="29" t="n">
        <f aca="false">D98-C98</f>
        <v>0</v>
      </c>
      <c r="F98" s="4" t="str">
        <f aca="false">IF(ABS(E98)&lt;=G98,"PASS","FAIL")</f>
        <v>PASS</v>
      </c>
      <c r="G98" s="30" t="n">
        <v>1E-008</v>
      </c>
    </row>
    <row r="99" customFormat="false" ht="15" hidden="false" customHeight="false" outlineLevel="0" collapsed="false">
      <c r="B99" s="3" t="s">
        <v>205</v>
      </c>
      <c r="C99" s="31" t="n">
        <v>0.834</v>
      </c>
      <c r="D99" s="32" t="n">
        <f aca="false">ROUND(Bridge!E42,3)</f>
        <v>0.834</v>
      </c>
      <c r="E99" s="29" t="n">
        <f aca="false">D99-C99</f>
        <v>0</v>
      </c>
      <c r="F99" s="4" t="str">
        <f aca="false">IF(ABS(E99)&lt;=G99,"PASS","FAIL")</f>
        <v>PASS</v>
      </c>
      <c r="G99" s="30" t="n">
        <v>1E-008</v>
      </c>
    </row>
    <row r="100" customFormat="false" ht="15" hidden="false" customHeight="false" outlineLevel="0" collapsed="false">
      <c r="B100" s="3" t="s">
        <v>206</v>
      </c>
      <c r="C100" s="13" t="n">
        <v>137069</v>
      </c>
      <c r="D100" s="28" t="n">
        <f aca="false">ROUND(Bridge!E43,0)</f>
        <v>137069</v>
      </c>
      <c r="E100" s="29" t="n">
        <f aca="false">D100-C100</f>
        <v>0</v>
      </c>
      <c r="F100" s="4" t="str">
        <f aca="false">IF(ABS(E100)&lt;=G100,"PASS","FAIL")</f>
        <v>PASS</v>
      </c>
      <c r="G100" s="30" t="n">
        <v>1E-008</v>
      </c>
    </row>
    <row r="101" customFormat="false" ht="15" hidden="false" customHeight="false" outlineLevel="0" collapsed="false">
      <c r="B101" s="3" t="s">
        <v>207</v>
      </c>
      <c r="C101" s="31" t="n">
        <v>0.12</v>
      </c>
      <c r="D101" s="32" t="n">
        <f aca="false">ROUND(Bridge!E44,3)</f>
        <v>0.12</v>
      </c>
      <c r="E101" s="29" t="n">
        <f aca="false">D101-C101</f>
        <v>0</v>
      </c>
      <c r="F101" s="4" t="str">
        <f aca="false">IF(ABS(E101)&lt;=G101,"PASS","FAIL")</f>
        <v>PASS</v>
      </c>
      <c r="G101" s="30" t="n">
        <v>1E-008</v>
      </c>
    </row>
    <row r="102" customFormat="false" ht="15" hidden="false" customHeight="false" outlineLevel="0" collapsed="false">
      <c r="B102" s="3" t="s">
        <v>208</v>
      </c>
      <c r="C102" s="13" t="n">
        <v>1004255</v>
      </c>
      <c r="D102" s="28" t="n">
        <f aca="false">ROUND(Bridge!E45,0)</f>
        <v>1004255</v>
      </c>
      <c r="E102" s="29" t="n">
        <f aca="false">D102-C102</f>
        <v>0</v>
      </c>
      <c r="F102" s="4" t="str">
        <f aca="false">IF(ABS(E102)&lt;=G102,"PASS","FAIL")</f>
        <v>PASS</v>
      </c>
      <c r="G102" s="30" t="n">
        <v>1E-008</v>
      </c>
    </row>
    <row r="103" customFormat="false" ht="15" hidden="false" customHeight="false" outlineLevel="0" collapsed="false">
      <c r="B103" s="3" t="s">
        <v>138</v>
      </c>
      <c r="C103" s="13" t="n">
        <v>27533075</v>
      </c>
      <c r="D103" s="28" t="n">
        <f aca="false">ROUND(Bridge!E50,0)</f>
        <v>27533075</v>
      </c>
      <c r="E103" s="29" t="n">
        <f aca="false">D103-C103</f>
        <v>0</v>
      </c>
      <c r="F103" s="4" t="str">
        <f aca="false">IF(ABS(E103)&lt;=G103,"PASS","FAIL")</f>
        <v>PASS</v>
      </c>
      <c r="G103" s="30" t="n">
        <v>1E-008</v>
      </c>
    </row>
    <row r="104" customFormat="false" ht="15" hidden="false" customHeight="false" outlineLevel="0" collapsed="false">
      <c r="B104" s="3" t="s">
        <v>139</v>
      </c>
      <c r="C104" s="31" t="n">
        <v>0.043</v>
      </c>
      <c r="D104" s="32" t="n">
        <f aca="false">ROUND(Bridge!E51,3)</f>
        <v>0.043</v>
      </c>
      <c r="E104" s="29" t="n">
        <f aca="false">D104-C104</f>
        <v>0</v>
      </c>
      <c r="F104" s="4" t="str">
        <f aca="false">IF(ABS(E104)&lt;=G104,"PASS","FAIL")</f>
        <v>PASS</v>
      </c>
      <c r="G104" s="30" t="n">
        <v>1E-008</v>
      </c>
    </row>
    <row r="105" customFormat="false" ht="15" hidden="false" customHeight="false" outlineLevel="0" collapsed="false">
      <c r="B105" s="3" t="s">
        <v>140</v>
      </c>
      <c r="C105" s="13" t="n">
        <v>286803</v>
      </c>
      <c r="D105" s="28" t="n">
        <f aca="false">ROUND(Bridge!E52,0)</f>
        <v>286803</v>
      </c>
      <c r="E105" s="29" t="n">
        <f aca="false">D105-C105</f>
        <v>0</v>
      </c>
      <c r="F105" s="4" t="str">
        <f aca="false">IF(ABS(E105)&lt;=G105,"PASS","FAIL")</f>
        <v>PASS</v>
      </c>
      <c r="G105" s="30" t="n">
        <v>1E-008</v>
      </c>
    </row>
    <row r="106" customFormat="false" ht="15" hidden="false" customHeight="false" outlineLevel="0" collapsed="false">
      <c r="B106" s="3" t="s">
        <v>141</v>
      </c>
      <c r="C106" s="13" t="n">
        <v>3187</v>
      </c>
      <c r="D106" s="28" t="n">
        <f aca="false">ROUND(Bridge!E53,0)</f>
        <v>3187</v>
      </c>
      <c r="E106" s="29" t="n">
        <f aca="false">D106-C106</f>
        <v>0</v>
      </c>
      <c r="F106" s="4" t="str">
        <f aca="false">IF(ABS(E106)&lt;=G106,"PASS","FAIL")</f>
        <v>PASS</v>
      </c>
      <c r="G106" s="30" t="n">
        <v>1E-008</v>
      </c>
    </row>
    <row r="107" customFormat="false" ht="15" hidden="false" customHeight="false" outlineLevel="0" collapsed="false">
      <c r="B107" s="3" t="s">
        <v>210</v>
      </c>
      <c r="C107" s="13" t="n">
        <v>72171</v>
      </c>
      <c r="D107" s="28" t="n">
        <f aca="false">ROUND(Bridge!E56,0)</f>
        <v>72171</v>
      </c>
      <c r="E107" s="29" t="n">
        <f aca="false">D107-C107</f>
        <v>0</v>
      </c>
      <c r="F107" s="4" t="str">
        <f aca="false">IF(ABS(E107)&lt;=G107,"PASS","FAIL")</f>
        <v>PASS</v>
      </c>
      <c r="G107" s="30" t="n">
        <v>1E-008</v>
      </c>
    </row>
    <row r="108" customFormat="false" ht="15" hidden="false" customHeight="false" outlineLevel="0" collapsed="false">
      <c r="B108" s="2" t="s">
        <v>214</v>
      </c>
    </row>
    <row r="109" customFormat="false" ht="15" hidden="false" customHeight="false" outlineLevel="0" collapsed="false">
      <c r="B109" s="3" t="s">
        <v>90</v>
      </c>
      <c r="C109" s="13" t="n">
        <v>90648</v>
      </c>
      <c r="D109" s="28" t="n">
        <f aca="false">ROUND(Comparison!C16,0)</f>
        <v>90648</v>
      </c>
      <c r="E109" s="29" t="n">
        <f aca="false">D109-C109</f>
        <v>0</v>
      </c>
      <c r="F109" s="4" t="str">
        <f aca="false">IF(ABS(E109)&lt;=G109,"PASS","FAIL")</f>
        <v>PASS</v>
      </c>
      <c r="G109" s="30" t="n">
        <v>1E-008</v>
      </c>
    </row>
    <row r="110" customFormat="false" ht="15" hidden="false" customHeight="false" outlineLevel="0" collapsed="false">
      <c r="B110" s="3" t="s">
        <v>215</v>
      </c>
      <c r="C110" s="13" t="n">
        <v>1620289</v>
      </c>
      <c r="D110" s="28" t="n">
        <f aca="false">ROUND(Comparison!C17,0)</f>
        <v>1620289</v>
      </c>
      <c r="E110" s="29" t="n">
        <f aca="false">D110-C110</f>
        <v>0</v>
      </c>
      <c r="F110" s="4" t="str">
        <f aca="false">IF(ABS(E110)&lt;=G110,"PASS","FAIL")</f>
        <v>PASS</v>
      </c>
      <c r="G110" s="30" t="n">
        <v>1E-008</v>
      </c>
    </row>
    <row r="111" customFormat="false" ht="15" hidden="false" customHeight="false" outlineLevel="0" collapsed="false">
      <c r="B111" s="3" t="s">
        <v>155</v>
      </c>
      <c r="C111" s="17" t="n">
        <v>17.9</v>
      </c>
      <c r="D111" s="33" t="n">
        <f aca="false">ROUND(Comparison!C18,1)</f>
        <v>17.9</v>
      </c>
      <c r="E111" s="29" t="n">
        <f aca="false">D111-C111</f>
        <v>0</v>
      </c>
      <c r="F111" s="4" t="str">
        <f aca="false">IF(ABS(E111)&lt;=G111,"PASS","FAIL")</f>
        <v>PASS</v>
      </c>
      <c r="G111" s="30" t="n">
        <v>1E-008</v>
      </c>
    </row>
    <row r="112" customFormat="false" ht="15" hidden="false" customHeight="false" outlineLevel="0" collapsed="false">
      <c r="B112" s="2" t="s">
        <v>216</v>
      </c>
    </row>
    <row r="113" customFormat="false" ht="15" hidden="false" customHeight="false" outlineLevel="0" collapsed="false">
      <c r="B113" s="3" t="s">
        <v>217</v>
      </c>
      <c r="C113" s="35" t="n">
        <v>302.82</v>
      </c>
      <c r="D113" s="20" t="n">
        <f aca="false">ROUND(Comparison!C44,2)</f>
        <v>302.82</v>
      </c>
      <c r="E113" s="35" t="n">
        <f aca="false">D113-C113</f>
        <v>0</v>
      </c>
      <c r="F113" s="4" t="str">
        <f aca="false">IF(ABS(E113)&lt;=G113,"PASS","FAIL")</f>
        <v>PASS</v>
      </c>
      <c r="G113" s="30" t="n">
        <v>1E-008</v>
      </c>
    </row>
    <row r="114" customFormat="false" ht="15" hidden="false" customHeight="false" outlineLevel="0" collapsed="false">
      <c r="B114" s="3" t="s">
        <v>218</v>
      </c>
      <c r="C114" s="36" t="n">
        <v>2.02</v>
      </c>
      <c r="D114" s="37" t="n">
        <f aca="false">ROUND(Comparison!C45,2)</f>
        <v>2.02</v>
      </c>
      <c r="E114" s="36" t="n">
        <f aca="false">D114-C114</f>
        <v>0</v>
      </c>
      <c r="F114" s="4" t="str">
        <f aca="false">IF(ABS(E114)&lt;=G114,"PASS","FAIL")</f>
        <v>PASS</v>
      </c>
      <c r="G114" s="30" t="n">
        <v>1E-008</v>
      </c>
    </row>
    <row r="115" customFormat="false" ht="15" hidden="false" customHeight="false" outlineLevel="0" collapsed="false">
      <c r="B115" s="3" t="s">
        <v>219</v>
      </c>
      <c r="C115" s="13" t="n">
        <v>29943</v>
      </c>
      <c r="D115" s="28" t="n">
        <f aca="false">ROUND(Comparison!C46,0)</f>
        <v>29943</v>
      </c>
      <c r="E115" s="13" t="n">
        <f aca="false">D115-C115</f>
        <v>0</v>
      </c>
      <c r="F115" s="4" t="str">
        <f aca="false">IF(ABS(E115)&lt;=G115,"PASS","FAIL")</f>
        <v>PASS</v>
      </c>
      <c r="G115" s="30" t="n">
        <v>1E-008</v>
      </c>
    </row>
    <row r="116" customFormat="false" ht="15" hidden="false" customHeight="false" outlineLevel="0" collapsed="false">
      <c r="B116" s="3" t="s">
        <v>220</v>
      </c>
      <c r="C116" s="38" t="n">
        <v>1</v>
      </c>
      <c r="D116" s="39" t="n">
        <f aca="false">IF(AND(Bridge!E20&gt;0,Bridge!E57&lt;Bridge!E14),1,0)</f>
        <v>1</v>
      </c>
      <c r="E116" s="38" t="n">
        <f aca="false">D116-C116</f>
        <v>0</v>
      </c>
      <c r="F116" s="4" t="str">
        <f aca="false">IF(ABS(E116)&lt;=G116,"PASS","FAIL")</f>
        <v>PASS</v>
      </c>
      <c r="G116" s="30" t="n">
        <v>1E-008</v>
      </c>
    </row>
    <row r="118" customFormat="false" ht="15" hidden="false" customHeight="false" outlineLevel="0" collapsed="false">
      <c r="B118" s="4" t="s">
        <v>221</v>
      </c>
      <c r="C118" s="4" t="n">
        <f aca="false">COUNTIF(F7:F116,"PASS")+COUNTIF(F7:F116,"FAIL")</f>
        <v>99</v>
      </c>
    </row>
    <row r="119" customFormat="false" ht="15" hidden="false" customHeight="false" outlineLevel="0" collapsed="false">
      <c r="B119" s="4" t="s">
        <v>222</v>
      </c>
      <c r="C119" s="4" t="n">
        <f aca="false">COUNTIF(F7:F116,"PASS")</f>
        <v>99</v>
      </c>
    </row>
    <row r="120" customFormat="false" ht="15" hidden="false" customHeight="false" outlineLevel="0" collapsed="false">
      <c r="B120" s="4" t="s">
        <v>223</v>
      </c>
      <c r="C120" s="4" t="n">
        <f aca="false">COUNTIF(F7:F116,"FAIL")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2026-09-10T20:45:38Z</dcterms:created>
  <dc:creator>openpyxl</dc:creator>
  <dc:description/>
  <dc:language>en-US</dc:language>
  <cp:lastModifiedBy/>
  <dcterms:modified xsi:type="dcterms:W3CDTF">2026-09-24T01:41:57Z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