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Appraisal" sheetId="3" state="visible" r:id="rId5"/>
    <sheet name="Headroom" sheetId="4" state="visible" r:id="rId6"/>
    <sheet name="Solve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<sst xmlns="http://schemas.openxmlformats.org/spreadsheetml/2006/main" count="200" uniqueCount="142">
  <si>
    <t xml:space="preserve">Construction Cost Control -- Workbook 2 of 4</t>
  </si>
  <si>
    <t xml:space="preserve">The Appraisal: what the gap does to the developer</t>
  </si>
  <si>
    <t xml:space="preserve">Julian R. Sterling. Companion files: julianrsterling.com/costcontrol</t>
  </si>
  <si>
    <t xml:space="preserve">What this workbook does</t>
  </si>
  <si>
    <t xml:space="preserve">Runs the development appraisal six ways: both cases, at the contract sum and at the final</t>
  </si>
  <si>
    <t xml:space="preserve">account, and the final account again on the pessimistic reading where the facility is stretched</t>
  </si>
  <si>
    <t xml:space="preserve">to cover the overrun instead of the equity being called. Then it solves for the construction</t>
  </si>
  <si>
    <t xml:space="preserve">cost at which the return falls exactly to target, which is the headroom of Chapter 13.</t>
  </si>
  <si>
    <t xml:space="preserve">Chapters 12 and 13 are reproduced here in full.</t>
  </si>
  <si>
    <t xml:space="preserve">The break-even is closed form, not a goal seek</t>
  </si>
  <si>
    <t xml:space="preserve">Because fees are a percentage of construction cost and the facility is held at its sized amount,</t>
  </si>
  <si>
    <t xml:space="preserve">the break-even construction cost solves algebraically. There is no iteration, no Goal Seek and</t>
  </si>
  <si>
    <t xml:space="preserve">no circular reference. The Solve sheet lets you move the target return, the revenue and the land</t>
  </si>
  <si>
    <t xml:space="preserve">and watch the headroom move with them.</t>
  </si>
  <si>
    <t xml:space="preserve">Conventions</t>
  </si>
  <si>
    <t xml:space="preserve">Blue text is an input. A yellow fill marks an assumption that decides the answer.</t>
  </si>
  <si>
    <t xml:space="preserve">Black text is a formula. Green text on the Checks sheet is a link to a computed cell.</t>
  </si>
  <si>
    <t xml:space="preserve">No macros, no external links, no protection, no circular references.</t>
  </si>
  <si>
    <t xml:space="preserve">Revised 24 September 2026</t>
  </si>
  <si>
    <t xml:space="preserve">Solve sheet, row 35: the overrun that halves the return is 2,812,970 on the book's scheme, not 5,345,384; row 36 proves it.</t>
  </si>
  <si>
    <t xml:space="preserve">Pemberton Yard's gap of 2,852,261 is just past it: profit on cost fell from 17.40 to 8.59, more than half, while profit fell 46.6 per cent.</t>
  </si>
  <si>
    <t xml:space="preserve">Appraisal inputs</t>
  </si>
  <si>
    <t xml:space="preserve">Revenue</t>
  </si>
  <si>
    <t xml:space="preserve">Units</t>
  </si>
  <si>
    <t xml:space="preserve">Revenue per unit</t>
  </si>
  <si>
    <t xml:space="preserve">Held flat across both cases and both readings</t>
  </si>
  <si>
    <t xml:space="preserve">Net internal area, m2</t>
  </si>
  <si>
    <t xml:space="preserve">Cost</t>
  </si>
  <si>
    <t xml:space="preserve">Land</t>
  </si>
  <si>
    <t xml:space="preserve">Professional fees, per cent of construction cost</t>
  </si>
  <si>
    <t xml:space="preserve">Fees move WITH construction cost</t>
  </si>
  <si>
    <t xml:space="preserve">Sale costs, per cent of revenue</t>
  </si>
  <si>
    <t xml:space="preserve">Debt</t>
  </si>
  <si>
    <t xml:space="preserve">Loan to cost</t>
  </si>
  <si>
    <t xml:space="preserve">Average drawn share over the period</t>
  </si>
  <si>
    <t xml:space="preserve">Interest rate a year</t>
  </si>
  <si>
    <t xml:space="preserve">Term, years</t>
  </si>
  <si>
    <t xml:space="preserve">Target</t>
  </si>
  <si>
    <t xml:space="preserve">Target profit on cost</t>
  </si>
  <si>
    <t xml:space="preserve">The threshold headroom is measured against</t>
  </si>
  <si>
    <t xml:space="preserve">Construction costs, carried from Workbook 1</t>
  </si>
  <si>
    <t xml:space="preserve">Case A contract sum</t>
  </si>
  <si>
    <t xml:space="preserve">Type the figure Workbook 1 computes if you change its inputs</t>
  </si>
  <si>
    <t xml:space="preserve">Case A final account</t>
  </si>
  <si>
    <t xml:space="preserve">Case B contract sum</t>
  </si>
  <si>
    <t xml:space="preserve">Case B final account</t>
  </si>
  <si>
    <t xml:space="preserve">Case A retention time value (credited against finance)</t>
  </si>
  <si>
    <t xml:space="preserve">Chapter 10: a financing effect, not a line of the account</t>
  </si>
  <si>
    <t xml:space="preserve">Case B retention time value (credited against finance)</t>
  </si>
  <si>
    <t xml:space="preserve">The development appraisal</t>
  </si>
  <si>
    <t xml:space="preserve">Case A / at contract</t>
  </si>
  <si>
    <t xml:space="preserve">Case A / at final account / (facility fixed)</t>
  </si>
  <si>
    <t xml:space="preserve">Case A / at final account / (facility stretched)</t>
  </si>
  <si>
    <t xml:space="preserve">Case B / at contract</t>
  </si>
  <si>
    <t xml:space="preserve">Case B / at final account / (facility fixed)</t>
  </si>
  <si>
    <t xml:space="preserve">Case B / at final account / (facility stretched)</t>
  </si>
  <si>
    <t xml:space="preserve">Working</t>
  </si>
  <si>
    <t xml:space="preserve">Construction cost being appraised</t>
  </si>
  <si>
    <t xml:space="preserve">Construction cost the facility was SIZED on</t>
  </si>
  <si>
    <t xml:space="preserve">Debt base (land + sized cost + fees on it)</t>
  </si>
  <si>
    <t xml:space="preserve">Gross finance charge</t>
  </si>
  <si>
    <t xml:space="preserve">Less the retention time value</t>
  </si>
  <si>
    <t xml:space="preserve">The appraisal</t>
  </si>
  <si>
    <t xml:space="preserve">Construction</t>
  </si>
  <si>
    <t xml:space="preserve">Fees</t>
  </si>
  <si>
    <t xml:space="preserve">Finance, net of the retention credit</t>
  </si>
  <si>
    <t xml:space="preserve">Sale costs</t>
  </si>
  <si>
    <t xml:space="preserve">TOTAL COST</t>
  </si>
  <si>
    <t xml:space="preserve">PROFIT</t>
  </si>
  <si>
    <t xml:space="preserve">PROFIT ON COST</t>
  </si>
  <si>
    <t xml:space="preserve">Meets the target</t>
  </si>
  <si>
    <t xml:space="preserve">What the gap cost</t>
  </si>
  <si>
    <t xml:space="preserve">Profit lost to the gap</t>
  </si>
  <si>
    <t xml:space="preserve">As a share of the profit underwritten</t>
  </si>
  <si>
    <t xml:space="preserve">Revenue per m2 of net internal area</t>
  </si>
  <si>
    <t xml:space="preserve">Gross development value</t>
  </si>
  <si>
    <t xml:space="preserve">How much overrun the appraisal can absorb</t>
  </si>
  <si>
    <t xml:space="preserve">The algebra</t>
  </si>
  <si>
    <t xml:space="preserve">Revenue, land, sale costs and the facility are all held where they are.</t>
  </si>
  <si>
    <t xml:space="preserve">Total cost the target implies</t>
  </si>
  <si>
    <t xml:space="preserve">At the target, revenue equals total cost times one plus the target</t>
  </si>
  <si>
    <t xml:space="preserve">Less land</t>
  </si>
  <si>
    <t xml:space="preserve">Less finance, net of the retention credit</t>
  </si>
  <si>
    <t xml:space="preserve">Held at the amount the facility was sized on</t>
  </si>
  <si>
    <t xml:space="preserve">Less sale costs</t>
  </si>
  <si>
    <t xml:space="preserve">Leaves construction plus fees</t>
  </si>
  <si>
    <t xml:space="preserve">Divided by one plus the fee percentage</t>
  </si>
  <si>
    <t xml:space="preserve">BREAK-EVEN CONSTRUCTION COST</t>
  </si>
  <si>
    <t xml:space="preserve">HEADROOM</t>
  </si>
  <si>
    <t xml:space="preserve">Headroom as a share of the contract sum</t>
  </si>
  <si>
    <t xml:space="preserve">The gap actually ran to</t>
  </si>
  <si>
    <t xml:space="preserve">Which is this many times the headroom</t>
  </si>
  <si>
    <t xml:space="preserve">Proof: run the appraisal at the break-even cost</t>
  </si>
  <si>
    <t xml:space="preserve">Total cost</t>
  </si>
  <si>
    <t xml:space="preserve">Profit</t>
  </si>
  <si>
    <t xml:space="preserve">Profit on cost</t>
  </si>
  <si>
    <t xml:space="preserve">Must equal the target exactly</t>
  </si>
  <si>
    <t xml:space="preserve">Difference from the target</t>
  </si>
  <si>
    <t xml:space="preserve">Solve: your own scheme</t>
  </si>
  <si>
    <t xml:space="preserve">Overtype the blue cells. Nothing else on this sheet is an input.</t>
  </si>
  <si>
    <t xml:space="preserve">Your inputs</t>
  </si>
  <si>
    <t xml:space="preserve">Contract sum</t>
  </si>
  <si>
    <t xml:space="preserve">Average drawn share</t>
  </si>
  <si>
    <t xml:space="preserve">Retention time value credited against finance</t>
  </si>
  <si>
    <t xml:space="preserve">What your appraisal says</t>
  </si>
  <si>
    <t xml:space="preserve">Fees at the contract sum</t>
  </si>
  <si>
    <t xml:space="preserve">Total cost at the contract sum</t>
  </si>
  <si>
    <t xml:space="preserve">Profit at the contract sum</t>
  </si>
  <si>
    <t xml:space="preserve">Profit on cost at the contract sum</t>
  </si>
  <si>
    <t xml:space="preserve">Your headroom</t>
  </si>
  <si>
    <t xml:space="preserve">Break-even construction cost</t>
  </si>
  <si>
    <t xml:space="preserve">Read as</t>
  </si>
  <si>
    <t xml:space="preserve">Gap that would halve the return</t>
  </si>
  <si>
    <t xml:space="preserve">Construction overrun at which profit on cost falls to half of what was underwritten</t>
  </si>
  <si>
    <t xml:space="preserve">Proof: profit on cost with that overrun</t>
  </si>
  <si>
    <t xml:space="preserve">Must be half the profit on cost at the contract sum (row 26). Revised: the first file left out the (1 + half the return) divisor and printed an overrun that takes the return to 1.9 per cent.</t>
  </si>
  <si>
    <t xml:space="preserve">Checks</t>
  </si>
  <si>
    <t xml:space="preserve">Every figure as printed in the book, beside the figure this workbook computes.</t>
  </si>
  <si>
    <t xml:space="preserve">A FAIL means the workbook is wrong, not the book. Money is checked to the pound, because this workbook is fed construction costs rounded to the pound from Workbook 1; percentages are checked exactly.</t>
  </si>
  <si>
    <t xml:space="preserve">Figure</t>
  </si>
  <si>
    <t xml:space="preserve">As printed</t>
  </si>
  <si>
    <t xml:space="preserve">Computed</t>
  </si>
  <si>
    <t xml:space="preserve">Difference</t>
  </si>
  <si>
    <t xml:space="preserve">Verdict</t>
  </si>
  <si>
    <t xml:space="preserve">Tolerance</t>
  </si>
  <si>
    <t xml:space="preserve">Case A at the contract sum</t>
  </si>
  <si>
    <t xml:space="preserve">Case A at the final account</t>
  </si>
  <si>
    <t xml:space="preserve">Share of the profit underwritten</t>
  </si>
  <si>
    <t xml:space="preserve">Profit on cost, facility stretched</t>
  </si>
  <si>
    <t xml:space="preserve">Case B at the contract sum</t>
  </si>
  <si>
    <t xml:space="preserve">Case B at the final account</t>
  </si>
  <si>
    <t xml:space="preserve">Headroom</t>
  </si>
  <si>
    <t xml:space="preserve">Headroom above the Case A contract sum</t>
  </si>
  <si>
    <t xml:space="preserve">The gap ran this many times the headroom</t>
  </si>
  <si>
    <t xml:space="preserve">Proof: profit on cost at the break-even cost</t>
  </si>
  <si>
    <t xml:space="preserve">Solve sheet (revised 24 September 2026)</t>
  </si>
  <si>
    <t xml:space="preserve">Overrun that halves the return (not printed in the book; the first file said 5,345,384)</t>
  </si>
  <si>
    <t xml:space="preserve">Profit on cost at that overrun, less half the underwritten profit on cost</t>
  </si>
  <si>
    <t xml:space="preserve">Pemberton Yard's own gap exceeds it: profit on cost more than halved (1 = yes)</t>
  </si>
  <si>
    <t xml:space="preserve">Checks run</t>
  </si>
  <si>
    <t xml:space="preserve">PASS</t>
  </si>
  <si>
    <t xml:space="preserve">FAIL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</si>
</sst>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"/>
    <numFmt numFmtId="166" formatCode="0.0%"/>
    <numFmt numFmtId="167" formatCode="#,##0.0"/>
    <numFmt numFmtId="168" formatCode="0.00%"/>
    <numFmt numFmtId="169" formatCode="0.0000%"/>
    <numFmt numFmtId="170" formatCode="0.00000000%"/>
    <numFmt numFmtId="171" formatCode="#,##0.0000"/>
    <numFmt numFmtId="172" formatCode="0.00000000"/>
    <numFmt numFmtId="173" formatCode="0.000000"/>
    <numFmt numFmtId="174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83A"/>
      <name val="Calibri"/>
      <family val="0"/>
      <charset val="1"/>
    </font>
    <font>
      <b val="true"/>
      <sz val="11"/>
      <color rgb="FF14283A"/>
      <name val="Calibri"/>
      <family val="0"/>
      <charset val="1"/>
    </font>
    <font>
      <sz val="10"/>
      <name val="Calibri"/>
      <family val="0"/>
      <charset val="1"/>
    </font>
    <font>
      <sz val="10"/>
      <color rgb="FF0000CC"/>
      <name val="Calibri"/>
      <family val="0"/>
      <charset val="1"/>
    </font>
    <font>
      <sz val="9"/>
      <color rgb="FF666666"/>
      <name val="Calibri"/>
      <family val="0"/>
      <charset val="1"/>
    </font>
    <font>
      <b val="true"/>
      <sz val="10"/>
      <name val="Calibri"/>
      <family val="0"/>
      <charset val="1"/>
    </font>
    <font>
      <sz val="10"/>
      <color rgb="FF0066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BBBBB"/>
      </bottom>
      <diagonal/>
    </border>
    <border diagonalUp="false" diagonalDown="false">
      <left/>
      <right/>
      <top style="thin">
        <color rgb="FF3333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428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5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2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2" t="s">
        <v>14</v>
      </c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3" t="s">
        <v>16</v>
      </c>
    </row>
    <row r="23" customFormat="false" ht="15" hidden="false" customHeight="false" outlineLevel="0" collapsed="false">
      <c r="B23" s="3"/>
    </row>
    <row r="24" customFormat="false" ht="15" hidden="false" customHeight="false" outlineLevel="0" collapsed="false">
      <c r="B24" s="3" t="s">
        <v>17</v>
      </c>
    </row>
    <row r="26" customFormat="false" ht="15" hidden="false" customHeight="false" outlineLevel="0" collapsed="false">
      <c r="B26" s="2" t="s">
        <v>18</v>
      </c>
    </row>
    <row r="27" customFormat="false" ht="15" hidden="false" customHeight="false" outlineLevel="0" collapsed="false">
      <c r="B27" s="3" t="s">
        <v>19</v>
      </c>
    </row>
    <row r="28" customFormat="false" ht="15" hidden="false" customHeight="false" outlineLevel="0" collapsed="false">
      <c r="B28" s="3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62"/>
  </cols>
  <sheetData>
    <row r="2" customFormat="false" ht="17.35" hidden="false" customHeight="false" outlineLevel="0" collapsed="false">
      <c r="B2" s="1" t="s">
        <v>21</v>
      </c>
    </row>
    <row r="4" customFormat="false" ht="15" hidden="false" customHeight="false" outlineLevel="0" collapsed="false">
      <c r="B4" s="4" t="s">
        <v>22</v>
      </c>
      <c r="C4" s="5"/>
      <c r="D4" s="5"/>
    </row>
    <row r="5" customFormat="false" ht="15" hidden="false" customHeight="false" outlineLevel="0" collapsed="false">
      <c r="B5" s="3" t="s">
        <v>23</v>
      </c>
      <c r="C5" s="6" t="n">
        <v>96</v>
      </c>
      <c r="D5" s="7"/>
    </row>
    <row r="6" customFormat="false" ht="15" hidden="false" customHeight="false" outlineLevel="0" collapsed="false">
      <c r="B6" s="3" t="s">
        <v>24</v>
      </c>
      <c r="C6" s="8" t="n">
        <v>472000</v>
      </c>
      <c r="D6" s="7" t="s">
        <v>25</v>
      </c>
    </row>
    <row r="7" customFormat="false" ht="15" hidden="false" customHeight="false" outlineLevel="0" collapsed="false">
      <c r="B7" s="3" t="s">
        <v>26</v>
      </c>
      <c r="C7" s="6" t="n">
        <v>7344</v>
      </c>
      <c r="D7" s="7"/>
    </row>
    <row r="9" customFormat="false" ht="15" hidden="false" customHeight="false" outlineLevel="0" collapsed="false">
      <c r="B9" s="4" t="s">
        <v>27</v>
      </c>
      <c r="C9" s="5"/>
      <c r="D9" s="5"/>
    </row>
    <row r="10" customFormat="false" ht="15" hidden="false" customHeight="false" outlineLevel="0" collapsed="false">
      <c r="B10" s="3" t="s">
        <v>28</v>
      </c>
      <c r="C10" s="6" t="n">
        <v>6200000</v>
      </c>
      <c r="D10" s="7"/>
    </row>
    <row r="11" customFormat="false" ht="15" hidden="false" customHeight="false" outlineLevel="0" collapsed="false">
      <c r="B11" s="3" t="s">
        <v>29</v>
      </c>
      <c r="C11" s="9" t="n">
        <v>0.098</v>
      </c>
      <c r="D11" s="7" t="s">
        <v>30</v>
      </c>
    </row>
    <row r="12" customFormat="false" ht="15" hidden="false" customHeight="false" outlineLevel="0" collapsed="false">
      <c r="B12" s="3" t="s">
        <v>31</v>
      </c>
      <c r="C12" s="10" t="n">
        <v>0.022</v>
      </c>
      <c r="D12" s="7"/>
    </row>
    <row r="14" customFormat="false" ht="15" hidden="false" customHeight="false" outlineLevel="0" collapsed="false">
      <c r="B14" s="4" t="s">
        <v>32</v>
      </c>
      <c r="C14" s="5"/>
      <c r="D14" s="5"/>
    </row>
    <row r="15" customFormat="false" ht="15" hidden="false" customHeight="false" outlineLevel="0" collapsed="false">
      <c r="B15" s="3" t="s">
        <v>33</v>
      </c>
      <c r="C15" s="10" t="n">
        <v>0.65</v>
      </c>
      <c r="D15" s="7"/>
    </row>
    <row r="16" customFormat="false" ht="15" hidden="false" customHeight="false" outlineLevel="0" collapsed="false">
      <c r="B16" s="3" t="s">
        <v>34</v>
      </c>
      <c r="C16" s="9" t="n">
        <v>0.6</v>
      </c>
      <c r="D16" s="7"/>
    </row>
    <row r="17" customFormat="false" ht="15" hidden="false" customHeight="false" outlineLevel="0" collapsed="false">
      <c r="B17" s="3" t="s">
        <v>35</v>
      </c>
      <c r="C17" s="10" t="n">
        <v>0.079</v>
      </c>
      <c r="D17" s="7"/>
    </row>
    <row r="18" customFormat="false" ht="15" hidden="false" customHeight="false" outlineLevel="0" collapsed="false">
      <c r="B18" s="3" t="s">
        <v>36</v>
      </c>
      <c r="C18" s="11" t="n">
        <v>2.4</v>
      </c>
      <c r="D18" s="7"/>
    </row>
    <row r="20" customFormat="false" ht="15" hidden="false" customHeight="false" outlineLevel="0" collapsed="false">
      <c r="B20" s="4" t="s">
        <v>37</v>
      </c>
      <c r="C20" s="5"/>
      <c r="D20" s="5"/>
    </row>
    <row r="21" customFormat="false" ht="15" hidden="false" customHeight="false" outlineLevel="0" collapsed="false">
      <c r="B21" s="3" t="s">
        <v>38</v>
      </c>
      <c r="C21" s="9" t="n">
        <v>0.15</v>
      </c>
      <c r="D21" s="7" t="s">
        <v>39</v>
      </c>
    </row>
    <row r="23" customFormat="false" ht="15" hidden="false" customHeight="false" outlineLevel="0" collapsed="false">
      <c r="B23" s="4" t="s">
        <v>40</v>
      </c>
      <c r="C23" s="5"/>
      <c r="D23" s="5"/>
    </row>
    <row r="24" customFormat="false" ht="15" hidden="false" customHeight="false" outlineLevel="0" collapsed="false">
      <c r="B24" s="3" t="s">
        <v>41</v>
      </c>
      <c r="C24" s="6" t="n">
        <v>26301102</v>
      </c>
      <c r="D24" s="7" t="s">
        <v>42</v>
      </c>
    </row>
    <row r="25" customFormat="false" ht="15" hidden="false" customHeight="false" outlineLevel="0" collapsed="false">
      <c r="B25" s="3" t="s">
        <v>43</v>
      </c>
      <c r="C25" s="6" t="n">
        <v>29153363</v>
      </c>
      <c r="D25" s="7"/>
    </row>
    <row r="26" customFormat="false" ht="15" hidden="false" customHeight="false" outlineLevel="0" collapsed="false">
      <c r="B26" s="3" t="s">
        <v>44</v>
      </c>
      <c r="C26" s="6" t="n">
        <v>26391750</v>
      </c>
      <c r="D26" s="7"/>
    </row>
    <row r="27" customFormat="false" ht="15" hidden="false" customHeight="false" outlineLevel="0" collapsed="false">
      <c r="B27" s="3" t="s">
        <v>45</v>
      </c>
      <c r="C27" s="6" t="n">
        <v>27533075</v>
      </c>
      <c r="D27" s="7"/>
    </row>
    <row r="28" customFormat="false" ht="15" hidden="false" customHeight="false" outlineLevel="0" collapsed="false">
      <c r="B28" s="3" t="s">
        <v>46</v>
      </c>
      <c r="C28" s="6" t="n">
        <v>71923</v>
      </c>
      <c r="D28" s="7" t="s">
        <v>47</v>
      </c>
    </row>
    <row r="29" customFormat="false" ht="15" hidden="false" customHeight="false" outlineLevel="0" collapsed="false">
      <c r="B29" s="3" t="s">
        <v>48</v>
      </c>
      <c r="C29" s="6" t="n">
        <v>72171</v>
      </c>
      <c r="D29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8" min="3" style="0" width="16"/>
  </cols>
  <sheetData>
    <row r="2" customFormat="false" ht="17.35" hidden="false" customHeight="false" outlineLevel="0" collapsed="false">
      <c r="B2" s="1" t="s">
        <v>49</v>
      </c>
    </row>
    <row r="3" customFormat="false" ht="42" hidden="false" customHeight="true" outlineLevel="0" collapsed="false">
      <c r="C3" s="12" t="s">
        <v>50</v>
      </c>
      <c r="D3" s="12" t="s">
        <v>51</v>
      </c>
      <c r="E3" s="12" t="s">
        <v>52</v>
      </c>
      <c r="F3" s="12" t="s">
        <v>53</v>
      </c>
      <c r="G3" s="12" t="s">
        <v>54</v>
      </c>
      <c r="H3" s="12" t="s">
        <v>55</v>
      </c>
    </row>
    <row r="5" customFormat="false" ht="15" hidden="false" customHeight="false" outlineLevel="0" collapsed="false">
      <c r="B5" s="4" t="s">
        <v>56</v>
      </c>
      <c r="C5" s="5"/>
      <c r="D5" s="5"/>
      <c r="E5" s="5"/>
      <c r="F5" s="5"/>
      <c r="G5" s="5"/>
      <c r="H5" s="5"/>
    </row>
    <row r="6" customFormat="false" ht="15" hidden="false" customHeight="false" outlineLevel="0" collapsed="false">
      <c r="B6" s="3" t="s">
        <v>57</v>
      </c>
      <c r="C6" s="13" t="n">
        <f aca="false">Inputs!$C$24</f>
        <v>26301102</v>
      </c>
      <c r="D6" s="13" t="n">
        <f aca="false">Inputs!$C$25</f>
        <v>29153363</v>
      </c>
      <c r="E6" s="13" t="n">
        <f aca="false">Inputs!$C$25</f>
        <v>29153363</v>
      </c>
      <c r="F6" s="13" t="n">
        <f aca="false">Inputs!$C$26</f>
        <v>26391750</v>
      </c>
      <c r="G6" s="13" t="n">
        <f aca="false">Inputs!$C$27</f>
        <v>27533075</v>
      </c>
      <c r="H6" s="13" t="n">
        <f aca="false">Inputs!$C$27</f>
        <v>27533075</v>
      </c>
    </row>
    <row r="7" customFormat="false" ht="15" hidden="false" customHeight="false" outlineLevel="0" collapsed="false">
      <c r="B7" s="3" t="s">
        <v>58</v>
      </c>
      <c r="C7" s="13" t="n">
        <f aca="false">Inputs!$C$24</f>
        <v>26301102</v>
      </c>
      <c r="D7" s="13" t="n">
        <f aca="false">Inputs!$C$24</f>
        <v>26301102</v>
      </c>
      <c r="E7" s="13" t="n">
        <f aca="false">Inputs!$C$25</f>
        <v>29153363</v>
      </c>
      <c r="F7" s="13" t="n">
        <f aca="false">Inputs!$C$26</f>
        <v>26391750</v>
      </c>
      <c r="G7" s="13" t="n">
        <f aca="false">Inputs!$C$26</f>
        <v>26391750</v>
      </c>
      <c r="H7" s="13" t="n">
        <f aca="false">Inputs!$C$27</f>
        <v>27533075</v>
      </c>
    </row>
    <row r="8" customFormat="false" ht="15" hidden="false" customHeight="false" outlineLevel="0" collapsed="false">
      <c r="B8" s="3" t="s">
        <v>59</v>
      </c>
      <c r="C8" s="13" t="n">
        <f aca="false">Inputs!$C$10+Inputs!$C$24+Inputs!$C$24*Inputs!$C$11</f>
        <v>35078609.996</v>
      </c>
      <c r="D8" s="13" t="n">
        <f aca="false">Inputs!$C$10+Inputs!$C$24+Inputs!$C$24*Inputs!$C$11</f>
        <v>35078609.996</v>
      </c>
      <c r="E8" s="13" t="n">
        <f aca="false">Inputs!$C$10+Inputs!$C$25+Inputs!$C$25*Inputs!$C$11</f>
        <v>38210392.574</v>
      </c>
      <c r="F8" s="13" t="n">
        <f aca="false">Inputs!$C$10+Inputs!$C$26+Inputs!$C$26*Inputs!$C$11</f>
        <v>35178141.5</v>
      </c>
      <c r="G8" s="13" t="n">
        <f aca="false">Inputs!$C$10+Inputs!$C$26+Inputs!$C$26*Inputs!$C$11</f>
        <v>35178141.5</v>
      </c>
      <c r="H8" s="13" t="n">
        <f aca="false">Inputs!$C$10+Inputs!$C$27+Inputs!$C$27*Inputs!$C$11</f>
        <v>36431316.35</v>
      </c>
    </row>
    <row r="9" customFormat="false" ht="15" hidden="false" customHeight="false" outlineLevel="0" collapsed="false">
      <c r="B9" s="3" t="s">
        <v>60</v>
      </c>
      <c r="C9" s="13" t="n">
        <f aca="false">C8*Inputs!$C$15*Inputs!$C$16*Inputs!$C$17*Inputs!$C$18</f>
        <v>2593852.73754422</v>
      </c>
      <c r="D9" s="13" t="n">
        <f aca="false">D8*Inputs!$C$15*Inputs!$C$16*Inputs!$C$17*Inputs!$C$18</f>
        <v>2593852.73754422</v>
      </c>
      <c r="E9" s="13" t="n">
        <f aca="false">E8*Inputs!$C$15*Inputs!$C$16*Inputs!$C$17*Inputs!$C$18</f>
        <v>2825429.26849186</v>
      </c>
      <c r="F9" s="13" t="n">
        <f aca="false">F8*Inputs!$C$15*Inputs!$C$16*Inputs!$C$17*Inputs!$C$18</f>
        <v>2601212.495076</v>
      </c>
      <c r="G9" s="13" t="n">
        <f aca="false">G8*Inputs!$C$15*Inputs!$C$16*Inputs!$C$17*Inputs!$C$18</f>
        <v>2601212.495076</v>
      </c>
      <c r="H9" s="13" t="n">
        <f aca="false">H8*Inputs!$C$15*Inputs!$C$16*Inputs!$C$17*Inputs!$C$18</f>
        <v>2693877.2561844</v>
      </c>
    </row>
    <row r="10" customFormat="false" ht="15" hidden="false" customHeight="false" outlineLevel="0" collapsed="false">
      <c r="B10" s="3" t="s">
        <v>61</v>
      </c>
      <c r="C10" s="13" t="n">
        <f aca="false">-Inputs!$C$28</f>
        <v>-71923</v>
      </c>
      <c r="D10" s="13" t="n">
        <f aca="false">-Inputs!$C$28</f>
        <v>-71923</v>
      </c>
      <c r="E10" s="13" t="n">
        <f aca="false">-Inputs!$C$28</f>
        <v>-71923</v>
      </c>
      <c r="F10" s="13" t="n">
        <f aca="false">-Inputs!$C$29</f>
        <v>-72171</v>
      </c>
      <c r="G10" s="13" t="n">
        <f aca="false">-Inputs!$C$29</f>
        <v>-72171</v>
      </c>
      <c r="H10" s="13" t="n">
        <f aca="false">-Inputs!$C$29</f>
        <v>-72171</v>
      </c>
    </row>
    <row r="12" customFormat="false" ht="15" hidden="false" customHeight="false" outlineLevel="0" collapsed="false">
      <c r="B12" s="4" t="s">
        <v>62</v>
      </c>
      <c r="C12" s="5"/>
      <c r="D12" s="5"/>
      <c r="E12" s="5"/>
      <c r="F12" s="5"/>
      <c r="G12" s="5"/>
      <c r="H12" s="5"/>
    </row>
    <row r="13" customFormat="false" ht="15" hidden="false" customHeight="false" outlineLevel="0" collapsed="false">
      <c r="B13" s="3" t="s">
        <v>63</v>
      </c>
      <c r="C13" s="13" t="n">
        <f aca="false">C6</f>
        <v>26301102</v>
      </c>
      <c r="D13" s="13" t="n">
        <f aca="false">D6</f>
        <v>29153363</v>
      </c>
      <c r="E13" s="13" t="n">
        <f aca="false">E6</f>
        <v>29153363</v>
      </c>
      <c r="F13" s="13" t="n">
        <f aca="false">F6</f>
        <v>26391750</v>
      </c>
      <c r="G13" s="13" t="n">
        <f aca="false">G6</f>
        <v>27533075</v>
      </c>
      <c r="H13" s="13" t="n">
        <f aca="false">H6</f>
        <v>27533075</v>
      </c>
    </row>
    <row r="14" customFormat="false" ht="15" hidden="false" customHeight="false" outlineLevel="0" collapsed="false">
      <c r="B14" s="3" t="s">
        <v>64</v>
      </c>
      <c r="C14" s="13" t="n">
        <f aca="false">C6*Inputs!$C$11</f>
        <v>2577507.996</v>
      </c>
      <c r="D14" s="13" t="n">
        <f aca="false">D6*Inputs!$C$11</f>
        <v>2857029.574</v>
      </c>
      <c r="E14" s="13" t="n">
        <f aca="false">E6*Inputs!$C$11</f>
        <v>2857029.574</v>
      </c>
      <c r="F14" s="13" t="n">
        <f aca="false">F6*Inputs!$C$11</f>
        <v>2586391.5</v>
      </c>
      <c r="G14" s="13" t="n">
        <f aca="false">G6*Inputs!$C$11</f>
        <v>2698241.35</v>
      </c>
      <c r="H14" s="13" t="n">
        <f aca="false">H6*Inputs!$C$11</f>
        <v>2698241.35</v>
      </c>
    </row>
    <row r="15" customFormat="false" ht="15" hidden="false" customHeight="false" outlineLevel="0" collapsed="false">
      <c r="B15" s="3" t="s">
        <v>65</v>
      </c>
      <c r="C15" s="13" t="n">
        <f aca="false">C9+C10</f>
        <v>2521929.73754422</v>
      </c>
      <c r="D15" s="13" t="n">
        <f aca="false">D9+D10</f>
        <v>2521929.73754422</v>
      </c>
      <c r="E15" s="13" t="n">
        <f aca="false">E9+E10</f>
        <v>2753506.26849186</v>
      </c>
      <c r="F15" s="13" t="n">
        <f aca="false">F9+F10</f>
        <v>2529041.495076</v>
      </c>
      <c r="G15" s="13" t="n">
        <f aca="false">G9+G10</f>
        <v>2529041.495076</v>
      </c>
      <c r="H15" s="13" t="n">
        <f aca="false">H9+H10</f>
        <v>2621706.2561844</v>
      </c>
    </row>
    <row r="16" customFormat="false" ht="15" hidden="false" customHeight="false" outlineLevel="0" collapsed="false">
      <c r="B16" s="3" t="s">
        <v>28</v>
      </c>
      <c r="C16" s="13" t="n">
        <f aca="false">Inputs!$C$10</f>
        <v>6200000</v>
      </c>
      <c r="D16" s="13" t="n">
        <f aca="false">Inputs!$C$10</f>
        <v>6200000</v>
      </c>
      <c r="E16" s="13" t="n">
        <f aca="false">Inputs!$C$10</f>
        <v>6200000</v>
      </c>
      <c r="F16" s="13" t="n">
        <f aca="false">Inputs!$C$10</f>
        <v>6200000</v>
      </c>
      <c r="G16" s="13" t="n">
        <f aca="false">Inputs!$C$10</f>
        <v>6200000</v>
      </c>
      <c r="H16" s="13" t="n">
        <f aca="false">Inputs!$C$10</f>
        <v>6200000</v>
      </c>
    </row>
    <row r="17" customFormat="false" ht="15" hidden="false" customHeight="false" outlineLevel="0" collapsed="false">
      <c r="B17" s="3" t="s">
        <v>66</v>
      </c>
      <c r="C17" s="13" t="n">
        <f aca="false">Inputs!$C$5*Inputs!$C$6*Inputs!$C$12</f>
        <v>996864</v>
      </c>
      <c r="D17" s="13" t="n">
        <f aca="false">Inputs!$C$5*Inputs!$C$6*Inputs!$C$12</f>
        <v>996864</v>
      </c>
      <c r="E17" s="13" t="n">
        <f aca="false">Inputs!$C$5*Inputs!$C$6*Inputs!$C$12</f>
        <v>996864</v>
      </c>
      <c r="F17" s="13" t="n">
        <f aca="false">Inputs!$C$5*Inputs!$C$6*Inputs!$C$12</f>
        <v>996864</v>
      </c>
      <c r="G17" s="13" t="n">
        <f aca="false">Inputs!$C$5*Inputs!$C$6*Inputs!$C$12</f>
        <v>996864</v>
      </c>
      <c r="H17" s="13" t="n">
        <f aca="false">Inputs!$C$5*Inputs!$C$6*Inputs!$C$12</f>
        <v>996864</v>
      </c>
    </row>
    <row r="18" customFormat="false" ht="15" hidden="false" customHeight="false" outlineLevel="0" collapsed="false">
      <c r="B18" s="14" t="s">
        <v>67</v>
      </c>
      <c r="C18" s="15" t="n">
        <f aca="false">SUM(C13:C17)</f>
        <v>38597403.7335442</v>
      </c>
      <c r="D18" s="15" t="n">
        <f aca="false">SUM(D13:D17)</f>
        <v>41729186.3115442</v>
      </c>
      <c r="E18" s="15" t="n">
        <f aca="false">SUM(E13:E17)</f>
        <v>41960762.8424919</v>
      </c>
      <c r="F18" s="15" t="n">
        <f aca="false">SUM(F13:F17)</f>
        <v>38704046.995076</v>
      </c>
      <c r="G18" s="15" t="n">
        <f aca="false">SUM(G13:G17)</f>
        <v>39957221.845076</v>
      </c>
      <c r="H18" s="15" t="n">
        <f aca="false">SUM(H13:H17)</f>
        <v>40049886.6061844</v>
      </c>
    </row>
    <row r="19" customFormat="false" ht="15" hidden="false" customHeight="false" outlineLevel="0" collapsed="false">
      <c r="B19" s="3" t="s">
        <v>22</v>
      </c>
      <c r="C19" s="13" t="n">
        <f aca="false">Inputs!$C$5*Inputs!$C$6</f>
        <v>45312000</v>
      </c>
      <c r="D19" s="13" t="n">
        <f aca="false">Inputs!$C$5*Inputs!$C$6</f>
        <v>45312000</v>
      </c>
      <c r="E19" s="13" t="n">
        <f aca="false">Inputs!$C$5*Inputs!$C$6</f>
        <v>45312000</v>
      </c>
      <c r="F19" s="13" t="n">
        <f aca="false">Inputs!$C$5*Inputs!$C$6</f>
        <v>45312000</v>
      </c>
      <c r="G19" s="13" t="n">
        <f aca="false">Inputs!$C$5*Inputs!$C$6</f>
        <v>45312000</v>
      </c>
      <c r="H19" s="13" t="n">
        <f aca="false">Inputs!$C$5*Inputs!$C$6</f>
        <v>45312000</v>
      </c>
    </row>
    <row r="20" customFormat="false" ht="15" hidden="false" customHeight="false" outlineLevel="0" collapsed="false">
      <c r="B20" s="14" t="s">
        <v>68</v>
      </c>
      <c r="C20" s="15" t="n">
        <f aca="false">C19-C18</f>
        <v>6714596.26645578</v>
      </c>
      <c r="D20" s="15" t="n">
        <f aca="false">D19-D18</f>
        <v>3582813.68845578</v>
      </c>
      <c r="E20" s="15" t="n">
        <f aca="false">E19-E18</f>
        <v>3351237.15750814</v>
      </c>
      <c r="F20" s="15" t="n">
        <f aca="false">F19-F18</f>
        <v>6607953.004924</v>
      </c>
      <c r="G20" s="15" t="n">
        <f aca="false">G19-G18</f>
        <v>5354778.154924</v>
      </c>
      <c r="H20" s="15" t="n">
        <f aca="false">H19-H18</f>
        <v>5262113.3938156</v>
      </c>
    </row>
    <row r="21" customFormat="false" ht="15" hidden="false" customHeight="false" outlineLevel="0" collapsed="false">
      <c r="B21" s="16" t="s">
        <v>69</v>
      </c>
      <c r="C21" s="17" t="n">
        <f aca="false">C20/C18</f>
        <v>0.173964972172992</v>
      </c>
      <c r="D21" s="17" t="n">
        <f aca="false">D20/D18</f>
        <v>0.0858586999925422</v>
      </c>
      <c r="E21" s="17" t="n">
        <f aca="false">E20/E18</f>
        <v>0.0798659731256003</v>
      </c>
      <c r="F21" s="17" t="n">
        <f aca="false">F20/F18</f>
        <v>0.170730285795815</v>
      </c>
      <c r="G21" s="17" t="n">
        <f aca="false">G20/G18</f>
        <v>0.134012774353677</v>
      </c>
      <c r="H21" s="17" t="n">
        <f aca="false">H20/H18</f>
        <v>0.131388971098935</v>
      </c>
    </row>
    <row r="22" customFormat="false" ht="15" hidden="false" customHeight="false" outlineLevel="0" collapsed="false">
      <c r="B22" s="3" t="s">
        <v>70</v>
      </c>
      <c r="C22" s="3" t="str">
        <f aca="false">IF(C21&gt;=Inputs!$C$21,"yes","no")</f>
        <v>yes</v>
      </c>
      <c r="D22" s="3" t="str">
        <f aca="false">IF(D21&gt;=Inputs!$C$21,"yes","no")</f>
        <v>no</v>
      </c>
      <c r="E22" s="3" t="str">
        <f aca="false">IF(E21&gt;=Inputs!$C$21,"yes","no")</f>
        <v>no</v>
      </c>
      <c r="F22" s="3" t="str">
        <f aca="false">IF(F21&gt;=Inputs!$C$21,"yes","no")</f>
        <v>yes</v>
      </c>
      <c r="G22" s="3" t="str">
        <f aca="false">IF(G21&gt;=Inputs!$C$21,"yes","no")</f>
        <v>no</v>
      </c>
      <c r="H22" s="3" t="str">
        <f aca="false">IF(H21&gt;=Inputs!$C$21,"yes","no")</f>
        <v>no</v>
      </c>
    </row>
    <row r="24" customFormat="false" ht="15" hidden="false" customHeight="false" outlineLevel="0" collapsed="false">
      <c r="B24" s="4" t="s">
        <v>71</v>
      </c>
      <c r="C24" s="5"/>
      <c r="D24" s="5"/>
      <c r="E24" s="5"/>
      <c r="F24" s="5"/>
      <c r="G24" s="5"/>
      <c r="H24" s="5"/>
    </row>
    <row r="25" customFormat="false" ht="15" hidden="false" customHeight="false" outlineLevel="0" collapsed="false">
      <c r="B25" s="3" t="s">
        <v>72</v>
      </c>
      <c r="D25" s="18" t="n">
        <f aca="false">C20-D20</f>
        <v>3131782.578</v>
      </c>
      <c r="G25" s="18" t="n">
        <f aca="false">F20-G20</f>
        <v>1253174.85</v>
      </c>
    </row>
    <row r="26" customFormat="false" ht="15" hidden="false" customHeight="false" outlineLevel="0" collapsed="false">
      <c r="B26" s="3" t="s">
        <v>73</v>
      </c>
      <c r="D26" s="19" t="n">
        <f aca="false">D25/C20</f>
        <v>0.466414130309741</v>
      </c>
      <c r="G26" s="19" t="n">
        <f aca="false">G25/F20</f>
        <v>0.189646453155188</v>
      </c>
    </row>
    <row r="28" customFormat="false" ht="15" hidden="false" customHeight="false" outlineLevel="0" collapsed="false">
      <c r="B28" s="3" t="s">
        <v>74</v>
      </c>
      <c r="C28" s="13" t="n">
        <f aca="false">Inputs!$C$5*Inputs!$C$6/Inputs!$C$7</f>
        <v>6169.93464052288</v>
      </c>
    </row>
    <row r="29" customFormat="false" ht="15" hidden="false" customHeight="false" outlineLevel="0" collapsed="false">
      <c r="B29" s="3" t="s">
        <v>75</v>
      </c>
      <c r="C29" s="13" t="n">
        <f aca="false">Inputs!$C$5*Inputs!$C$6</f>
        <v>45312000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3" min="3" style="0" width="18"/>
    <col collapsed="false" customWidth="true" hidden="false" outlineLevel="0" max="4" min="4" style="0" width="60"/>
  </cols>
  <sheetData>
    <row r="2" customFormat="false" ht="17.35" hidden="false" customHeight="false" outlineLevel="0" collapsed="false">
      <c r="B2" s="1" t="s">
        <v>76</v>
      </c>
    </row>
    <row r="4" customFormat="false" ht="15" hidden="false" customHeight="false" outlineLevel="0" collapsed="false">
      <c r="B4" s="4" t="s">
        <v>77</v>
      </c>
      <c r="C4" s="5"/>
      <c r="D4" s="5"/>
    </row>
    <row r="5" customFormat="false" ht="15" hidden="false" customHeight="false" outlineLevel="0" collapsed="false">
      <c r="B5" s="3" t="s">
        <v>22</v>
      </c>
      <c r="C5" s="13" t="n">
        <f aca="false">Inputs!$C$5*Inputs!$C$6</f>
        <v>45312000</v>
      </c>
      <c r="D5" s="7" t="s">
        <v>78</v>
      </c>
    </row>
    <row r="6" customFormat="false" ht="15" hidden="false" customHeight="false" outlineLevel="0" collapsed="false">
      <c r="B6" s="3" t="s">
        <v>79</v>
      </c>
      <c r="C6" s="13" t="n">
        <f aca="false">C5/(1+Inputs!$C$21)</f>
        <v>39401739.1304348</v>
      </c>
      <c r="D6" s="7" t="s">
        <v>80</v>
      </c>
    </row>
    <row r="7" customFormat="false" ht="15" hidden="false" customHeight="false" outlineLevel="0" collapsed="false">
      <c r="B7" s="3" t="s">
        <v>81</v>
      </c>
      <c r="C7" s="13" t="n">
        <f aca="false">-Inputs!$C$10</f>
        <v>-6200000</v>
      </c>
    </row>
    <row r="8" customFormat="false" ht="15" hidden="false" customHeight="false" outlineLevel="0" collapsed="false">
      <c r="B8" s="3" t="s">
        <v>82</v>
      </c>
      <c r="C8" s="13" t="n">
        <f aca="false">-Appraisal!C15</f>
        <v>-2521929.73754422</v>
      </c>
      <c r="D8" s="7" t="s">
        <v>83</v>
      </c>
    </row>
    <row r="9" customFormat="false" ht="15" hidden="false" customHeight="false" outlineLevel="0" collapsed="false">
      <c r="B9" s="3" t="s">
        <v>84</v>
      </c>
      <c r="C9" s="13" t="n">
        <f aca="false">-Inputs!$C$5*Inputs!$C$6*Inputs!$C$12</f>
        <v>-996864</v>
      </c>
    </row>
    <row r="10" customFormat="false" ht="15" hidden="false" customHeight="false" outlineLevel="0" collapsed="false">
      <c r="B10" s="16" t="s">
        <v>85</v>
      </c>
      <c r="C10" s="18" t="n">
        <f aca="false">SUM(C6:C9)</f>
        <v>29682945.3928906</v>
      </c>
    </row>
    <row r="11" customFormat="false" ht="15" hidden="false" customHeight="false" outlineLevel="0" collapsed="false">
      <c r="B11" s="16" t="s">
        <v>86</v>
      </c>
      <c r="C11" s="18" t="n">
        <f aca="false">C10/(1+Inputs!$C$11)</f>
        <v>27033647.8988074</v>
      </c>
    </row>
    <row r="13" customFormat="false" ht="15" hidden="false" customHeight="false" outlineLevel="0" collapsed="false">
      <c r="B13" s="16" t="s">
        <v>87</v>
      </c>
      <c r="C13" s="18" t="n">
        <f aca="false">C11</f>
        <v>27033647.8988074</v>
      </c>
    </row>
    <row r="14" customFormat="false" ht="15" hidden="false" customHeight="false" outlineLevel="0" collapsed="false">
      <c r="B14" s="3" t="s">
        <v>41</v>
      </c>
      <c r="C14" s="13" t="n">
        <f aca="false">Inputs!$C$24</f>
        <v>26301102</v>
      </c>
    </row>
    <row r="15" customFormat="false" ht="15" hidden="false" customHeight="false" outlineLevel="0" collapsed="false">
      <c r="B15" s="16" t="s">
        <v>88</v>
      </c>
      <c r="C15" s="18" t="n">
        <f aca="false">C13-C14</f>
        <v>732545.898807433</v>
      </c>
    </row>
    <row r="16" customFormat="false" ht="15" hidden="false" customHeight="false" outlineLevel="0" collapsed="false">
      <c r="B16" s="16" t="s">
        <v>89</v>
      </c>
      <c r="C16" s="19" t="n">
        <f aca="false">C15/C14</f>
        <v>0.0278522891857319</v>
      </c>
    </row>
    <row r="18" customFormat="false" ht="15" hidden="false" customHeight="false" outlineLevel="0" collapsed="false">
      <c r="B18" s="3" t="s">
        <v>90</v>
      </c>
      <c r="C18" s="13" t="n">
        <f aca="false">Inputs!$C$25-Inputs!$C$24</f>
        <v>2852261</v>
      </c>
    </row>
    <row r="19" customFormat="false" ht="15" hidden="false" customHeight="false" outlineLevel="0" collapsed="false">
      <c r="B19" s="16" t="s">
        <v>91</v>
      </c>
      <c r="C19" s="20" t="n">
        <f aca="false">C18/C15</f>
        <v>3.89362769574359</v>
      </c>
    </row>
    <row r="21" customFormat="false" ht="15" hidden="false" customHeight="false" outlineLevel="0" collapsed="false">
      <c r="B21" s="4" t="s">
        <v>92</v>
      </c>
      <c r="C21" s="5"/>
      <c r="D21" s="5"/>
    </row>
    <row r="22" customFormat="false" ht="15" hidden="false" customHeight="false" outlineLevel="0" collapsed="false">
      <c r="B22" s="3" t="s">
        <v>63</v>
      </c>
      <c r="C22" s="13" t="n">
        <f aca="false">C13</f>
        <v>27033647.8988074</v>
      </c>
    </row>
    <row r="23" customFormat="false" ht="15" hidden="false" customHeight="false" outlineLevel="0" collapsed="false">
      <c r="B23" s="3" t="s">
        <v>64</v>
      </c>
      <c r="C23" s="13" t="n">
        <f aca="false">C22*Inputs!$C$11</f>
        <v>2649297.49408313</v>
      </c>
    </row>
    <row r="24" customFormat="false" ht="15" hidden="false" customHeight="false" outlineLevel="0" collapsed="false">
      <c r="B24" s="3" t="s">
        <v>65</v>
      </c>
      <c r="C24" s="13" t="n">
        <f aca="false">Appraisal!C15</f>
        <v>2521929.73754422</v>
      </c>
    </row>
    <row r="25" customFormat="false" ht="15" hidden="false" customHeight="false" outlineLevel="0" collapsed="false">
      <c r="B25" s="3" t="s">
        <v>28</v>
      </c>
      <c r="C25" s="13" t="n">
        <f aca="false">Inputs!$C$10</f>
        <v>6200000</v>
      </c>
    </row>
    <row r="26" customFormat="false" ht="15" hidden="false" customHeight="false" outlineLevel="0" collapsed="false">
      <c r="B26" s="3" t="s">
        <v>66</v>
      </c>
      <c r="C26" s="13" t="n">
        <f aca="false">Inputs!$C$5*Inputs!$C$6*Inputs!$C$12</f>
        <v>996864</v>
      </c>
    </row>
    <row r="27" customFormat="false" ht="15" hidden="false" customHeight="false" outlineLevel="0" collapsed="false">
      <c r="B27" s="16" t="s">
        <v>93</v>
      </c>
      <c r="C27" s="18" t="n">
        <f aca="false">SUM(C22:C26)</f>
        <v>39401739.1304348</v>
      </c>
    </row>
    <row r="28" customFormat="false" ht="15" hidden="false" customHeight="false" outlineLevel="0" collapsed="false">
      <c r="B28" s="16" t="s">
        <v>94</v>
      </c>
      <c r="C28" s="18" t="n">
        <f aca="false">C5-C27</f>
        <v>5910260.86956522</v>
      </c>
    </row>
    <row r="29" customFormat="false" ht="15" hidden="false" customHeight="false" outlineLevel="0" collapsed="false">
      <c r="B29" s="16" t="s">
        <v>95</v>
      </c>
      <c r="C29" s="21" t="n">
        <f aca="false">C28/C27</f>
        <v>0.15</v>
      </c>
      <c r="D29" s="7" t="s">
        <v>96</v>
      </c>
    </row>
    <row r="30" customFormat="false" ht="15" hidden="false" customHeight="false" outlineLevel="0" collapsed="false">
      <c r="B30" s="3" t="s">
        <v>97</v>
      </c>
      <c r="C30" s="22" t="n">
        <f aca="false">C29-Inputs!$C$21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3" min="3" style="0" width="18"/>
    <col collapsed="false" customWidth="true" hidden="false" outlineLevel="0" max="4" min="4" style="0" width="60"/>
  </cols>
  <sheetData>
    <row r="2" customFormat="false" ht="17.35" hidden="false" customHeight="false" outlineLevel="0" collapsed="false">
      <c r="B2" s="1" t="s">
        <v>98</v>
      </c>
    </row>
    <row r="3" customFormat="false" ht="15" hidden="false" customHeight="false" outlineLevel="0" collapsed="false">
      <c r="B3" s="3" t="s">
        <v>99</v>
      </c>
    </row>
    <row r="5" customFormat="false" ht="15" hidden="false" customHeight="false" outlineLevel="0" collapsed="false">
      <c r="B5" s="4" t="s">
        <v>100</v>
      </c>
      <c r="C5" s="5"/>
      <c r="D5" s="5"/>
    </row>
    <row r="6" customFormat="false" ht="15" hidden="false" customHeight="false" outlineLevel="0" collapsed="false">
      <c r="B6" s="3" t="s">
        <v>23</v>
      </c>
      <c r="C6" s="8" t="n">
        <v>96</v>
      </c>
    </row>
    <row r="7" customFormat="false" ht="15" hidden="false" customHeight="false" outlineLevel="0" collapsed="false">
      <c r="B7" s="3" t="s">
        <v>24</v>
      </c>
      <c r="C7" s="8" t="n">
        <v>472000</v>
      </c>
    </row>
    <row r="8" customFormat="false" ht="15" hidden="false" customHeight="false" outlineLevel="0" collapsed="false">
      <c r="B8" s="3" t="s">
        <v>28</v>
      </c>
      <c r="C8" s="8" t="n">
        <v>6200000</v>
      </c>
    </row>
    <row r="9" customFormat="false" ht="15" hidden="false" customHeight="false" outlineLevel="0" collapsed="false">
      <c r="B9" s="3" t="s">
        <v>101</v>
      </c>
      <c r="C9" s="8" t="n">
        <v>26301102</v>
      </c>
    </row>
    <row r="10" customFormat="false" ht="15" hidden="false" customHeight="false" outlineLevel="0" collapsed="false">
      <c r="B10" s="3" t="s">
        <v>29</v>
      </c>
      <c r="C10" s="9" t="n">
        <v>0.098</v>
      </c>
    </row>
    <row r="11" customFormat="false" ht="15" hidden="false" customHeight="false" outlineLevel="0" collapsed="false">
      <c r="B11" s="3" t="s">
        <v>31</v>
      </c>
      <c r="C11" s="9" t="n">
        <v>0.022</v>
      </c>
    </row>
    <row r="12" customFormat="false" ht="15" hidden="false" customHeight="false" outlineLevel="0" collapsed="false">
      <c r="B12" s="3" t="s">
        <v>33</v>
      </c>
      <c r="C12" s="9" t="n">
        <v>0.65</v>
      </c>
    </row>
    <row r="13" customFormat="false" ht="15" hidden="false" customHeight="false" outlineLevel="0" collapsed="false">
      <c r="B13" s="3" t="s">
        <v>102</v>
      </c>
      <c r="C13" s="9" t="n">
        <v>0.6</v>
      </c>
    </row>
    <row r="14" customFormat="false" ht="15" hidden="false" customHeight="false" outlineLevel="0" collapsed="false">
      <c r="B14" s="3" t="s">
        <v>35</v>
      </c>
      <c r="C14" s="9" t="n">
        <v>0.079</v>
      </c>
    </row>
    <row r="15" customFormat="false" ht="15" hidden="false" customHeight="false" outlineLevel="0" collapsed="false">
      <c r="B15" s="3" t="s">
        <v>36</v>
      </c>
      <c r="C15" s="23" t="n">
        <v>2.4</v>
      </c>
    </row>
    <row r="16" customFormat="false" ht="15" hidden="false" customHeight="false" outlineLevel="0" collapsed="false">
      <c r="B16" s="3" t="s">
        <v>38</v>
      </c>
      <c r="C16" s="9" t="n">
        <v>0.15</v>
      </c>
    </row>
    <row r="17" customFormat="false" ht="15" hidden="false" customHeight="false" outlineLevel="0" collapsed="false">
      <c r="B17" s="3" t="s">
        <v>103</v>
      </c>
      <c r="C17" s="8" t="n">
        <v>71923</v>
      </c>
    </row>
    <row r="19" customFormat="false" ht="15" hidden="false" customHeight="false" outlineLevel="0" collapsed="false">
      <c r="B19" s="4" t="s">
        <v>104</v>
      </c>
      <c r="C19" s="5"/>
      <c r="D19" s="5"/>
    </row>
    <row r="20" customFormat="false" ht="15" hidden="false" customHeight="false" outlineLevel="0" collapsed="false">
      <c r="B20" s="3" t="s">
        <v>22</v>
      </c>
      <c r="C20" s="13" t="n">
        <f aca="false">C6*C7</f>
        <v>45312000</v>
      </c>
    </row>
    <row r="21" customFormat="false" ht="15" hidden="false" customHeight="false" outlineLevel="0" collapsed="false">
      <c r="B21" s="3" t="s">
        <v>105</v>
      </c>
      <c r="C21" s="13" t="n">
        <f aca="false">C9*C10</f>
        <v>2577507.996</v>
      </c>
    </row>
    <row r="22" customFormat="false" ht="15" hidden="false" customHeight="false" outlineLevel="0" collapsed="false">
      <c r="B22" s="3" t="s">
        <v>65</v>
      </c>
      <c r="C22" s="13" t="n">
        <f aca="false">(C8+C9+C9*C10)*C12*C13*C14*C15-C17</f>
        <v>2521929.73754422</v>
      </c>
    </row>
    <row r="23" customFormat="false" ht="15" hidden="false" customHeight="false" outlineLevel="0" collapsed="false">
      <c r="B23" s="3" t="s">
        <v>66</v>
      </c>
      <c r="C23" s="13" t="n">
        <f aca="false">C20*C11</f>
        <v>996864</v>
      </c>
    </row>
    <row r="24" customFormat="false" ht="15" hidden="false" customHeight="false" outlineLevel="0" collapsed="false">
      <c r="B24" s="16" t="s">
        <v>106</v>
      </c>
      <c r="C24" s="18" t="n">
        <f aca="false">C8+C9+C21+C22+C23</f>
        <v>38597403.7335442</v>
      </c>
    </row>
    <row r="25" customFormat="false" ht="15" hidden="false" customHeight="false" outlineLevel="0" collapsed="false">
      <c r="B25" s="16" t="s">
        <v>107</v>
      </c>
      <c r="C25" s="18" t="n">
        <f aca="false">C20-C24</f>
        <v>6714596.26645578</v>
      </c>
    </row>
    <row r="26" customFormat="false" ht="15" hidden="false" customHeight="false" outlineLevel="0" collapsed="false">
      <c r="B26" s="16" t="s">
        <v>108</v>
      </c>
      <c r="C26" s="17" t="n">
        <f aca="false">C25/C24</f>
        <v>0.173964972172992</v>
      </c>
    </row>
    <row r="27" customFormat="false" ht="15" hidden="false" customHeight="false" outlineLevel="0" collapsed="false">
      <c r="B27" s="3" t="s">
        <v>70</v>
      </c>
      <c r="C27" s="3" t="str">
        <f aca="false">IF(C26&gt;=C16,"yes","no")</f>
        <v>yes</v>
      </c>
    </row>
    <row r="29" customFormat="false" ht="15" hidden="false" customHeight="false" outlineLevel="0" collapsed="false">
      <c r="B29" s="4" t="s">
        <v>109</v>
      </c>
      <c r="C29" s="5"/>
      <c r="D29" s="5"/>
    </row>
    <row r="30" customFormat="false" ht="15" hidden="false" customHeight="false" outlineLevel="0" collapsed="false">
      <c r="B30" s="16" t="s">
        <v>110</v>
      </c>
      <c r="C30" s="18" t="n">
        <f aca="false">(C20/(1+C16)-C8-C22-C23)/(1+C10)</f>
        <v>27033647.8988074</v>
      </c>
    </row>
    <row r="31" customFormat="false" ht="15" hidden="false" customHeight="false" outlineLevel="0" collapsed="false">
      <c r="B31" s="16" t="s">
        <v>88</v>
      </c>
      <c r="C31" s="18" t="n">
        <f aca="false">C30-C9</f>
        <v>732545.898807433</v>
      </c>
    </row>
    <row r="32" customFormat="false" ht="15" hidden="false" customHeight="false" outlineLevel="0" collapsed="false">
      <c r="B32" s="16" t="s">
        <v>89</v>
      </c>
      <c r="C32" s="19" t="n">
        <f aca="false">C31/C9</f>
        <v>0.0278522891857319</v>
      </c>
    </row>
    <row r="33" customFormat="false" ht="15" hidden="false" customHeight="false" outlineLevel="0" collapsed="false">
      <c r="B33" s="3" t="s">
        <v>111</v>
      </c>
      <c r="C33" s="3" t="str">
        <f aca="false">IF(C31&lt;0,"The scheme does not clear its target even at the contract sum.","This is every pound of overrun the scheme can absorb before it stops being the investment approved.")</f>
        <v>This is every pound of overrun the scheme can absorb before it stops being the investment approved.</v>
      </c>
    </row>
    <row r="35" customFormat="false" ht="15" hidden="false" customHeight="false" outlineLevel="0" collapsed="false">
      <c r="B35" s="16" t="s">
        <v>112</v>
      </c>
      <c r="C35" s="18" t="n">
        <f aca="false">(C20/(1+C26/2)-(C8+C22+C23))/(1+C10)-C9</f>
        <v>2812969.49325822</v>
      </c>
      <c r="D35" s="7" t="s">
        <v>113</v>
      </c>
    </row>
    <row r="36" customFormat="false" ht="15" hidden="false" customHeight="false" outlineLevel="0" collapsed="false">
      <c r="B36" s="16" t="s">
        <v>114</v>
      </c>
      <c r="C36" s="17" t="n">
        <f aca="false">(C20-(C8+(C9+C35)*(1+C10)+C22+C23))/(C8+(C9+C35)*(1+C10)+C22+C23)</f>
        <v>0.0869824860864962</v>
      </c>
      <c r="D36" s="7" t="s">
        <v>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G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2"/>
  </cols>
  <sheetData>
    <row r="2" customFormat="false" ht="17.35" hidden="false" customHeight="false" outlineLevel="0" collapsed="false">
      <c r="B2" s="1" t="s">
        <v>116</v>
      </c>
    </row>
    <row r="3" customFormat="false" ht="15" hidden="false" customHeight="false" outlineLevel="0" collapsed="false">
      <c r="B3" s="3" t="s">
        <v>117</v>
      </c>
    </row>
    <row r="4" customFormat="false" ht="15" hidden="false" customHeight="false" outlineLevel="0" collapsed="false">
      <c r="B4" s="3" t="s">
        <v>118</v>
      </c>
    </row>
    <row r="6" customFormat="false" ht="15" hidden="false" customHeight="false" outlineLevel="0" collapsed="false">
      <c r="B6" s="24" t="s">
        <v>119</v>
      </c>
      <c r="C6" s="24" t="s">
        <v>120</v>
      </c>
      <c r="D6" s="24" t="s">
        <v>121</v>
      </c>
      <c r="E6" s="24" t="s">
        <v>122</v>
      </c>
      <c r="F6" s="24" t="s">
        <v>123</v>
      </c>
      <c r="G6" s="24" t="s">
        <v>124</v>
      </c>
    </row>
    <row r="7" customFormat="false" ht="15" hidden="false" customHeight="false" outlineLevel="0" collapsed="false">
      <c r="B7" s="2" t="s">
        <v>21</v>
      </c>
    </row>
    <row r="8" customFormat="false" ht="15" hidden="false" customHeight="false" outlineLevel="0" collapsed="false">
      <c r="B8" s="3" t="s">
        <v>75</v>
      </c>
      <c r="C8" s="13" t="n">
        <v>45312000</v>
      </c>
      <c r="D8" s="25" t="n">
        <f aca="false">ROUND(Appraisal!C29,0)</f>
        <v>45312000</v>
      </c>
      <c r="E8" s="26" t="n">
        <f aca="false">D8-C8</f>
        <v>0</v>
      </c>
      <c r="F8" s="16" t="str">
        <f aca="false">IF(ABS(E8)&lt;=G8,"PASS","FAIL")</f>
        <v>PASS</v>
      </c>
      <c r="G8" s="27" t="n">
        <v>1</v>
      </c>
    </row>
    <row r="9" customFormat="false" ht="15" hidden="false" customHeight="false" outlineLevel="0" collapsed="false">
      <c r="B9" s="3" t="s">
        <v>74</v>
      </c>
      <c r="C9" s="13" t="n">
        <v>6170</v>
      </c>
      <c r="D9" s="25" t="n">
        <f aca="false">ROUND(Appraisal!C28,0)</f>
        <v>6170</v>
      </c>
      <c r="E9" s="26" t="n">
        <f aca="false">D9-C9</f>
        <v>0</v>
      </c>
      <c r="F9" s="16" t="str">
        <f aca="false">IF(ABS(E9)&lt;=G9,"PASS","FAIL")</f>
        <v>PASS</v>
      </c>
      <c r="G9" s="27" t="n">
        <v>1</v>
      </c>
    </row>
    <row r="10" customFormat="false" ht="15" hidden="false" customHeight="false" outlineLevel="0" collapsed="false">
      <c r="B10" s="2" t="s">
        <v>125</v>
      </c>
    </row>
    <row r="11" customFormat="false" ht="15" hidden="false" customHeight="false" outlineLevel="0" collapsed="false">
      <c r="B11" s="3" t="s">
        <v>63</v>
      </c>
      <c r="C11" s="13" t="n">
        <v>26301102</v>
      </c>
      <c r="D11" s="25" t="n">
        <f aca="false">ROUND(Appraisal!C13,0)</f>
        <v>26301102</v>
      </c>
      <c r="E11" s="26" t="n">
        <f aca="false">D11-C11</f>
        <v>0</v>
      </c>
      <c r="F11" s="16" t="str">
        <f aca="false">IF(ABS(E11)&lt;=G11,"PASS","FAIL")</f>
        <v>PASS</v>
      </c>
      <c r="G11" s="27" t="n">
        <v>1</v>
      </c>
    </row>
    <row r="12" customFormat="false" ht="15" hidden="false" customHeight="false" outlineLevel="0" collapsed="false">
      <c r="B12" s="3" t="s">
        <v>64</v>
      </c>
      <c r="C12" s="13" t="n">
        <v>2577508</v>
      </c>
      <c r="D12" s="25" t="n">
        <f aca="false">ROUND(Appraisal!C14,0)</f>
        <v>2577508</v>
      </c>
      <c r="E12" s="26" t="n">
        <f aca="false">D12-C12</f>
        <v>0</v>
      </c>
      <c r="F12" s="16" t="str">
        <f aca="false">IF(ABS(E12)&lt;=G12,"PASS","FAIL")</f>
        <v>PASS</v>
      </c>
      <c r="G12" s="27" t="n">
        <v>1</v>
      </c>
    </row>
    <row r="13" customFormat="false" ht="15" hidden="false" customHeight="false" outlineLevel="0" collapsed="false">
      <c r="B13" s="3" t="s">
        <v>65</v>
      </c>
      <c r="C13" s="13" t="n">
        <v>2521929</v>
      </c>
      <c r="D13" s="25" t="n">
        <f aca="false">ROUND(Appraisal!C15,0)</f>
        <v>2521930</v>
      </c>
      <c r="E13" s="26" t="n">
        <f aca="false">D13-C13</f>
        <v>1</v>
      </c>
      <c r="F13" s="16" t="str">
        <f aca="false">IF(ABS(E13)&lt;=G13,"PASS","FAIL")</f>
        <v>PASS</v>
      </c>
      <c r="G13" s="27" t="n">
        <v>1</v>
      </c>
    </row>
    <row r="14" customFormat="false" ht="15" hidden="false" customHeight="false" outlineLevel="0" collapsed="false">
      <c r="B14" s="3" t="s">
        <v>28</v>
      </c>
      <c r="C14" s="13" t="n">
        <v>6200000</v>
      </c>
      <c r="D14" s="25" t="n">
        <f aca="false">ROUND(Appraisal!C16,0)</f>
        <v>6200000</v>
      </c>
      <c r="E14" s="26" t="n">
        <f aca="false">D14-C14</f>
        <v>0</v>
      </c>
      <c r="F14" s="16" t="str">
        <f aca="false">IF(ABS(E14)&lt;=G14,"PASS","FAIL")</f>
        <v>PASS</v>
      </c>
      <c r="G14" s="27" t="n">
        <v>1</v>
      </c>
    </row>
    <row r="15" customFormat="false" ht="15" hidden="false" customHeight="false" outlineLevel="0" collapsed="false">
      <c r="B15" s="3" t="s">
        <v>66</v>
      </c>
      <c r="C15" s="13" t="n">
        <v>996864</v>
      </c>
      <c r="D15" s="25" t="n">
        <f aca="false">ROUND(Appraisal!C17,0)</f>
        <v>996864</v>
      </c>
      <c r="E15" s="26" t="n">
        <f aca="false">D15-C15</f>
        <v>0</v>
      </c>
      <c r="F15" s="16" t="str">
        <f aca="false">IF(ABS(E15)&lt;=G15,"PASS","FAIL")</f>
        <v>PASS</v>
      </c>
      <c r="G15" s="27" t="n">
        <v>1</v>
      </c>
    </row>
    <row r="16" customFormat="false" ht="15" hidden="false" customHeight="false" outlineLevel="0" collapsed="false">
      <c r="B16" s="3" t="s">
        <v>93</v>
      </c>
      <c r="C16" s="13" t="n">
        <v>38597404</v>
      </c>
      <c r="D16" s="25" t="n">
        <f aca="false">ROUND(Appraisal!C18,0)</f>
        <v>38597404</v>
      </c>
      <c r="E16" s="26" t="n">
        <f aca="false">D16-C16</f>
        <v>0</v>
      </c>
      <c r="F16" s="16" t="str">
        <f aca="false">IF(ABS(E16)&lt;=G16,"PASS","FAIL")</f>
        <v>PASS</v>
      </c>
      <c r="G16" s="27" t="n">
        <v>1</v>
      </c>
    </row>
    <row r="17" customFormat="false" ht="15" hidden="false" customHeight="false" outlineLevel="0" collapsed="false">
      <c r="B17" s="3" t="s">
        <v>94</v>
      </c>
      <c r="C17" s="13" t="n">
        <v>6714596</v>
      </c>
      <c r="D17" s="25" t="n">
        <f aca="false">ROUND(Appraisal!C20,0)</f>
        <v>6714596</v>
      </c>
      <c r="E17" s="26" t="n">
        <f aca="false">D17-C17</f>
        <v>0</v>
      </c>
      <c r="F17" s="16" t="str">
        <f aca="false">IF(ABS(E17)&lt;=G17,"PASS","FAIL")</f>
        <v>PASS</v>
      </c>
      <c r="G17" s="27" t="n">
        <v>1</v>
      </c>
    </row>
    <row r="18" customFormat="false" ht="15" hidden="false" customHeight="false" outlineLevel="0" collapsed="false">
      <c r="B18" s="3" t="s">
        <v>95</v>
      </c>
      <c r="C18" s="28" t="n">
        <v>0.174</v>
      </c>
      <c r="D18" s="29" t="n">
        <f aca="false">ROUND(Appraisal!C21,4)</f>
        <v>0.174</v>
      </c>
      <c r="E18" s="26" t="n">
        <f aca="false">D18-C18</f>
        <v>0</v>
      </c>
      <c r="F18" s="16" t="str">
        <f aca="false">IF(ABS(E18)&lt;=G18,"PASS","FAIL")</f>
        <v>PASS</v>
      </c>
      <c r="G18" s="27" t="n">
        <v>1E-008</v>
      </c>
    </row>
    <row r="19" customFormat="false" ht="15" hidden="false" customHeight="false" outlineLevel="0" collapsed="false">
      <c r="B19" s="2" t="s">
        <v>126</v>
      </c>
    </row>
    <row r="20" customFormat="false" ht="15" hidden="false" customHeight="false" outlineLevel="0" collapsed="false">
      <c r="B20" s="3" t="s">
        <v>63</v>
      </c>
      <c r="C20" s="13" t="n">
        <v>29153363</v>
      </c>
      <c r="D20" s="25" t="n">
        <f aca="false">ROUND(Appraisal!D13,0)</f>
        <v>29153363</v>
      </c>
      <c r="E20" s="26" t="n">
        <f aca="false">D20-C20</f>
        <v>0</v>
      </c>
      <c r="F20" s="16" t="str">
        <f aca="false">IF(ABS(E20)&lt;=G20,"PASS","FAIL")</f>
        <v>PASS</v>
      </c>
      <c r="G20" s="27" t="n">
        <v>1</v>
      </c>
    </row>
    <row r="21" customFormat="false" ht="15" hidden="false" customHeight="false" outlineLevel="0" collapsed="false">
      <c r="B21" s="3" t="s">
        <v>64</v>
      </c>
      <c r="C21" s="13" t="n">
        <v>2857030</v>
      </c>
      <c r="D21" s="25" t="n">
        <f aca="false">ROUND(Appraisal!D14,0)</f>
        <v>2857030</v>
      </c>
      <c r="E21" s="26" t="n">
        <f aca="false">D21-C21</f>
        <v>0</v>
      </c>
      <c r="F21" s="16" t="str">
        <f aca="false">IF(ABS(E21)&lt;=G21,"PASS","FAIL")</f>
        <v>PASS</v>
      </c>
      <c r="G21" s="27" t="n">
        <v>1</v>
      </c>
    </row>
    <row r="22" customFormat="false" ht="15" hidden="false" customHeight="false" outlineLevel="0" collapsed="false">
      <c r="B22" s="3" t="s">
        <v>65</v>
      </c>
      <c r="C22" s="13" t="n">
        <v>2521929</v>
      </c>
      <c r="D22" s="25" t="n">
        <f aca="false">ROUND(Appraisal!D15,0)</f>
        <v>2521930</v>
      </c>
      <c r="E22" s="26" t="n">
        <f aca="false">D22-C22</f>
        <v>1</v>
      </c>
      <c r="F22" s="16" t="str">
        <f aca="false">IF(ABS(E22)&lt;=G22,"PASS","FAIL")</f>
        <v>PASS</v>
      </c>
      <c r="G22" s="27" t="n">
        <v>1</v>
      </c>
    </row>
    <row r="23" customFormat="false" ht="15" hidden="false" customHeight="false" outlineLevel="0" collapsed="false">
      <c r="B23" s="3" t="s">
        <v>93</v>
      </c>
      <c r="C23" s="13" t="n">
        <v>41729186</v>
      </c>
      <c r="D23" s="25" t="n">
        <f aca="false">ROUND(Appraisal!D18,0)</f>
        <v>41729186</v>
      </c>
      <c r="E23" s="26" t="n">
        <f aca="false">D23-C23</f>
        <v>0</v>
      </c>
      <c r="F23" s="16" t="str">
        <f aca="false">IF(ABS(E23)&lt;=G23,"PASS","FAIL")</f>
        <v>PASS</v>
      </c>
      <c r="G23" s="27" t="n">
        <v>1</v>
      </c>
    </row>
    <row r="24" customFormat="false" ht="15" hidden="false" customHeight="false" outlineLevel="0" collapsed="false">
      <c r="B24" s="3" t="s">
        <v>94</v>
      </c>
      <c r="C24" s="13" t="n">
        <v>3582814</v>
      </c>
      <c r="D24" s="25" t="n">
        <f aca="false">ROUND(Appraisal!D20,0)</f>
        <v>3582814</v>
      </c>
      <c r="E24" s="26" t="n">
        <f aca="false">D24-C24</f>
        <v>0</v>
      </c>
      <c r="F24" s="16" t="str">
        <f aca="false">IF(ABS(E24)&lt;=G24,"PASS","FAIL")</f>
        <v>PASS</v>
      </c>
      <c r="G24" s="27" t="n">
        <v>1</v>
      </c>
    </row>
    <row r="25" customFormat="false" ht="15" hidden="false" customHeight="false" outlineLevel="0" collapsed="false">
      <c r="B25" s="3" t="s">
        <v>95</v>
      </c>
      <c r="C25" s="28" t="n">
        <v>0.0859</v>
      </c>
      <c r="D25" s="29" t="n">
        <f aca="false">ROUND(Appraisal!D21,4)</f>
        <v>0.0859</v>
      </c>
      <c r="E25" s="26" t="n">
        <f aca="false">D25-C25</f>
        <v>0</v>
      </c>
      <c r="F25" s="16" t="str">
        <f aca="false">IF(ABS(E25)&lt;=G25,"PASS","FAIL")</f>
        <v>PASS</v>
      </c>
      <c r="G25" s="27" t="n">
        <v>1E-008</v>
      </c>
    </row>
    <row r="26" customFormat="false" ht="15" hidden="false" customHeight="false" outlineLevel="0" collapsed="false">
      <c r="B26" s="3" t="s">
        <v>72</v>
      </c>
      <c r="C26" s="13" t="n">
        <v>3131783</v>
      </c>
      <c r="D26" s="25" t="n">
        <f aca="false">ROUND(Appraisal!D25,0)</f>
        <v>3131783</v>
      </c>
      <c r="E26" s="26" t="n">
        <f aca="false">D26-C26</f>
        <v>0</v>
      </c>
      <c r="F26" s="16" t="str">
        <f aca="false">IF(ABS(E26)&lt;=G26,"PASS","FAIL")</f>
        <v>PASS</v>
      </c>
      <c r="G26" s="27" t="n">
        <v>1</v>
      </c>
    </row>
    <row r="27" customFormat="false" ht="15" hidden="false" customHeight="false" outlineLevel="0" collapsed="false">
      <c r="B27" s="3" t="s">
        <v>127</v>
      </c>
      <c r="C27" s="28" t="n">
        <v>0.466</v>
      </c>
      <c r="D27" s="29" t="n">
        <f aca="false">ROUND(Appraisal!D26,3)</f>
        <v>0.466</v>
      </c>
      <c r="E27" s="26" t="n">
        <f aca="false">D27-C27</f>
        <v>0</v>
      </c>
      <c r="F27" s="16" t="str">
        <f aca="false">IF(ABS(E27)&lt;=G27,"PASS","FAIL")</f>
        <v>PASS</v>
      </c>
      <c r="G27" s="27" t="n">
        <v>1E-008</v>
      </c>
    </row>
    <row r="28" customFormat="false" ht="15" hidden="false" customHeight="false" outlineLevel="0" collapsed="false">
      <c r="B28" s="3" t="s">
        <v>128</v>
      </c>
      <c r="C28" s="28" t="n">
        <v>0.0799</v>
      </c>
      <c r="D28" s="29" t="n">
        <f aca="false">ROUND(Appraisal!E21,4)</f>
        <v>0.0799</v>
      </c>
      <c r="E28" s="26" t="n">
        <f aca="false">D28-C28</f>
        <v>0</v>
      </c>
      <c r="F28" s="16" t="str">
        <f aca="false">IF(ABS(E28)&lt;=G28,"PASS","FAIL")</f>
        <v>PASS</v>
      </c>
      <c r="G28" s="27" t="n">
        <v>1E-008</v>
      </c>
    </row>
    <row r="29" customFormat="false" ht="15" hidden="false" customHeight="false" outlineLevel="0" collapsed="false">
      <c r="B29" s="2" t="s">
        <v>129</v>
      </c>
    </row>
    <row r="30" customFormat="false" ht="15" hidden="false" customHeight="false" outlineLevel="0" collapsed="false">
      <c r="B30" s="3" t="s">
        <v>63</v>
      </c>
      <c r="C30" s="13" t="n">
        <v>26391750</v>
      </c>
      <c r="D30" s="25" t="n">
        <f aca="false">ROUND(Appraisal!F13,0)</f>
        <v>26391750</v>
      </c>
      <c r="E30" s="26" t="n">
        <f aca="false">D30-C30</f>
        <v>0</v>
      </c>
      <c r="F30" s="16" t="str">
        <f aca="false">IF(ABS(E30)&lt;=G30,"PASS","FAIL")</f>
        <v>PASS</v>
      </c>
      <c r="G30" s="27" t="n">
        <v>1</v>
      </c>
    </row>
    <row r="31" customFormat="false" ht="15" hidden="false" customHeight="false" outlineLevel="0" collapsed="false">
      <c r="B31" s="3" t="s">
        <v>64</v>
      </c>
      <c r="C31" s="13" t="n">
        <v>2586392</v>
      </c>
      <c r="D31" s="25" t="n">
        <f aca="false">ROUND(Appraisal!F14,0)</f>
        <v>2586392</v>
      </c>
      <c r="E31" s="26" t="n">
        <f aca="false">D31-C31</f>
        <v>0</v>
      </c>
      <c r="F31" s="16" t="str">
        <f aca="false">IF(ABS(E31)&lt;=G31,"PASS","FAIL")</f>
        <v>PASS</v>
      </c>
      <c r="G31" s="27" t="n">
        <v>1</v>
      </c>
    </row>
    <row r="32" customFormat="false" ht="15" hidden="false" customHeight="false" outlineLevel="0" collapsed="false">
      <c r="B32" s="3" t="s">
        <v>65</v>
      </c>
      <c r="C32" s="13" t="n">
        <v>2529041</v>
      </c>
      <c r="D32" s="25" t="n">
        <f aca="false">ROUND(Appraisal!F15,0)</f>
        <v>2529041</v>
      </c>
      <c r="E32" s="26" t="n">
        <f aca="false">D32-C32</f>
        <v>0</v>
      </c>
      <c r="F32" s="16" t="str">
        <f aca="false">IF(ABS(E32)&lt;=G32,"PASS","FAIL")</f>
        <v>PASS</v>
      </c>
      <c r="G32" s="27" t="n">
        <v>1</v>
      </c>
    </row>
    <row r="33" customFormat="false" ht="15" hidden="false" customHeight="false" outlineLevel="0" collapsed="false">
      <c r="B33" s="3" t="s">
        <v>93</v>
      </c>
      <c r="C33" s="13" t="n">
        <v>38704047</v>
      </c>
      <c r="D33" s="25" t="n">
        <f aca="false">ROUND(Appraisal!F18,0)</f>
        <v>38704047</v>
      </c>
      <c r="E33" s="26" t="n">
        <f aca="false">D33-C33</f>
        <v>0</v>
      </c>
      <c r="F33" s="16" t="str">
        <f aca="false">IF(ABS(E33)&lt;=G33,"PASS","FAIL")</f>
        <v>PASS</v>
      </c>
      <c r="G33" s="27" t="n">
        <v>1</v>
      </c>
    </row>
    <row r="34" customFormat="false" ht="15" hidden="false" customHeight="false" outlineLevel="0" collapsed="false">
      <c r="B34" s="3" t="s">
        <v>94</v>
      </c>
      <c r="C34" s="13" t="n">
        <v>6607953</v>
      </c>
      <c r="D34" s="25" t="n">
        <f aca="false">ROUND(Appraisal!F20,0)</f>
        <v>6607953</v>
      </c>
      <c r="E34" s="26" t="n">
        <f aca="false">D34-C34</f>
        <v>0</v>
      </c>
      <c r="F34" s="16" t="str">
        <f aca="false">IF(ABS(E34)&lt;=G34,"PASS","FAIL")</f>
        <v>PASS</v>
      </c>
      <c r="G34" s="27" t="n">
        <v>1</v>
      </c>
    </row>
    <row r="35" customFormat="false" ht="15" hidden="false" customHeight="false" outlineLevel="0" collapsed="false">
      <c r="B35" s="3" t="s">
        <v>95</v>
      </c>
      <c r="C35" s="28" t="n">
        <v>0.1707</v>
      </c>
      <c r="D35" s="29" t="n">
        <f aca="false">ROUND(Appraisal!F21,4)</f>
        <v>0.1707</v>
      </c>
      <c r="E35" s="26" t="n">
        <f aca="false">D35-C35</f>
        <v>0</v>
      </c>
      <c r="F35" s="16" t="str">
        <f aca="false">IF(ABS(E35)&lt;=G35,"PASS","FAIL")</f>
        <v>PASS</v>
      </c>
      <c r="G35" s="27" t="n">
        <v>1E-008</v>
      </c>
    </row>
    <row r="36" customFormat="false" ht="15" hidden="false" customHeight="false" outlineLevel="0" collapsed="false">
      <c r="B36" s="2" t="s">
        <v>130</v>
      </c>
    </row>
    <row r="37" customFormat="false" ht="15" hidden="false" customHeight="false" outlineLevel="0" collapsed="false">
      <c r="B37" s="3" t="s">
        <v>63</v>
      </c>
      <c r="C37" s="13" t="n">
        <v>27533075</v>
      </c>
      <c r="D37" s="25" t="n">
        <f aca="false">ROUND(Appraisal!G13,0)</f>
        <v>27533075</v>
      </c>
      <c r="E37" s="26" t="n">
        <f aca="false">D37-C37</f>
        <v>0</v>
      </c>
      <c r="F37" s="16" t="str">
        <f aca="false">IF(ABS(E37)&lt;=G37,"PASS","FAIL")</f>
        <v>PASS</v>
      </c>
      <c r="G37" s="27" t="n">
        <v>1</v>
      </c>
    </row>
    <row r="38" customFormat="false" ht="15" hidden="false" customHeight="false" outlineLevel="0" collapsed="false">
      <c r="B38" s="3" t="s">
        <v>64</v>
      </c>
      <c r="C38" s="13" t="n">
        <v>2698241</v>
      </c>
      <c r="D38" s="25" t="n">
        <f aca="false">ROUND(Appraisal!G14,0)</f>
        <v>2698241</v>
      </c>
      <c r="E38" s="26" t="n">
        <f aca="false">D38-C38</f>
        <v>0</v>
      </c>
      <c r="F38" s="16" t="str">
        <f aca="false">IF(ABS(E38)&lt;=G38,"PASS","FAIL")</f>
        <v>PASS</v>
      </c>
      <c r="G38" s="27" t="n">
        <v>1</v>
      </c>
    </row>
    <row r="39" customFormat="false" ht="15" hidden="false" customHeight="false" outlineLevel="0" collapsed="false">
      <c r="B39" s="3" t="s">
        <v>93</v>
      </c>
      <c r="C39" s="13" t="n">
        <v>39957221</v>
      </c>
      <c r="D39" s="25" t="n">
        <f aca="false">ROUND(Appraisal!G18,0)</f>
        <v>39957222</v>
      </c>
      <c r="E39" s="26" t="n">
        <f aca="false">D39-C39</f>
        <v>1</v>
      </c>
      <c r="F39" s="16" t="str">
        <f aca="false">IF(ABS(E39)&lt;=G39,"PASS","FAIL")</f>
        <v>PASS</v>
      </c>
      <c r="G39" s="27" t="n">
        <v>1</v>
      </c>
    </row>
    <row r="40" customFormat="false" ht="15" hidden="false" customHeight="false" outlineLevel="0" collapsed="false">
      <c r="B40" s="3" t="s">
        <v>94</v>
      </c>
      <c r="C40" s="13" t="n">
        <v>5354779</v>
      </c>
      <c r="D40" s="25" t="n">
        <f aca="false">ROUND(Appraisal!G20,0)</f>
        <v>5354778</v>
      </c>
      <c r="E40" s="26" t="n">
        <f aca="false">D40-C40</f>
        <v>-1</v>
      </c>
      <c r="F40" s="16" t="str">
        <f aca="false">IF(ABS(E40)&lt;=G40,"PASS","FAIL")</f>
        <v>PASS</v>
      </c>
      <c r="G40" s="27" t="n">
        <v>1</v>
      </c>
    </row>
    <row r="41" customFormat="false" ht="15" hidden="false" customHeight="false" outlineLevel="0" collapsed="false">
      <c r="B41" s="3" t="s">
        <v>95</v>
      </c>
      <c r="C41" s="28" t="n">
        <v>0.134</v>
      </c>
      <c r="D41" s="29" t="n">
        <f aca="false">ROUND(Appraisal!G21,4)</f>
        <v>0.134</v>
      </c>
      <c r="E41" s="26" t="n">
        <f aca="false">D41-C41</f>
        <v>0</v>
      </c>
      <c r="F41" s="16" t="str">
        <f aca="false">IF(ABS(E41)&lt;=G41,"PASS","FAIL")</f>
        <v>PASS</v>
      </c>
      <c r="G41" s="27" t="n">
        <v>1E-008</v>
      </c>
    </row>
    <row r="42" customFormat="false" ht="15" hidden="false" customHeight="false" outlineLevel="0" collapsed="false">
      <c r="B42" s="3" t="s">
        <v>72</v>
      </c>
      <c r="C42" s="13" t="n">
        <v>1253174</v>
      </c>
      <c r="D42" s="25" t="n">
        <f aca="false">ROUND(Appraisal!G25,0)</f>
        <v>1253175</v>
      </c>
      <c r="E42" s="26" t="n">
        <f aca="false">D42-C42</f>
        <v>1</v>
      </c>
      <c r="F42" s="16" t="str">
        <f aca="false">IF(ABS(E42)&lt;=G42,"PASS","FAIL")</f>
        <v>PASS</v>
      </c>
      <c r="G42" s="27" t="n">
        <v>1</v>
      </c>
    </row>
    <row r="43" customFormat="false" ht="15" hidden="false" customHeight="false" outlineLevel="0" collapsed="false">
      <c r="B43" s="3" t="s">
        <v>127</v>
      </c>
      <c r="C43" s="28" t="n">
        <v>0.19</v>
      </c>
      <c r="D43" s="29" t="n">
        <f aca="false">ROUND(Appraisal!G26,3)</f>
        <v>0.19</v>
      </c>
      <c r="E43" s="26" t="n">
        <f aca="false">D43-C43</f>
        <v>0</v>
      </c>
      <c r="F43" s="16" t="str">
        <f aca="false">IF(ABS(E43)&lt;=G43,"PASS","FAIL")</f>
        <v>PASS</v>
      </c>
      <c r="G43" s="27" t="n">
        <v>1E-008</v>
      </c>
    </row>
    <row r="44" customFormat="false" ht="15" hidden="false" customHeight="false" outlineLevel="0" collapsed="false">
      <c r="B44" s="3" t="s">
        <v>128</v>
      </c>
      <c r="C44" s="28" t="n">
        <v>0.1314</v>
      </c>
      <c r="D44" s="29" t="n">
        <f aca="false">ROUND(Appraisal!H21,4)</f>
        <v>0.1314</v>
      </c>
      <c r="E44" s="26" t="n">
        <f aca="false">D44-C44</f>
        <v>0</v>
      </c>
      <c r="F44" s="16" t="str">
        <f aca="false">IF(ABS(E44)&lt;=G44,"PASS","FAIL")</f>
        <v>PASS</v>
      </c>
      <c r="G44" s="27" t="n">
        <v>1E-008</v>
      </c>
    </row>
    <row r="45" customFormat="false" ht="15" hidden="false" customHeight="false" outlineLevel="0" collapsed="false">
      <c r="B45" s="2" t="s">
        <v>131</v>
      </c>
    </row>
    <row r="46" customFormat="false" ht="15" hidden="false" customHeight="false" outlineLevel="0" collapsed="false">
      <c r="B46" s="3" t="s">
        <v>110</v>
      </c>
      <c r="C46" s="13" t="n">
        <v>27033648</v>
      </c>
      <c r="D46" s="25" t="n">
        <f aca="false">ROUND(Headroom!C13,0)</f>
        <v>27033648</v>
      </c>
      <c r="E46" s="26" t="n">
        <f aca="false">D46-C46</f>
        <v>0</v>
      </c>
      <c r="F46" s="16" t="str">
        <f aca="false">IF(ABS(E46)&lt;=G46,"PASS","FAIL")</f>
        <v>PASS</v>
      </c>
      <c r="G46" s="27" t="n">
        <v>1</v>
      </c>
    </row>
    <row r="47" customFormat="false" ht="15" hidden="false" customHeight="false" outlineLevel="0" collapsed="false">
      <c r="B47" s="3" t="s">
        <v>132</v>
      </c>
      <c r="C47" s="13" t="n">
        <v>732546</v>
      </c>
      <c r="D47" s="25" t="n">
        <f aca="false">ROUND(Headroom!C15,0)</f>
        <v>732546</v>
      </c>
      <c r="E47" s="26" t="n">
        <f aca="false">D47-C47</f>
        <v>0</v>
      </c>
      <c r="F47" s="16" t="str">
        <f aca="false">IF(ABS(E47)&lt;=G47,"PASS","FAIL")</f>
        <v>PASS</v>
      </c>
      <c r="G47" s="27" t="n">
        <v>1</v>
      </c>
    </row>
    <row r="48" customFormat="false" ht="15" hidden="false" customHeight="false" outlineLevel="0" collapsed="false">
      <c r="B48" s="3" t="s">
        <v>89</v>
      </c>
      <c r="C48" s="28" t="n">
        <v>0.028</v>
      </c>
      <c r="D48" s="29" t="n">
        <f aca="false">ROUND(Headroom!C16,3)</f>
        <v>0.028</v>
      </c>
      <c r="E48" s="26" t="n">
        <f aca="false">D48-C48</f>
        <v>0</v>
      </c>
      <c r="F48" s="16" t="str">
        <f aca="false">IF(ABS(E48)&lt;=G48,"PASS","FAIL")</f>
        <v>PASS</v>
      </c>
      <c r="G48" s="27" t="n">
        <v>1E-008</v>
      </c>
    </row>
    <row r="49" customFormat="false" ht="15" hidden="false" customHeight="false" outlineLevel="0" collapsed="false">
      <c r="B49" s="3" t="s">
        <v>133</v>
      </c>
      <c r="C49" s="30" t="n">
        <v>3.9</v>
      </c>
      <c r="D49" s="31" t="n">
        <f aca="false">ROUND(Headroom!C19,1)</f>
        <v>3.9</v>
      </c>
      <c r="E49" s="26" t="n">
        <f aca="false">D49-C49</f>
        <v>0</v>
      </c>
      <c r="F49" s="16" t="str">
        <f aca="false">IF(ABS(E49)&lt;=G49,"PASS","FAIL")</f>
        <v>PASS</v>
      </c>
      <c r="G49" s="27" t="n">
        <v>1E-008</v>
      </c>
    </row>
    <row r="50" customFormat="false" ht="15" hidden="false" customHeight="false" outlineLevel="0" collapsed="false">
      <c r="B50" s="3" t="s">
        <v>134</v>
      </c>
      <c r="C50" s="28" t="n">
        <v>0.15</v>
      </c>
      <c r="D50" s="29" t="n">
        <f aca="false">ROUND(Headroom!C29,4)</f>
        <v>0.15</v>
      </c>
      <c r="E50" s="26" t="n">
        <f aca="false">D50-C50</f>
        <v>0</v>
      </c>
      <c r="F50" s="16" t="str">
        <f aca="false">IF(ABS(E50)&lt;=G50,"PASS","FAIL")</f>
        <v>PASS</v>
      </c>
      <c r="G50" s="27" t="n">
        <v>1E-008</v>
      </c>
    </row>
    <row r="51" customFormat="false" ht="15" hidden="false" customHeight="false" outlineLevel="0" collapsed="false">
      <c r="B51" s="2" t="s">
        <v>135</v>
      </c>
    </row>
    <row r="52" customFormat="false" ht="15" hidden="false" customHeight="false" outlineLevel="0" collapsed="false">
      <c r="B52" s="3" t="s">
        <v>136</v>
      </c>
      <c r="C52" s="13" t="n">
        <v>2812970</v>
      </c>
      <c r="D52" s="25" t="n">
        <f aca="false">ROUND(Solve!C35,0)</f>
        <v>2812969</v>
      </c>
      <c r="E52" s="13" t="n">
        <f aca="false">D52-C52</f>
        <v>-1</v>
      </c>
      <c r="F52" s="16" t="str">
        <f aca="false">IF(ABS(E52)&lt;=G52,"PASS","FAIL")</f>
        <v>PASS</v>
      </c>
      <c r="G52" s="27" t="n">
        <v>1</v>
      </c>
    </row>
    <row r="53" customFormat="false" ht="15" hidden="false" customHeight="false" outlineLevel="0" collapsed="false">
      <c r="B53" s="3" t="s">
        <v>137</v>
      </c>
      <c r="C53" s="32" t="n">
        <v>0</v>
      </c>
      <c r="D53" s="33" t="n">
        <f aca="false">ROUND(Solve!C36-Solve!C26/2,12)</f>
        <v>0</v>
      </c>
      <c r="E53" s="32" t="n">
        <f aca="false">D53-C53</f>
        <v>0</v>
      </c>
      <c r="F53" s="16" t="str">
        <f aca="false">IF(ABS(E53)&lt;=G53,"PASS","FAIL")</f>
        <v>PASS</v>
      </c>
      <c r="G53" s="27" t="n">
        <v>1E-008</v>
      </c>
    </row>
    <row r="54" customFormat="false" ht="15" hidden="false" customHeight="false" outlineLevel="0" collapsed="false">
      <c r="B54" s="3" t="s">
        <v>138</v>
      </c>
      <c r="C54" s="34" t="n">
        <v>1</v>
      </c>
      <c r="D54" s="35" t="n">
        <f aca="false">IF(Inputs!C25-Inputs!C24&gt;Solve!C35,1,0)</f>
        <v>1</v>
      </c>
      <c r="E54" s="34" t="n">
        <f aca="false">D54-C54</f>
        <v>0</v>
      </c>
      <c r="F54" s="16" t="str">
        <f aca="false">IF(ABS(E54)&lt;=G54,"PASS","FAIL")</f>
        <v>PASS</v>
      </c>
      <c r="G54" s="27" t="n">
        <v>1E-008</v>
      </c>
    </row>
    <row r="56" customFormat="false" ht="15" hidden="false" customHeight="false" outlineLevel="0" collapsed="false">
      <c r="B56" s="16" t="s">
        <v>139</v>
      </c>
      <c r="C56" s="16" t="n">
        <f aca="false">COUNTIF(F7:F54,"PASS")+COUNTIF(F7:F54,"FAIL")</f>
        <v>41</v>
      </c>
    </row>
    <row r="57" customFormat="false" ht="15" hidden="false" customHeight="false" outlineLevel="0" collapsed="false">
      <c r="B57" s="16" t="s">
        <v>140</v>
      </c>
      <c r="C57" s="16" t="n">
        <f aca="false">COUNTIF(F7:F54,"PASS")</f>
        <v>41</v>
      </c>
    </row>
    <row r="58" customFormat="false" ht="15" hidden="false" customHeight="false" outlineLevel="0" collapsed="false">
      <c r="B58" s="16" t="s">
        <v>141</v>
      </c>
      <c r="C58" s="16" t="n">
        <f aca="false">COUNTIF(F7:F54,"FAIL")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2026-09-10T20:48:20Z</dcterms:created>
  <dc:creator>openpyxl</dc:creator>
  <dc:description/>
  <dc:language>en-US</dc:language>
  <cp:lastModifiedBy/>
  <dcterms:modified xsi:type="dcterms:W3CDTF">2026-09-24T01:41:57Z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