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Base" sheetId="3" state="visible" r:id="rId5"/>
    <sheet name="Sensitivities" sheetId="4" state="visible" r:id="rId6"/>
    <sheet name="Ranking" sheetId="5" state="visible" r:id="rId7"/>
    <sheet name="Design vs Profit" sheetId="6" state="visible" r:id="rId8"/>
    <sheet name="Check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<sst xmlns="http://schemas.openxmlformats.org/spreadsheetml/2006/main" count="345" uniqueCount="194">
  <si>
    <t xml:space="preserve">Construction Cost Control -- Workbook 3 of 4</t>
  </si>
  <si>
    <t xml:space="preserve">Sensitivities: which input actually moves the answer</t>
  </si>
  <si>
    <t xml:space="preserve">Julian R. Sterling. Companion files: julianrsterling.com/costcontrol</t>
  </si>
  <si>
    <t xml:space="preserve">What this workbook does</t>
  </si>
  <si>
    <t xml:space="preserve">Six one-input sensitivities on the Case A bridge, plus design completeness read against the</t>
  </si>
  <si>
    <t xml:space="preserve">developer's return. Chapter 14 prints only the movement column. This workbook prints all</t>
  </si>
  <si>
    <t xml:space="preserve">eleven lines for every scenario, so you can see which lines moved and which did not.</t>
  </si>
  <si>
    <t xml:space="preserve">The rule these tables obey</t>
  </si>
  <si>
    <t xml:space="preserve">Every table holds the contract sum where it is. A table that re-priced the contract sum as the</t>
  </si>
  <si>
    <t xml:space="preserve">input moved would not be a stress test, it would be a re-pricing, and the gap would never</t>
  </si>
  <si>
    <t xml:space="preserve">widen. The re-priced case is Case B, and it lives in Workbook 1 as a separate scenario.</t>
  </si>
  <si>
    <t xml:space="preserve">The tables are one input at a time, and the real inputs are correlated</t>
  </si>
  <si>
    <t xml:space="preserve">A project that signs at 55 per cent design completion also has more provisional sums, a longer</t>
  </si>
  <si>
    <t xml:space="preserve">lag to the midpoint of late-priced work, more causative events and more weeks of extension of</t>
  </si>
  <si>
    <t xml:space="preserve">time. Every one of these inputs moves together in practice, so these tables understate the range.</t>
  </si>
  <si>
    <t xml:space="preserve">Blue text is an input. The shaded row in each table is the base case. Black text is a formula.</t>
  </si>
  <si>
    <t xml:space="preserve">No macros, no external links, no protection, no circular references.</t>
  </si>
  <si>
    <t xml:space="preserve">Revised 24 September 2026</t>
  </si>
  <si>
    <t xml:space="preserve">The column headings of the six tables sat one column to the left of their figures (MOVEMENT over the retention, Gap over the movement); they are realigned.</t>
  </si>
  <si>
    <t xml:space="preserve">The Ranking sheet now sorts the six inputs by span, as the book describes it, and its control column follows the table printed in Chapter 14.</t>
  </si>
  <si>
    <t xml:space="preserve">Case A inputs</t>
  </si>
  <si>
    <t xml:space="preserve">Identical to Workbook 1, Case A. Change one here and every table below moves with it.</t>
  </si>
  <si>
    <t xml:space="preserve">The scheme</t>
  </si>
  <si>
    <t xml:space="preserve">Units</t>
  </si>
  <si>
    <t xml:space="preserve">Gross internal area, m2</t>
  </si>
  <si>
    <t xml:space="preserve">Net internal area, m2</t>
  </si>
  <si>
    <t xml:space="preserve">Contract period, weeks</t>
  </si>
  <si>
    <t xml:space="preserve">Contract sum build-up</t>
  </si>
  <si>
    <t xml:space="preserve">Measured works rate, per m2</t>
  </si>
  <si>
    <t xml:space="preserve">External works and site</t>
  </si>
  <si>
    <t xml:space="preserve">Preliminaries, per cent of works</t>
  </si>
  <si>
    <t xml:space="preserve">Overheads and profit, per cent</t>
  </si>
  <si>
    <t xml:space="preserve">Design development allowance, per cent</t>
  </si>
  <si>
    <t xml:space="preserve">Provisional sums</t>
  </si>
  <si>
    <t xml:space="preserve">Bridge inputs</t>
  </si>
  <si>
    <t xml:space="preserve">Design information issued at contract</t>
  </si>
  <si>
    <t xml:space="preserve">Premium on value priced after award</t>
  </si>
  <si>
    <t xml:space="preserve">Provisional sums released</t>
  </si>
  <si>
    <t xml:space="preserve">Client changes at contract rates</t>
  </si>
  <si>
    <t xml:space="preserve">Post-award pricing premium</t>
  </si>
  <si>
    <t xml:space="preserve">Weeks late</t>
  </si>
  <si>
    <t xml:space="preserve">Weeks carrying an extension of time</t>
  </si>
  <si>
    <t xml:space="preserve">Time-related share of preliminaries</t>
  </si>
  <si>
    <t xml:space="preserve">Trade value exposed to disruption</t>
  </si>
  <si>
    <t xml:space="preserve">Disrupted weeks</t>
  </si>
  <si>
    <t xml:space="preserve">Labor productivity loss</t>
  </si>
  <si>
    <t xml:space="preserve">Statutory change, cost</t>
  </si>
  <si>
    <t xml:space="preserve">Escalation index, per year</t>
  </si>
  <si>
    <t xml:space="preserve">Months tender to midpoint of late work</t>
  </si>
  <si>
    <t xml:space="preserve">Contra-charges</t>
  </si>
  <si>
    <t xml:space="preserve">Liquidated damages per week</t>
  </si>
  <si>
    <t xml:space="preserve">Liquidated damages cap, per cent</t>
  </si>
  <si>
    <t xml:space="preserve">Retention, per cent</t>
  </si>
  <si>
    <t xml:space="preserve">Retention never released, per cent</t>
  </si>
  <si>
    <t xml:space="preserve">Appraisal inputs (for the seventh table)</t>
  </si>
  <si>
    <t xml:space="preserve">Revenue per unit</t>
  </si>
  <si>
    <t xml:space="preserve">Land</t>
  </si>
  <si>
    <t xml:space="preserve">Professional fees, per cent of construction cost</t>
  </si>
  <si>
    <t xml:space="preserve">Sale costs, per cent of revenue</t>
  </si>
  <si>
    <t xml:space="preserve">Loan to cost</t>
  </si>
  <si>
    <t xml:space="preserve">Average drawn share</t>
  </si>
  <si>
    <t xml:space="preserve">Interest rate a year</t>
  </si>
  <si>
    <t xml:space="preserve">Term, years</t>
  </si>
  <si>
    <t xml:space="preserve">Target profit on cost</t>
  </si>
  <si>
    <t xml:space="preserve">Retention time value credited against finance</t>
  </si>
  <si>
    <t xml:space="preserve">The contract sum, computed once and held</t>
  </si>
  <si>
    <t xml:space="preserve">No sensitivity below moves any of these. That is the point of Chapter 14.</t>
  </si>
  <si>
    <t xml:space="preserve">Contract sum</t>
  </si>
  <si>
    <t xml:space="preserve">Measured works</t>
  </si>
  <si>
    <t xml:space="preserve">Works total</t>
  </si>
  <si>
    <t xml:space="preserve">Preliminaries</t>
  </si>
  <si>
    <t xml:space="preserve">Overheads and profit</t>
  </si>
  <si>
    <t xml:space="preserve">Subtotal before the allowance</t>
  </si>
  <si>
    <t xml:space="preserve">Also the value exposed to late design</t>
  </si>
  <si>
    <t xml:space="preserve">Design development allowance</t>
  </si>
  <si>
    <t xml:space="preserve">CONTRACT SUM</t>
  </si>
  <si>
    <t xml:space="preserve">Constants used by every table</t>
  </si>
  <si>
    <t xml:space="preserve">Time-related preliminaries per week</t>
  </si>
  <si>
    <t xml:space="preserve">Trade spend per week</t>
  </si>
  <si>
    <t xml:space="preserve">Liquidated damages cap</t>
  </si>
  <si>
    <t xml:space="preserve">Retention held</t>
  </si>
  <si>
    <t xml:space="preserve">Revenue</t>
  </si>
  <si>
    <t xml:space="preserve">Finance at the sized facility, net of the retention credit</t>
  </si>
  <si>
    <t xml:space="preserve">Sale costs</t>
  </si>
  <si>
    <t xml:space="preserve">Six one-input sensitivities on the Case A bridge</t>
  </si>
  <si>
    <t xml:space="preserve">Each table moves ONE input and holds the contract sum where it is. The shaded row is the base case.</t>
  </si>
  <si>
    <t xml:space="preserve">Steep at the bottom, then a plateau: past about 85 per cent the contractor's allowance absorbs the whole of the remaining exposure and none of it reaches the client.</t>
  </si>
  <si>
    <t xml:space="preserve">Input</t>
  </si>
  <si>
    <t xml:space="preserve">Design development</t>
  </si>
  <si>
    <t xml:space="preserve">Client changes, scope</t>
  </si>
  <si>
    <t xml:space="preserve">Client changes, premium</t>
  </si>
  <si>
    <t xml:space="preserve">Prolongation</t>
  </si>
  <si>
    <t xml:space="preserve">Disruption</t>
  </si>
  <si>
    <t xml:space="preserve">Statutory change</t>
  </si>
  <si>
    <t xml:space="preserve">Escalation</t>
  </si>
  <si>
    <t xml:space="preserve">Liquidated damages</t>
  </si>
  <si>
    <t xml:space="preserve">Retention never released</t>
  </si>
  <si>
    <t xml:space="preserve">MOVEMENT</t>
  </si>
  <si>
    <t xml:space="preserve">Gap</t>
  </si>
  <si>
    <t xml:space="preserve">Final account</t>
  </si>
  <si>
    <t xml:space="preserve">Span (highest movement less lowest)</t>
  </si>
  <si>
    <t xml:space="preserve">Close to linear: every pound above the allowance is a pound of gap, plus the escalation on it. The first row is the case where the sums release exactly at allowance.</t>
  </si>
  <si>
    <t xml:space="preserve">Post-award pricing premium on client changes</t>
  </si>
  <si>
    <t xml:space="preserve">The flattest table in the book, and the line clients spend the most management attention on.</t>
  </si>
  <si>
    <t xml:space="preserve">Weeks of extension of time granted</t>
  </si>
  <si>
    <t xml:space="preserve">Not linear as it first appears: each week of extension also removes a week of liquidated damages, and past 14 there are no contractor-risk weeks left to convert.</t>
  </si>
  <si>
    <t xml:space="preserve">Even at zero this project still moves by most of its gap. Disruption is not the story here.</t>
  </si>
  <si>
    <t xml:space="preserve">Escalation index a year</t>
  </si>
  <si>
    <t xml:space="preserve">A derived line: escalation is a tax on the other lines, computed on a base the other inputs set.</t>
  </si>
  <si>
    <t xml:space="preserve">The six inputs, ranked by span</t>
  </si>
  <si>
    <t xml:space="preserve">Span is the difference between the largest and smallest movement the table produces.</t>
  </si>
  <si>
    <t xml:space="preserve">Input, largest span first</t>
  </si>
  <si>
    <t xml:space="preserve">Span</t>
  </si>
  <si>
    <t xml:space="preserve">Share of the base gap</t>
  </si>
  <si>
    <t xml:space="preserve">Does the client control it before signature?</t>
  </si>
  <si>
    <t xml:space="preserve">Working: the six tables in chapter order</t>
  </si>
  <si>
    <t xml:space="preserve">Client control before signature (Chapter 14)</t>
  </si>
  <si>
    <t xml:space="preserve">Full. It is a measurement of the client's own design program.</t>
  </si>
  <si>
    <t xml:space="preserve">Full. The schedule of sums is written by the client's team before tender.</t>
  </si>
  <si>
    <t xml:space="preserve">Partial. The premium follows leverage, and leverage follows completeness.</t>
  </si>
  <si>
    <t xml:space="preserve">None directly. The client's influence is exercised before signature, through the events its documents generate and the records its contract requires.</t>
  </si>
  <si>
    <t xml:space="preserve">Minimal. Not knowable at signature (Chapter 7).</t>
  </si>
  <si>
    <t xml:space="preserve">None. The index is a market fact, though the base exposed to it is not.</t>
  </si>
  <si>
    <t xml:space="preserve">Largest single-input span</t>
  </si>
  <si>
    <t xml:space="preserve">The joint move (Case B, Workbook 1): final account lower by</t>
  </si>
  <si>
    <t xml:space="preserve">The joint move exceeds the largest single move by</t>
  </si>
  <si>
    <t xml:space="preserve">Read this ranking as a ranking of THIS project's inputs at THIS project's values.</t>
  </si>
  <si>
    <t xml:space="preserve">What generalizes is the method and the two rules on the Read me sheet, not the order.</t>
  </si>
  <si>
    <t xml:space="preserve">Revised 24 September 2026: the rows are now sorted by span (they were in chapter order), and the control column follows the table in Chapter 14.</t>
  </si>
  <si>
    <t xml:space="preserve">Design completeness read against the developer's return</t>
  </si>
  <si>
    <t xml:space="preserve">The contract sum is held where it is, so this is a stress test and not a procurement. Case B is a different contract sum.</t>
  </si>
  <si>
    <t xml:space="preserve">Design issued at contract</t>
  </si>
  <si>
    <t xml:space="preserve">Movement</t>
  </si>
  <si>
    <t xml:space="preserve">Fees</t>
  </si>
  <si>
    <t xml:space="preserve">Total cost</t>
  </si>
  <si>
    <t xml:space="preserve">Profit</t>
  </si>
  <si>
    <t xml:space="preserve">Profit on cost</t>
  </si>
  <si>
    <t xml:space="preserve">Clears the target</t>
  </si>
  <si>
    <t xml:space="preserve">Not one row clears the target.</t>
  </si>
  <si>
    <t xml:space="preserve">Design completeness alone, without re-pricing the contract, cannot rescue a scheme whose headroom is 2.8 per cent.</t>
  </si>
  <si>
    <t xml:space="preserve">Columns K and L are working columns for the design development line and the escalation on it.</t>
  </si>
  <si>
    <t xml:space="preserve">Checks</t>
  </si>
  <si>
    <t xml:space="preserve">Every figure as printed in the book, beside the figure this workbook computes.</t>
  </si>
  <si>
    <t xml:space="preserve">A FAIL means the workbook is wrong, not the book. Everything here is computed from the raw inputs, so every check is exact.</t>
  </si>
  <si>
    <t xml:space="preserve">Figure</t>
  </si>
  <si>
    <t xml:space="preserve">As printed</t>
  </si>
  <si>
    <t xml:space="preserve">Computed</t>
  </si>
  <si>
    <t xml:space="preserve">Difference</t>
  </si>
  <si>
    <t xml:space="preserve">Verdict</t>
  </si>
  <si>
    <t xml:space="preserve">Tolerance</t>
  </si>
  <si>
    <t xml:space="preserve">The contract sum, held by every table</t>
  </si>
  <si>
    <t xml:space="preserve">Value exposed to late design</t>
  </si>
  <si>
    <t xml:space="preserve">Movement, row 1</t>
  </si>
  <si>
    <t xml:space="preserve">Final account, row 1</t>
  </si>
  <si>
    <t xml:space="preserve">Movement, row 2</t>
  </si>
  <si>
    <t xml:space="preserve">Final account, row 2</t>
  </si>
  <si>
    <t xml:space="preserve">Movement, row 3</t>
  </si>
  <si>
    <t xml:space="preserve">Final account, row 3</t>
  </si>
  <si>
    <t xml:space="preserve">Movement, row 4</t>
  </si>
  <si>
    <t xml:space="preserve">Final account, row 4</t>
  </si>
  <si>
    <t xml:space="preserve">Movement, row 5</t>
  </si>
  <si>
    <t xml:space="preserve">Final account, row 5</t>
  </si>
  <si>
    <t xml:space="preserve">Weeks of extension of time</t>
  </si>
  <si>
    <t xml:space="preserve">Escalation index</t>
  </si>
  <si>
    <t xml:space="preserve">Design completeness against profit</t>
  </si>
  <si>
    <t xml:space="preserve">Movement at 55 per cent</t>
  </si>
  <si>
    <t xml:space="preserve">Final account at 55 per cent</t>
  </si>
  <si>
    <t xml:space="preserve">Profit on cost at 55 per cent</t>
  </si>
  <si>
    <t xml:space="preserve">Movement at 65 per cent</t>
  </si>
  <si>
    <t xml:space="preserve">Final account at 65 per cent</t>
  </si>
  <si>
    <t xml:space="preserve">Profit on cost at 65 per cent</t>
  </si>
  <si>
    <t xml:space="preserve">Movement at 72 per cent</t>
  </si>
  <si>
    <t xml:space="preserve">Final account at 72 per cent</t>
  </si>
  <si>
    <t xml:space="preserve">Profit on cost at 72 per cent</t>
  </si>
  <si>
    <t xml:space="preserve">Movement at 80 per cent</t>
  </si>
  <si>
    <t xml:space="preserve">Final account at 80 per cent</t>
  </si>
  <si>
    <t xml:space="preserve">Profit on cost at 80 per cent</t>
  </si>
  <si>
    <t xml:space="preserve">Movement at 85 per cent</t>
  </si>
  <si>
    <t xml:space="preserve">Final account at 85 per cent</t>
  </si>
  <si>
    <t xml:space="preserve">Profit on cost at 85 per cent</t>
  </si>
  <si>
    <t xml:space="preserve">Movement at 90 per cent</t>
  </si>
  <si>
    <t xml:space="preserve">Final account at 90 per cent</t>
  </si>
  <si>
    <t xml:space="preserve">Profit on cost at 90 per cent</t>
  </si>
  <si>
    <t xml:space="preserve">Movement at 96 per cent</t>
  </si>
  <si>
    <t xml:space="preserve">Final account at 96 per cent</t>
  </si>
  <si>
    <t xml:space="preserve">Profit on cost at 96 per cent</t>
  </si>
  <si>
    <t xml:space="preserve">Ranking and layout (revised 24 September 2026)</t>
  </si>
  <si>
    <t xml:space="preserve">Ranking: spans in descending order (1 = yes)</t>
  </si>
  <si>
    <t xml:space="preserve">Ranking: first is provisional sums, second design completeness (1 = yes)</t>
  </si>
  <si>
    <t xml:space="preserve">Ranking: last is the post-award pricing premium (1 = yes)</t>
  </si>
  <si>
    <t xml:space="preserve">Tables: the MOVEMENT header sits over the column that sums the eleven lines (1 = yes, all six tables)</t>
  </si>
  <si>
    <t xml:space="preserve">Checks run</t>
  </si>
  <si>
    <t xml:space="preserve">PASS</t>
  </si>
  <si>
    <t xml:space="preserve">FAIL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</si>
</sst>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0.0%"/>
    <numFmt numFmtId="167" formatCode="#,##0.0"/>
    <numFmt numFmtId="168" formatCode="0.00%"/>
    <numFmt numFmtId="169" formatCode="#,##0.0000"/>
    <numFmt numFmtId="170" formatCode="0.00000000"/>
    <numFmt numFmtId="171" formatCode="0.0000%"/>
    <numFmt numFmtId="172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83A"/>
      <name val="Calibri"/>
      <family val="0"/>
      <charset val="1"/>
    </font>
    <font>
      <b val="true"/>
      <sz val="11"/>
      <color rgb="FF14283A"/>
      <name val="Calibri"/>
      <family val="0"/>
      <charset val="1"/>
    </font>
    <font>
      <sz val="10"/>
      <name val="Calibri"/>
      <family val="0"/>
      <charset val="1"/>
    </font>
    <font>
      <sz val="10"/>
      <color rgb="FF0000CC"/>
      <name val="Calibri"/>
      <family val="0"/>
      <charset val="1"/>
    </font>
    <font>
      <sz val="9"/>
      <color rgb="FF666666"/>
      <name val="Calibri"/>
      <family val="0"/>
      <charset val="1"/>
    </font>
    <font>
      <b val="true"/>
      <sz val="10"/>
      <name val="Calibri"/>
      <family val="0"/>
      <charset val="1"/>
    </font>
    <font>
      <sz val="10"/>
      <color rgb="FF0066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8EEF4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BBBBB"/>
      </bottom>
      <diagonal/>
    </border>
    <border diagonalUp="false" diagonalDown="false">
      <left/>
      <right/>
      <top style="thin">
        <color rgb="FF33333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EF4"/>
      <rgbColor rgb="FFFF0000"/>
      <rgbColor rgb="FF00FF00"/>
      <rgbColor rgb="FF0000CC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428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5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2" t="s">
        <v>3</v>
      </c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2" t="s">
        <v>7</v>
      </c>
    </row>
    <row r="13" customFormat="false" ht="15" hidden="false" customHeight="false" outlineLevel="0" collapsed="false">
      <c r="B13" s="3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3"/>
    </row>
    <row r="17" customFormat="false" ht="15" hidden="false" customHeight="false" outlineLevel="0" collapsed="false">
      <c r="B17" s="2" t="s">
        <v>11</v>
      </c>
    </row>
    <row r="18" customFormat="false" ht="15" hidden="false" customHeight="false" outlineLevel="0" collapsed="false">
      <c r="B18" s="3" t="s">
        <v>12</v>
      </c>
    </row>
    <row r="19" customFormat="false" ht="15" hidden="false" customHeight="false" outlineLevel="0" collapsed="false">
      <c r="B19" s="3" t="s">
        <v>13</v>
      </c>
    </row>
    <row r="20" customFormat="false" ht="15" hidden="false" customHeight="false" outlineLevel="0" collapsed="false">
      <c r="B20" s="3" t="s">
        <v>14</v>
      </c>
    </row>
    <row r="21" customFormat="false" ht="15" hidden="false" customHeight="false" outlineLevel="0" collapsed="false">
      <c r="B21" s="3"/>
    </row>
    <row r="22" customFormat="false" ht="15" hidden="false" customHeight="false" outlineLevel="0" collapsed="false">
      <c r="B22" s="3" t="s">
        <v>15</v>
      </c>
    </row>
    <row r="23" customFormat="false" ht="15" hidden="false" customHeight="false" outlineLevel="0" collapsed="false">
      <c r="B23" s="3" t="s">
        <v>16</v>
      </c>
    </row>
    <row r="25" customFormat="false" ht="15" hidden="false" customHeight="false" outlineLevel="0" collapsed="false">
      <c r="B25" s="2" t="s">
        <v>17</v>
      </c>
    </row>
    <row r="26" customFormat="false" ht="15" hidden="false" customHeight="false" outlineLevel="0" collapsed="false">
      <c r="B26" s="3" t="s">
        <v>18</v>
      </c>
    </row>
    <row r="27" customFormat="false" ht="15" hidden="false" customHeight="false" outlineLevel="0" collapsed="false">
      <c r="B27" s="3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D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4"/>
    <col collapsed="false" customWidth="true" hidden="false" outlineLevel="0" max="3" min="3" style="0" width="16"/>
    <col collapsed="false" customWidth="true" hidden="false" outlineLevel="0" max="4" min="4" style="0" width="60"/>
  </cols>
  <sheetData>
    <row r="2" customFormat="false" ht="17.35" hidden="false" customHeight="false" outlineLevel="0" collapsed="false">
      <c r="B2" s="1" t="s">
        <v>20</v>
      </c>
    </row>
    <row r="3" customFormat="false" ht="15" hidden="false" customHeight="false" outlineLevel="0" collapsed="false">
      <c r="B3" s="3" t="s">
        <v>21</v>
      </c>
    </row>
    <row r="5" customFormat="false" ht="15" hidden="false" customHeight="false" outlineLevel="0" collapsed="false">
      <c r="B5" s="4" t="s">
        <v>22</v>
      </c>
      <c r="C5" s="5"/>
      <c r="D5" s="5"/>
    </row>
    <row r="6" customFormat="false" ht="15" hidden="false" customHeight="false" outlineLevel="0" collapsed="false">
      <c r="B6" s="3" t="s">
        <v>23</v>
      </c>
      <c r="C6" s="6" t="n">
        <v>96</v>
      </c>
    </row>
    <row r="7" customFormat="false" ht="15" hidden="false" customHeight="false" outlineLevel="0" collapsed="false">
      <c r="B7" s="3" t="s">
        <v>24</v>
      </c>
      <c r="C7" s="6" t="n">
        <v>8640</v>
      </c>
    </row>
    <row r="8" customFormat="false" ht="15" hidden="false" customHeight="false" outlineLevel="0" collapsed="false">
      <c r="B8" s="3" t="s">
        <v>25</v>
      </c>
      <c r="C8" s="6" t="n">
        <v>7344</v>
      </c>
    </row>
    <row r="10" customFormat="false" ht="15" hidden="false" customHeight="false" outlineLevel="0" collapsed="false">
      <c r="B10" s="3" t="s">
        <v>26</v>
      </c>
      <c r="C10" s="6" t="n">
        <v>94</v>
      </c>
    </row>
    <row r="12" customFormat="false" ht="15" hidden="false" customHeight="false" outlineLevel="0" collapsed="false">
      <c r="B12" s="4" t="s">
        <v>27</v>
      </c>
      <c r="C12" s="5"/>
      <c r="D12" s="5"/>
    </row>
    <row r="13" customFormat="false" ht="15" hidden="false" customHeight="false" outlineLevel="0" collapsed="false">
      <c r="B13" s="3" t="s">
        <v>28</v>
      </c>
      <c r="C13" s="6" t="n">
        <v>2180</v>
      </c>
    </row>
    <row r="14" customFormat="false" ht="15" hidden="false" customHeight="false" outlineLevel="0" collapsed="false">
      <c r="B14" s="3" t="s">
        <v>29</v>
      </c>
      <c r="C14" s="6" t="n">
        <v>1240000</v>
      </c>
    </row>
    <row r="15" customFormat="false" ht="15" hidden="false" customHeight="false" outlineLevel="0" collapsed="false">
      <c r="B15" s="3" t="s">
        <v>30</v>
      </c>
      <c r="C15" s="7" t="n">
        <v>0.15</v>
      </c>
    </row>
    <row r="16" customFormat="false" ht="15" hidden="false" customHeight="false" outlineLevel="0" collapsed="false">
      <c r="B16" s="3" t="s">
        <v>31</v>
      </c>
      <c r="C16" s="7" t="n">
        <v>0.06</v>
      </c>
    </row>
    <row r="17" customFormat="false" ht="15" hidden="false" customHeight="false" outlineLevel="0" collapsed="false">
      <c r="B17" s="3" t="s">
        <v>32</v>
      </c>
      <c r="C17" s="7" t="n">
        <v>0.02</v>
      </c>
    </row>
    <row r="18" customFormat="false" ht="15" hidden="false" customHeight="false" outlineLevel="0" collapsed="false">
      <c r="B18" s="3" t="s">
        <v>33</v>
      </c>
      <c r="C18" s="6" t="n">
        <v>1340000</v>
      </c>
    </row>
    <row r="20" customFormat="false" ht="15" hidden="false" customHeight="false" outlineLevel="0" collapsed="false">
      <c r="B20" s="4" t="s">
        <v>34</v>
      </c>
      <c r="C20" s="5"/>
      <c r="D20" s="5"/>
    </row>
    <row r="21" customFormat="false" ht="15" hidden="false" customHeight="false" outlineLevel="0" collapsed="false">
      <c r="B21" s="3" t="s">
        <v>35</v>
      </c>
      <c r="C21" s="7" t="n">
        <v>0.72</v>
      </c>
    </row>
    <row r="22" customFormat="false" ht="15" hidden="false" customHeight="false" outlineLevel="0" collapsed="false">
      <c r="B22" s="3" t="s">
        <v>36</v>
      </c>
      <c r="C22" s="7" t="n">
        <v>0.135</v>
      </c>
    </row>
    <row r="23" customFormat="false" ht="15" hidden="false" customHeight="false" outlineLevel="0" collapsed="false">
      <c r="B23" s="3" t="s">
        <v>37</v>
      </c>
      <c r="C23" s="6" t="n">
        <v>2150000</v>
      </c>
    </row>
    <row r="24" customFormat="false" ht="15" hidden="false" customHeight="false" outlineLevel="0" collapsed="false">
      <c r="B24" s="3" t="s">
        <v>38</v>
      </c>
      <c r="C24" s="6" t="n">
        <v>742000</v>
      </c>
    </row>
    <row r="25" customFormat="false" ht="15" hidden="false" customHeight="false" outlineLevel="0" collapsed="false">
      <c r="B25" s="3" t="s">
        <v>39</v>
      </c>
      <c r="C25" s="7" t="n">
        <v>0.142</v>
      </c>
    </row>
    <row r="26" customFormat="false" ht="15" hidden="false" customHeight="false" outlineLevel="0" collapsed="false">
      <c r="B26" s="3" t="s">
        <v>40</v>
      </c>
      <c r="C26" s="6" t="n">
        <v>14</v>
      </c>
    </row>
    <row r="27" customFormat="false" ht="15" hidden="false" customHeight="false" outlineLevel="0" collapsed="false">
      <c r="B27" s="3" t="s">
        <v>41</v>
      </c>
      <c r="C27" s="6" t="n">
        <v>11</v>
      </c>
    </row>
    <row r="28" customFormat="false" ht="15" hidden="false" customHeight="false" outlineLevel="0" collapsed="false">
      <c r="B28" s="3" t="s">
        <v>42</v>
      </c>
      <c r="C28" s="7" t="n">
        <v>0.72</v>
      </c>
    </row>
    <row r="29" customFormat="false" ht="15" hidden="false" customHeight="false" outlineLevel="0" collapsed="false">
      <c r="B29" s="3" t="s">
        <v>43</v>
      </c>
      <c r="C29" s="6" t="n">
        <v>11200000</v>
      </c>
    </row>
    <row r="30" customFormat="false" ht="15" hidden="false" customHeight="false" outlineLevel="0" collapsed="false">
      <c r="B30" s="3" t="s">
        <v>44</v>
      </c>
      <c r="C30" s="6" t="n">
        <v>22</v>
      </c>
    </row>
    <row r="31" customFormat="false" ht="15" hidden="false" customHeight="false" outlineLevel="0" collapsed="false">
      <c r="B31" s="3" t="s">
        <v>45</v>
      </c>
      <c r="C31" s="7" t="n">
        <v>0.11</v>
      </c>
    </row>
    <row r="32" customFormat="false" ht="15" hidden="false" customHeight="false" outlineLevel="0" collapsed="false">
      <c r="B32" s="3" t="s">
        <v>46</v>
      </c>
      <c r="C32" s="6" t="n">
        <v>310000</v>
      </c>
    </row>
    <row r="34" customFormat="false" ht="15" hidden="false" customHeight="false" outlineLevel="0" collapsed="false">
      <c r="B34" s="3" t="s">
        <v>47</v>
      </c>
      <c r="C34" s="7" t="n">
        <v>0.041</v>
      </c>
    </row>
    <row r="35" customFormat="false" ht="15" hidden="false" customHeight="false" outlineLevel="0" collapsed="false">
      <c r="B35" s="3" t="s">
        <v>48</v>
      </c>
      <c r="C35" s="6" t="n">
        <v>19</v>
      </c>
    </row>
    <row r="36" customFormat="false" ht="15" hidden="false" customHeight="false" outlineLevel="0" collapsed="false">
      <c r="B36" s="3" t="s">
        <v>49</v>
      </c>
      <c r="C36" s="6" t="n">
        <v>96000</v>
      </c>
    </row>
    <row r="37" customFormat="false" ht="15" hidden="false" customHeight="false" outlineLevel="0" collapsed="false">
      <c r="B37" s="3" t="s">
        <v>50</v>
      </c>
      <c r="C37" s="6" t="n">
        <v>14500</v>
      </c>
    </row>
    <row r="38" customFormat="false" ht="15" hidden="false" customHeight="false" outlineLevel="0" collapsed="false">
      <c r="B38" s="3" t="s">
        <v>51</v>
      </c>
      <c r="C38" s="7" t="n">
        <v>0.05</v>
      </c>
    </row>
    <row r="39" customFormat="false" ht="15" hidden="false" customHeight="false" outlineLevel="0" collapsed="false">
      <c r="B39" s="3" t="s">
        <v>52</v>
      </c>
      <c r="C39" s="7" t="n">
        <v>0.03</v>
      </c>
    </row>
    <row r="40" customFormat="false" ht="15" hidden="false" customHeight="false" outlineLevel="0" collapsed="false">
      <c r="B40" s="3" t="s">
        <v>53</v>
      </c>
      <c r="C40" s="7" t="n">
        <v>0.115</v>
      </c>
    </row>
    <row r="42" customFormat="false" ht="15" hidden="false" customHeight="false" outlineLevel="0" collapsed="false">
      <c r="B42" s="4" t="s">
        <v>54</v>
      </c>
      <c r="C42" s="5"/>
      <c r="D42" s="5"/>
    </row>
    <row r="43" customFormat="false" ht="15" hidden="false" customHeight="false" outlineLevel="0" collapsed="false">
      <c r="B43" s="3" t="s">
        <v>55</v>
      </c>
      <c r="C43" s="6" t="n">
        <v>472000</v>
      </c>
    </row>
    <row r="44" customFormat="false" ht="15" hidden="false" customHeight="false" outlineLevel="0" collapsed="false">
      <c r="B44" s="3" t="s">
        <v>56</v>
      </c>
      <c r="C44" s="6" t="n">
        <v>6200000</v>
      </c>
    </row>
    <row r="45" customFormat="false" ht="15" hidden="false" customHeight="false" outlineLevel="0" collapsed="false">
      <c r="B45" s="3" t="s">
        <v>57</v>
      </c>
      <c r="C45" s="7" t="n">
        <v>0.098</v>
      </c>
    </row>
    <row r="46" customFormat="false" ht="15" hidden="false" customHeight="false" outlineLevel="0" collapsed="false">
      <c r="B46" s="3" t="s">
        <v>58</v>
      </c>
      <c r="C46" s="7" t="n">
        <v>0.022</v>
      </c>
    </row>
    <row r="47" customFormat="false" ht="15" hidden="false" customHeight="false" outlineLevel="0" collapsed="false">
      <c r="B47" s="3" t="s">
        <v>59</v>
      </c>
      <c r="C47" s="7" t="n">
        <v>0.65</v>
      </c>
    </row>
    <row r="48" customFormat="false" ht="15" hidden="false" customHeight="false" outlineLevel="0" collapsed="false">
      <c r="B48" s="3" t="s">
        <v>60</v>
      </c>
      <c r="C48" s="7" t="n">
        <v>0.6</v>
      </c>
    </row>
    <row r="49" customFormat="false" ht="15" hidden="false" customHeight="false" outlineLevel="0" collapsed="false">
      <c r="B49" s="3" t="s">
        <v>61</v>
      </c>
      <c r="C49" s="7" t="n">
        <v>0.079</v>
      </c>
    </row>
    <row r="50" customFormat="false" ht="15" hidden="false" customHeight="false" outlineLevel="0" collapsed="false">
      <c r="B50" s="3" t="s">
        <v>62</v>
      </c>
      <c r="C50" s="8" t="n">
        <v>2.4</v>
      </c>
    </row>
    <row r="51" customFormat="false" ht="15" hidden="false" customHeight="false" outlineLevel="0" collapsed="false">
      <c r="B51" s="3" t="s">
        <v>63</v>
      </c>
      <c r="C51" s="7" t="n">
        <v>0.15</v>
      </c>
    </row>
    <row r="52" customFormat="false" ht="15" hidden="false" customHeight="false" outlineLevel="0" collapsed="false">
      <c r="B52" s="3" t="s">
        <v>64</v>
      </c>
      <c r="C52" s="6" t="n">
        <v>71923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6"/>
    <col collapsed="false" customWidth="true" hidden="false" outlineLevel="0" max="3" min="3" style="0" width="18"/>
    <col collapsed="false" customWidth="true" hidden="false" outlineLevel="0" max="4" min="4" style="0" width="56"/>
  </cols>
  <sheetData>
    <row r="2" customFormat="false" ht="17.35" hidden="false" customHeight="false" outlineLevel="0" collapsed="false">
      <c r="B2" s="1" t="s">
        <v>65</v>
      </c>
    </row>
    <row r="3" customFormat="false" ht="15" hidden="false" customHeight="false" outlineLevel="0" collapsed="false">
      <c r="B3" s="3" t="s">
        <v>66</v>
      </c>
    </row>
    <row r="5" customFormat="false" ht="15" hidden="false" customHeight="false" outlineLevel="0" collapsed="false">
      <c r="B5" s="4" t="s">
        <v>67</v>
      </c>
      <c r="C5" s="5"/>
      <c r="D5" s="5"/>
    </row>
    <row r="6" customFormat="false" ht="15" hidden="false" customHeight="false" outlineLevel="0" collapsed="false">
      <c r="B6" s="3" t="s">
        <v>68</v>
      </c>
      <c r="C6" s="9" t="n">
        <f aca="false">Inputs!$C$13*Inputs!$C$7</f>
        <v>18835200</v>
      </c>
    </row>
    <row r="7" customFormat="false" ht="15" hidden="false" customHeight="false" outlineLevel="0" collapsed="false">
      <c r="B7" s="3" t="s">
        <v>29</v>
      </c>
      <c r="C7" s="9" t="n">
        <f aca="false">Inputs!$C$14</f>
        <v>1240000</v>
      </c>
    </row>
    <row r="8" customFormat="false" ht="15" hidden="false" customHeight="false" outlineLevel="0" collapsed="false">
      <c r="B8" s="3" t="s">
        <v>69</v>
      </c>
      <c r="C8" s="9" t="n">
        <f aca="false">C6+C7</f>
        <v>20075200</v>
      </c>
    </row>
    <row r="9" customFormat="false" ht="15" hidden="false" customHeight="false" outlineLevel="0" collapsed="false">
      <c r="B9" s="3" t="s">
        <v>70</v>
      </c>
      <c r="C9" s="9" t="n">
        <f aca="false">C8*Inputs!$C$15</f>
        <v>3011280</v>
      </c>
    </row>
    <row r="10" customFormat="false" ht="15" hidden="false" customHeight="false" outlineLevel="0" collapsed="false">
      <c r="B10" s="3" t="s">
        <v>71</v>
      </c>
      <c r="C10" s="9" t="n">
        <f aca="false">(C8+C9)*Inputs!$C$16</f>
        <v>1385188.8</v>
      </c>
    </row>
    <row r="11" customFormat="false" ht="15" hidden="false" customHeight="false" outlineLevel="0" collapsed="false">
      <c r="B11" s="3" t="s">
        <v>72</v>
      </c>
      <c r="C11" s="9" t="n">
        <f aca="false">C8+C9+C10</f>
        <v>24471668.8</v>
      </c>
      <c r="D11" s="10" t="s">
        <v>73</v>
      </c>
    </row>
    <row r="12" customFormat="false" ht="15" hidden="false" customHeight="false" outlineLevel="0" collapsed="false">
      <c r="B12" s="3" t="s">
        <v>74</v>
      </c>
      <c r="C12" s="9" t="n">
        <f aca="false">C11*Inputs!$C$17</f>
        <v>489433.376</v>
      </c>
    </row>
    <row r="13" customFormat="false" ht="15" hidden="false" customHeight="false" outlineLevel="0" collapsed="false">
      <c r="B13" s="3" t="s">
        <v>33</v>
      </c>
      <c r="C13" s="9" t="n">
        <f aca="false">Inputs!$C$18</f>
        <v>1340000</v>
      </c>
    </row>
    <row r="14" customFormat="false" ht="15" hidden="false" customHeight="false" outlineLevel="0" collapsed="false">
      <c r="B14" s="11" t="s">
        <v>75</v>
      </c>
      <c r="C14" s="12" t="n">
        <f aca="false">C11+C12+C13</f>
        <v>26301102.176</v>
      </c>
    </row>
    <row r="16" customFormat="false" ht="15" hidden="false" customHeight="false" outlineLevel="0" collapsed="false">
      <c r="B16" s="4" t="s">
        <v>76</v>
      </c>
      <c r="C16" s="5"/>
      <c r="D16" s="5"/>
    </row>
    <row r="17" customFormat="false" ht="15" hidden="false" customHeight="false" outlineLevel="0" collapsed="false">
      <c r="B17" s="3" t="s">
        <v>77</v>
      </c>
      <c r="C17" s="9" t="n">
        <f aca="false">C9*Inputs!$C$28/Inputs!$C$10</f>
        <v>23065.1234042553</v>
      </c>
    </row>
    <row r="18" customFormat="false" ht="15" hidden="false" customHeight="false" outlineLevel="0" collapsed="false">
      <c r="B18" s="3" t="s">
        <v>78</v>
      </c>
      <c r="C18" s="9" t="n">
        <f aca="false">Inputs!$C$29/Inputs!$C$10</f>
        <v>119148.936170213</v>
      </c>
    </row>
    <row r="19" customFormat="false" ht="15" hidden="false" customHeight="false" outlineLevel="0" collapsed="false">
      <c r="B19" s="3" t="s">
        <v>79</v>
      </c>
      <c r="C19" s="9" t="n">
        <f aca="false">C14*Inputs!$C$38</f>
        <v>1315055.1088</v>
      </c>
    </row>
    <row r="20" customFormat="false" ht="15" hidden="false" customHeight="false" outlineLevel="0" collapsed="false">
      <c r="B20" s="3" t="s">
        <v>80</v>
      </c>
      <c r="C20" s="9" t="n">
        <f aca="false">C14*Inputs!$C$39</f>
        <v>789033.06528</v>
      </c>
    </row>
    <row r="21" customFormat="false" ht="15" hidden="false" customHeight="false" outlineLevel="0" collapsed="false">
      <c r="B21" s="3" t="s">
        <v>81</v>
      </c>
      <c r="C21" s="9" t="n">
        <f aca="false">Inputs!$C$6*Inputs!$C$43</f>
        <v>45312000</v>
      </c>
    </row>
    <row r="22" customFormat="false" ht="15" hidden="false" customHeight="false" outlineLevel="0" collapsed="false">
      <c r="B22" s="3" t="s">
        <v>82</v>
      </c>
      <c r="C22" s="9" t="n">
        <f aca="false">(Inputs!$C$44+C14+C14*Inputs!$C$45)*Inputs!$C$47*Inputs!$C$48*Inputs!$C$49*Inputs!$C$50-Inputs!$C$52</f>
        <v>2521929.75183375</v>
      </c>
    </row>
    <row r="23" customFormat="false" ht="15" hidden="false" customHeight="false" outlineLevel="0" collapsed="false">
      <c r="B23" s="3" t="s">
        <v>83</v>
      </c>
      <c r="C23" s="9" t="n">
        <f aca="false">C21*Inputs!$C$46</f>
        <v>996864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Q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0" topLeftCell="C1" activePane="topRight" state="frozen"/>
      <selection pane="topLeft" activeCell="A1" activeCellId="0" sqref="A1"/>
      <selection pane="top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17" min="3" style="0" width="13"/>
  </cols>
  <sheetData>
    <row r="2" customFormat="false" ht="17.35" hidden="false" customHeight="false" outlineLevel="0" collapsed="false">
      <c r="B2" s="1" t="s">
        <v>84</v>
      </c>
    </row>
    <row r="3" customFormat="false" ht="15" hidden="false" customHeight="false" outlineLevel="0" collapsed="false">
      <c r="B3" s="3" t="s">
        <v>85</v>
      </c>
    </row>
    <row r="5" customFormat="false" ht="15" hidden="false" customHeight="false" outlineLevel="0" collapsed="false">
      <c r="B5" s="4" t="s">
        <v>35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customFormat="false" ht="15" hidden="false" customHeight="false" outlineLevel="0" collapsed="false">
      <c r="B6" s="10" t="s">
        <v>86</v>
      </c>
    </row>
    <row r="7" customFormat="false" ht="42" hidden="false" customHeight="true" outlineLevel="0" collapsed="false">
      <c r="B7" s="13" t="s">
        <v>87</v>
      </c>
      <c r="C7" s="13"/>
      <c r="D7" s="13" t="s">
        <v>88</v>
      </c>
      <c r="E7" s="13" t="s">
        <v>33</v>
      </c>
      <c r="F7" s="13" t="s">
        <v>89</v>
      </c>
      <c r="G7" s="13" t="s">
        <v>90</v>
      </c>
      <c r="H7" s="13" t="s">
        <v>91</v>
      </c>
      <c r="I7" s="13" t="s">
        <v>92</v>
      </c>
      <c r="J7" s="13" t="s">
        <v>93</v>
      </c>
      <c r="K7" s="13" t="s">
        <v>94</v>
      </c>
      <c r="L7" s="13" t="s">
        <v>49</v>
      </c>
      <c r="M7" s="13" t="s">
        <v>95</v>
      </c>
      <c r="N7" s="13" t="s">
        <v>96</v>
      </c>
      <c r="O7" s="13" t="s">
        <v>97</v>
      </c>
      <c r="P7" s="13" t="s">
        <v>98</v>
      </c>
      <c r="Q7" s="13" t="s">
        <v>99</v>
      </c>
    </row>
    <row r="8" customFormat="false" ht="15" hidden="false" customHeight="false" outlineLevel="0" collapsed="false">
      <c r="B8" s="7" t="n">
        <v>0.55</v>
      </c>
      <c r="D8" s="9" t="n">
        <f aca="false">MAX(0,Base!$C$11*(1-$B$8)*Inputs!$C$22-Base!$C$12)</f>
        <v>997220.5036</v>
      </c>
      <c r="E8" s="9" t="n">
        <f aca="false">Inputs!$C$23-Inputs!$C$18</f>
        <v>810000</v>
      </c>
      <c r="F8" s="9" t="n">
        <f aca="false">Inputs!$C$24</f>
        <v>742000</v>
      </c>
      <c r="G8" s="9" t="n">
        <f aca="false">Inputs!$C$24*Inputs!$C$25</f>
        <v>105364</v>
      </c>
      <c r="H8" s="9" t="n">
        <f aca="false">Base!$C$17*Inputs!$C$27</f>
        <v>253716.357446809</v>
      </c>
      <c r="I8" s="9" t="n">
        <f aca="false">Base!$C$18*Inputs!$C$30*Inputs!$C$31</f>
        <v>288340.425531915</v>
      </c>
      <c r="J8" s="9" t="n">
        <f aca="false">Inputs!$C$32</f>
        <v>310000</v>
      </c>
      <c r="K8" s="9" t="n">
        <f aca="false">(D8+E8+F8+G8)*((1+Inputs!$C$34)^(Inputs!$C$35/12)-1)</f>
        <v>174375.95072805</v>
      </c>
      <c r="L8" s="9" t="n">
        <f aca="false">-Inputs!$C$36</f>
        <v>-96000</v>
      </c>
      <c r="M8" s="9" t="n">
        <f aca="false">-MIN(MAX(0,(Inputs!$C$26-Inputs!$C$27))*Inputs!$C$37,Base!$C$19)</f>
        <v>-43500</v>
      </c>
      <c r="N8" s="9" t="n">
        <f aca="false">-Base!$C$20*Inputs!$C$40</f>
        <v>-90738.8025072</v>
      </c>
      <c r="O8" s="14" t="n">
        <f aca="false">SUM(D8:N8)</f>
        <v>3450778.43479957</v>
      </c>
      <c r="P8" s="15" t="n">
        <f aca="false">O8/Base!$C$14</f>
        <v>0.131202807080398</v>
      </c>
      <c r="Q8" s="9" t="n">
        <f aca="false">Base!$C$14+O8</f>
        <v>29751880.6107996</v>
      </c>
    </row>
    <row r="9" customFormat="false" ht="15" hidden="false" customHeight="false" outlineLevel="0" collapsed="false">
      <c r="B9" s="7" t="n">
        <v>0.65</v>
      </c>
      <c r="D9" s="9" t="n">
        <f aca="false">MAX(0,Base!$C$11*(1-$B$9)*Inputs!$C$22-Base!$C$12)</f>
        <v>666852.9748</v>
      </c>
      <c r="E9" s="9" t="n">
        <f aca="false">Inputs!$C$23-Inputs!$C$18</f>
        <v>810000</v>
      </c>
      <c r="F9" s="9" t="n">
        <f aca="false">Inputs!$C$24</f>
        <v>742000</v>
      </c>
      <c r="G9" s="9" t="n">
        <f aca="false">Inputs!$C$24*Inputs!$C$25</f>
        <v>105364</v>
      </c>
      <c r="H9" s="9" t="n">
        <f aca="false">Base!$C$17*Inputs!$C$27</f>
        <v>253716.357446809</v>
      </c>
      <c r="I9" s="9" t="n">
        <f aca="false">Base!$C$18*Inputs!$C$30*Inputs!$C$31</f>
        <v>288340.425531915</v>
      </c>
      <c r="J9" s="9" t="n">
        <f aca="false">Inputs!$C$32</f>
        <v>310000</v>
      </c>
      <c r="K9" s="9" t="n">
        <f aca="false">(D9+E9+F9+G9)*((1+Inputs!$C$34)^(Inputs!$C$35/12)-1)</f>
        <v>152674.568893698</v>
      </c>
      <c r="L9" s="9" t="n">
        <f aca="false">-Inputs!$C$36</f>
        <v>-96000</v>
      </c>
      <c r="M9" s="9" t="n">
        <f aca="false">-MIN(MAX(0,(Inputs!$C$26-Inputs!$C$27))*Inputs!$C$37,Base!$C$19)</f>
        <v>-43500</v>
      </c>
      <c r="N9" s="9" t="n">
        <f aca="false">-Base!$C$20*Inputs!$C$40</f>
        <v>-90738.8025072</v>
      </c>
      <c r="O9" s="14" t="n">
        <f aca="false">SUM(D9:N9)</f>
        <v>3098709.52416522</v>
      </c>
      <c r="P9" s="15" t="n">
        <f aca="false">O9/Base!$C$14</f>
        <v>0.11781671746794</v>
      </c>
      <c r="Q9" s="9" t="n">
        <f aca="false">Base!$C$14+O9</f>
        <v>29399811.7001652</v>
      </c>
    </row>
    <row r="10" customFormat="false" ht="15" hidden="false" customHeight="false" outlineLevel="0" collapsed="false">
      <c r="B10" s="16" t="n">
        <v>0.72</v>
      </c>
      <c r="C10" s="17"/>
      <c r="D10" s="18" t="n">
        <f aca="false">MAX(0,Base!$C$11*(1-$B$10)*Inputs!$C$22-Base!$C$12)</f>
        <v>435595.70464</v>
      </c>
      <c r="E10" s="18" t="n">
        <f aca="false">Inputs!$C$23-Inputs!$C$18</f>
        <v>810000</v>
      </c>
      <c r="F10" s="18" t="n">
        <f aca="false">Inputs!$C$24</f>
        <v>742000</v>
      </c>
      <c r="G10" s="18" t="n">
        <f aca="false">Inputs!$C$24*Inputs!$C$25</f>
        <v>105364</v>
      </c>
      <c r="H10" s="18" t="n">
        <f aca="false">Base!$C$17*Inputs!$C$27</f>
        <v>253716.357446809</v>
      </c>
      <c r="I10" s="18" t="n">
        <f aca="false">Base!$C$18*Inputs!$C$30*Inputs!$C$31</f>
        <v>288340.425531915</v>
      </c>
      <c r="J10" s="18" t="n">
        <f aca="false">Inputs!$C$32</f>
        <v>310000</v>
      </c>
      <c r="K10" s="18" t="n">
        <f aca="false">(D10+E10+F10+G10)*((1+Inputs!$C$34)^(Inputs!$C$35/12)-1)</f>
        <v>137483.601609652</v>
      </c>
      <c r="L10" s="18" t="n">
        <f aca="false">-Inputs!$C$36</f>
        <v>-96000</v>
      </c>
      <c r="M10" s="18" t="n">
        <f aca="false">-MIN(MAX(0,(Inputs!$C$26-Inputs!$C$27))*Inputs!$C$37,Base!$C$19)</f>
        <v>-43500</v>
      </c>
      <c r="N10" s="18" t="n">
        <f aca="false">-Base!$C$20*Inputs!$C$40</f>
        <v>-90738.8025072</v>
      </c>
      <c r="O10" s="19" t="n">
        <f aca="false">SUM(D10:N10)</f>
        <v>2852261.28672118</v>
      </c>
      <c r="P10" s="20" t="n">
        <f aca="false">O10/Base!$C$14</f>
        <v>0.10844645473922</v>
      </c>
      <c r="Q10" s="18" t="n">
        <f aca="false">Base!$C$14+O10</f>
        <v>29153363.4627212</v>
      </c>
    </row>
    <row r="11" customFormat="false" ht="15" hidden="false" customHeight="false" outlineLevel="0" collapsed="false">
      <c r="B11" s="7" t="n">
        <v>0.85</v>
      </c>
      <c r="D11" s="9" t="n">
        <f aca="false">MAX(0,Base!$C$11*(1-$B$11)*Inputs!$C$22-Base!$C$12)</f>
        <v>6117.91720000008</v>
      </c>
      <c r="E11" s="9" t="n">
        <f aca="false">Inputs!$C$23-Inputs!$C$18</f>
        <v>810000</v>
      </c>
      <c r="F11" s="9" t="n">
        <f aca="false">Inputs!$C$24</f>
        <v>742000</v>
      </c>
      <c r="G11" s="9" t="n">
        <f aca="false">Inputs!$C$24*Inputs!$C$25</f>
        <v>105364</v>
      </c>
      <c r="H11" s="9" t="n">
        <f aca="false">Base!$C$17*Inputs!$C$27</f>
        <v>253716.357446809</v>
      </c>
      <c r="I11" s="9" t="n">
        <f aca="false">Base!$C$18*Inputs!$C$30*Inputs!$C$31</f>
        <v>288340.425531915</v>
      </c>
      <c r="J11" s="9" t="n">
        <f aca="false">Inputs!$C$32</f>
        <v>310000</v>
      </c>
      <c r="K11" s="9" t="n">
        <f aca="false">(D11+E11+F11+G11)*((1+Inputs!$C$34)^(Inputs!$C$35/12)-1)</f>
        <v>109271.805224995</v>
      </c>
      <c r="L11" s="9" t="n">
        <f aca="false">-Inputs!$C$36</f>
        <v>-96000</v>
      </c>
      <c r="M11" s="9" t="n">
        <f aca="false">-MIN(MAX(0,(Inputs!$C$26-Inputs!$C$27))*Inputs!$C$37,Base!$C$19)</f>
        <v>-43500</v>
      </c>
      <c r="N11" s="9" t="n">
        <f aca="false">-Base!$C$20*Inputs!$C$40</f>
        <v>-90738.8025072</v>
      </c>
      <c r="O11" s="14" t="n">
        <f aca="false">SUM(D11:N11)</f>
        <v>2394571.70289652</v>
      </c>
      <c r="P11" s="15" t="n">
        <f aca="false">O11/Base!$C$14</f>
        <v>0.0910445382430242</v>
      </c>
      <c r="Q11" s="9" t="n">
        <f aca="false">Base!$C$14+O11</f>
        <v>28695673.8788965</v>
      </c>
    </row>
    <row r="12" customFormat="false" ht="15" hidden="false" customHeight="false" outlineLevel="0" collapsed="false">
      <c r="B12" s="7" t="n">
        <v>0.96</v>
      </c>
      <c r="D12" s="9" t="n">
        <f aca="false">MAX(0,Base!$C$11*(1-$B$12)*Inputs!$C$22-Base!$C$12)</f>
        <v>0</v>
      </c>
      <c r="E12" s="9" t="n">
        <f aca="false">Inputs!$C$23-Inputs!$C$18</f>
        <v>810000</v>
      </c>
      <c r="F12" s="9" t="n">
        <f aca="false">Inputs!$C$24</f>
        <v>742000</v>
      </c>
      <c r="G12" s="9" t="n">
        <f aca="false">Inputs!$C$24*Inputs!$C$25</f>
        <v>105364</v>
      </c>
      <c r="H12" s="9" t="n">
        <f aca="false">Base!$C$17*Inputs!$C$27</f>
        <v>253716.357446809</v>
      </c>
      <c r="I12" s="9" t="n">
        <f aca="false">Base!$C$18*Inputs!$C$30*Inputs!$C$31</f>
        <v>288340.425531915</v>
      </c>
      <c r="J12" s="9" t="n">
        <f aca="false">Inputs!$C$32</f>
        <v>310000</v>
      </c>
      <c r="K12" s="9" t="n">
        <f aca="false">(D12+E12+F12+G12)*((1+Inputs!$C$34)^(Inputs!$C$35/12)-1)</f>
        <v>108869.927783618</v>
      </c>
      <c r="L12" s="9" t="n">
        <f aca="false">-Inputs!$C$36</f>
        <v>-96000</v>
      </c>
      <c r="M12" s="9" t="n">
        <f aca="false">-MIN(MAX(0,(Inputs!$C$26-Inputs!$C$27))*Inputs!$C$37,Base!$C$19)</f>
        <v>-43500</v>
      </c>
      <c r="N12" s="9" t="n">
        <f aca="false">-Base!$C$20*Inputs!$C$40</f>
        <v>-90738.8025072</v>
      </c>
      <c r="O12" s="14" t="n">
        <f aca="false">SUM(D12:N12)</f>
        <v>2388051.90825514</v>
      </c>
      <c r="P12" s="15" t="n">
        <f aca="false">O12/Base!$C$14</f>
        <v>0.0907966476946453</v>
      </c>
      <c r="Q12" s="9" t="n">
        <f aca="false">Base!$C$14+O12</f>
        <v>28689154.0842551</v>
      </c>
    </row>
    <row r="13" customFormat="false" ht="15" hidden="false" customHeight="false" outlineLevel="0" collapsed="false">
      <c r="B13" s="11" t="s">
        <v>100</v>
      </c>
      <c r="O13" s="12" t="n">
        <f aca="false">MAX(O8:O12)-MIN(O8:O12)</f>
        <v>1062726.52654443</v>
      </c>
    </row>
    <row r="16" customFormat="false" ht="15" hidden="false" customHeight="false" outlineLevel="0" collapsed="false">
      <c r="B16" s="4" t="s">
        <v>37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customFormat="false" ht="15" hidden="false" customHeight="false" outlineLevel="0" collapsed="false">
      <c r="B17" s="10" t="s">
        <v>101</v>
      </c>
    </row>
    <row r="18" customFormat="false" ht="42" hidden="false" customHeight="true" outlineLevel="0" collapsed="false">
      <c r="B18" s="13" t="s">
        <v>87</v>
      </c>
      <c r="C18" s="13"/>
      <c r="D18" s="13" t="s">
        <v>88</v>
      </c>
      <c r="E18" s="13" t="s">
        <v>33</v>
      </c>
      <c r="F18" s="13" t="s">
        <v>89</v>
      </c>
      <c r="G18" s="13" t="s">
        <v>90</v>
      </c>
      <c r="H18" s="13" t="s">
        <v>91</v>
      </c>
      <c r="I18" s="13" t="s">
        <v>92</v>
      </c>
      <c r="J18" s="13" t="s">
        <v>93</v>
      </c>
      <c r="K18" s="13" t="s">
        <v>94</v>
      </c>
      <c r="L18" s="13" t="s">
        <v>49</v>
      </c>
      <c r="M18" s="13" t="s">
        <v>95</v>
      </c>
      <c r="N18" s="13" t="s">
        <v>96</v>
      </c>
      <c r="O18" s="13" t="s">
        <v>97</v>
      </c>
      <c r="P18" s="13" t="s">
        <v>98</v>
      </c>
      <c r="Q18" s="13" t="s">
        <v>99</v>
      </c>
    </row>
    <row r="19" customFormat="false" ht="15" hidden="false" customHeight="false" outlineLevel="0" collapsed="false">
      <c r="B19" s="6" t="n">
        <v>1340000</v>
      </c>
      <c r="D19" s="9" t="n">
        <f aca="false">MAX(0,Base!$C$11*(1-Inputs!$C$21)*Inputs!$C$22-Base!$C$12)</f>
        <v>435595.70464</v>
      </c>
      <c r="E19" s="9" t="n">
        <f aca="false">$B$19-Inputs!$C$18</f>
        <v>0</v>
      </c>
      <c r="F19" s="9" t="n">
        <f aca="false">Inputs!$C$24</f>
        <v>742000</v>
      </c>
      <c r="G19" s="9" t="n">
        <f aca="false">Inputs!$C$24*Inputs!$C$25</f>
        <v>105364</v>
      </c>
      <c r="H19" s="9" t="n">
        <f aca="false">Base!$C$17*Inputs!$C$27</f>
        <v>253716.357446809</v>
      </c>
      <c r="I19" s="9" t="n">
        <f aca="false">Base!$C$18*Inputs!$C$30*Inputs!$C$31</f>
        <v>288340.425531915</v>
      </c>
      <c r="J19" s="9" t="n">
        <f aca="false">Inputs!$C$32</f>
        <v>310000</v>
      </c>
      <c r="K19" s="9" t="n">
        <f aca="false">(D19+E19+F19+G19)*((1+Inputs!$C$34)^(Inputs!$C$35/12)-1)</f>
        <v>84275.8322211951</v>
      </c>
      <c r="L19" s="9" t="n">
        <f aca="false">-Inputs!$C$36</f>
        <v>-96000</v>
      </c>
      <c r="M19" s="9" t="n">
        <f aca="false">-MIN(MAX(0,(Inputs!$C$26-Inputs!$C$27))*Inputs!$C$37,Base!$C$19)</f>
        <v>-43500</v>
      </c>
      <c r="N19" s="9" t="n">
        <f aca="false">-Base!$C$20*Inputs!$C$40</f>
        <v>-90738.8025072</v>
      </c>
      <c r="O19" s="14" t="n">
        <f aca="false">SUM(D19:N19)</f>
        <v>1989053.51733272</v>
      </c>
      <c r="P19" s="15" t="n">
        <f aca="false">O19/Base!$C$14</f>
        <v>0.0756262419735302</v>
      </c>
      <c r="Q19" s="9" t="n">
        <f aca="false">Base!$C$14+O19</f>
        <v>28290155.6933327</v>
      </c>
    </row>
    <row r="20" customFormat="false" ht="15" hidden="false" customHeight="false" outlineLevel="0" collapsed="false">
      <c r="B20" s="6" t="n">
        <v>1600000</v>
      </c>
      <c r="D20" s="9" t="n">
        <f aca="false">MAX(0,Base!$C$11*(1-Inputs!$C$21)*Inputs!$C$22-Base!$C$12)</f>
        <v>435595.70464</v>
      </c>
      <c r="E20" s="9" t="n">
        <f aca="false">$B$20-Inputs!$C$18</f>
        <v>260000</v>
      </c>
      <c r="F20" s="9" t="n">
        <f aca="false">Inputs!$C$24</f>
        <v>742000</v>
      </c>
      <c r="G20" s="9" t="n">
        <f aca="false">Inputs!$C$24*Inputs!$C$25</f>
        <v>105364</v>
      </c>
      <c r="H20" s="9" t="n">
        <f aca="false">Base!$C$17*Inputs!$C$27</f>
        <v>253716.357446809</v>
      </c>
      <c r="I20" s="9" t="n">
        <f aca="false">Base!$C$18*Inputs!$C$30*Inputs!$C$31</f>
        <v>288340.425531915</v>
      </c>
      <c r="J20" s="9" t="n">
        <f aca="false">Inputs!$C$32</f>
        <v>310000</v>
      </c>
      <c r="K20" s="9" t="n">
        <f aca="false">(D20+E20+F20+G20)*((1+Inputs!$C$34)^(Inputs!$C$35/12)-1)</f>
        <v>101354.869308848</v>
      </c>
      <c r="L20" s="9" t="n">
        <f aca="false">-Inputs!$C$36</f>
        <v>-96000</v>
      </c>
      <c r="M20" s="9" t="n">
        <f aca="false">-MIN(MAX(0,(Inputs!$C$26-Inputs!$C$27))*Inputs!$C$37,Base!$C$19)</f>
        <v>-43500</v>
      </c>
      <c r="N20" s="9" t="n">
        <f aca="false">-Base!$C$20*Inputs!$C$40</f>
        <v>-90738.8025072</v>
      </c>
      <c r="O20" s="14" t="n">
        <f aca="false">SUM(D20:N20)</f>
        <v>2266132.55442037</v>
      </c>
      <c r="P20" s="15" t="n">
        <f aca="false">O20/Base!$C$14</f>
        <v>0.0861611250835046</v>
      </c>
      <c r="Q20" s="9" t="n">
        <f aca="false">Base!$C$14+O20</f>
        <v>28567234.7304204</v>
      </c>
    </row>
    <row r="21" customFormat="false" ht="15" hidden="false" customHeight="false" outlineLevel="0" collapsed="false">
      <c r="B21" s="6" t="n">
        <v>1900000</v>
      </c>
      <c r="D21" s="9" t="n">
        <f aca="false">MAX(0,Base!$C$11*(1-Inputs!$C$21)*Inputs!$C$22-Base!$C$12)</f>
        <v>435595.70464</v>
      </c>
      <c r="E21" s="9" t="n">
        <f aca="false">$B$21-Inputs!$C$18</f>
        <v>560000</v>
      </c>
      <c r="F21" s="9" t="n">
        <f aca="false">Inputs!$C$24</f>
        <v>742000</v>
      </c>
      <c r="G21" s="9" t="n">
        <f aca="false">Inputs!$C$24*Inputs!$C$25</f>
        <v>105364</v>
      </c>
      <c r="H21" s="9" t="n">
        <f aca="false">Base!$C$17*Inputs!$C$27</f>
        <v>253716.357446809</v>
      </c>
      <c r="I21" s="9" t="n">
        <f aca="false">Base!$C$18*Inputs!$C$30*Inputs!$C$31</f>
        <v>288340.425531915</v>
      </c>
      <c r="J21" s="9" t="n">
        <f aca="false">Inputs!$C$32</f>
        <v>310000</v>
      </c>
      <c r="K21" s="9" t="n">
        <f aca="false">(D21+E21+F21+G21)*((1+Inputs!$C$34)^(Inputs!$C$35/12)-1)</f>
        <v>121061.450563832</v>
      </c>
      <c r="L21" s="9" t="n">
        <f aca="false">-Inputs!$C$36</f>
        <v>-96000</v>
      </c>
      <c r="M21" s="9" t="n">
        <f aca="false">-MIN(MAX(0,(Inputs!$C$26-Inputs!$C$27))*Inputs!$C$37,Base!$C$19)</f>
        <v>-43500</v>
      </c>
      <c r="N21" s="9" t="n">
        <f aca="false">-Base!$C$20*Inputs!$C$40</f>
        <v>-90738.8025072</v>
      </c>
      <c r="O21" s="14" t="n">
        <f aca="false">SUM(D21:N21)</f>
        <v>2585839.13567536</v>
      </c>
      <c r="P21" s="15" t="n">
        <f aca="false">O21/Base!$C$14</f>
        <v>0.0983167594411674</v>
      </c>
      <c r="Q21" s="9" t="n">
        <f aca="false">Base!$C$14+O21</f>
        <v>28886941.3116754</v>
      </c>
    </row>
    <row r="22" customFormat="false" ht="15" hidden="false" customHeight="false" outlineLevel="0" collapsed="false">
      <c r="B22" s="21" t="n">
        <v>2150000</v>
      </c>
      <c r="C22" s="17"/>
      <c r="D22" s="18" t="n">
        <f aca="false">MAX(0,Base!$C$11*(1-Inputs!$C$21)*Inputs!$C$22-Base!$C$12)</f>
        <v>435595.70464</v>
      </c>
      <c r="E22" s="18" t="n">
        <f aca="false">$B$22-Inputs!$C$18</f>
        <v>810000</v>
      </c>
      <c r="F22" s="18" t="n">
        <f aca="false">Inputs!$C$24</f>
        <v>742000</v>
      </c>
      <c r="G22" s="18" t="n">
        <f aca="false">Inputs!$C$24*Inputs!$C$25</f>
        <v>105364</v>
      </c>
      <c r="H22" s="18" t="n">
        <f aca="false">Base!$C$17*Inputs!$C$27</f>
        <v>253716.357446809</v>
      </c>
      <c r="I22" s="18" t="n">
        <f aca="false">Base!$C$18*Inputs!$C$30*Inputs!$C$31</f>
        <v>288340.425531915</v>
      </c>
      <c r="J22" s="18" t="n">
        <f aca="false">Inputs!$C$32</f>
        <v>310000</v>
      </c>
      <c r="K22" s="18" t="n">
        <f aca="false">(D22+E22+F22+G22)*((1+Inputs!$C$34)^(Inputs!$C$35/12)-1)</f>
        <v>137483.601609652</v>
      </c>
      <c r="L22" s="18" t="n">
        <f aca="false">-Inputs!$C$36</f>
        <v>-96000</v>
      </c>
      <c r="M22" s="18" t="n">
        <f aca="false">-MIN(MAX(0,(Inputs!$C$26-Inputs!$C$27))*Inputs!$C$37,Base!$C$19)</f>
        <v>-43500</v>
      </c>
      <c r="N22" s="18" t="n">
        <f aca="false">-Base!$C$20*Inputs!$C$40</f>
        <v>-90738.8025072</v>
      </c>
      <c r="O22" s="19" t="n">
        <f aca="false">SUM(D22:N22)</f>
        <v>2852261.28672118</v>
      </c>
      <c r="P22" s="20" t="n">
        <f aca="false">O22/Base!$C$14</f>
        <v>0.10844645473922</v>
      </c>
      <c r="Q22" s="18" t="n">
        <f aca="false">Base!$C$14+O22</f>
        <v>29153363.4627212</v>
      </c>
    </row>
    <row r="23" customFormat="false" ht="15" hidden="false" customHeight="false" outlineLevel="0" collapsed="false">
      <c r="B23" s="6" t="n">
        <v>2600000</v>
      </c>
      <c r="D23" s="9" t="n">
        <f aca="false">MAX(0,Base!$C$11*(1-Inputs!$C$21)*Inputs!$C$22-Base!$C$12)</f>
        <v>435595.70464</v>
      </c>
      <c r="E23" s="9" t="n">
        <f aca="false">$B$23-Inputs!$C$18</f>
        <v>1260000</v>
      </c>
      <c r="F23" s="9" t="n">
        <f aca="false">Inputs!$C$24</f>
        <v>742000</v>
      </c>
      <c r="G23" s="9" t="n">
        <f aca="false">Inputs!$C$24*Inputs!$C$25</f>
        <v>105364</v>
      </c>
      <c r="H23" s="9" t="n">
        <f aca="false">Base!$C$17*Inputs!$C$27</f>
        <v>253716.357446809</v>
      </c>
      <c r="I23" s="9" t="n">
        <f aca="false">Base!$C$18*Inputs!$C$30*Inputs!$C$31</f>
        <v>288340.425531915</v>
      </c>
      <c r="J23" s="9" t="n">
        <f aca="false">Inputs!$C$32</f>
        <v>310000</v>
      </c>
      <c r="K23" s="9" t="n">
        <f aca="false">(D23+E23+F23+G23)*((1+Inputs!$C$34)^(Inputs!$C$35/12)-1)</f>
        <v>167043.473492128</v>
      </c>
      <c r="L23" s="9" t="n">
        <f aca="false">-Inputs!$C$36</f>
        <v>-96000</v>
      </c>
      <c r="M23" s="9" t="n">
        <f aca="false">-MIN(MAX(0,(Inputs!$C$26-Inputs!$C$27))*Inputs!$C$37,Base!$C$19)</f>
        <v>-43500</v>
      </c>
      <c r="N23" s="9" t="n">
        <f aca="false">-Base!$C$20*Inputs!$C$40</f>
        <v>-90738.8025072</v>
      </c>
      <c r="O23" s="14" t="n">
        <f aca="false">SUM(D23:N23)</f>
        <v>3331821.15860365</v>
      </c>
      <c r="P23" s="15" t="n">
        <f aca="false">O23/Base!$C$14</f>
        <v>0.126679906275714</v>
      </c>
      <c r="Q23" s="9" t="n">
        <f aca="false">Base!$C$14+O23</f>
        <v>29632923.3346037</v>
      </c>
    </row>
    <row r="24" customFormat="false" ht="15" hidden="false" customHeight="false" outlineLevel="0" collapsed="false">
      <c r="B24" s="11" t="s">
        <v>100</v>
      </c>
      <c r="O24" s="12" t="n">
        <f aca="false">MAX(O19:O23)-MIN(O19:O23)</f>
        <v>1342767.64127093</v>
      </c>
    </row>
    <row r="27" customFormat="false" ht="15" hidden="false" customHeight="false" outlineLevel="0" collapsed="false">
      <c r="B27" s="4" t="s">
        <v>102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customFormat="false" ht="15" hidden="false" customHeight="false" outlineLevel="0" collapsed="false">
      <c r="B28" s="10" t="s">
        <v>103</v>
      </c>
    </row>
    <row r="29" customFormat="false" ht="42" hidden="false" customHeight="true" outlineLevel="0" collapsed="false">
      <c r="B29" s="13" t="s">
        <v>87</v>
      </c>
      <c r="C29" s="13"/>
      <c r="D29" s="13" t="s">
        <v>88</v>
      </c>
      <c r="E29" s="13" t="s">
        <v>33</v>
      </c>
      <c r="F29" s="13" t="s">
        <v>89</v>
      </c>
      <c r="G29" s="13" t="s">
        <v>90</v>
      </c>
      <c r="H29" s="13" t="s">
        <v>91</v>
      </c>
      <c r="I29" s="13" t="s">
        <v>92</v>
      </c>
      <c r="J29" s="13" t="s">
        <v>93</v>
      </c>
      <c r="K29" s="13" t="s">
        <v>94</v>
      </c>
      <c r="L29" s="13" t="s">
        <v>49</v>
      </c>
      <c r="M29" s="13" t="s">
        <v>95</v>
      </c>
      <c r="N29" s="13" t="s">
        <v>96</v>
      </c>
      <c r="O29" s="13" t="s">
        <v>97</v>
      </c>
      <c r="P29" s="13" t="s">
        <v>98</v>
      </c>
      <c r="Q29" s="13" t="s">
        <v>99</v>
      </c>
    </row>
    <row r="30" customFormat="false" ht="15" hidden="false" customHeight="false" outlineLevel="0" collapsed="false">
      <c r="B30" s="7" t="n">
        <v>0</v>
      </c>
      <c r="D30" s="9" t="n">
        <f aca="false">MAX(0,Base!$C$11*(1-Inputs!$C$21)*Inputs!$C$22-Base!$C$12)</f>
        <v>435595.70464</v>
      </c>
      <c r="E30" s="9" t="n">
        <f aca="false">Inputs!$C$23-Inputs!$C$18</f>
        <v>810000</v>
      </c>
      <c r="F30" s="9" t="n">
        <f aca="false">Inputs!$C$24</f>
        <v>742000</v>
      </c>
      <c r="G30" s="9" t="n">
        <f aca="false">Inputs!$C$24*$B$30</f>
        <v>0</v>
      </c>
      <c r="H30" s="9" t="n">
        <f aca="false">Base!$C$17*Inputs!$C$27</f>
        <v>253716.357446809</v>
      </c>
      <c r="I30" s="9" t="n">
        <f aca="false">Base!$C$18*Inputs!$C$30*Inputs!$C$31</f>
        <v>288340.425531915</v>
      </c>
      <c r="J30" s="9" t="n">
        <f aca="false">Inputs!$C$32</f>
        <v>310000</v>
      </c>
      <c r="K30" s="9" t="n">
        <f aca="false">(D30+E30+F30+G30)*((1+Inputs!$C$34)^(Inputs!$C$35/12)-1)</f>
        <v>130562.387518485</v>
      </c>
      <c r="L30" s="9" t="n">
        <f aca="false">-Inputs!$C$36</f>
        <v>-96000</v>
      </c>
      <c r="M30" s="9" t="n">
        <f aca="false">-MIN(MAX(0,(Inputs!$C$26-Inputs!$C$27))*Inputs!$C$37,Base!$C$19)</f>
        <v>-43500</v>
      </c>
      <c r="N30" s="9" t="n">
        <f aca="false">-Base!$C$20*Inputs!$C$40</f>
        <v>-90738.8025072</v>
      </c>
      <c r="O30" s="14" t="n">
        <f aca="false">SUM(D30:N30)</f>
        <v>2739976.07263001</v>
      </c>
      <c r="P30" s="15" t="n">
        <f aca="false">O30/Base!$C$14</f>
        <v>0.104177233877684</v>
      </c>
      <c r="Q30" s="9" t="n">
        <f aca="false">Base!$C$14+O30</f>
        <v>29041078.24863</v>
      </c>
    </row>
    <row r="31" customFormat="false" ht="15" hidden="false" customHeight="false" outlineLevel="0" collapsed="false">
      <c r="B31" s="7" t="n">
        <v>0.061</v>
      </c>
      <c r="D31" s="9" t="n">
        <f aca="false">MAX(0,Base!$C$11*(1-Inputs!$C$21)*Inputs!$C$22-Base!$C$12)</f>
        <v>435595.70464</v>
      </c>
      <c r="E31" s="9" t="n">
        <f aca="false">Inputs!$C$23-Inputs!$C$18</f>
        <v>810000</v>
      </c>
      <c r="F31" s="9" t="n">
        <f aca="false">Inputs!$C$24</f>
        <v>742000</v>
      </c>
      <c r="G31" s="9" t="n">
        <f aca="false">Inputs!$C$24*$B$31</f>
        <v>45262</v>
      </c>
      <c r="H31" s="9" t="n">
        <f aca="false">Base!$C$17*Inputs!$C$27</f>
        <v>253716.357446809</v>
      </c>
      <c r="I31" s="9" t="n">
        <f aca="false">Base!$C$18*Inputs!$C$30*Inputs!$C$31</f>
        <v>288340.425531915</v>
      </c>
      <c r="J31" s="9" t="n">
        <f aca="false">Inputs!$C$32</f>
        <v>310000</v>
      </c>
      <c r="K31" s="9" t="n">
        <f aca="false">(D31+E31+F31+G31)*((1+Inputs!$C$34)^(Inputs!$C$35/12)-1)</f>
        <v>133535.585121029</v>
      </c>
      <c r="L31" s="9" t="n">
        <f aca="false">-Inputs!$C$36</f>
        <v>-96000</v>
      </c>
      <c r="M31" s="9" t="n">
        <f aca="false">-MIN(MAX(0,(Inputs!$C$26-Inputs!$C$27))*Inputs!$C$37,Base!$C$19)</f>
        <v>-43500</v>
      </c>
      <c r="N31" s="9" t="n">
        <f aca="false">-Base!$C$20*Inputs!$C$40</f>
        <v>-90738.8025072</v>
      </c>
      <c r="O31" s="14" t="n">
        <f aca="false">SUM(D31:N31)</f>
        <v>2788211.27023255</v>
      </c>
      <c r="P31" s="15" t="n">
        <f aca="false">O31/Base!$C$14</f>
        <v>0.106011194952006</v>
      </c>
      <c r="Q31" s="9" t="n">
        <f aca="false">Base!$C$14+O31</f>
        <v>29089313.4462326</v>
      </c>
    </row>
    <row r="32" customFormat="false" ht="15" hidden="false" customHeight="false" outlineLevel="0" collapsed="false">
      <c r="B32" s="7" t="n">
        <v>0.1</v>
      </c>
      <c r="D32" s="9" t="n">
        <f aca="false">MAX(0,Base!$C$11*(1-Inputs!$C$21)*Inputs!$C$22-Base!$C$12)</f>
        <v>435595.70464</v>
      </c>
      <c r="E32" s="9" t="n">
        <f aca="false">Inputs!$C$23-Inputs!$C$18</f>
        <v>810000</v>
      </c>
      <c r="F32" s="9" t="n">
        <f aca="false">Inputs!$C$24</f>
        <v>742000</v>
      </c>
      <c r="G32" s="9" t="n">
        <f aca="false">Inputs!$C$24*$B$32</f>
        <v>74200</v>
      </c>
      <c r="H32" s="9" t="n">
        <f aca="false">Base!$C$17*Inputs!$C$27</f>
        <v>253716.357446809</v>
      </c>
      <c r="I32" s="9" t="n">
        <f aca="false">Base!$C$18*Inputs!$C$30*Inputs!$C$31</f>
        <v>288340.425531915</v>
      </c>
      <c r="J32" s="9" t="n">
        <f aca="false">Inputs!$C$32</f>
        <v>310000</v>
      </c>
      <c r="K32" s="9" t="n">
        <f aca="false">(D32+E32+F32+G32)*((1+Inputs!$C$34)^(Inputs!$C$35/12)-1)</f>
        <v>135436.481948884</v>
      </c>
      <c r="L32" s="9" t="n">
        <f aca="false">-Inputs!$C$36</f>
        <v>-96000</v>
      </c>
      <c r="M32" s="9" t="n">
        <f aca="false">-MIN(MAX(0,(Inputs!$C$26-Inputs!$C$27))*Inputs!$C$37,Base!$C$19)</f>
        <v>-43500</v>
      </c>
      <c r="N32" s="9" t="n">
        <f aca="false">-Base!$C$20*Inputs!$C$40</f>
        <v>-90738.8025072</v>
      </c>
      <c r="O32" s="14" t="n">
        <f aca="false">SUM(D32:N32)</f>
        <v>2819050.16706041</v>
      </c>
      <c r="P32" s="15" t="n">
        <f aca="false">O32/Base!$C$14</f>
        <v>0.107183727442146</v>
      </c>
      <c r="Q32" s="9" t="n">
        <f aca="false">Base!$C$14+O32</f>
        <v>29120152.3430604</v>
      </c>
    </row>
    <row r="33" customFormat="false" ht="15" hidden="false" customHeight="false" outlineLevel="0" collapsed="false">
      <c r="B33" s="16" t="n">
        <v>0.142</v>
      </c>
      <c r="C33" s="17"/>
      <c r="D33" s="18" t="n">
        <f aca="false">MAX(0,Base!$C$11*(1-Inputs!$C$21)*Inputs!$C$22-Base!$C$12)</f>
        <v>435595.70464</v>
      </c>
      <c r="E33" s="18" t="n">
        <f aca="false">Inputs!$C$23-Inputs!$C$18</f>
        <v>810000</v>
      </c>
      <c r="F33" s="18" t="n">
        <f aca="false">Inputs!$C$24</f>
        <v>742000</v>
      </c>
      <c r="G33" s="18" t="n">
        <f aca="false">Inputs!$C$24*$B$33</f>
        <v>105364</v>
      </c>
      <c r="H33" s="18" t="n">
        <f aca="false">Base!$C$17*Inputs!$C$27</f>
        <v>253716.357446809</v>
      </c>
      <c r="I33" s="18" t="n">
        <f aca="false">Base!$C$18*Inputs!$C$30*Inputs!$C$31</f>
        <v>288340.425531915</v>
      </c>
      <c r="J33" s="18" t="n">
        <f aca="false">Inputs!$C$32</f>
        <v>310000</v>
      </c>
      <c r="K33" s="18" t="n">
        <f aca="false">(D33+E33+F33+G33)*((1+Inputs!$C$34)^(Inputs!$C$35/12)-1)</f>
        <v>137483.601609652</v>
      </c>
      <c r="L33" s="18" t="n">
        <f aca="false">-Inputs!$C$36</f>
        <v>-96000</v>
      </c>
      <c r="M33" s="18" t="n">
        <f aca="false">-MIN(MAX(0,(Inputs!$C$26-Inputs!$C$27))*Inputs!$C$37,Base!$C$19)</f>
        <v>-43500</v>
      </c>
      <c r="N33" s="18" t="n">
        <f aca="false">-Base!$C$20*Inputs!$C$40</f>
        <v>-90738.8025072</v>
      </c>
      <c r="O33" s="19" t="n">
        <f aca="false">SUM(D33:N33)</f>
        <v>2852261.28672118</v>
      </c>
      <c r="P33" s="20" t="n">
        <f aca="false">O33/Base!$C$14</f>
        <v>0.10844645473922</v>
      </c>
      <c r="Q33" s="18" t="n">
        <f aca="false">Base!$C$14+O33</f>
        <v>29153363.4627212</v>
      </c>
    </row>
    <row r="34" customFormat="false" ht="15" hidden="false" customHeight="false" outlineLevel="0" collapsed="false">
      <c r="B34" s="7" t="n">
        <v>0.22</v>
      </c>
      <c r="D34" s="9" t="n">
        <f aca="false">MAX(0,Base!$C$11*(1-Inputs!$C$21)*Inputs!$C$22-Base!$C$12)</f>
        <v>435595.70464</v>
      </c>
      <c r="E34" s="9" t="n">
        <f aca="false">Inputs!$C$23-Inputs!$C$18</f>
        <v>810000</v>
      </c>
      <c r="F34" s="9" t="n">
        <f aca="false">Inputs!$C$24</f>
        <v>742000</v>
      </c>
      <c r="G34" s="9" t="n">
        <f aca="false">Inputs!$C$24*$B$34</f>
        <v>163240</v>
      </c>
      <c r="H34" s="9" t="n">
        <f aca="false">Base!$C$17*Inputs!$C$27</f>
        <v>253716.357446809</v>
      </c>
      <c r="I34" s="9" t="n">
        <f aca="false">Base!$C$18*Inputs!$C$30*Inputs!$C$31</f>
        <v>288340.425531915</v>
      </c>
      <c r="J34" s="9" t="n">
        <f aca="false">Inputs!$C$32</f>
        <v>310000</v>
      </c>
      <c r="K34" s="9" t="n">
        <f aca="false">(D34+E34+F34+G34)*((1+Inputs!$C$34)^(Inputs!$C$35/12)-1)</f>
        <v>141285.395265364</v>
      </c>
      <c r="L34" s="9" t="n">
        <f aca="false">-Inputs!$C$36</f>
        <v>-96000</v>
      </c>
      <c r="M34" s="9" t="n">
        <f aca="false">-MIN(MAX(0,(Inputs!$C$26-Inputs!$C$27))*Inputs!$C$37,Base!$C$19)</f>
        <v>-43500</v>
      </c>
      <c r="N34" s="9" t="n">
        <f aca="false">-Base!$C$20*Inputs!$C$40</f>
        <v>-90738.8025072</v>
      </c>
      <c r="O34" s="14" t="n">
        <f aca="false">SUM(D34:N34)</f>
        <v>2913939.08037689</v>
      </c>
      <c r="P34" s="15" t="n">
        <f aca="false">O34/Base!$C$14</f>
        <v>0.1107915197195</v>
      </c>
      <c r="Q34" s="9" t="n">
        <f aca="false">Base!$C$14+O34</f>
        <v>29215041.2563769</v>
      </c>
    </row>
    <row r="35" customFormat="false" ht="15" hidden="false" customHeight="false" outlineLevel="0" collapsed="false">
      <c r="B35" s="11" t="s">
        <v>100</v>
      </c>
      <c r="O35" s="12" t="n">
        <f aca="false">MAX(O30:O34)-MIN(O30:O34)</f>
        <v>173963.007746879</v>
      </c>
    </row>
    <row r="38" customFormat="false" ht="15" hidden="false" customHeight="false" outlineLevel="0" collapsed="false">
      <c r="B38" s="4" t="s">
        <v>104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customFormat="false" ht="15" hidden="false" customHeight="false" outlineLevel="0" collapsed="false">
      <c r="B39" s="10" t="s">
        <v>105</v>
      </c>
    </row>
    <row r="40" customFormat="false" ht="42" hidden="false" customHeight="true" outlineLevel="0" collapsed="false">
      <c r="B40" s="13" t="s">
        <v>87</v>
      </c>
      <c r="C40" s="13"/>
      <c r="D40" s="13" t="s">
        <v>88</v>
      </c>
      <c r="E40" s="13" t="s">
        <v>33</v>
      </c>
      <c r="F40" s="13" t="s">
        <v>89</v>
      </c>
      <c r="G40" s="13" t="s">
        <v>90</v>
      </c>
      <c r="H40" s="13" t="s">
        <v>91</v>
      </c>
      <c r="I40" s="13" t="s">
        <v>92</v>
      </c>
      <c r="J40" s="13" t="s">
        <v>93</v>
      </c>
      <c r="K40" s="13" t="s">
        <v>94</v>
      </c>
      <c r="L40" s="13" t="s">
        <v>49</v>
      </c>
      <c r="M40" s="13" t="s">
        <v>95</v>
      </c>
      <c r="N40" s="13" t="s">
        <v>96</v>
      </c>
      <c r="O40" s="13" t="s">
        <v>97</v>
      </c>
      <c r="P40" s="13" t="s">
        <v>98</v>
      </c>
      <c r="Q40" s="13" t="s">
        <v>99</v>
      </c>
    </row>
    <row r="41" customFormat="false" ht="15" hidden="false" customHeight="false" outlineLevel="0" collapsed="false">
      <c r="B41" s="6" t="n">
        <v>0</v>
      </c>
      <c r="D41" s="9" t="n">
        <f aca="false">MAX(0,Base!$C$11*(1-Inputs!$C$21)*Inputs!$C$22-Base!$C$12)</f>
        <v>435595.70464</v>
      </c>
      <c r="E41" s="9" t="n">
        <f aca="false">Inputs!$C$23-Inputs!$C$18</f>
        <v>810000</v>
      </c>
      <c r="F41" s="9" t="n">
        <f aca="false">Inputs!$C$24</f>
        <v>742000</v>
      </c>
      <c r="G41" s="9" t="n">
        <f aca="false">Inputs!$C$24*Inputs!$C$25</f>
        <v>105364</v>
      </c>
      <c r="H41" s="9" t="n">
        <f aca="false">Base!$C$17*$B$41</f>
        <v>0</v>
      </c>
      <c r="I41" s="9" t="n">
        <f aca="false">Base!$C$18*Inputs!$C$30*Inputs!$C$31</f>
        <v>288340.425531915</v>
      </c>
      <c r="J41" s="9" t="n">
        <f aca="false">Inputs!$C$32</f>
        <v>310000</v>
      </c>
      <c r="K41" s="9" t="n">
        <f aca="false">(D41+E41+F41+G41)*((1+Inputs!$C$34)^(Inputs!$C$35/12)-1)</f>
        <v>137483.601609652</v>
      </c>
      <c r="L41" s="9" t="n">
        <f aca="false">-Inputs!$C$36</f>
        <v>-96000</v>
      </c>
      <c r="M41" s="9" t="n">
        <f aca="false">-MIN(MAX(0,(Inputs!$C$26-$B$41))*Inputs!$C$37,Base!$C$19)</f>
        <v>-203000</v>
      </c>
      <c r="N41" s="9" t="n">
        <f aca="false">-Base!$C$20*Inputs!$C$40</f>
        <v>-90738.8025072</v>
      </c>
      <c r="O41" s="14" t="n">
        <f aca="false">SUM(D41:N41)</f>
        <v>2439044.92927437</v>
      </c>
      <c r="P41" s="15" t="n">
        <f aca="false">O41/Base!$C$14</f>
        <v>0.0927354645806448</v>
      </c>
      <c r="Q41" s="9" t="n">
        <f aca="false">Base!$C$14+O41</f>
        <v>28740147.1052744</v>
      </c>
    </row>
    <row r="42" customFormat="false" ht="15" hidden="false" customHeight="false" outlineLevel="0" collapsed="false">
      <c r="B42" s="6" t="n">
        <v>4</v>
      </c>
      <c r="D42" s="9" t="n">
        <f aca="false">MAX(0,Base!$C$11*(1-Inputs!$C$21)*Inputs!$C$22-Base!$C$12)</f>
        <v>435595.70464</v>
      </c>
      <c r="E42" s="9" t="n">
        <f aca="false">Inputs!$C$23-Inputs!$C$18</f>
        <v>810000</v>
      </c>
      <c r="F42" s="9" t="n">
        <f aca="false">Inputs!$C$24</f>
        <v>742000</v>
      </c>
      <c r="G42" s="9" t="n">
        <f aca="false">Inputs!$C$24*Inputs!$C$25</f>
        <v>105364</v>
      </c>
      <c r="H42" s="9" t="n">
        <f aca="false">Base!$C$17*$B$42</f>
        <v>92260.4936170213</v>
      </c>
      <c r="I42" s="9" t="n">
        <f aca="false">Base!$C$18*Inputs!$C$30*Inputs!$C$31</f>
        <v>288340.425531915</v>
      </c>
      <c r="J42" s="9" t="n">
        <f aca="false">Inputs!$C$32</f>
        <v>310000</v>
      </c>
      <c r="K42" s="9" t="n">
        <f aca="false">(D42+E42+F42+G42)*((1+Inputs!$C$34)^(Inputs!$C$35/12)-1)</f>
        <v>137483.601609652</v>
      </c>
      <c r="L42" s="9" t="n">
        <f aca="false">-Inputs!$C$36</f>
        <v>-96000</v>
      </c>
      <c r="M42" s="9" t="n">
        <f aca="false">-MIN(MAX(0,(Inputs!$C$26-$B$42))*Inputs!$C$37,Base!$C$19)</f>
        <v>-145000</v>
      </c>
      <c r="N42" s="9" t="n">
        <f aca="false">-Base!$C$20*Inputs!$C$40</f>
        <v>-90738.8025072</v>
      </c>
      <c r="O42" s="14" t="n">
        <f aca="false">SUM(D42:N42)</f>
        <v>2589305.42289139</v>
      </c>
      <c r="P42" s="15" t="n">
        <f aca="false">O42/Base!$C$14</f>
        <v>0.0984485519110356</v>
      </c>
      <c r="Q42" s="9" t="n">
        <f aca="false">Base!$C$14+O42</f>
        <v>28890407.5988914</v>
      </c>
    </row>
    <row r="43" customFormat="false" ht="15" hidden="false" customHeight="false" outlineLevel="0" collapsed="false">
      <c r="B43" s="6" t="n">
        <v>8</v>
      </c>
      <c r="D43" s="9" t="n">
        <f aca="false">MAX(0,Base!$C$11*(1-Inputs!$C$21)*Inputs!$C$22-Base!$C$12)</f>
        <v>435595.70464</v>
      </c>
      <c r="E43" s="9" t="n">
        <f aca="false">Inputs!$C$23-Inputs!$C$18</f>
        <v>810000</v>
      </c>
      <c r="F43" s="9" t="n">
        <f aca="false">Inputs!$C$24</f>
        <v>742000</v>
      </c>
      <c r="G43" s="9" t="n">
        <f aca="false">Inputs!$C$24*Inputs!$C$25</f>
        <v>105364</v>
      </c>
      <c r="H43" s="9" t="n">
        <f aca="false">Base!$C$17*$B$43</f>
        <v>184520.987234043</v>
      </c>
      <c r="I43" s="9" t="n">
        <f aca="false">Base!$C$18*Inputs!$C$30*Inputs!$C$31</f>
        <v>288340.425531915</v>
      </c>
      <c r="J43" s="9" t="n">
        <f aca="false">Inputs!$C$32</f>
        <v>310000</v>
      </c>
      <c r="K43" s="9" t="n">
        <f aca="false">(D43+E43+F43+G43)*((1+Inputs!$C$34)^(Inputs!$C$35/12)-1)</f>
        <v>137483.601609652</v>
      </c>
      <c r="L43" s="9" t="n">
        <f aca="false">-Inputs!$C$36</f>
        <v>-96000</v>
      </c>
      <c r="M43" s="9" t="n">
        <f aca="false">-MIN(MAX(0,(Inputs!$C$26-$B$43))*Inputs!$C$37,Base!$C$19)</f>
        <v>-87000</v>
      </c>
      <c r="N43" s="9" t="n">
        <f aca="false">-Base!$C$20*Inputs!$C$40</f>
        <v>-90738.8025072</v>
      </c>
      <c r="O43" s="14" t="n">
        <f aca="false">SUM(D43:N43)</f>
        <v>2739565.91650841</v>
      </c>
      <c r="P43" s="15" t="n">
        <f aca="false">O43/Base!$C$14</f>
        <v>0.104161639241427</v>
      </c>
      <c r="Q43" s="9" t="n">
        <f aca="false">Base!$C$14+O43</f>
        <v>29040668.0925084</v>
      </c>
    </row>
    <row r="44" customFormat="false" ht="15" hidden="false" customHeight="false" outlineLevel="0" collapsed="false">
      <c r="B44" s="21" t="n">
        <v>11</v>
      </c>
      <c r="C44" s="17"/>
      <c r="D44" s="18" t="n">
        <f aca="false">MAX(0,Base!$C$11*(1-Inputs!$C$21)*Inputs!$C$22-Base!$C$12)</f>
        <v>435595.70464</v>
      </c>
      <c r="E44" s="18" t="n">
        <f aca="false">Inputs!$C$23-Inputs!$C$18</f>
        <v>810000</v>
      </c>
      <c r="F44" s="18" t="n">
        <f aca="false">Inputs!$C$24</f>
        <v>742000</v>
      </c>
      <c r="G44" s="18" t="n">
        <f aca="false">Inputs!$C$24*Inputs!$C$25</f>
        <v>105364</v>
      </c>
      <c r="H44" s="18" t="n">
        <f aca="false">Base!$C$17*$B$44</f>
        <v>253716.357446809</v>
      </c>
      <c r="I44" s="18" t="n">
        <f aca="false">Base!$C$18*Inputs!$C$30*Inputs!$C$31</f>
        <v>288340.425531915</v>
      </c>
      <c r="J44" s="18" t="n">
        <f aca="false">Inputs!$C$32</f>
        <v>310000</v>
      </c>
      <c r="K44" s="18" t="n">
        <f aca="false">(D44+E44+F44+G44)*((1+Inputs!$C$34)^(Inputs!$C$35/12)-1)</f>
        <v>137483.601609652</v>
      </c>
      <c r="L44" s="18" t="n">
        <f aca="false">-Inputs!$C$36</f>
        <v>-96000</v>
      </c>
      <c r="M44" s="18" t="n">
        <f aca="false">-MIN(MAX(0,(Inputs!$C$26-$B$44))*Inputs!$C$37,Base!$C$19)</f>
        <v>-43500</v>
      </c>
      <c r="N44" s="18" t="n">
        <f aca="false">-Base!$C$20*Inputs!$C$40</f>
        <v>-90738.8025072</v>
      </c>
      <c r="O44" s="19" t="n">
        <f aca="false">SUM(D44:N44)</f>
        <v>2852261.28672118</v>
      </c>
      <c r="P44" s="20" t="n">
        <f aca="false">O44/Base!$C$14</f>
        <v>0.10844645473922</v>
      </c>
      <c r="Q44" s="18" t="n">
        <f aca="false">Base!$C$14+O44</f>
        <v>29153363.4627212</v>
      </c>
    </row>
    <row r="45" customFormat="false" ht="15" hidden="false" customHeight="false" outlineLevel="0" collapsed="false">
      <c r="B45" s="6" t="n">
        <v>16</v>
      </c>
      <c r="D45" s="9" t="n">
        <f aca="false">MAX(0,Base!$C$11*(1-Inputs!$C$21)*Inputs!$C$22-Base!$C$12)</f>
        <v>435595.70464</v>
      </c>
      <c r="E45" s="9" t="n">
        <f aca="false">Inputs!$C$23-Inputs!$C$18</f>
        <v>810000</v>
      </c>
      <c r="F45" s="9" t="n">
        <f aca="false">Inputs!$C$24</f>
        <v>742000</v>
      </c>
      <c r="G45" s="9" t="n">
        <f aca="false">Inputs!$C$24*Inputs!$C$25</f>
        <v>105364</v>
      </c>
      <c r="H45" s="9" t="n">
        <f aca="false">Base!$C$17*$B$45</f>
        <v>369041.974468085</v>
      </c>
      <c r="I45" s="9" t="n">
        <f aca="false">Base!$C$18*Inputs!$C$30*Inputs!$C$31</f>
        <v>288340.425531915</v>
      </c>
      <c r="J45" s="9" t="n">
        <f aca="false">Inputs!$C$32</f>
        <v>310000</v>
      </c>
      <c r="K45" s="9" t="n">
        <f aca="false">(D45+E45+F45+G45)*((1+Inputs!$C$34)^(Inputs!$C$35/12)-1)</f>
        <v>137483.601609652</v>
      </c>
      <c r="L45" s="9" t="n">
        <f aca="false">-Inputs!$C$36</f>
        <v>-96000</v>
      </c>
      <c r="M45" s="9" t="n">
        <f aca="false">-MIN(MAX(0,(Inputs!$C$26-$B$45))*Inputs!$C$37,Base!$C$19)</f>
        <v>-0</v>
      </c>
      <c r="N45" s="9" t="n">
        <f aca="false">-Base!$C$20*Inputs!$C$40</f>
        <v>-90738.8025072</v>
      </c>
      <c r="O45" s="14" t="n">
        <f aca="false">SUM(D45:N45)</f>
        <v>3011086.90374245</v>
      </c>
      <c r="P45" s="15" t="n">
        <f aca="false">O45/Base!$C$14</f>
        <v>0.114485198513471</v>
      </c>
      <c r="Q45" s="9" t="n">
        <f aca="false">Base!$C$14+O45</f>
        <v>29312189.0797425</v>
      </c>
    </row>
    <row r="46" customFormat="false" ht="15" hidden="false" customHeight="false" outlineLevel="0" collapsed="false">
      <c r="B46" s="11" t="s">
        <v>100</v>
      </c>
      <c r="O46" s="12" t="n">
        <f aca="false">MAX(O41:O45)-MIN(O41:O45)</f>
        <v>572041.974468085</v>
      </c>
    </row>
    <row r="49" customFormat="false" ht="15" hidden="false" customHeight="false" outlineLevel="0" collapsed="false">
      <c r="B49" s="4" t="s">
        <v>45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customFormat="false" ht="15" hidden="false" customHeight="false" outlineLevel="0" collapsed="false">
      <c r="B50" s="10" t="s">
        <v>106</v>
      </c>
    </row>
    <row r="51" customFormat="false" ht="42" hidden="false" customHeight="true" outlineLevel="0" collapsed="false">
      <c r="B51" s="13" t="s">
        <v>87</v>
      </c>
      <c r="C51" s="13"/>
      <c r="D51" s="13" t="s">
        <v>88</v>
      </c>
      <c r="E51" s="13" t="s">
        <v>33</v>
      </c>
      <c r="F51" s="13" t="s">
        <v>89</v>
      </c>
      <c r="G51" s="13" t="s">
        <v>90</v>
      </c>
      <c r="H51" s="13" t="s">
        <v>91</v>
      </c>
      <c r="I51" s="13" t="s">
        <v>92</v>
      </c>
      <c r="J51" s="13" t="s">
        <v>93</v>
      </c>
      <c r="K51" s="13" t="s">
        <v>94</v>
      </c>
      <c r="L51" s="13" t="s">
        <v>49</v>
      </c>
      <c r="M51" s="13" t="s">
        <v>95</v>
      </c>
      <c r="N51" s="13" t="s">
        <v>96</v>
      </c>
      <c r="O51" s="13" t="s">
        <v>97</v>
      </c>
      <c r="P51" s="13" t="s">
        <v>98</v>
      </c>
      <c r="Q51" s="13" t="s">
        <v>99</v>
      </c>
    </row>
    <row r="52" customFormat="false" ht="15" hidden="false" customHeight="false" outlineLevel="0" collapsed="false">
      <c r="B52" s="7" t="n">
        <v>0</v>
      </c>
      <c r="D52" s="9" t="n">
        <f aca="false">MAX(0,Base!$C$11*(1-Inputs!$C$21)*Inputs!$C$22-Base!$C$12)</f>
        <v>435595.70464</v>
      </c>
      <c r="E52" s="9" t="n">
        <f aca="false">Inputs!$C$23-Inputs!$C$18</f>
        <v>810000</v>
      </c>
      <c r="F52" s="9" t="n">
        <f aca="false">Inputs!$C$24</f>
        <v>742000</v>
      </c>
      <c r="G52" s="9" t="n">
        <f aca="false">Inputs!$C$24*Inputs!$C$25</f>
        <v>105364</v>
      </c>
      <c r="H52" s="9" t="n">
        <f aca="false">Base!$C$17*Inputs!$C$27</f>
        <v>253716.357446809</v>
      </c>
      <c r="I52" s="9" t="n">
        <f aca="false">Base!$C$18*Inputs!$C$30*$B$52</f>
        <v>0</v>
      </c>
      <c r="J52" s="9" t="n">
        <f aca="false">Inputs!$C$32</f>
        <v>310000</v>
      </c>
      <c r="K52" s="9" t="n">
        <f aca="false">(D52+E52+F52+G52)*((1+Inputs!$C$34)^(Inputs!$C$35/12)-1)</f>
        <v>137483.601609652</v>
      </c>
      <c r="L52" s="9" t="n">
        <f aca="false">-Inputs!$C$36</f>
        <v>-96000</v>
      </c>
      <c r="M52" s="9" t="n">
        <f aca="false">-MIN(MAX(0,(Inputs!$C$26-Inputs!$C$27))*Inputs!$C$37,Base!$C$19)</f>
        <v>-43500</v>
      </c>
      <c r="N52" s="9" t="n">
        <f aca="false">-Base!$C$20*Inputs!$C$40</f>
        <v>-90738.8025072</v>
      </c>
      <c r="O52" s="14" t="n">
        <f aca="false">SUM(D52:N52)</f>
        <v>2563920.86118926</v>
      </c>
      <c r="P52" s="15" t="n">
        <f aca="false">O52/Base!$C$14</f>
        <v>0.0974833998983078</v>
      </c>
      <c r="Q52" s="9" t="n">
        <f aca="false">Base!$C$14+O52</f>
        <v>28865023.0371893</v>
      </c>
    </row>
    <row r="53" customFormat="false" ht="15" hidden="false" customHeight="false" outlineLevel="0" collapsed="false">
      <c r="B53" s="7" t="n">
        <v>0.05</v>
      </c>
      <c r="D53" s="9" t="n">
        <f aca="false">MAX(0,Base!$C$11*(1-Inputs!$C$21)*Inputs!$C$22-Base!$C$12)</f>
        <v>435595.70464</v>
      </c>
      <c r="E53" s="9" t="n">
        <f aca="false">Inputs!$C$23-Inputs!$C$18</f>
        <v>810000</v>
      </c>
      <c r="F53" s="9" t="n">
        <f aca="false">Inputs!$C$24</f>
        <v>742000</v>
      </c>
      <c r="G53" s="9" t="n">
        <f aca="false">Inputs!$C$24*Inputs!$C$25</f>
        <v>105364</v>
      </c>
      <c r="H53" s="9" t="n">
        <f aca="false">Base!$C$17*Inputs!$C$27</f>
        <v>253716.357446809</v>
      </c>
      <c r="I53" s="9" t="n">
        <f aca="false">Base!$C$18*Inputs!$C$30*$B$53</f>
        <v>131063.829787234</v>
      </c>
      <c r="J53" s="9" t="n">
        <f aca="false">Inputs!$C$32</f>
        <v>310000</v>
      </c>
      <c r="K53" s="9" t="n">
        <f aca="false">(D53+E53+F53+G53)*((1+Inputs!$C$34)^(Inputs!$C$35/12)-1)</f>
        <v>137483.601609652</v>
      </c>
      <c r="L53" s="9" t="n">
        <f aca="false">-Inputs!$C$36</f>
        <v>-96000</v>
      </c>
      <c r="M53" s="9" t="n">
        <f aca="false">-MIN(MAX(0,(Inputs!$C$26-Inputs!$C$27))*Inputs!$C$37,Base!$C$19)</f>
        <v>-43500</v>
      </c>
      <c r="N53" s="9" t="n">
        <f aca="false">-Base!$C$20*Inputs!$C$40</f>
        <v>-90738.8025072</v>
      </c>
      <c r="O53" s="14" t="n">
        <f aca="false">SUM(D53:N53)</f>
        <v>2694984.6909765</v>
      </c>
      <c r="P53" s="15" t="n">
        <f aca="false">O53/Base!$C$14</f>
        <v>0.102466606644177</v>
      </c>
      <c r="Q53" s="9" t="n">
        <f aca="false">Base!$C$14+O53</f>
        <v>28996086.8669765</v>
      </c>
    </row>
    <row r="54" customFormat="false" ht="15" hidden="false" customHeight="false" outlineLevel="0" collapsed="false">
      <c r="B54" s="7" t="n">
        <v>0.08</v>
      </c>
      <c r="D54" s="9" t="n">
        <f aca="false">MAX(0,Base!$C$11*(1-Inputs!$C$21)*Inputs!$C$22-Base!$C$12)</f>
        <v>435595.70464</v>
      </c>
      <c r="E54" s="9" t="n">
        <f aca="false">Inputs!$C$23-Inputs!$C$18</f>
        <v>810000</v>
      </c>
      <c r="F54" s="9" t="n">
        <f aca="false">Inputs!$C$24</f>
        <v>742000</v>
      </c>
      <c r="G54" s="9" t="n">
        <f aca="false">Inputs!$C$24*Inputs!$C$25</f>
        <v>105364</v>
      </c>
      <c r="H54" s="9" t="n">
        <f aca="false">Base!$C$17*Inputs!$C$27</f>
        <v>253716.357446809</v>
      </c>
      <c r="I54" s="9" t="n">
        <f aca="false">Base!$C$18*Inputs!$C$30*$B$54</f>
        <v>209702.127659574</v>
      </c>
      <c r="J54" s="9" t="n">
        <f aca="false">Inputs!$C$32</f>
        <v>310000</v>
      </c>
      <c r="K54" s="9" t="n">
        <f aca="false">(D54+E54+F54+G54)*((1+Inputs!$C$34)^(Inputs!$C$35/12)-1)</f>
        <v>137483.601609652</v>
      </c>
      <c r="L54" s="9" t="n">
        <f aca="false">-Inputs!$C$36</f>
        <v>-96000</v>
      </c>
      <c r="M54" s="9" t="n">
        <f aca="false">-MIN(MAX(0,(Inputs!$C$26-Inputs!$C$27))*Inputs!$C$37,Base!$C$19)</f>
        <v>-43500</v>
      </c>
      <c r="N54" s="9" t="n">
        <f aca="false">-Base!$C$20*Inputs!$C$40</f>
        <v>-90738.8025072</v>
      </c>
      <c r="O54" s="14" t="n">
        <f aca="false">SUM(D54:N54)</f>
        <v>2773622.98884884</v>
      </c>
      <c r="P54" s="15" t="n">
        <f aca="false">O54/Base!$C$14</f>
        <v>0.105456530691698</v>
      </c>
      <c r="Q54" s="9" t="n">
        <f aca="false">Base!$C$14+O54</f>
        <v>29074725.1648488</v>
      </c>
    </row>
    <row r="55" customFormat="false" ht="15" hidden="false" customHeight="false" outlineLevel="0" collapsed="false">
      <c r="B55" s="16" t="n">
        <v>0.11</v>
      </c>
      <c r="C55" s="17"/>
      <c r="D55" s="18" t="n">
        <f aca="false">MAX(0,Base!$C$11*(1-Inputs!$C$21)*Inputs!$C$22-Base!$C$12)</f>
        <v>435595.70464</v>
      </c>
      <c r="E55" s="18" t="n">
        <f aca="false">Inputs!$C$23-Inputs!$C$18</f>
        <v>810000</v>
      </c>
      <c r="F55" s="18" t="n">
        <f aca="false">Inputs!$C$24</f>
        <v>742000</v>
      </c>
      <c r="G55" s="18" t="n">
        <f aca="false">Inputs!$C$24*Inputs!$C$25</f>
        <v>105364</v>
      </c>
      <c r="H55" s="18" t="n">
        <f aca="false">Base!$C$17*Inputs!$C$27</f>
        <v>253716.357446809</v>
      </c>
      <c r="I55" s="18" t="n">
        <f aca="false">Base!$C$18*Inputs!$C$30*$B$55</f>
        <v>288340.425531915</v>
      </c>
      <c r="J55" s="18" t="n">
        <f aca="false">Inputs!$C$32</f>
        <v>310000</v>
      </c>
      <c r="K55" s="18" t="n">
        <f aca="false">(D55+E55+F55+G55)*((1+Inputs!$C$34)^(Inputs!$C$35/12)-1)</f>
        <v>137483.601609652</v>
      </c>
      <c r="L55" s="18" t="n">
        <f aca="false">-Inputs!$C$36</f>
        <v>-96000</v>
      </c>
      <c r="M55" s="18" t="n">
        <f aca="false">-MIN(MAX(0,(Inputs!$C$26-Inputs!$C$27))*Inputs!$C$37,Base!$C$19)</f>
        <v>-43500</v>
      </c>
      <c r="N55" s="18" t="n">
        <f aca="false">-Base!$C$20*Inputs!$C$40</f>
        <v>-90738.8025072</v>
      </c>
      <c r="O55" s="19" t="n">
        <f aca="false">SUM(D55:N55)</f>
        <v>2852261.28672118</v>
      </c>
      <c r="P55" s="20" t="n">
        <f aca="false">O55/Base!$C$14</f>
        <v>0.10844645473922</v>
      </c>
      <c r="Q55" s="18" t="n">
        <f aca="false">Base!$C$14+O55</f>
        <v>29153363.4627212</v>
      </c>
    </row>
    <row r="56" customFormat="false" ht="15" hidden="false" customHeight="false" outlineLevel="0" collapsed="false">
      <c r="B56" s="7" t="n">
        <v>0.16</v>
      </c>
      <c r="D56" s="9" t="n">
        <f aca="false">MAX(0,Base!$C$11*(1-Inputs!$C$21)*Inputs!$C$22-Base!$C$12)</f>
        <v>435595.70464</v>
      </c>
      <c r="E56" s="9" t="n">
        <f aca="false">Inputs!$C$23-Inputs!$C$18</f>
        <v>810000</v>
      </c>
      <c r="F56" s="9" t="n">
        <f aca="false">Inputs!$C$24</f>
        <v>742000</v>
      </c>
      <c r="G56" s="9" t="n">
        <f aca="false">Inputs!$C$24*Inputs!$C$25</f>
        <v>105364</v>
      </c>
      <c r="H56" s="9" t="n">
        <f aca="false">Base!$C$17*Inputs!$C$27</f>
        <v>253716.357446809</v>
      </c>
      <c r="I56" s="9" t="n">
        <f aca="false">Base!$C$18*Inputs!$C$30*$B$56</f>
        <v>419404.255319149</v>
      </c>
      <c r="J56" s="9" t="n">
        <f aca="false">Inputs!$C$32</f>
        <v>310000</v>
      </c>
      <c r="K56" s="9" t="n">
        <f aca="false">(D56+E56+F56+G56)*((1+Inputs!$C$34)^(Inputs!$C$35/12)-1)</f>
        <v>137483.601609652</v>
      </c>
      <c r="L56" s="9" t="n">
        <f aca="false">-Inputs!$C$36</f>
        <v>-96000</v>
      </c>
      <c r="M56" s="9" t="n">
        <f aca="false">-MIN(MAX(0,(Inputs!$C$26-Inputs!$C$27))*Inputs!$C$37,Base!$C$19)</f>
        <v>-43500</v>
      </c>
      <c r="N56" s="9" t="n">
        <f aca="false">-Base!$C$20*Inputs!$C$40</f>
        <v>-90738.8025072</v>
      </c>
      <c r="O56" s="14" t="n">
        <f aca="false">SUM(D56:N56)</f>
        <v>2983325.11650841</v>
      </c>
      <c r="P56" s="15" t="n">
        <f aca="false">O56/Base!$C$14</f>
        <v>0.113429661485089</v>
      </c>
      <c r="Q56" s="9" t="n">
        <f aca="false">Base!$C$14+O56</f>
        <v>29284427.2925084</v>
      </c>
    </row>
    <row r="57" customFormat="false" ht="15" hidden="false" customHeight="false" outlineLevel="0" collapsed="false">
      <c r="B57" s="11" t="s">
        <v>100</v>
      </c>
      <c r="O57" s="12" t="n">
        <f aca="false">MAX(O52:O56)-MIN(O52:O56)</f>
        <v>419404.255319149</v>
      </c>
    </row>
    <row r="60" customFormat="false" ht="15" hidden="false" customHeight="false" outlineLevel="0" collapsed="false">
      <c r="B60" s="4" t="s">
        <v>107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customFormat="false" ht="15" hidden="false" customHeight="false" outlineLevel="0" collapsed="false">
      <c r="B61" s="10" t="s">
        <v>108</v>
      </c>
    </row>
    <row r="62" customFormat="false" ht="42" hidden="false" customHeight="true" outlineLevel="0" collapsed="false">
      <c r="B62" s="13" t="s">
        <v>87</v>
      </c>
      <c r="C62" s="13"/>
      <c r="D62" s="13" t="s">
        <v>88</v>
      </c>
      <c r="E62" s="13" t="s">
        <v>33</v>
      </c>
      <c r="F62" s="13" t="s">
        <v>89</v>
      </c>
      <c r="G62" s="13" t="s">
        <v>90</v>
      </c>
      <c r="H62" s="13" t="s">
        <v>91</v>
      </c>
      <c r="I62" s="13" t="s">
        <v>92</v>
      </c>
      <c r="J62" s="13" t="s">
        <v>93</v>
      </c>
      <c r="K62" s="13" t="s">
        <v>94</v>
      </c>
      <c r="L62" s="13" t="s">
        <v>49</v>
      </c>
      <c r="M62" s="13" t="s">
        <v>95</v>
      </c>
      <c r="N62" s="13" t="s">
        <v>96</v>
      </c>
      <c r="O62" s="13" t="s">
        <v>97</v>
      </c>
      <c r="P62" s="13" t="s">
        <v>98</v>
      </c>
      <c r="Q62" s="13" t="s">
        <v>99</v>
      </c>
    </row>
    <row r="63" customFormat="false" ht="15" hidden="false" customHeight="false" outlineLevel="0" collapsed="false">
      <c r="B63" s="7" t="n">
        <v>0</v>
      </c>
      <c r="D63" s="9" t="n">
        <f aca="false">MAX(0,Base!$C$11*(1-Inputs!$C$21)*Inputs!$C$22-Base!$C$12)</f>
        <v>435595.70464</v>
      </c>
      <c r="E63" s="9" t="n">
        <f aca="false">Inputs!$C$23-Inputs!$C$18</f>
        <v>810000</v>
      </c>
      <c r="F63" s="9" t="n">
        <f aca="false">Inputs!$C$24</f>
        <v>742000</v>
      </c>
      <c r="G63" s="9" t="n">
        <f aca="false">Inputs!$C$24*Inputs!$C$25</f>
        <v>105364</v>
      </c>
      <c r="H63" s="9" t="n">
        <f aca="false">Base!$C$17*Inputs!$C$27</f>
        <v>253716.357446809</v>
      </c>
      <c r="I63" s="9" t="n">
        <f aca="false">Base!$C$18*Inputs!$C$30*Inputs!$C$31</f>
        <v>288340.425531915</v>
      </c>
      <c r="J63" s="9" t="n">
        <f aca="false">Inputs!$C$32</f>
        <v>310000</v>
      </c>
      <c r="K63" s="9" t="n">
        <f aca="false">(D63+E63+F63+G63)*((1+$B$63)^(Inputs!$C$35/12)-1)</f>
        <v>0</v>
      </c>
      <c r="L63" s="9" t="n">
        <f aca="false">-Inputs!$C$36</f>
        <v>-96000</v>
      </c>
      <c r="M63" s="9" t="n">
        <f aca="false">-MIN(MAX(0,(Inputs!$C$26-Inputs!$C$27))*Inputs!$C$37,Base!$C$19)</f>
        <v>-43500</v>
      </c>
      <c r="N63" s="9" t="n">
        <f aca="false">-Base!$C$20*Inputs!$C$40</f>
        <v>-90738.8025072</v>
      </c>
      <c r="O63" s="14" t="n">
        <f aca="false">SUM(D63:N63)</f>
        <v>2714777.68511152</v>
      </c>
      <c r="P63" s="15" t="n">
        <f aca="false">O63/Base!$C$14</f>
        <v>0.103219160434607</v>
      </c>
      <c r="Q63" s="9" t="n">
        <f aca="false">Base!$C$14+O63</f>
        <v>29015879.8611115</v>
      </c>
    </row>
    <row r="64" customFormat="false" ht="15" hidden="false" customHeight="false" outlineLevel="0" collapsed="false">
      <c r="B64" s="7" t="n">
        <v>0.02</v>
      </c>
      <c r="D64" s="9" t="n">
        <f aca="false">MAX(0,Base!$C$11*(1-Inputs!$C$21)*Inputs!$C$22-Base!$C$12)</f>
        <v>435595.70464</v>
      </c>
      <c r="E64" s="9" t="n">
        <f aca="false">Inputs!$C$23-Inputs!$C$18</f>
        <v>810000</v>
      </c>
      <c r="F64" s="9" t="n">
        <f aca="false">Inputs!$C$24</f>
        <v>742000</v>
      </c>
      <c r="G64" s="9" t="n">
        <f aca="false">Inputs!$C$24*Inputs!$C$25</f>
        <v>105364</v>
      </c>
      <c r="H64" s="9" t="n">
        <f aca="false">Base!$C$17*Inputs!$C$27</f>
        <v>253716.357446809</v>
      </c>
      <c r="I64" s="9" t="n">
        <f aca="false">Base!$C$18*Inputs!$C$30*Inputs!$C$31</f>
        <v>288340.425531915</v>
      </c>
      <c r="J64" s="9" t="n">
        <f aca="false">Inputs!$C$32</f>
        <v>310000</v>
      </c>
      <c r="K64" s="9" t="n">
        <f aca="false">(D64+E64+F64+G64)*((1+$B$64)^(Inputs!$C$35/12)-1)</f>
        <v>66662.6070817874</v>
      </c>
      <c r="L64" s="9" t="n">
        <f aca="false">-Inputs!$C$36</f>
        <v>-96000</v>
      </c>
      <c r="M64" s="9" t="n">
        <f aca="false">-MIN(MAX(0,(Inputs!$C$26-Inputs!$C$27))*Inputs!$C$37,Base!$C$19)</f>
        <v>-43500</v>
      </c>
      <c r="N64" s="9" t="n">
        <f aca="false">-Base!$C$20*Inputs!$C$40</f>
        <v>-90738.8025072</v>
      </c>
      <c r="O64" s="14" t="n">
        <f aca="false">SUM(D64:N64)</f>
        <v>2781440.29219331</v>
      </c>
      <c r="P64" s="15" t="n">
        <f aca="false">O64/Base!$C$14</f>
        <v>0.10575375410432</v>
      </c>
      <c r="Q64" s="9" t="n">
        <f aca="false">Base!$C$14+O64</f>
        <v>29082542.4681933</v>
      </c>
    </row>
    <row r="65" customFormat="false" ht="15" hidden="false" customHeight="false" outlineLevel="0" collapsed="false">
      <c r="B65" s="16" t="n">
        <v>0.041</v>
      </c>
      <c r="C65" s="17"/>
      <c r="D65" s="18" t="n">
        <f aca="false">MAX(0,Base!$C$11*(1-Inputs!$C$21)*Inputs!$C$22-Base!$C$12)</f>
        <v>435595.70464</v>
      </c>
      <c r="E65" s="18" t="n">
        <f aca="false">Inputs!$C$23-Inputs!$C$18</f>
        <v>810000</v>
      </c>
      <c r="F65" s="18" t="n">
        <f aca="false">Inputs!$C$24</f>
        <v>742000</v>
      </c>
      <c r="G65" s="18" t="n">
        <f aca="false">Inputs!$C$24*Inputs!$C$25</f>
        <v>105364</v>
      </c>
      <c r="H65" s="18" t="n">
        <f aca="false">Base!$C$17*Inputs!$C$27</f>
        <v>253716.357446809</v>
      </c>
      <c r="I65" s="18" t="n">
        <f aca="false">Base!$C$18*Inputs!$C$30*Inputs!$C$31</f>
        <v>288340.425531915</v>
      </c>
      <c r="J65" s="18" t="n">
        <f aca="false">Inputs!$C$32</f>
        <v>310000</v>
      </c>
      <c r="K65" s="18" t="n">
        <f aca="false">(D65+E65+F65+G65)*((1+$B$65)^(Inputs!$C$35/12)-1)</f>
        <v>137483.601609652</v>
      </c>
      <c r="L65" s="18" t="n">
        <f aca="false">-Inputs!$C$36</f>
        <v>-96000</v>
      </c>
      <c r="M65" s="18" t="n">
        <f aca="false">-MIN(MAX(0,(Inputs!$C$26-Inputs!$C$27))*Inputs!$C$37,Base!$C$19)</f>
        <v>-43500</v>
      </c>
      <c r="N65" s="18" t="n">
        <f aca="false">-Base!$C$20*Inputs!$C$40</f>
        <v>-90738.8025072</v>
      </c>
      <c r="O65" s="19" t="n">
        <f aca="false">SUM(D65:N65)</f>
        <v>2852261.28672118</v>
      </c>
      <c r="P65" s="20" t="n">
        <f aca="false">O65/Base!$C$14</f>
        <v>0.10844645473922</v>
      </c>
      <c r="Q65" s="18" t="n">
        <f aca="false">Base!$C$14+O65</f>
        <v>29153363.4627212</v>
      </c>
    </row>
    <row r="66" customFormat="false" ht="15" hidden="false" customHeight="false" outlineLevel="0" collapsed="false">
      <c r="B66" s="7" t="n">
        <v>0.07</v>
      </c>
      <c r="D66" s="9" t="n">
        <f aca="false">MAX(0,Base!$C$11*(1-Inputs!$C$21)*Inputs!$C$22-Base!$C$12)</f>
        <v>435595.70464</v>
      </c>
      <c r="E66" s="9" t="n">
        <f aca="false">Inputs!$C$23-Inputs!$C$18</f>
        <v>810000</v>
      </c>
      <c r="F66" s="9" t="n">
        <f aca="false">Inputs!$C$24</f>
        <v>742000</v>
      </c>
      <c r="G66" s="9" t="n">
        <f aca="false">Inputs!$C$24*Inputs!$C$25</f>
        <v>105364</v>
      </c>
      <c r="H66" s="9" t="n">
        <f aca="false">Base!$C$17*Inputs!$C$27</f>
        <v>253716.357446809</v>
      </c>
      <c r="I66" s="9" t="n">
        <f aca="false">Base!$C$18*Inputs!$C$30*Inputs!$C$31</f>
        <v>288340.425531915</v>
      </c>
      <c r="J66" s="9" t="n">
        <f aca="false">Inputs!$C$32</f>
        <v>310000</v>
      </c>
      <c r="K66" s="9" t="n">
        <f aca="false">(D66+E66+F66+G66)*((1+$B$66)^(Inputs!$C$35/12)-1)</f>
        <v>236660.808122747</v>
      </c>
      <c r="L66" s="9" t="n">
        <f aca="false">-Inputs!$C$36</f>
        <v>-96000</v>
      </c>
      <c r="M66" s="9" t="n">
        <f aca="false">-MIN(MAX(0,(Inputs!$C$26-Inputs!$C$27))*Inputs!$C$37,Base!$C$19)</f>
        <v>-43500</v>
      </c>
      <c r="N66" s="9" t="n">
        <f aca="false">-Base!$C$20*Inputs!$C$40</f>
        <v>-90738.8025072</v>
      </c>
      <c r="O66" s="14" t="n">
        <f aca="false">SUM(D66:N66)</f>
        <v>2951438.49323427</v>
      </c>
      <c r="P66" s="15" t="n">
        <f aca="false">O66/Base!$C$14</f>
        <v>0.112217293156919</v>
      </c>
      <c r="Q66" s="9" t="n">
        <f aca="false">Base!$C$14+O66</f>
        <v>29252540.6692343</v>
      </c>
    </row>
    <row r="67" customFormat="false" ht="15" hidden="false" customHeight="false" outlineLevel="0" collapsed="false">
      <c r="B67" s="7" t="n">
        <v>0.1</v>
      </c>
      <c r="D67" s="9" t="n">
        <f aca="false">MAX(0,Base!$C$11*(1-Inputs!$C$21)*Inputs!$C$22-Base!$C$12)</f>
        <v>435595.70464</v>
      </c>
      <c r="E67" s="9" t="n">
        <f aca="false">Inputs!$C$23-Inputs!$C$18</f>
        <v>810000</v>
      </c>
      <c r="F67" s="9" t="n">
        <f aca="false">Inputs!$C$24</f>
        <v>742000</v>
      </c>
      <c r="G67" s="9" t="n">
        <f aca="false">Inputs!$C$24*Inputs!$C$25</f>
        <v>105364</v>
      </c>
      <c r="H67" s="9" t="n">
        <f aca="false">Base!$C$17*Inputs!$C$27</f>
        <v>253716.357446809</v>
      </c>
      <c r="I67" s="9" t="n">
        <f aca="false">Base!$C$18*Inputs!$C$30*Inputs!$C$31</f>
        <v>288340.425531915</v>
      </c>
      <c r="J67" s="9" t="n">
        <f aca="false">Inputs!$C$32</f>
        <v>310000</v>
      </c>
      <c r="K67" s="9" t="n">
        <f aca="false">(D67+E67+F67+G67)*((1+$B$67)^(Inputs!$C$35/12)-1)</f>
        <v>340920.98594552</v>
      </c>
      <c r="L67" s="9" t="n">
        <f aca="false">-Inputs!$C$36</f>
        <v>-96000</v>
      </c>
      <c r="M67" s="9" t="n">
        <f aca="false">-MIN(MAX(0,(Inputs!$C$26-Inputs!$C$27))*Inputs!$C$37,Base!$C$19)</f>
        <v>-43500</v>
      </c>
      <c r="N67" s="9" t="n">
        <f aca="false">-Base!$C$20*Inputs!$C$40</f>
        <v>-90738.8025072</v>
      </c>
      <c r="O67" s="14" t="n">
        <f aca="false">SUM(D67:N67)</f>
        <v>3055698.67105704</v>
      </c>
      <c r="P67" s="15" t="n">
        <f aca="false">O67/Base!$C$14</f>
        <v>0.116181392346569</v>
      </c>
      <c r="Q67" s="9" t="n">
        <f aca="false">Base!$C$14+O67</f>
        <v>29356800.847057</v>
      </c>
    </row>
    <row r="68" customFormat="false" ht="15" hidden="false" customHeight="false" outlineLevel="0" collapsed="false">
      <c r="B68" s="11" t="s">
        <v>100</v>
      </c>
      <c r="O68" s="12" t="n">
        <f aca="false">MAX(O63:O67)-MIN(O63:O67)</f>
        <v>340920.98594552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4" min="3" style="0" width="16"/>
    <col collapsed="false" customWidth="true" hidden="false" outlineLevel="0" max="5" min="5" style="0" width="64"/>
    <col collapsed="false" customWidth="true" hidden="false" outlineLevel="0" max="7" min="7" style="0" width="42"/>
    <col collapsed="false" customWidth="true" hidden="false" outlineLevel="0" max="8" min="8" style="0" width="16"/>
    <col collapsed="false" customWidth="true" hidden="false" outlineLevel="0" max="9" min="9" style="0" width="64"/>
  </cols>
  <sheetData>
    <row r="2" customFormat="false" ht="17.35" hidden="false" customHeight="false" outlineLevel="0" collapsed="false">
      <c r="B2" s="1" t="s">
        <v>109</v>
      </c>
    </row>
    <row r="3" customFormat="false" ht="15" hidden="false" customHeight="false" outlineLevel="0" collapsed="false">
      <c r="B3" s="3" t="s">
        <v>110</v>
      </c>
    </row>
    <row r="5" customFormat="false" ht="15" hidden="false" customHeight="false" outlineLevel="0" collapsed="false">
      <c r="B5" s="22" t="s">
        <v>111</v>
      </c>
      <c r="C5" s="22" t="s">
        <v>112</v>
      </c>
      <c r="D5" s="22" t="s">
        <v>113</v>
      </c>
      <c r="E5" s="22" t="s">
        <v>114</v>
      </c>
      <c r="G5" s="22" t="s">
        <v>115</v>
      </c>
      <c r="H5" s="22" t="s">
        <v>112</v>
      </c>
      <c r="I5" s="22" t="s">
        <v>116</v>
      </c>
    </row>
    <row r="6" customFormat="false" ht="15" hidden="false" customHeight="false" outlineLevel="0" collapsed="false">
      <c r="B6" s="3" t="str">
        <f aca="false">INDEX($G$6:$G$11,MATCH(C6,$H$6:$H$11,0))</f>
        <v>Provisional sums released</v>
      </c>
      <c r="C6" s="9" t="n">
        <f aca="false">LARGE($H$6:$H$11,1)</f>
        <v>1342767.64127093</v>
      </c>
      <c r="D6" s="15" t="n">
        <f aca="false">C6/Sensitivities!$O$10</f>
        <v>0.470773013511155</v>
      </c>
      <c r="E6" s="3" t="str">
        <f aca="false">INDEX($I$6:$I$11,MATCH(C6,$H$6:$H$11,0))</f>
        <v>Full. The schedule of sums is written by the client's team before tender.</v>
      </c>
      <c r="G6" s="3" t="s">
        <v>35</v>
      </c>
      <c r="H6" s="9" t="n">
        <f aca="false">Sensitivities!O13</f>
        <v>1062726.52654443</v>
      </c>
      <c r="I6" s="3" t="s">
        <v>117</v>
      </c>
    </row>
    <row r="7" customFormat="false" ht="15" hidden="false" customHeight="false" outlineLevel="0" collapsed="false">
      <c r="B7" s="3" t="str">
        <f aca="false">INDEX($G$6:$G$11,MATCH(C7,$H$6:$H$11,0))</f>
        <v>Design information issued at contract</v>
      </c>
      <c r="C7" s="9" t="n">
        <f aca="false">LARGE($H$6:$H$11,2)</f>
        <v>1062726.52654443</v>
      </c>
      <c r="D7" s="15" t="n">
        <f aca="false">C7/Sensitivities!$O$10</f>
        <v>0.372590874297527</v>
      </c>
      <c r="E7" s="3" t="str">
        <f aca="false">INDEX($I$6:$I$11,MATCH(C7,$H$6:$H$11,0))</f>
        <v>Full. It is a measurement of the client's own design program.</v>
      </c>
      <c r="G7" s="3" t="s">
        <v>37</v>
      </c>
      <c r="H7" s="9" t="n">
        <f aca="false">Sensitivities!O24</f>
        <v>1342767.64127093</v>
      </c>
      <c r="I7" s="3" t="s">
        <v>118</v>
      </c>
    </row>
    <row r="8" customFormat="false" ht="15" hidden="false" customHeight="false" outlineLevel="0" collapsed="false">
      <c r="B8" s="3" t="str">
        <f aca="false">INDEX($G$6:$G$11,MATCH(C8,$H$6:$H$11,0))</f>
        <v>Weeks of extension of time granted</v>
      </c>
      <c r="C8" s="9" t="n">
        <f aca="false">LARGE($H$6:$H$11,3)</f>
        <v>572041.974468085</v>
      </c>
      <c r="D8" s="15" t="n">
        <f aca="false">C8/Sensitivities!$O$10</f>
        <v>0.200557353259062</v>
      </c>
      <c r="E8" s="3" t="str">
        <f aca="false">INDEX($I$6:$I$11,MATCH(C8,$H$6:$H$11,0))</f>
        <v>None directly. The client's influence is exercised before signature, through the events its documents generate and the records its contract requires.</v>
      </c>
      <c r="G8" s="3" t="s">
        <v>102</v>
      </c>
      <c r="H8" s="9" t="n">
        <f aca="false">Sensitivities!O35</f>
        <v>173963.007746879</v>
      </c>
      <c r="I8" s="3" t="s">
        <v>119</v>
      </c>
    </row>
    <row r="9" customFormat="false" ht="15" hidden="false" customHeight="false" outlineLevel="0" collapsed="false">
      <c r="B9" s="3" t="str">
        <f aca="false">INDEX($G$6:$G$11,MATCH(C9,$H$6:$H$11,0))</f>
        <v>Labor productivity loss</v>
      </c>
      <c r="C9" s="9" t="n">
        <f aca="false">LARGE($H$6:$H$11,4)</f>
        <v>419404.255319149</v>
      </c>
      <c r="D9" s="15" t="n">
        <f aca="false">C9/Sensitivities!$O$10</f>
        <v>0.147042719147682</v>
      </c>
      <c r="E9" s="3" t="str">
        <f aca="false">INDEX($I$6:$I$11,MATCH(C9,$H$6:$H$11,0))</f>
        <v>Minimal. Not knowable at signature (Chapter 7).</v>
      </c>
      <c r="G9" s="3" t="s">
        <v>104</v>
      </c>
      <c r="H9" s="9" t="n">
        <f aca="false">Sensitivities!O46</f>
        <v>572041.974468085</v>
      </c>
      <c r="I9" s="3" t="s">
        <v>120</v>
      </c>
    </row>
    <row r="10" customFormat="false" ht="15" hidden="false" customHeight="false" outlineLevel="0" collapsed="false">
      <c r="B10" s="3" t="str">
        <f aca="false">INDEX($G$6:$G$11,MATCH(C10,$H$6:$H$11,0))</f>
        <v>Escalation index a year</v>
      </c>
      <c r="C10" s="9" t="n">
        <f aca="false">LARGE($H$6:$H$11,5)</f>
        <v>340920.98594552</v>
      </c>
      <c r="D10" s="15" t="n">
        <f aca="false">C10/Sensitivities!$O$10</f>
        <v>0.119526562146565</v>
      </c>
      <c r="E10" s="3" t="str">
        <f aca="false">INDEX($I$6:$I$11,MATCH(C10,$H$6:$H$11,0))</f>
        <v>None. The index is a market fact, though the base exposed to it is not.</v>
      </c>
      <c r="G10" s="3" t="s">
        <v>45</v>
      </c>
      <c r="H10" s="9" t="n">
        <f aca="false">Sensitivities!O57</f>
        <v>419404.255319149</v>
      </c>
      <c r="I10" s="3" t="s">
        <v>121</v>
      </c>
    </row>
    <row r="11" customFormat="false" ht="15" hidden="false" customHeight="false" outlineLevel="0" collapsed="false">
      <c r="B11" s="3" t="str">
        <f aca="false">INDEX($G$6:$G$11,MATCH(C11,$H$6:$H$11,0))</f>
        <v>Post-award pricing premium on client changes</v>
      </c>
      <c r="C11" s="9" t="n">
        <f aca="false">LARGE($H$6:$H$11,6)</f>
        <v>173963.007746879</v>
      </c>
      <c r="D11" s="15" t="n">
        <f aca="false">C11/Sensitivities!$O$10</f>
        <v>0.0609912593060007</v>
      </c>
      <c r="E11" s="3" t="str">
        <f aca="false">INDEX($I$6:$I$11,MATCH(C11,$H$6:$H$11,0))</f>
        <v>Partial. The premium follows leverage, and leverage follows completeness.</v>
      </c>
      <c r="G11" s="3" t="s">
        <v>107</v>
      </c>
      <c r="H11" s="9" t="n">
        <f aca="false">Sensitivities!O68</f>
        <v>340920.98594552</v>
      </c>
      <c r="I11" s="3" t="s">
        <v>122</v>
      </c>
    </row>
    <row r="13" customFormat="false" ht="15" hidden="false" customHeight="false" outlineLevel="0" collapsed="false">
      <c r="B13" s="11" t="s">
        <v>123</v>
      </c>
      <c r="C13" s="14" t="n">
        <f aca="false">MAX(C6:C11)</f>
        <v>1342767.64127093</v>
      </c>
    </row>
    <row r="14" customFormat="false" ht="15" hidden="false" customHeight="false" outlineLevel="0" collapsed="false">
      <c r="B14" s="11" t="s">
        <v>124</v>
      </c>
      <c r="C14" s="6" t="n">
        <v>1620289</v>
      </c>
    </row>
    <row r="15" customFormat="false" ht="15" hidden="false" customHeight="false" outlineLevel="0" collapsed="false">
      <c r="B15" s="11" t="s">
        <v>125</v>
      </c>
      <c r="C15" s="14" t="n">
        <f aca="false">C14-C13</f>
        <v>277521.358729067</v>
      </c>
    </row>
    <row r="17" customFormat="false" ht="15" hidden="false" customHeight="false" outlineLevel="0" collapsed="false">
      <c r="B17" s="10" t="s">
        <v>126</v>
      </c>
    </row>
    <row r="18" customFormat="false" ht="15" hidden="false" customHeight="false" outlineLevel="0" collapsed="false">
      <c r="B18" s="10" t="s">
        <v>127</v>
      </c>
    </row>
    <row r="20" customFormat="false" ht="15" hidden="false" customHeight="false" outlineLevel="0" collapsed="false">
      <c r="B20" s="10" t="s">
        <v>128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L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10" min="6" style="0" width="14"/>
  </cols>
  <sheetData>
    <row r="2" customFormat="false" ht="17.35" hidden="false" customHeight="false" outlineLevel="0" collapsed="false">
      <c r="B2" s="1" t="s">
        <v>129</v>
      </c>
    </row>
    <row r="3" customFormat="false" ht="15" hidden="false" customHeight="false" outlineLevel="0" collapsed="false">
      <c r="B3" s="3" t="s">
        <v>130</v>
      </c>
    </row>
    <row r="5" customFormat="false" ht="31.5" hidden="false" customHeight="true" outlineLevel="0" collapsed="false">
      <c r="B5" s="13" t="s">
        <v>131</v>
      </c>
      <c r="C5" s="13" t="s">
        <v>132</v>
      </c>
      <c r="D5" s="13" t="s">
        <v>98</v>
      </c>
      <c r="E5" s="13" t="s">
        <v>99</v>
      </c>
      <c r="F5" s="13" t="s">
        <v>133</v>
      </c>
      <c r="G5" s="13" t="s">
        <v>134</v>
      </c>
      <c r="H5" s="13" t="s">
        <v>135</v>
      </c>
      <c r="I5" s="13" t="s">
        <v>136</v>
      </c>
      <c r="J5" s="13" t="s">
        <v>137</v>
      </c>
    </row>
    <row r="6" customFormat="false" ht="15" hidden="false" customHeight="false" outlineLevel="0" collapsed="false">
      <c r="B6" s="7" t="n">
        <v>0.55</v>
      </c>
      <c r="C6" s="9" t="n">
        <f aca="false">K6+(Inputs!$C$23-Inputs!$C$18)+Inputs!$C$24+Inputs!$C$24*Inputs!$C$25+Base!$C$17*Inputs!$C$27+Base!$C$18*Inputs!$C$30*Inputs!$C$31+Inputs!$C$32+L6-Inputs!$C$36-MIN(MAX(0,(Inputs!$C$26-Inputs!$C$27))*Inputs!$C$37,Base!$C$19)-Base!$C$20*Inputs!$C$40</f>
        <v>3450778.43479957</v>
      </c>
      <c r="D6" s="15" t="n">
        <f aca="false">C6/Base!$C$14</f>
        <v>0.131202807080398</v>
      </c>
      <c r="E6" s="9" t="n">
        <f aca="false">Base!$C$14+C6</f>
        <v>29751880.6107996</v>
      </c>
      <c r="F6" s="9" t="n">
        <f aca="false">E6*Inputs!$C$45</f>
        <v>2915684.29985836</v>
      </c>
      <c r="G6" s="9" t="n">
        <f aca="false">Inputs!$C$44+E6+F6+Base!$C$22+Base!$C$23</f>
        <v>42386358.6624917</v>
      </c>
      <c r="H6" s="9" t="n">
        <f aca="false">Base!$C$21-G6</f>
        <v>2925641.33750831</v>
      </c>
      <c r="I6" s="23" t="n">
        <f aca="false">H6/G6</f>
        <v>0.0690231817459058</v>
      </c>
      <c r="J6" s="3" t="str">
        <f aca="false">IF(I6&gt;=Inputs!$C$51,"yes","no")</f>
        <v>no</v>
      </c>
      <c r="K6" s="24" t="n">
        <f aca="false">MAX(0,Base!$C$11*(1-$B$6)*Inputs!$C$22-Base!$C$12)</f>
        <v>997220.5036</v>
      </c>
      <c r="L6" s="24" t="n">
        <f aca="false">(K6+Inputs!$C$23-Inputs!$C$18+Inputs!$C$24+Inputs!$C$24*Inputs!$C$25)*((1+Inputs!$C$34)^(Inputs!$C$35/12)-1)</f>
        <v>174375.95072805</v>
      </c>
    </row>
    <row r="7" customFormat="false" ht="15" hidden="false" customHeight="false" outlineLevel="0" collapsed="false">
      <c r="B7" s="7" t="n">
        <v>0.65</v>
      </c>
      <c r="C7" s="9" t="n">
        <f aca="false">K7+(Inputs!$C$23-Inputs!$C$18)+Inputs!$C$24+Inputs!$C$24*Inputs!$C$25+Base!$C$17*Inputs!$C$27+Base!$C$18*Inputs!$C$30*Inputs!$C$31+Inputs!$C$32+L7-Inputs!$C$36-MIN(MAX(0,(Inputs!$C$26-Inputs!$C$27))*Inputs!$C$37,Base!$C$19)-Base!$C$20*Inputs!$C$40</f>
        <v>3098709.52416522</v>
      </c>
      <c r="D7" s="15" t="n">
        <f aca="false">C7/Base!$C$14</f>
        <v>0.11781671746794</v>
      </c>
      <c r="E7" s="9" t="n">
        <f aca="false">Base!$C$14+C7</f>
        <v>29399811.7001652</v>
      </c>
      <c r="F7" s="9" t="n">
        <f aca="false">E7*Inputs!$C$45</f>
        <v>2881181.54661619</v>
      </c>
      <c r="G7" s="9" t="n">
        <f aca="false">Inputs!$C$44+E7+F7+Base!$C$22+Base!$C$23</f>
        <v>41999786.9986152</v>
      </c>
      <c r="H7" s="9" t="n">
        <f aca="false">Base!$C$21-G7</f>
        <v>3312213.00138484</v>
      </c>
      <c r="I7" s="23" t="n">
        <f aca="false">H7/G7</f>
        <v>0.0788626142674022</v>
      </c>
      <c r="J7" s="3" t="str">
        <f aca="false">IF(I7&gt;=Inputs!$C$51,"yes","no")</f>
        <v>no</v>
      </c>
      <c r="K7" s="24" t="n">
        <f aca="false">MAX(0,Base!$C$11*(1-$B$7)*Inputs!$C$22-Base!$C$12)</f>
        <v>666852.9748</v>
      </c>
      <c r="L7" s="24" t="n">
        <f aca="false">(K7+Inputs!$C$23-Inputs!$C$18+Inputs!$C$24+Inputs!$C$24*Inputs!$C$25)*((1+Inputs!$C$34)^(Inputs!$C$35/12)-1)</f>
        <v>152674.568893698</v>
      </c>
    </row>
    <row r="8" customFormat="false" ht="15" hidden="false" customHeight="false" outlineLevel="0" collapsed="false">
      <c r="B8" s="7" t="n">
        <v>0.72</v>
      </c>
      <c r="C8" s="9" t="n">
        <f aca="false">K8+(Inputs!$C$23-Inputs!$C$18)+Inputs!$C$24+Inputs!$C$24*Inputs!$C$25+Base!$C$17*Inputs!$C$27+Base!$C$18*Inputs!$C$30*Inputs!$C$31+Inputs!$C$32+L8-Inputs!$C$36-MIN(MAX(0,(Inputs!$C$26-Inputs!$C$27))*Inputs!$C$37,Base!$C$19)-Base!$C$20*Inputs!$C$40</f>
        <v>2852261.28672118</v>
      </c>
      <c r="D8" s="15" t="n">
        <f aca="false">C8/Base!$C$14</f>
        <v>0.10844645473922</v>
      </c>
      <c r="E8" s="9" t="n">
        <f aca="false">Base!$C$14+C8</f>
        <v>29153363.4627212</v>
      </c>
      <c r="F8" s="9" t="n">
        <f aca="false">E8*Inputs!$C$45</f>
        <v>2857029.61934668</v>
      </c>
      <c r="G8" s="9" t="n">
        <f aca="false">Inputs!$C$44+E8+F8+Base!$C$22+Base!$C$23</f>
        <v>41729186.8339016</v>
      </c>
      <c r="H8" s="9" t="n">
        <f aca="false">Base!$C$21-G8</f>
        <v>3582813.16609839</v>
      </c>
      <c r="I8" s="23" t="n">
        <f aca="false">H8/G8</f>
        <v>0.0858586863999863</v>
      </c>
      <c r="J8" s="3" t="str">
        <f aca="false">IF(I8&gt;=Inputs!$C$51,"yes","no")</f>
        <v>no</v>
      </c>
      <c r="K8" s="24" t="n">
        <f aca="false">MAX(0,Base!$C$11*(1-$B$8)*Inputs!$C$22-Base!$C$12)</f>
        <v>435595.70464</v>
      </c>
      <c r="L8" s="24" t="n">
        <f aca="false">(K8+Inputs!$C$23-Inputs!$C$18+Inputs!$C$24+Inputs!$C$24*Inputs!$C$25)*((1+Inputs!$C$34)^(Inputs!$C$35/12)-1)</f>
        <v>137483.601609652</v>
      </c>
    </row>
    <row r="9" customFormat="false" ht="15" hidden="false" customHeight="false" outlineLevel="0" collapsed="false">
      <c r="B9" s="7" t="n">
        <v>0.8</v>
      </c>
      <c r="C9" s="9" t="n">
        <f aca="false">K9+(Inputs!$C$23-Inputs!$C$18)+Inputs!$C$24+Inputs!$C$24*Inputs!$C$25+Base!$C$17*Inputs!$C$27+Base!$C$18*Inputs!$C$30*Inputs!$C$31+Inputs!$C$32+L9-Inputs!$C$36-MIN(MAX(0,(Inputs!$C$26-Inputs!$C$27))*Inputs!$C$37,Base!$C$19)-Base!$C$20*Inputs!$C$40</f>
        <v>2570606.15821369</v>
      </c>
      <c r="D9" s="15" t="n">
        <f aca="false">C9/Base!$C$14</f>
        <v>0.0977375830492532</v>
      </c>
      <c r="E9" s="9" t="n">
        <f aca="false">Base!$C$14+C9</f>
        <v>28871708.3342137</v>
      </c>
      <c r="F9" s="9" t="n">
        <f aca="false">E9*Inputs!$C$45</f>
        <v>2829427.41675294</v>
      </c>
      <c r="G9" s="9" t="n">
        <f aca="false">Inputs!$C$44+E9+F9+Base!$C$22+Base!$C$23</f>
        <v>41419929.5028004</v>
      </c>
      <c r="H9" s="9" t="n">
        <f aca="false">Base!$C$21-G9</f>
        <v>3892070.49719962</v>
      </c>
      <c r="I9" s="23" t="n">
        <f aca="false">H9/G9</f>
        <v>0.0939661304091905</v>
      </c>
      <c r="J9" s="3" t="str">
        <f aca="false">IF(I9&gt;=Inputs!$C$51,"yes","no")</f>
        <v>no</v>
      </c>
      <c r="K9" s="24" t="n">
        <f aca="false">MAX(0,Base!$C$11*(1-$B$9)*Inputs!$C$22-Base!$C$12)</f>
        <v>171301.6816</v>
      </c>
      <c r="L9" s="24" t="n">
        <f aca="false">(K9+Inputs!$C$23-Inputs!$C$18+Inputs!$C$24+Inputs!$C$24*Inputs!$C$25)*((1+Inputs!$C$34)^(Inputs!$C$35/12)-1)</f>
        <v>120122.496142171</v>
      </c>
    </row>
    <row r="10" customFormat="false" ht="15" hidden="false" customHeight="false" outlineLevel="0" collapsed="false">
      <c r="B10" s="7" t="n">
        <v>0.85</v>
      </c>
      <c r="C10" s="9" t="n">
        <f aca="false">K10+(Inputs!$C$23-Inputs!$C$18)+Inputs!$C$24+Inputs!$C$24*Inputs!$C$25+Base!$C$17*Inputs!$C$27+Base!$C$18*Inputs!$C$30*Inputs!$C$31+Inputs!$C$32+L10-Inputs!$C$36-MIN(MAX(0,(Inputs!$C$26-Inputs!$C$27))*Inputs!$C$37,Base!$C$19)-Base!$C$20*Inputs!$C$40</f>
        <v>2394571.70289652</v>
      </c>
      <c r="D10" s="15" t="n">
        <f aca="false">C10/Base!$C$14</f>
        <v>0.0910445382430242</v>
      </c>
      <c r="E10" s="9" t="n">
        <f aca="false">Base!$C$14+C10</f>
        <v>28695673.8788965</v>
      </c>
      <c r="F10" s="9" t="n">
        <f aca="false">E10*Inputs!$C$45</f>
        <v>2812176.04013186</v>
      </c>
      <c r="G10" s="9" t="n">
        <f aca="false">Inputs!$C$44+E10+F10+Base!$C$22+Base!$C$23</f>
        <v>41226643.6708621</v>
      </c>
      <c r="H10" s="9" t="n">
        <f aca="false">Base!$C$21-G10</f>
        <v>4085356.32913787</v>
      </c>
      <c r="I10" s="23" t="n">
        <f aca="false">H10/G10</f>
        <v>0.0990950503211904</v>
      </c>
      <c r="J10" s="3" t="str">
        <f aca="false">IF(I10&gt;=Inputs!$C$51,"yes","no")</f>
        <v>no</v>
      </c>
      <c r="K10" s="24" t="n">
        <f aca="false">MAX(0,Base!$C$11*(1-$B$10)*Inputs!$C$22-Base!$C$12)</f>
        <v>6117.91720000008</v>
      </c>
      <c r="L10" s="24" t="n">
        <f aca="false">(K10+Inputs!$C$23-Inputs!$C$18+Inputs!$C$24+Inputs!$C$24*Inputs!$C$25)*((1+Inputs!$C$34)^(Inputs!$C$35/12)-1)</f>
        <v>109271.805224995</v>
      </c>
    </row>
    <row r="11" customFormat="false" ht="15" hidden="false" customHeight="false" outlineLevel="0" collapsed="false">
      <c r="B11" s="7" t="n">
        <v>0.9</v>
      </c>
      <c r="C11" s="9" t="n">
        <f aca="false">K11+(Inputs!$C$23-Inputs!$C$18)+Inputs!$C$24+Inputs!$C$24*Inputs!$C$25+Base!$C$17*Inputs!$C$27+Base!$C$18*Inputs!$C$30*Inputs!$C$31+Inputs!$C$32+L11-Inputs!$C$36-MIN(MAX(0,(Inputs!$C$26-Inputs!$C$27))*Inputs!$C$37,Base!$C$19)-Base!$C$20*Inputs!$C$40</f>
        <v>2388051.90825514</v>
      </c>
      <c r="D11" s="15" t="n">
        <f aca="false">C11/Base!$C$14</f>
        <v>0.0907966476946453</v>
      </c>
      <c r="E11" s="9" t="n">
        <f aca="false">Base!$C$14+C11</f>
        <v>28689154.0842551</v>
      </c>
      <c r="F11" s="9" t="n">
        <f aca="false">E11*Inputs!$C$45</f>
        <v>2811537.100257</v>
      </c>
      <c r="G11" s="9" t="n">
        <f aca="false">Inputs!$C$44+E11+F11+Base!$C$22+Base!$C$23</f>
        <v>41219484.9363459</v>
      </c>
      <c r="H11" s="9" t="n">
        <f aca="false">Base!$C$21-G11</f>
        <v>4092515.0636541</v>
      </c>
      <c r="I11" s="23" t="n">
        <f aca="false">H11/G11</f>
        <v>0.0992859340667177</v>
      </c>
      <c r="J11" s="3" t="str">
        <f aca="false">IF(I11&gt;=Inputs!$C$51,"yes","no")</f>
        <v>no</v>
      </c>
      <c r="K11" s="24" t="n">
        <f aca="false">MAX(0,Base!$C$11*(1-$B$11)*Inputs!$C$22-Base!$C$12)</f>
        <v>0</v>
      </c>
      <c r="L11" s="24" t="n">
        <f aca="false">(K11+Inputs!$C$23-Inputs!$C$18+Inputs!$C$24+Inputs!$C$24*Inputs!$C$25)*((1+Inputs!$C$34)^(Inputs!$C$35/12)-1)</f>
        <v>108869.927783618</v>
      </c>
    </row>
    <row r="12" customFormat="false" ht="15" hidden="false" customHeight="false" outlineLevel="0" collapsed="false">
      <c r="B12" s="7" t="n">
        <v>0.96</v>
      </c>
      <c r="C12" s="9" t="n">
        <f aca="false">K12+(Inputs!$C$23-Inputs!$C$18)+Inputs!$C$24+Inputs!$C$24*Inputs!$C$25+Base!$C$17*Inputs!$C$27+Base!$C$18*Inputs!$C$30*Inputs!$C$31+Inputs!$C$32+L12-Inputs!$C$36-MIN(MAX(0,(Inputs!$C$26-Inputs!$C$27))*Inputs!$C$37,Base!$C$19)-Base!$C$20*Inputs!$C$40</f>
        <v>2388051.90825514</v>
      </c>
      <c r="D12" s="15" t="n">
        <f aca="false">C12/Base!$C$14</f>
        <v>0.0907966476946453</v>
      </c>
      <c r="E12" s="9" t="n">
        <f aca="false">Base!$C$14+C12</f>
        <v>28689154.0842551</v>
      </c>
      <c r="F12" s="9" t="n">
        <f aca="false">E12*Inputs!$C$45</f>
        <v>2811537.100257</v>
      </c>
      <c r="G12" s="9" t="n">
        <f aca="false">Inputs!$C$44+E12+F12+Base!$C$22+Base!$C$23</f>
        <v>41219484.9363459</v>
      </c>
      <c r="H12" s="9" t="n">
        <f aca="false">Base!$C$21-G12</f>
        <v>4092515.0636541</v>
      </c>
      <c r="I12" s="23" t="n">
        <f aca="false">H12/G12</f>
        <v>0.0992859340667177</v>
      </c>
      <c r="J12" s="3" t="str">
        <f aca="false">IF(I12&gt;=Inputs!$C$51,"yes","no")</f>
        <v>no</v>
      </c>
      <c r="K12" s="24" t="n">
        <f aca="false">MAX(0,Base!$C$11*(1-$B$12)*Inputs!$C$22-Base!$C$12)</f>
        <v>0</v>
      </c>
      <c r="L12" s="24" t="n">
        <f aca="false">(K12+Inputs!$C$23-Inputs!$C$18+Inputs!$C$24+Inputs!$C$24*Inputs!$C$25)*((1+Inputs!$C$34)^(Inputs!$C$35/12)-1)</f>
        <v>108869.927783618</v>
      </c>
    </row>
    <row r="14" customFormat="false" ht="15" hidden="false" customHeight="false" outlineLevel="0" collapsed="false">
      <c r="B14" s="11" t="s">
        <v>138</v>
      </c>
    </row>
    <row r="15" customFormat="false" ht="15" hidden="false" customHeight="false" outlineLevel="0" collapsed="false">
      <c r="B15" s="3" t="s">
        <v>139</v>
      </c>
    </row>
    <row r="16" customFormat="false" ht="15" hidden="false" customHeight="false" outlineLevel="0" collapsed="false">
      <c r="B16" s="10" t="s">
        <v>140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G1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12"/>
  </cols>
  <sheetData>
    <row r="2" customFormat="false" ht="17.35" hidden="false" customHeight="false" outlineLevel="0" collapsed="false">
      <c r="B2" s="1" t="s">
        <v>141</v>
      </c>
    </row>
    <row r="3" customFormat="false" ht="15" hidden="false" customHeight="false" outlineLevel="0" collapsed="false">
      <c r="B3" s="3" t="s">
        <v>142</v>
      </c>
    </row>
    <row r="4" customFormat="false" ht="15" hidden="false" customHeight="false" outlineLevel="0" collapsed="false">
      <c r="B4" s="3" t="s">
        <v>143</v>
      </c>
    </row>
    <row r="6" customFormat="false" ht="15" hidden="false" customHeight="false" outlineLevel="0" collapsed="false">
      <c r="B6" s="22" t="s">
        <v>144</v>
      </c>
      <c r="C6" s="22" t="s">
        <v>145</v>
      </c>
      <c r="D6" s="22" t="s">
        <v>146</v>
      </c>
      <c r="E6" s="22" t="s">
        <v>147</v>
      </c>
      <c r="F6" s="22" t="s">
        <v>148</v>
      </c>
      <c r="G6" s="22" t="s">
        <v>149</v>
      </c>
    </row>
    <row r="7" customFormat="false" ht="15" hidden="false" customHeight="false" outlineLevel="0" collapsed="false">
      <c r="B7" s="2" t="s">
        <v>150</v>
      </c>
    </row>
    <row r="8" customFormat="false" ht="15" hidden="false" customHeight="false" outlineLevel="0" collapsed="false">
      <c r="B8" s="3" t="s">
        <v>67</v>
      </c>
      <c r="C8" s="9" t="n">
        <v>26301102</v>
      </c>
      <c r="D8" s="25" t="n">
        <f aca="false">ROUND(Base!C14,0)</f>
        <v>26301102</v>
      </c>
      <c r="E8" s="26" t="n">
        <f aca="false">D8-C8</f>
        <v>0</v>
      </c>
      <c r="F8" s="11" t="str">
        <f aca="false">IF(ABS(E8)&lt;=G8,"PASS","FAIL")</f>
        <v>PASS</v>
      </c>
      <c r="G8" s="27" t="n">
        <v>1E-008</v>
      </c>
    </row>
    <row r="9" customFormat="false" ht="15" hidden="false" customHeight="false" outlineLevel="0" collapsed="false">
      <c r="B9" s="3" t="s">
        <v>151</v>
      </c>
      <c r="C9" s="9" t="n">
        <v>24471669</v>
      </c>
      <c r="D9" s="25" t="n">
        <f aca="false">ROUND(Base!C11,0)</f>
        <v>24471669</v>
      </c>
      <c r="E9" s="26" t="n">
        <f aca="false">D9-C9</f>
        <v>0</v>
      </c>
      <c r="F9" s="11" t="str">
        <f aca="false">IF(ABS(E9)&lt;=G9,"PASS","FAIL")</f>
        <v>PASS</v>
      </c>
      <c r="G9" s="27" t="n">
        <v>1E-008</v>
      </c>
    </row>
    <row r="10" customFormat="false" ht="15" hidden="false" customHeight="false" outlineLevel="0" collapsed="false">
      <c r="B10" s="2" t="s">
        <v>35</v>
      </c>
    </row>
    <row r="11" customFormat="false" ht="15" hidden="false" customHeight="false" outlineLevel="0" collapsed="false">
      <c r="B11" s="3" t="s">
        <v>152</v>
      </c>
      <c r="C11" s="9" t="n">
        <v>3450778</v>
      </c>
      <c r="D11" s="25" t="n">
        <f aca="false">ROUND(Sensitivities!O8,0)</f>
        <v>3450778</v>
      </c>
      <c r="E11" s="26" t="n">
        <f aca="false">D11-C11</f>
        <v>0</v>
      </c>
      <c r="F11" s="11" t="str">
        <f aca="false">IF(ABS(E11)&lt;=G11,"PASS","FAIL")</f>
        <v>PASS</v>
      </c>
      <c r="G11" s="27" t="n">
        <v>1E-008</v>
      </c>
    </row>
    <row r="12" customFormat="false" ht="15" hidden="false" customHeight="false" outlineLevel="0" collapsed="false">
      <c r="B12" s="3" t="s">
        <v>153</v>
      </c>
      <c r="C12" s="9" t="n">
        <v>29751881</v>
      </c>
      <c r="D12" s="25" t="n">
        <f aca="false">ROUND(Sensitivities!Q8,0)</f>
        <v>29751881</v>
      </c>
      <c r="E12" s="26" t="n">
        <f aca="false">D12-C12</f>
        <v>0</v>
      </c>
      <c r="F12" s="11" t="str">
        <f aca="false">IF(ABS(E12)&lt;=G12,"PASS","FAIL")</f>
        <v>PASS</v>
      </c>
      <c r="G12" s="27" t="n">
        <v>1E-008</v>
      </c>
    </row>
    <row r="13" customFormat="false" ht="15" hidden="false" customHeight="false" outlineLevel="0" collapsed="false">
      <c r="B13" s="3" t="s">
        <v>154</v>
      </c>
      <c r="C13" s="9" t="n">
        <v>3098710</v>
      </c>
      <c r="D13" s="25" t="n">
        <f aca="false">ROUND(Sensitivities!O9,0)</f>
        <v>3098710</v>
      </c>
      <c r="E13" s="26" t="n">
        <f aca="false">D13-C13</f>
        <v>0</v>
      </c>
      <c r="F13" s="11" t="str">
        <f aca="false">IF(ABS(E13)&lt;=G13,"PASS","FAIL")</f>
        <v>PASS</v>
      </c>
      <c r="G13" s="27" t="n">
        <v>1E-008</v>
      </c>
    </row>
    <row r="14" customFormat="false" ht="15" hidden="false" customHeight="false" outlineLevel="0" collapsed="false">
      <c r="B14" s="3" t="s">
        <v>155</v>
      </c>
      <c r="C14" s="9" t="n">
        <v>29399812</v>
      </c>
      <c r="D14" s="25" t="n">
        <f aca="false">ROUND(Sensitivities!Q9,0)</f>
        <v>29399812</v>
      </c>
      <c r="E14" s="26" t="n">
        <f aca="false">D14-C14</f>
        <v>0</v>
      </c>
      <c r="F14" s="11" t="str">
        <f aca="false">IF(ABS(E14)&lt;=G14,"PASS","FAIL")</f>
        <v>PASS</v>
      </c>
      <c r="G14" s="27" t="n">
        <v>1E-008</v>
      </c>
    </row>
    <row r="15" customFormat="false" ht="15" hidden="false" customHeight="false" outlineLevel="0" collapsed="false">
      <c r="B15" s="3" t="s">
        <v>156</v>
      </c>
      <c r="C15" s="9" t="n">
        <v>2852261</v>
      </c>
      <c r="D15" s="25" t="n">
        <f aca="false">ROUND(Sensitivities!O10,0)</f>
        <v>2852261</v>
      </c>
      <c r="E15" s="26" t="n">
        <f aca="false">D15-C15</f>
        <v>0</v>
      </c>
      <c r="F15" s="11" t="str">
        <f aca="false">IF(ABS(E15)&lt;=G15,"PASS","FAIL")</f>
        <v>PASS</v>
      </c>
      <c r="G15" s="27" t="n">
        <v>1E-008</v>
      </c>
    </row>
    <row r="16" customFormat="false" ht="15" hidden="false" customHeight="false" outlineLevel="0" collapsed="false">
      <c r="B16" s="3" t="s">
        <v>157</v>
      </c>
      <c r="C16" s="9" t="n">
        <v>29153363</v>
      </c>
      <c r="D16" s="25" t="n">
        <f aca="false">ROUND(Sensitivities!Q10,0)</f>
        <v>29153363</v>
      </c>
      <c r="E16" s="26" t="n">
        <f aca="false">D16-C16</f>
        <v>0</v>
      </c>
      <c r="F16" s="11" t="str">
        <f aca="false">IF(ABS(E16)&lt;=G16,"PASS","FAIL")</f>
        <v>PASS</v>
      </c>
      <c r="G16" s="27" t="n">
        <v>1E-008</v>
      </c>
    </row>
    <row r="17" customFormat="false" ht="15" hidden="false" customHeight="false" outlineLevel="0" collapsed="false">
      <c r="B17" s="3" t="s">
        <v>158</v>
      </c>
      <c r="C17" s="9" t="n">
        <v>2394572</v>
      </c>
      <c r="D17" s="25" t="n">
        <f aca="false">ROUND(Sensitivities!O11,0)</f>
        <v>2394572</v>
      </c>
      <c r="E17" s="26" t="n">
        <f aca="false">D17-C17</f>
        <v>0</v>
      </c>
      <c r="F17" s="11" t="str">
        <f aca="false">IF(ABS(E17)&lt;=G17,"PASS","FAIL")</f>
        <v>PASS</v>
      </c>
      <c r="G17" s="27" t="n">
        <v>1E-008</v>
      </c>
    </row>
    <row r="18" customFormat="false" ht="15" hidden="false" customHeight="false" outlineLevel="0" collapsed="false">
      <c r="B18" s="3" t="s">
        <v>159</v>
      </c>
      <c r="C18" s="9" t="n">
        <v>28695674</v>
      </c>
      <c r="D18" s="25" t="n">
        <f aca="false">ROUND(Sensitivities!Q11,0)</f>
        <v>28695674</v>
      </c>
      <c r="E18" s="26" t="n">
        <f aca="false">D18-C18</f>
        <v>0</v>
      </c>
      <c r="F18" s="11" t="str">
        <f aca="false">IF(ABS(E18)&lt;=G18,"PASS","FAIL")</f>
        <v>PASS</v>
      </c>
      <c r="G18" s="27" t="n">
        <v>1E-008</v>
      </c>
    </row>
    <row r="19" customFormat="false" ht="15" hidden="false" customHeight="false" outlineLevel="0" collapsed="false">
      <c r="B19" s="3" t="s">
        <v>160</v>
      </c>
      <c r="C19" s="9" t="n">
        <v>2388052</v>
      </c>
      <c r="D19" s="25" t="n">
        <f aca="false">ROUND(Sensitivities!O12,0)</f>
        <v>2388052</v>
      </c>
      <c r="E19" s="26" t="n">
        <f aca="false">D19-C19</f>
        <v>0</v>
      </c>
      <c r="F19" s="11" t="str">
        <f aca="false">IF(ABS(E19)&lt;=G19,"PASS","FAIL")</f>
        <v>PASS</v>
      </c>
      <c r="G19" s="27" t="n">
        <v>1E-008</v>
      </c>
    </row>
    <row r="20" customFormat="false" ht="15" hidden="false" customHeight="false" outlineLevel="0" collapsed="false">
      <c r="B20" s="3" t="s">
        <v>161</v>
      </c>
      <c r="C20" s="9" t="n">
        <v>28689154</v>
      </c>
      <c r="D20" s="25" t="n">
        <f aca="false">ROUND(Sensitivities!Q12,0)</f>
        <v>28689154</v>
      </c>
      <c r="E20" s="26" t="n">
        <f aca="false">D20-C20</f>
        <v>0</v>
      </c>
      <c r="F20" s="11" t="str">
        <f aca="false">IF(ABS(E20)&lt;=G20,"PASS","FAIL")</f>
        <v>PASS</v>
      </c>
      <c r="G20" s="27" t="n">
        <v>1E-008</v>
      </c>
    </row>
    <row r="21" customFormat="false" ht="15" hidden="false" customHeight="false" outlineLevel="0" collapsed="false">
      <c r="B21" s="2" t="s">
        <v>37</v>
      </c>
    </row>
    <row r="22" customFormat="false" ht="15" hidden="false" customHeight="false" outlineLevel="0" collapsed="false">
      <c r="B22" s="3" t="s">
        <v>152</v>
      </c>
      <c r="C22" s="9" t="n">
        <v>1989054</v>
      </c>
      <c r="D22" s="25" t="n">
        <f aca="false">ROUND(Sensitivities!O19,0)</f>
        <v>1989054</v>
      </c>
      <c r="E22" s="26" t="n">
        <f aca="false">D22-C22</f>
        <v>0</v>
      </c>
      <c r="F22" s="11" t="str">
        <f aca="false">IF(ABS(E22)&lt;=G22,"PASS","FAIL")</f>
        <v>PASS</v>
      </c>
      <c r="G22" s="27" t="n">
        <v>1E-008</v>
      </c>
    </row>
    <row r="23" customFormat="false" ht="15" hidden="false" customHeight="false" outlineLevel="0" collapsed="false">
      <c r="B23" s="3" t="s">
        <v>153</v>
      </c>
      <c r="C23" s="9" t="n">
        <v>28290156</v>
      </c>
      <c r="D23" s="25" t="n">
        <f aca="false">ROUND(Sensitivities!Q19,0)</f>
        <v>28290156</v>
      </c>
      <c r="E23" s="26" t="n">
        <f aca="false">D23-C23</f>
        <v>0</v>
      </c>
      <c r="F23" s="11" t="str">
        <f aca="false">IF(ABS(E23)&lt;=G23,"PASS","FAIL")</f>
        <v>PASS</v>
      </c>
      <c r="G23" s="27" t="n">
        <v>1E-008</v>
      </c>
    </row>
    <row r="24" customFormat="false" ht="15" hidden="false" customHeight="false" outlineLevel="0" collapsed="false">
      <c r="B24" s="3" t="s">
        <v>154</v>
      </c>
      <c r="C24" s="9" t="n">
        <v>2266133</v>
      </c>
      <c r="D24" s="25" t="n">
        <f aca="false">ROUND(Sensitivities!O20,0)</f>
        <v>2266133</v>
      </c>
      <c r="E24" s="26" t="n">
        <f aca="false">D24-C24</f>
        <v>0</v>
      </c>
      <c r="F24" s="11" t="str">
        <f aca="false">IF(ABS(E24)&lt;=G24,"PASS","FAIL")</f>
        <v>PASS</v>
      </c>
      <c r="G24" s="27" t="n">
        <v>1E-008</v>
      </c>
    </row>
    <row r="25" customFormat="false" ht="15" hidden="false" customHeight="false" outlineLevel="0" collapsed="false">
      <c r="B25" s="3" t="s">
        <v>155</v>
      </c>
      <c r="C25" s="9" t="n">
        <v>28567235</v>
      </c>
      <c r="D25" s="25" t="n">
        <f aca="false">ROUND(Sensitivities!Q20,0)</f>
        <v>28567235</v>
      </c>
      <c r="E25" s="26" t="n">
        <f aca="false">D25-C25</f>
        <v>0</v>
      </c>
      <c r="F25" s="11" t="str">
        <f aca="false">IF(ABS(E25)&lt;=G25,"PASS","FAIL")</f>
        <v>PASS</v>
      </c>
      <c r="G25" s="27" t="n">
        <v>1E-008</v>
      </c>
    </row>
    <row r="26" customFormat="false" ht="15" hidden="false" customHeight="false" outlineLevel="0" collapsed="false">
      <c r="B26" s="3" t="s">
        <v>156</v>
      </c>
      <c r="C26" s="9" t="n">
        <v>2585839</v>
      </c>
      <c r="D26" s="25" t="n">
        <f aca="false">ROUND(Sensitivities!O21,0)</f>
        <v>2585839</v>
      </c>
      <c r="E26" s="26" t="n">
        <f aca="false">D26-C26</f>
        <v>0</v>
      </c>
      <c r="F26" s="11" t="str">
        <f aca="false">IF(ABS(E26)&lt;=G26,"PASS","FAIL")</f>
        <v>PASS</v>
      </c>
      <c r="G26" s="27" t="n">
        <v>1E-008</v>
      </c>
    </row>
    <row r="27" customFormat="false" ht="15" hidden="false" customHeight="false" outlineLevel="0" collapsed="false">
      <c r="B27" s="3" t="s">
        <v>157</v>
      </c>
      <c r="C27" s="9" t="n">
        <v>28886941</v>
      </c>
      <c r="D27" s="25" t="n">
        <f aca="false">ROUND(Sensitivities!Q21,0)</f>
        <v>28886941</v>
      </c>
      <c r="E27" s="26" t="n">
        <f aca="false">D27-C27</f>
        <v>0</v>
      </c>
      <c r="F27" s="11" t="str">
        <f aca="false">IF(ABS(E27)&lt;=G27,"PASS","FAIL")</f>
        <v>PASS</v>
      </c>
      <c r="G27" s="27" t="n">
        <v>1E-008</v>
      </c>
    </row>
    <row r="28" customFormat="false" ht="15" hidden="false" customHeight="false" outlineLevel="0" collapsed="false">
      <c r="B28" s="3" t="s">
        <v>158</v>
      </c>
      <c r="C28" s="9" t="n">
        <v>2852261</v>
      </c>
      <c r="D28" s="25" t="n">
        <f aca="false">ROUND(Sensitivities!O22,0)</f>
        <v>2852261</v>
      </c>
      <c r="E28" s="26" t="n">
        <f aca="false">D28-C28</f>
        <v>0</v>
      </c>
      <c r="F28" s="11" t="str">
        <f aca="false">IF(ABS(E28)&lt;=G28,"PASS","FAIL")</f>
        <v>PASS</v>
      </c>
      <c r="G28" s="27" t="n">
        <v>1E-008</v>
      </c>
    </row>
    <row r="29" customFormat="false" ht="15" hidden="false" customHeight="false" outlineLevel="0" collapsed="false">
      <c r="B29" s="3" t="s">
        <v>159</v>
      </c>
      <c r="C29" s="9" t="n">
        <v>29153363</v>
      </c>
      <c r="D29" s="25" t="n">
        <f aca="false">ROUND(Sensitivities!Q22,0)</f>
        <v>29153363</v>
      </c>
      <c r="E29" s="26" t="n">
        <f aca="false">D29-C29</f>
        <v>0</v>
      </c>
      <c r="F29" s="11" t="str">
        <f aca="false">IF(ABS(E29)&lt;=G29,"PASS","FAIL")</f>
        <v>PASS</v>
      </c>
      <c r="G29" s="27" t="n">
        <v>1E-008</v>
      </c>
    </row>
    <row r="30" customFormat="false" ht="15" hidden="false" customHeight="false" outlineLevel="0" collapsed="false">
      <c r="B30" s="3" t="s">
        <v>160</v>
      </c>
      <c r="C30" s="9" t="n">
        <v>3331821</v>
      </c>
      <c r="D30" s="25" t="n">
        <f aca="false">ROUND(Sensitivities!O23,0)</f>
        <v>3331821</v>
      </c>
      <c r="E30" s="26" t="n">
        <f aca="false">D30-C30</f>
        <v>0</v>
      </c>
      <c r="F30" s="11" t="str">
        <f aca="false">IF(ABS(E30)&lt;=G30,"PASS","FAIL")</f>
        <v>PASS</v>
      </c>
      <c r="G30" s="27" t="n">
        <v>1E-008</v>
      </c>
    </row>
    <row r="31" customFormat="false" ht="15" hidden="false" customHeight="false" outlineLevel="0" collapsed="false">
      <c r="B31" s="3" t="s">
        <v>161</v>
      </c>
      <c r="C31" s="9" t="n">
        <v>29632923</v>
      </c>
      <c r="D31" s="25" t="n">
        <f aca="false">ROUND(Sensitivities!Q23,0)</f>
        <v>29632923</v>
      </c>
      <c r="E31" s="26" t="n">
        <f aca="false">D31-C31</f>
        <v>0</v>
      </c>
      <c r="F31" s="11" t="str">
        <f aca="false">IF(ABS(E31)&lt;=G31,"PASS","FAIL")</f>
        <v>PASS</v>
      </c>
      <c r="G31" s="27" t="n">
        <v>1E-008</v>
      </c>
    </row>
    <row r="32" customFormat="false" ht="15" hidden="false" customHeight="false" outlineLevel="0" collapsed="false">
      <c r="B32" s="2" t="s">
        <v>39</v>
      </c>
    </row>
    <row r="33" customFormat="false" ht="15" hidden="false" customHeight="false" outlineLevel="0" collapsed="false">
      <c r="B33" s="3" t="s">
        <v>152</v>
      </c>
      <c r="C33" s="9" t="n">
        <v>2739976</v>
      </c>
      <c r="D33" s="25" t="n">
        <f aca="false">ROUND(Sensitivities!O30,0)</f>
        <v>2739976</v>
      </c>
      <c r="E33" s="26" t="n">
        <f aca="false">D33-C33</f>
        <v>0</v>
      </c>
      <c r="F33" s="11" t="str">
        <f aca="false">IF(ABS(E33)&lt;=G33,"PASS","FAIL")</f>
        <v>PASS</v>
      </c>
      <c r="G33" s="27" t="n">
        <v>1E-008</v>
      </c>
    </row>
    <row r="34" customFormat="false" ht="15" hidden="false" customHeight="false" outlineLevel="0" collapsed="false">
      <c r="B34" s="3" t="s">
        <v>153</v>
      </c>
      <c r="C34" s="9" t="n">
        <v>29041078</v>
      </c>
      <c r="D34" s="25" t="n">
        <f aca="false">ROUND(Sensitivities!Q30,0)</f>
        <v>29041078</v>
      </c>
      <c r="E34" s="26" t="n">
        <f aca="false">D34-C34</f>
        <v>0</v>
      </c>
      <c r="F34" s="11" t="str">
        <f aca="false">IF(ABS(E34)&lt;=G34,"PASS","FAIL")</f>
        <v>PASS</v>
      </c>
      <c r="G34" s="27" t="n">
        <v>1E-008</v>
      </c>
    </row>
    <row r="35" customFormat="false" ht="15" hidden="false" customHeight="false" outlineLevel="0" collapsed="false">
      <c r="B35" s="3" t="s">
        <v>154</v>
      </c>
      <c r="C35" s="9" t="n">
        <v>2788211</v>
      </c>
      <c r="D35" s="25" t="n">
        <f aca="false">ROUND(Sensitivities!O31,0)</f>
        <v>2788211</v>
      </c>
      <c r="E35" s="26" t="n">
        <f aca="false">D35-C35</f>
        <v>0</v>
      </c>
      <c r="F35" s="11" t="str">
        <f aca="false">IF(ABS(E35)&lt;=G35,"PASS","FAIL")</f>
        <v>PASS</v>
      </c>
      <c r="G35" s="27" t="n">
        <v>1E-008</v>
      </c>
    </row>
    <row r="36" customFormat="false" ht="15" hidden="false" customHeight="false" outlineLevel="0" collapsed="false">
      <c r="B36" s="3" t="s">
        <v>155</v>
      </c>
      <c r="C36" s="9" t="n">
        <v>29089313</v>
      </c>
      <c r="D36" s="25" t="n">
        <f aca="false">ROUND(Sensitivities!Q31,0)</f>
        <v>29089313</v>
      </c>
      <c r="E36" s="26" t="n">
        <f aca="false">D36-C36</f>
        <v>0</v>
      </c>
      <c r="F36" s="11" t="str">
        <f aca="false">IF(ABS(E36)&lt;=G36,"PASS","FAIL")</f>
        <v>PASS</v>
      </c>
      <c r="G36" s="27" t="n">
        <v>1E-008</v>
      </c>
    </row>
    <row r="37" customFormat="false" ht="15" hidden="false" customHeight="false" outlineLevel="0" collapsed="false">
      <c r="B37" s="3" t="s">
        <v>156</v>
      </c>
      <c r="C37" s="9" t="n">
        <v>2819050</v>
      </c>
      <c r="D37" s="25" t="n">
        <f aca="false">ROUND(Sensitivities!O32,0)</f>
        <v>2819050</v>
      </c>
      <c r="E37" s="26" t="n">
        <f aca="false">D37-C37</f>
        <v>0</v>
      </c>
      <c r="F37" s="11" t="str">
        <f aca="false">IF(ABS(E37)&lt;=G37,"PASS","FAIL")</f>
        <v>PASS</v>
      </c>
      <c r="G37" s="27" t="n">
        <v>1E-008</v>
      </c>
    </row>
    <row r="38" customFormat="false" ht="15" hidden="false" customHeight="false" outlineLevel="0" collapsed="false">
      <c r="B38" s="3" t="s">
        <v>157</v>
      </c>
      <c r="C38" s="9" t="n">
        <v>29120152</v>
      </c>
      <c r="D38" s="25" t="n">
        <f aca="false">ROUND(Sensitivities!Q32,0)</f>
        <v>29120152</v>
      </c>
      <c r="E38" s="26" t="n">
        <f aca="false">D38-C38</f>
        <v>0</v>
      </c>
      <c r="F38" s="11" t="str">
        <f aca="false">IF(ABS(E38)&lt;=G38,"PASS","FAIL")</f>
        <v>PASS</v>
      </c>
      <c r="G38" s="27" t="n">
        <v>1E-008</v>
      </c>
    </row>
    <row r="39" customFormat="false" ht="15" hidden="false" customHeight="false" outlineLevel="0" collapsed="false">
      <c r="B39" s="3" t="s">
        <v>158</v>
      </c>
      <c r="C39" s="9" t="n">
        <v>2852261</v>
      </c>
      <c r="D39" s="25" t="n">
        <f aca="false">ROUND(Sensitivities!O33,0)</f>
        <v>2852261</v>
      </c>
      <c r="E39" s="26" t="n">
        <f aca="false">D39-C39</f>
        <v>0</v>
      </c>
      <c r="F39" s="11" t="str">
        <f aca="false">IF(ABS(E39)&lt;=G39,"PASS","FAIL")</f>
        <v>PASS</v>
      </c>
      <c r="G39" s="27" t="n">
        <v>1E-008</v>
      </c>
    </row>
    <row r="40" customFormat="false" ht="15" hidden="false" customHeight="false" outlineLevel="0" collapsed="false">
      <c r="B40" s="3" t="s">
        <v>159</v>
      </c>
      <c r="C40" s="9" t="n">
        <v>29153363</v>
      </c>
      <c r="D40" s="25" t="n">
        <f aca="false">ROUND(Sensitivities!Q33,0)</f>
        <v>29153363</v>
      </c>
      <c r="E40" s="26" t="n">
        <f aca="false">D40-C40</f>
        <v>0</v>
      </c>
      <c r="F40" s="11" t="str">
        <f aca="false">IF(ABS(E40)&lt;=G40,"PASS","FAIL")</f>
        <v>PASS</v>
      </c>
      <c r="G40" s="27" t="n">
        <v>1E-008</v>
      </c>
    </row>
    <row r="41" customFormat="false" ht="15" hidden="false" customHeight="false" outlineLevel="0" collapsed="false">
      <c r="B41" s="3" t="s">
        <v>160</v>
      </c>
      <c r="C41" s="9" t="n">
        <v>2913939</v>
      </c>
      <c r="D41" s="25" t="n">
        <f aca="false">ROUND(Sensitivities!O34,0)</f>
        <v>2913939</v>
      </c>
      <c r="E41" s="26" t="n">
        <f aca="false">D41-C41</f>
        <v>0</v>
      </c>
      <c r="F41" s="11" t="str">
        <f aca="false">IF(ABS(E41)&lt;=G41,"PASS","FAIL")</f>
        <v>PASS</v>
      </c>
      <c r="G41" s="27" t="n">
        <v>1E-008</v>
      </c>
    </row>
    <row r="42" customFormat="false" ht="15" hidden="false" customHeight="false" outlineLevel="0" collapsed="false">
      <c r="B42" s="3" t="s">
        <v>161</v>
      </c>
      <c r="C42" s="9" t="n">
        <v>29215041</v>
      </c>
      <c r="D42" s="25" t="n">
        <f aca="false">ROUND(Sensitivities!Q34,0)</f>
        <v>29215041</v>
      </c>
      <c r="E42" s="26" t="n">
        <f aca="false">D42-C42</f>
        <v>0</v>
      </c>
      <c r="F42" s="11" t="str">
        <f aca="false">IF(ABS(E42)&lt;=G42,"PASS","FAIL")</f>
        <v>PASS</v>
      </c>
      <c r="G42" s="27" t="n">
        <v>1E-008</v>
      </c>
    </row>
    <row r="43" customFormat="false" ht="15" hidden="false" customHeight="false" outlineLevel="0" collapsed="false">
      <c r="B43" s="2" t="s">
        <v>162</v>
      </c>
    </row>
    <row r="44" customFormat="false" ht="15" hidden="false" customHeight="false" outlineLevel="0" collapsed="false">
      <c r="B44" s="3" t="s">
        <v>152</v>
      </c>
      <c r="C44" s="9" t="n">
        <v>2439045</v>
      </c>
      <c r="D44" s="25" t="n">
        <f aca="false">ROUND(Sensitivities!O41,0)</f>
        <v>2439045</v>
      </c>
      <c r="E44" s="26" t="n">
        <f aca="false">D44-C44</f>
        <v>0</v>
      </c>
      <c r="F44" s="11" t="str">
        <f aca="false">IF(ABS(E44)&lt;=G44,"PASS","FAIL")</f>
        <v>PASS</v>
      </c>
      <c r="G44" s="27" t="n">
        <v>1E-008</v>
      </c>
    </row>
    <row r="45" customFormat="false" ht="15" hidden="false" customHeight="false" outlineLevel="0" collapsed="false">
      <c r="B45" s="3" t="s">
        <v>153</v>
      </c>
      <c r="C45" s="9" t="n">
        <v>28740147</v>
      </c>
      <c r="D45" s="25" t="n">
        <f aca="false">ROUND(Sensitivities!Q41,0)</f>
        <v>28740147</v>
      </c>
      <c r="E45" s="26" t="n">
        <f aca="false">D45-C45</f>
        <v>0</v>
      </c>
      <c r="F45" s="11" t="str">
        <f aca="false">IF(ABS(E45)&lt;=G45,"PASS","FAIL")</f>
        <v>PASS</v>
      </c>
      <c r="G45" s="27" t="n">
        <v>1E-008</v>
      </c>
    </row>
    <row r="46" customFormat="false" ht="15" hidden="false" customHeight="false" outlineLevel="0" collapsed="false">
      <c r="B46" s="3" t="s">
        <v>154</v>
      </c>
      <c r="C46" s="9" t="n">
        <v>2589305</v>
      </c>
      <c r="D46" s="25" t="n">
        <f aca="false">ROUND(Sensitivities!O42,0)</f>
        <v>2589305</v>
      </c>
      <c r="E46" s="26" t="n">
        <f aca="false">D46-C46</f>
        <v>0</v>
      </c>
      <c r="F46" s="11" t="str">
        <f aca="false">IF(ABS(E46)&lt;=G46,"PASS","FAIL")</f>
        <v>PASS</v>
      </c>
      <c r="G46" s="27" t="n">
        <v>1E-008</v>
      </c>
    </row>
    <row r="47" customFormat="false" ht="15" hidden="false" customHeight="false" outlineLevel="0" collapsed="false">
      <c r="B47" s="3" t="s">
        <v>155</v>
      </c>
      <c r="C47" s="9" t="n">
        <v>28890408</v>
      </c>
      <c r="D47" s="25" t="n">
        <f aca="false">ROUND(Sensitivities!Q42,0)</f>
        <v>28890408</v>
      </c>
      <c r="E47" s="26" t="n">
        <f aca="false">D47-C47</f>
        <v>0</v>
      </c>
      <c r="F47" s="11" t="str">
        <f aca="false">IF(ABS(E47)&lt;=G47,"PASS","FAIL")</f>
        <v>PASS</v>
      </c>
      <c r="G47" s="27" t="n">
        <v>1E-008</v>
      </c>
    </row>
    <row r="48" customFormat="false" ht="15" hidden="false" customHeight="false" outlineLevel="0" collapsed="false">
      <c r="B48" s="3" t="s">
        <v>156</v>
      </c>
      <c r="C48" s="9" t="n">
        <v>2739566</v>
      </c>
      <c r="D48" s="25" t="n">
        <f aca="false">ROUND(Sensitivities!O43,0)</f>
        <v>2739566</v>
      </c>
      <c r="E48" s="26" t="n">
        <f aca="false">D48-C48</f>
        <v>0</v>
      </c>
      <c r="F48" s="11" t="str">
        <f aca="false">IF(ABS(E48)&lt;=G48,"PASS","FAIL")</f>
        <v>PASS</v>
      </c>
      <c r="G48" s="27" t="n">
        <v>1E-008</v>
      </c>
    </row>
    <row r="49" customFormat="false" ht="15" hidden="false" customHeight="false" outlineLevel="0" collapsed="false">
      <c r="B49" s="3" t="s">
        <v>157</v>
      </c>
      <c r="C49" s="9" t="n">
        <v>29040668</v>
      </c>
      <c r="D49" s="25" t="n">
        <f aca="false">ROUND(Sensitivities!Q43,0)</f>
        <v>29040668</v>
      </c>
      <c r="E49" s="26" t="n">
        <f aca="false">D49-C49</f>
        <v>0</v>
      </c>
      <c r="F49" s="11" t="str">
        <f aca="false">IF(ABS(E49)&lt;=G49,"PASS","FAIL")</f>
        <v>PASS</v>
      </c>
      <c r="G49" s="27" t="n">
        <v>1E-008</v>
      </c>
    </row>
    <row r="50" customFormat="false" ht="15" hidden="false" customHeight="false" outlineLevel="0" collapsed="false">
      <c r="B50" s="3" t="s">
        <v>158</v>
      </c>
      <c r="C50" s="9" t="n">
        <v>2852261</v>
      </c>
      <c r="D50" s="25" t="n">
        <f aca="false">ROUND(Sensitivities!O44,0)</f>
        <v>2852261</v>
      </c>
      <c r="E50" s="26" t="n">
        <f aca="false">D50-C50</f>
        <v>0</v>
      </c>
      <c r="F50" s="11" t="str">
        <f aca="false">IF(ABS(E50)&lt;=G50,"PASS","FAIL")</f>
        <v>PASS</v>
      </c>
      <c r="G50" s="27" t="n">
        <v>1E-008</v>
      </c>
    </row>
    <row r="51" customFormat="false" ht="15" hidden="false" customHeight="false" outlineLevel="0" collapsed="false">
      <c r="B51" s="3" t="s">
        <v>159</v>
      </c>
      <c r="C51" s="9" t="n">
        <v>29153363</v>
      </c>
      <c r="D51" s="25" t="n">
        <f aca="false">ROUND(Sensitivities!Q44,0)</f>
        <v>29153363</v>
      </c>
      <c r="E51" s="26" t="n">
        <f aca="false">D51-C51</f>
        <v>0</v>
      </c>
      <c r="F51" s="11" t="str">
        <f aca="false">IF(ABS(E51)&lt;=G51,"PASS","FAIL")</f>
        <v>PASS</v>
      </c>
      <c r="G51" s="27" t="n">
        <v>1E-008</v>
      </c>
    </row>
    <row r="52" customFormat="false" ht="15" hidden="false" customHeight="false" outlineLevel="0" collapsed="false">
      <c r="B52" s="3" t="s">
        <v>160</v>
      </c>
      <c r="C52" s="9" t="n">
        <v>3011087</v>
      </c>
      <c r="D52" s="25" t="n">
        <f aca="false">ROUND(Sensitivities!O45,0)</f>
        <v>3011087</v>
      </c>
      <c r="E52" s="26" t="n">
        <f aca="false">D52-C52</f>
        <v>0</v>
      </c>
      <c r="F52" s="11" t="str">
        <f aca="false">IF(ABS(E52)&lt;=G52,"PASS","FAIL")</f>
        <v>PASS</v>
      </c>
      <c r="G52" s="27" t="n">
        <v>1E-008</v>
      </c>
    </row>
    <row r="53" customFormat="false" ht="15" hidden="false" customHeight="false" outlineLevel="0" collapsed="false">
      <c r="B53" s="3" t="s">
        <v>161</v>
      </c>
      <c r="C53" s="9" t="n">
        <v>29312189</v>
      </c>
      <c r="D53" s="25" t="n">
        <f aca="false">ROUND(Sensitivities!Q45,0)</f>
        <v>29312189</v>
      </c>
      <c r="E53" s="26" t="n">
        <f aca="false">D53-C53</f>
        <v>0</v>
      </c>
      <c r="F53" s="11" t="str">
        <f aca="false">IF(ABS(E53)&lt;=G53,"PASS","FAIL")</f>
        <v>PASS</v>
      </c>
      <c r="G53" s="27" t="n">
        <v>1E-008</v>
      </c>
    </row>
    <row r="54" customFormat="false" ht="15" hidden="false" customHeight="false" outlineLevel="0" collapsed="false">
      <c r="B54" s="2" t="s">
        <v>45</v>
      </c>
    </row>
    <row r="55" customFormat="false" ht="15" hidden="false" customHeight="false" outlineLevel="0" collapsed="false">
      <c r="B55" s="3" t="s">
        <v>152</v>
      </c>
      <c r="C55" s="9" t="n">
        <v>2563921</v>
      </c>
      <c r="D55" s="25" t="n">
        <f aca="false">ROUND(Sensitivities!O52,0)</f>
        <v>2563921</v>
      </c>
      <c r="E55" s="26" t="n">
        <f aca="false">D55-C55</f>
        <v>0</v>
      </c>
      <c r="F55" s="11" t="str">
        <f aca="false">IF(ABS(E55)&lt;=G55,"PASS","FAIL")</f>
        <v>PASS</v>
      </c>
      <c r="G55" s="27" t="n">
        <v>1E-008</v>
      </c>
    </row>
    <row r="56" customFormat="false" ht="15" hidden="false" customHeight="false" outlineLevel="0" collapsed="false">
      <c r="B56" s="3" t="s">
        <v>153</v>
      </c>
      <c r="C56" s="9" t="n">
        <v>28865023</v>
      </c>
      <c r="D56" s="25" t="n">
        <f aca="false">ROUND(Sensitivities!Q52,0)</f>
        <v>28865023</v>
      </c>
      <c r="E56" s="26" t="n">
        <f aca="false">D56-C56</f>
        <v>0</v>
      </c>
      <c r="F56" s="11" t="str">
        <f aca="false">IF(ABS(E56)&lt;=G56,"PASS","FAIL")</f>
        <v>PASS</v>
      </c>
      <c r="G56" s="27" t="n">
        <v>1E-008</v>
      </c>
    </row>
    <row r="57" customFormat="false" ht="15" hidden="false" customHeight="false" outlineLevel="0" collapsed="false">
      <c r="B57" s="3" t="s">
        <v>154</v>
      </c>
      <c r="C57" s="9" t="n">
        <v>2694985</v>
      </c>
      <c r="D57" s="25" t="n">
        <f aca="false">ROUND(Sensitivities!O53,0)</f>
        <v>2694985</v>
      </c>
      <c r="E57" s="26" t="n">
        <f aca="false">D57-C57</f>
        <v>0</v>
      </c>
      <c r="F57" s="11" t="str">
        <f aca="false">IF(ABS(E57)&lt;=G57,"PASS","FAIL")</f>
        <v>PASS</v>
      </c>
      <c r="G57" s="27" t="n">
        <v>1E-008</v>
      </c>
    </row>
    <row r="58" customFormat="false" ht="15" hidden="false" customHeight="false" outlineLevel="0" collapsed="false">
      <c r="B58" s="3" t="s">
        <v>155</v>
      </c>
      <c r="C58" s="9" t="n">
        <v>28996087</v>
      </c>
      <c r="D58" s="25" t="n">
        <f aca="false">ROUND(Sensitivities!Q53,0)</f>
        <v>28996087</v>
      </c>
      <c r="E58" s="26" t="n">
        <f aca="false">D58-C58</f>
        <v>0</v>
      </c>
      <c r="F58" s="11" t="str">
        <f aca="false">IF(ABS(E58)&lt;=G58,"PASS","FAIL")</f>
        <v>PASS</v>
      </c>
      <c r="G58" s="27" t="n">
        <v>1E-008</v>
      </c>
    </row>
    <row r="59" customFormat="false" ht="15" hidden="false" customHeight="false" outlineLevel="0" collapsed="false">
      <c r="B59" s="3" t="s">
        <v>156</v>
      </c>
      <c r="C59" s="9" t="n">
        <v>2773623</v>
      </c>
      <c r="D59" s="25" t="n">
        <f aca="false">ROUND(Sensitivities!O54,0)</f>
        <v>2773623</v>
      </c>
      <c r="E59" s="26" t="n">
        <f aca="false">D59-C59</f>
        <v>0</v>
      </c>
      <c r="F59" s="11" t="str">
        <f aca="false">IF(ABS(E59)&lt;=G59,"PASS","FAIL")</f>
        <v>PASS</v>
      </c>
      <c r="G59" s="27" t="n">
        <v>1E-008</v>
      </c>
    </row>
    <row r="60" customFormat="false" ht="15" hidden="false" customHeight="false" outlineLevel="0" collapsed="false">
      <c r="B60" s="3" t="s">
        <v>157</v>
      </c>
      <c r="C60" s="9" t="n">
        <v>29074725</v>
      </c>
      <c r="D60" s="25" t="n">
        <f aca="false">ROUND(Sensitivities!Q54,0)</f>
        <v>29074725</v>
      </c>
      <c r="E60" s="26" t="n">
        <f aca="false">D60-C60</f>
        <v>0</v>
      </c>
      <c r="F60" s="11" t="str">
        <f aca="false">IF(ABS(E60)&lt;=G60,"PASS","FAIL")</f>
        <v>PASS</v>
      </c>
      <c r="G60" s="27" t="n">
        <v>1E-008</v>
      </c>
    </row>
    <row r="61" customFormat="false" ht="15" hidden="false" customHeight="false" outlineLevel="0" collapsed="false">
      <c r="B61" s="3" t="s">
        <v>158</v>
      </c>
      <c r="C61" s="9" t="n">
        <v>2852261</v>
      </c>
      <c r="D61" s="25" t="n">
        <f aca="false">ROUND(Sensitivities!O55,0)</f>
        <v>2852261</v>
      </c>
      <c r="E61" s="26" t="n">
        <f aca="false">D61-C61</f>
        <v>0</v>
      </c>
      <c r="F61" s="11" t="str">
        <f aca="false">IF(ABS(E61)&lt;=G61,"PASS","FAIL")</f>
        <v>PASS</v>
      </c>
      <c r="G61" s="27" t="n">
        <v>1E-008</v>
      </c>
    </row>
    <row r="62" customFormat="false" ht="15" hidden="false" customHeight="false" outlineLevel="0" collapsed="false">
      <c r="B62" s="3" t="s">
        <v>159</v>
      </c>
      <c r="C62" s="9" t="n">
        <v>29153363</v>
      </c>
      <c r="D62" s="25" t="n">
        <f aca="false">ROUND(Sensitivities!Q55,0)</f>
        <v>29153363</v>
      </c>
      <c r="E62" s="26" t="n">
        <f aca="false">D62-C62</f>
        <v>0</v>
      </c>
      <c r="F62" s="11" t="str">
        <f aca="false">IF(ABS(E62)&lt;=G62,"PASS","FAIL")</f>
        <v>PASS</v>
      </c>
      <c r="G62" s="27" t="n">
        <v>1E-008</v>
      </c>
    </row>
    <row r="63" customFormat="false" ht="15" hidden="false" customHeight="false" outlineLevel="0" collapsed="false">
      <c r="B63" s="3" t="s">
        <v>160</v>
      </c>
      <c r="C63" s="9" t="n">
        <v>2983325</v>
      </c>
      <c r="D63" s="25" t="n">
        <f aca="false">ROUND(Sensitivities!O56,0)</f>
        <v>2983325</v>
      </c>
      <c r="E63" s="26" t="n">
        <f aca="false">D63-C63</f>
        <v>0</v>
      </c>
      <c r="F63" s="11" t="str">
        <f aca="false">IF(ABS(E63)&lt;=G63,"PASS","FAIL")</f>
        <v>PASS</v>
      </c>
      <c r="G63" s="27" t="n">
        <v>1E-008</v>
      </c>
    </row>
    <row r="64" customFormat="false" ht="15" hidden="false" customHeight="false" outlineLevel="0" collapsed="false">
      <c r="B64" s="3" t="s">
        <v>161</v>
      </c>
      <c r="C64" s="9" t="n">
        <v>29284427</v>
      </c>
      <c r="D64" s="25" t="n">
        <f aca="false">ROUND(Sensitivities!Q56,0)</f>
        <v>29284427</v>
      </c>
      <c r="E64" s="26" t="n">
        <f aca="false">D64-C64</f>
        <v>0</v>
      </c>
      <c r="F64" s="11" t="str">
        <f aca="false">IF(ABS(E64)&lt;=G64,"PASS","FAIL")</f>
        <v>PASS</v>
      </c>
      <c r="G64" s="27" t="n">
        <v>1E-008</v>
      </c>
    </row>
    <row r="65" customFormat="false" ht="15" hidden="false" customHeight="false" outlineLevel="0" collapsed="false">
      <c r="B65" s="2" t="s">
        <v>163</v>
      </c>
    </row>
    <row r="66" customFormat="false" ht="15" hidden="false" customHeight="false" outlineLevel="0" collapsed="false">
      <c r="B66" s="3" t="s">
        <v>152</v>
      </c>
      <c r="C66" s="9" t="n">
        <v>2714778</v>
      </c>
      <c r="D66" s="25" t="n">
        <f aca="false">ROUND(Sensitivities!O63,0)</f>
        <v>2714778</v>
      </c>
      <c r="E66" s="26" t="n">
        <f aca="false">D66-C66</f>
        <v>0</v>
      </c>
      <c r="F66" s="11" t="str">
        <f aca="false">IF(ABS(E66)&lt;=G66,"PASS","FAIL")</f>
        <v>PASS</v>
      </c>
      <c r="G66" s="27" t="n">
        <v>1E-008</v>
      </c>
    </row>
    <row r="67" customFormat="false" ht="15" hidden="false" customHeight="false" outlineLevel="0" collapsed="false">
      <c r="B67" s="3" t="s">
        <v>153</v>
      </c>
      <c r="C67" s="9" t="n">
        <v>29015880</v>
      </c>
      <c r="D67" s="25" t="n">
        <f aca="false">ROUND(Sensitivities!Q63,0)</f>
        <v>29015880</v>
      </c>
      <c r="E67" s="26" t="n">
        <f aca="false">D67-C67</f>
        <v>0</v>
      </c>
      <c r="F67" s="11" t="str">
        <f aca="false">IF(ABS(E67)&lt;=G67,"PASS","FAIL")</f>
        <v>PASS</v>
      </c>
      <c r="G67" s="27" t="n">
        <v>1E-008</v>
      </c>
    </row>
    <row r="68" customFormat="false" ht="15" hidden="false" customHeight="false" outlineLevel="0" collapsed="false">
      <c r="B68" s="3" t="s">
        <v>154</v>
      </c>
      <c r="C68" s="9" t="n">
        <v>2781440</v>
      </c>
      <c r="D68" s="25" t="n">
        <f aca="false">ROUND(Sensitivities!O64,0)</f>
        <v>2781440</v>
      </c>
      <c r="E68" s="26" t="n">
        <f aca="false">D68-C68</f>
        <v>0</v>
      </c>
      <c r="F68" s="11" t="str">
        <f aca="false">IF(ABS(E68)&lt;=G68,"PASS","FAIL")</f>
        <v>PASS</v>
      </c>
      <c r="G68" s="27" t="n">
        <v>1E-008</v>
      </c>
    </row>
    <row r="69" customFormat="false" ht="15" hidden="false" customHeight="false" outlineLevel="0" collapsed="false">
      <c r="B69" s="3" t="s">
        <v>155</v>
      </c>
      <c r="C69" s="9" t="n">
        <v>29082542</v>
      </c>
      <c r="D69" s="25" t="n">
        <f aca="false">ROUND(Sensitivities!Q64,0)</f>
        <v>29082542</v>
      </c>
      <c r="E69" s="26" t="n">
        <f aca="false">D69-C69</f>
        <v>0</v>
      </c>
      <c r="F69" s="11" t="str">
        <f aca="false">IF(ABS(E69)&lt;=G69,"PASS","FAIL")</f>
        <v>PASS</v>
      </c>
      <c r="G69" s="27" t="n">
        <v>1E-008</v>
      </c>
    </row>
    <row r="70" customFormat="false" ht="15" hidden="false" customHeight="false" outlineLevel="0" collapsed="false">
      <c r="B70" s="3" t="s">
        <v>156</v>
      </c>
      <c r="C70" s="9" t="n">
        <v>2852261</v>
      </c>
      <c r="D70" s="25" t="n">
        <f aca="false">ROUND(Sensitivities!O65,0)</f>
        <v>2852261</v>
      </c>
      <c r="E70" s="26" t="n">
        <f aca="false">D70-C70</f>
        <v>0</v>
      </c>
      <c r="F70" s="11" t="str">
        <f aca="false">IF(ABS(E70)&lt;=G70,"PASS","FAIL")</f>
        <v>PASS</v>
      </c>
      <c r="G70" s="27" t="n">
        <v>1E-008</v>
      </c>
    </row>
    <row r="71" customFormat="false" ht="15" hidden="false" customHeight="false" outlineLevel="0" collapsed="false">
      <c r="B71" s="3" t="s">
        <v>157</v>
      </c>
      <c r="C71" s="9" t="n">
        <v>29153363</v>
      </c>
      <c r="D71" s="25" t="n">
        <f aca="false">ROUND(Sensitivities!Q65,0)</f>
        <v>29153363</v>
      </c>
      <c r="E71" s="26" t="n">
        <f aca="false">D71-C71</f>
        <v>0</v>
      </c>
      <c r="F71" s="11" t="str">
        <f aca="false">IF(ABS(E71)&lt;=G71,"PASS","FAIL")</f>
        <v>PASS</v>
      </c>
      <c r="G71" s="27" t="n">
        <v>1E-008</v>
      </c>
    </row>
    <row r="72" customFormat="false" ht="15" hidden="false" customHeight="false" outlineLevel="0" collapsed="false">
      <c r="B72" s="3" t="s">
        <v>158</v>
      </c>
      <c r="C72" s="9" t="n">
        <v>2951438</v>
      </c>
      <c r="D72" s="25" t="n">
        <f aca="false">ROUND(Sensitivities!O66,0)</f>
        <v>2951438</v>
      </c>
      <c r="E72" s="26" t="n">
        <f aca="false">D72-C72</f>
        <v>0</v>
      </c>
      <c r="F72" s="11" t="str">
        <f aca="false">IF(ABS(E72)&lt;=G72,"PASS","FAIL")</f>
        <v>PASS</v>
      </c>
      <c r="G72" s="27" t="n">
        <v>1E-008</v>
      </c>
    </row>
    <row r="73" customFormat="false" ht="15" hidden="false" customHeight="false" outlineLevel="0" collapsed="false">
      <c r="B73" s="3" t="s">
        <v>159</v>
      </c>
      <c r="C73" s="9" t="n">
        <v>29252541</v>
      </c>
      <c r="D73" s="25" t="n">
        <f aca="false">ROUND(Sensitivities!Q66,0)</f>
        <v>29252541</v>
      </c>
      <c r="E73" s="26" t="n">
        <f aca="false">D73-C73</f>
        <v>0</v>
      </c>
      <c r="F73" s="11" t="str">
        <f aca="false">IF(ABS(E73)&lt;=G73,"PASS","FAIL")</f>
        <v>PASS</v>
      </c>
      <c r="G73" s="27" t="n">
        <v>1E-008</v>
      </c>
    </row>
    <row r="74" customFormat="false" ht="15" hidden="false" customHeight="false" outlineLevel="0" collapsed="false">
      <c r="B74" s="3" t="s">
        <v>160</v>
      </c>
      <c r="C74" s="9" t="n">
        <v>3055699</v>
      </c>
      <c r="D74" s="25" t="n">
        <f aca="false">ROUND(Sensitivities!O67,0)</f>
        <v>3055699</v>
      </c>
      <c r="E74" s="26" t="n">
        <f aca="false">D74-C74</f>
        <v>0</v>
      </c>
      <c r="F74" s="11" t="str">
        <f aca="false">IF(ABS(E74)&lt;=G74,"PASS","FAIL")</f>
        <v>PASS</v>
      </c>
      <c r="G74" s="27" t="n">
        <v>1E-008</v>
      </c>
    </row>
    <row r="75" customFormat="false" ht="15" hidden="false" customHeight="false" outlineLevel="0" collapsed="false">
      <c r="B75" s="3" t="s">
        <v>161</v>
      </c>
      <c r="C75" s="9" t="n">
        <v>29356801</v>
      </c>
      <c r="D75" s="25" t="n">
        <f aca="false">ROUND(Sensitivities!Q67,0)</f>
        <v>29356801</v>
      </c>
      <c r="E75" s="26" t="n">
        <f aca="false">D75-C75</f>
        <v>0</v>
      </c>
      <c r="F75" s="11" t="str">
        <f aca="false">IF(ABS(E75)&lt;=G75,"PASS","FAIL")</f>
        <v>PASS</v>
      </c>
      <c r="G75" s="27" t="n">
        <v>1E-008</v>
      </c>
    </row>
    <row r="76" customFormat="false" ht="15" hidden="false" customHeight="false" outlineLevel="0" collapsed="false">
      <c r="B76" s="2" t="s">
        <v>164</v>
      </c>
    </row>
    <row r="77" customFormat="false" ht="15" hidden="false" customHeight="false" outlineLevel="0" collapsed="false">
      <c r="B77" s="3" t="s">
        <v>165</v>
      </c>
      <c r="C77" s="9" t="n">
        <v>3450778</v>
      </c>
      <c r="D77" s="25" t="n">
        <f aca="false">ROUND('Design vs Profit'!C6,0)</f>
        <v>3450778</v>
      </c>
      <c r="E77" s="26" t="n">
        <f aca="false">D77-C77</f>
        <v>0</v>
      </c>
      <c r="F77" s="11" t="str">
        <f aca="false">IF(ABS(E77)&lt;=G77,"PASS","FAIL")</f>
        <v>PASS</v>
      </c>
      <c r="G77" s="27" t="n">
        <v>1E-008</v>
      </c>
    </row>
    <row r="78" customFormat="false" ht="15" hidden="false" customHeight="false" outlineLevel="0" collapsed="false">
      <c r="B78" s="3" t="s">
        <v>166</v>
      </c>
      <c r="C78" s="9" t="n">
        <v>29751881</v>
      </c>
      <c r="D78" s="25" t="n">
        <f aca="false">ROUND('Design vs Profit'!E6,0)</f>
        <v>29751881</v>
      </c>
      <c r="E78" s="26" t="n">
        <f aca="false">D78-C78</f>
        <v>0</v>
      </c>
      <c r="F78" s="11" t="str">
        <f aca="false">IF(ABS(E78)&lt;=G78,"PASS","FAIL")</f>
        <v>PASS</v>
      </c>
      <c r="G78" s="27" t="n">
        <v>1E-008</v>
      </c>
    </row>
    <row r="79" customFormat="false" ht="15" hidden="false" customHeight="false" outlineLevel="0" collapsed="false">
      <c r="B79" s="3" t="s">
        <v>167</v>
      </c>
      <c r="C79" s="28" t="n">
        <v>0.069</v>
      </c>
      <c r="D79" s="29" t="n">
        <f aca="false">ROUND('Design vs Profit'!I6,4)</f>
        <v>0.069</v>
      </c>
      <c r="E79" s="26" t="n">
        <f aca="false">D79-C79</f>
        <v>0</v>
      </c>
      <c r="F79" s="11" t="str">
        <f aca="false">IF(ABS(E79)&lt;=G79,"PASS","FAIL")</f>
        <v>PASS</v>
      </c>
      <c r="G79" s="27" t="n">
        <v>1E-008</v>
      </c>
    </row>
    <row r="80" customFormat="false" ht="15" hidden="false" customHeight="false" outlineLevel="0" collapsed="false">
      <c r="B80" s="3" t="s">
        <v>168</v>
      </c>
      <c r="C80" s="9" t="n">
        <v>3098710</v>
      </c>
      <c r="D80" s="25" t="n">
        <f aca="false">ROUND('Design vs Profit'!C7,0)</f>
        <v>3098710</v>
      </c>
      <c r="E80" s="26" t="n">
        <f aca="false">D80-C80</f>
        <v>0</v>
      </c>
      <c r="F80" s="11" t="str">
        <f aca="false">IF(ABS(E80)&lt;=G80,"PASS","FAIL")</f>
        <v>PASS</v>
      </c>
      <c r="G80" s="27" t="n">
        <v>1E-008</v>
      </c>
    </row>
    <row r="81" customFormat="false" ht="15" hidden="false" customHeight="false" outlineLevel="0" collapsed="false">
      <c r="B81" s="3" t="s">
        <v>169</v>
      </c>
      <c r="C81" s="9" t="n">
        <v>29399812</v>
      </c>
      <c r="D81" s="25" t="n">
        <f aca="false">ROUND('Design vs Profit'!E7,0)</f>
        <v>29399812</v>
      </c>
      <c r="E81" s="26" t="n">
        <f aca="false">D81-C81</f>
        <v>0</v>
      </c>
      <c r="F81" s="11" t="str">
        <f aca="false">IF(ABS(E81)&lt;=G81,"PASS","FAIL")</f>
        <v>PASS</v>
      </c>
      <c r="G81" s="27" t="n">
        <v>1E-008</v>
      </c>
    </row>
    <row r="82" customFormat="false" ht="15" hidden="false" customHeight="false" outlineLevel="0" collapsed="false">
      <c r="B82" s="3" t="s">
        <v>170</v>
      </c>
      <c r="C82" s="28" t="n">
        <v>0.0789</v>
      </c>
      <c r="D82" s="29" t="n">
        <f aca="false">ROUND('Design vs Profit'!I7,4)</f>
        <v>0.0789</v>
      </c>
      <c r="E82" s="26" t="n">
        <f aca="false">D82-C82</f>
        <v>0</v>
      </c>
      <c r="F82" s="11" t="str">
        <f aca="false">IF(ABS(E82)&lt;=G82,"PASS","FAIL")</f>
        <v>PASS</v>
      </c>
      <c r="G82" s="27" t="n">
        <v>1E-008</v>
      </c>
    </row>
    <row r="83" customFormat="false" ht="15" hidden="false" customHeight="false" outlineLevel="0" collapsed="false">
      <c r="B83" s="3" t="s">
        <v>171</v>
      </c>
      <c r="C83" s="9" t="n">
        <v>2852261</v>
      </c>
      <c r="D83" s="25" t="n">
        <f aca="false">ROUND('Design vs Profit'!C8,0)</f>
        <v>2852261</v>
      </c>
      <c r="E83" s="26" t="n">
        <f aca="false">D83-C83</f>
        <v>0</v>
      </c>
      <c r="F83" s="11" t="str">
        <f aca="false">IF(ABS(E83)&lt;=G83,"PASS","FAIL")</f>
        <v>PASS</v>
      </c>
      <c r="G83" s="27" t="n">
        <v>1E-008</v>
      </c>
    </row>
    <row r="84" customFormat="false" ht="15" hidden="false" customHeight="false" outlineLevel="0" collapsed="false">
      <c r="B84" s="3" t="s">
        <v>172</v>
      </c>
      <c r="C84" s="9" t="n">
        <v>29153363</v>
      </c>
      <c r="D84" s="25" t="n">
        <f aca="false">ROUND('Design vs Profit'!E8,0)</f>
        <v>29153363</v>
      </c>
      <c r="E84" s="26" t="n">
        <f aca="false">D84-C84</f>
        <v>0</v>
      </c>
      <c r="F84" s="11" t="str">
        <f aca="false">IF(ABS(E84)&lt;=G84,"PASS","FAIL")</f>
        <v>PASS</v>
      </c>
      <c r="G84" s="27" t="n">
        <v>1E-008</v>
      </c>
    </row>
    <row r="85" customFormat="false" ht="15" hidden="false" customHeight="false" outlineLevel="0" collapsed="false">
      <c r="B85" s="3" t="s">
        <v>173</v>
      </c>
      <c r="C85" s="28" t="n">
        <v>0.0859</v>
      </c>
      <c r="D85" s="29" t="n">
        <f aca="false">ROUND('Design vs Profit'!I8,4)</f>
        <v>0.0859</v>
      </c>
      <c r="E85" s="26" t="n">
        <f aca="false">D85-C85</f>
        <v>0</v>
      </c>
      <c r="F85" s="11" t="str">
        <f aca="false">IF(ABS(E85)&lt;=G85,"PASS","FAIL")</f>
        <v>PASS</v>
      </c>
      <c r="G85" s="27" t="n">
        <v>1E-008</v>
      </c>
    </row>
    <row r="86" customFormat="false" ht="15" hidden="false" customHeight="false" outlineLevel="0" collapsed="false">
      <c r="B86" s="3" t="s">
        <v>174</v>
      </c>
      <c r="C86" s="9" t="n">
        <v>2570606</v>
      </c>
      <c r="D86" s="25" t="n">
        <f aca="false">ROUND('Design vs Profit'!C9,0)</f>
        <v>2570606</v>
      </c>
      <c r="E86" s="26" t="n">
        <f aca="false">D86-C86</f>
        <v>0</v>
      </c>
      <c r="F86" s="11" t="str">
        <f aca="false">IF(ABS(E86)&lt;=G86,"PASS","FAIL")</f>
        <v>PASS</v>
      </c>
      <c r="G86" s="27" t="n">
        <v>1E-008</v>
      </c>
    </row>
    <row r="87" customFormat="false" ht="15" hidden="false" customHeight="false" outlineLevel="0" collapsed="false">
      <c r="B87" s="3" t="s">
        <v>175</v>
      </c>
      <c r="C87" s="9" t="n">
        <v>28871708</v>
      </c>
      <c r="D87" s="25" t="n">
        <f aca="false">ROUND('Design vs Profit'!E9,0)</f>
        <v>28871708</v>
      </c>
      <c r="E87" s="26" t="n">
        <f aca="false">D87-C87</f>
        <v>0</v>
      </c>
      <c r="F87" s="11" t="str">
        <f aca="false">IF(ABS(E87)&lt;=G87,"PASS","FAIL")</f>
        <v>PASS</v>
      </c>
      <c r="G87" s="27" t="n">
        <v>1E-008</v>
      </c>
    </row>
    <row r="88" customFormat="false" ht="15" hidden="false" customHeight="false" outlineLevel="0" collapsed="false">
      <c r="B88" s="3" t="s">
        <v>176</v>
      </c>
      <c r="C88" s="28" t="n">
        <v>0.094</v>
      </c>
      <c r="D88" s="29" t="n">
        <f aca="false">ROUND('Design vs Profit'!I9,4)</f>
        <v>0.094</v>
      </c>
      <c r="E88" s="26" t="n">
        <f aca="false">D88-C88</f>
        <v>0</v>
      </c>
      <c r="F88" s="11" t="str">
        <f aca="false">IF(ABS(E88)&lt;=G88,"PASS","FAIL")</f>
        <v>PASS</v>
      </c>
      <c r="G88" s="27" t="n">
        <v>1E-008</v>
      </c>
    </row>
    <row r="89" customFormat="false" ht="15" hidden="false" customHeight="false" outlineLevel="0" collapsed="false">
      <c r="B89" s="3" t="s">
        <v>177</v>
      </c>
      <c r="C89" s="9" t="n">
        <v>2394572</v>
      </c>
      <c r="D89" s="25" t="n">
        <f aca="false">ROUND('Design vs Profit'!C10,0)</f>
        <v>2394572</v>
      </c>
      <c r="E89" s="26" t="n">
        <f aca="false">D89-C89</f>
        <v>0</v>
      </c>
      <c r="F89" s="11" t="str">
        <f aca="false">IF(ABS(E89)&lt;=G89,"PASS","FAIL")</f>
        <v>PASS</v>
      </c>
      <c r="G89" s="27" t="n">
        <v>1E-008</v>
      </c>
    </row>
    <row r="90" customFormat="false" ht="15" hidden="false" customHeight="false" outlineLevel="0" collapsed="false">
      <c r="B90" s="3" t="s">
        <v>178</v>
      </c>
      <c r="C90" s="9" t="n">
        <v>28695674</v>
      </c>
      <c r="D90" s="25" t="n">
        <f aca="false">ROUND('Design vs Profit'!E10,0)</f>
        <v>28695674</v>
      </c>
      <c r="E90" s="26" t="n">
        <f aca="false">D90-C90</f>
        <v>0</v>
      </c>
      <c r="F90" s="11" t="str">
        <f aca="false">IF(ABS(E90)&lt;=G90,"PASS","FAIL")</f>
        <v>PASS</v>
      </c>
      <c r="G90" s="27" t="n">
        <v>1E-008</v>
      </c>
    </row>
    <row r="91" customFormat="false" ht="15" hidden="false" customHeight="false" outlineLevel="0" collapsed="false">
      <c r="B91" s="3" t="s">
        <v>179</v>
      </c>
      <c r="C91" s="28" t="n">
        <v>0.0991</v>
      </c>
      <c r="D91" s="29" t="n">
        <f aca="false">ROUND('Design vs Profit'!I10,4)</f>
        <v>0.0991</v>
      </c>
      <c r="E91" s="26" t="n">
        <f aca="false">D91-C91</f>
        <v>0</v>
      </c>
      <c r="F91" s="11" t="str">
        <f aca="false">IF(ABS(E91)&lt;=G91,"PASS","FAIL")</f>
        <v>PASS</v>
      </c>
      <c r="G91" s="27" t="n">
        <v>1E-008</v>
      </c>
    </row>
    <row r="92" customFormat="false" ht="15" hidden="false" customHeight="false" outlineLevel="0" collapsed="false">
      <c r="B92" s="3" t="s">
        <v>180</v>
      </c>
      <c r="C92" s="9" t="n">
        <v>2388052</v>
      </c>
      <c r="D92" s="25" t="n">
        <f aca="false">ROUND('Design vs Profit'!C11,0)</f>
        <v>2388052</v>
      </c>
      <c r="E92" s="26" t="n">
        <f aca="false">D92-C92</f>
        <v>0</v>
      </c>
      <c r="F92" s="11" t="str">
        <f aca="false">IF(ABS(E92)&lt;=G92,"PASS","FAIL")</f>
        <v>PASS</v>
      </c>
      <c r="G92" s="27" t="n">
        <v>1E-008</v>
      </c>
    </row>
    <row r="93" customFormat="false" ht="15" hidden="false" customHeight="false" outlineLevel="0" collapsed="false">
      <c r="B93" s="3" t="s">
        <v>181</v>
      </c>
      <c r="C93" s="9" t="n">
        <v>28689154</v>
      </c>
      <c r="D93" s="25" t="n">
        <f aca="false">ROUND('Design vs Profit'!E11,0)</f>
        <v>28689154</v>
      </c>
      <c r="E93" s="26" t="n">
        <f aca="false">D93-C93</f>
        <v>0</v>
      </c>
      <c r="F93" s="11" t="str">
        <f aca="false">IF(ABS(E93)&lt;=G93,"PASS","FAIL")</f>
        <v>PASS</v>
      </c>
      <c r="G93" s="27" t="n">
        <v>1E-008</v>
      </c>
    </row>
    <row r="94" customFormat="false" ht="15" hidden="false" customHeight="false" outlineLevel="0" collapsed="false">
      <c r="B94" s="3" t="s">
        <v>182</v>
      </c>
      <c r="C94" s="28" t="n">
        <v>0.0993</v>
      </c>
      <c r="D94" s="29" t="n">
        <f aca="false">ROUND('Design vs Profit'!I11,4)</f>
        <v>0.0993</v>
      </c>
      <c r="E94" s="26" t="n">
        <f aca="false">D94-C94</f>
        <v>0</v>
      </c>
      <c r="F94" s="11" t="str">
        <f aca="false">IF(ABS(E94)&lt;=G94,"PASS","FAIL")</f>
        <v>PASS</v>
      </c>
      <c r="G94" s="27" t="n">
        <v>1E-008</v>
      </c>
    </row>
    <row r="95" customFormat="false" ht="15" hidden="false" customHeight="false" outlineLevel="0" collapsed="false">
      <c r="B95" s="3" t="s">
        <v>183</v>
      </c>
      <c r="C95" s="9" t="n">
        <v>2388052</v>
      </c>
      <c r="D95" s="25" t="n">
        <f aca="false">ROUND('Design vs Profit'!C12,0)</f>
        <v>2388052</v>
      </c>
      <c r="E95" s="26" t="n">
        <f aca="false">D95-C95</f>
        <v>0</v>
      </c>
      <c r="F95" s="11" t="str">
        <f aca="false">IF(ABS(E95)&lt;=G95,"PASS","FAIL")</f>
        <v>PASS</v>
      </c>
      <c r="G95" s="27" t="n">
        <v>1E-008</v>
      </c>
    </row>
    <row r="96" customFormat="false" ht="15" hidden="false" customHeight="false" outlineLevel="0" collapsed="false">
      <c r="B96" s="3" t="s">
        <v>184</v>
      </c>
      <c r="C96" s="9" t="n">
        <v>28689154</v>
      </c>
      <c r="D96" s="25" t="n">
        <f aca="false">ROUND('Design vs Profit'!E12,0)</f>
        <v>28689154</v>
      </c>
      <c r="E96" s="26" t="n">
        <f aca="false">D96-C96</f>
        <v>0</v>
      </c>
      <c r="F96" s="11" t="str">
        <f aca="false">IF(ABS(E96)&lt;=G96,"PASS","FAIL")</f>
        <v>PASS</v>
      </c>
      <c r="G96" s="27" t="n">
        <v>1E-008</v>
      </c>
    </row>
    <row r="97" customFormat="false" ht="15" hidden="false" customHeight="false" outlineLevel="0" collapsed="false">
      <c r="B97" s="3" t="s">
        <v>185</v>
      </c>
      <c r="C97" s="28" t="n">
        <v>0.0993</v>
      </c>
      <c r="D97" s="29" t="n">
        <f aca="false">ROUND('Design vs Profit'!I12,4)</f>
        <v>0.0993</v>
      </c>
      <c r="E97" s="26" t="n">
        <f aca="false">D97-C97</f>
        <v>0</v>
      </c>
      <c r="F97" s="11" t="str">
        <f aca="false">IF(ABS(E97)&lt;=G97,"PASS","FAIL")</f>
        <v>PASS</v>
      </c>
      <c r="G97" s="27" t="n">
        <v>1E-008</v>
      </c>
    </row>
    <row r="98" customFormat="false" ht="15" hidden="false" customHeight="false" outlineLevel="0" collapsed="false">
      <c r="B98" s="2" t="s">
        <v>186</v>
      </c>
    </row>
    <row r="99" customFormat="false" ht="15" hidden="false" customHeight="false" outlineLevel="0" collapsed="false">
      <c r="B99" s="3" t="s">
        <v>187</v>
      </c>
      <c r="C99" s="30" t="n">
        <v>1</v>
      </c>
      <c r="D99" s="31" t="n">
        <f aca="false">IF(AND(Ranking!C6&gt;=Ranking!C7,Ranking!C7&gt;=Ranking!C8,Ranking!C8&gt;=Ranking!C9,Ranking!C9&gt;=Ranking!C10,Ranking!C10&gt;=Ranking!C11),1,0)</f>
        <v>1</v>
      </c>
      <c r="E99" s="30" t="n">
        <f aca="false">D99-C99</f>
        <v>0</v>
      </c>
      <c r="F99" s="11" t="str">
        <f aca="false">IF(ABS(E99)&lt;=G99,"PASS","FAIL")</f>
        <v>PASS</v>
      </c>
      <c r="G99" s="27" t="n">
        <v>1E-008</v>
      </c>
    </row>
    <row r="100" customFormat="false" ht="15" hidden="false" customHeight="false" outlineLevel="0" collapsed="false">
      <c r="B100" s="3" t="s">
        <v>188</v>
      </c>
      <c r="C100" s="30" t="n">
        <v>1</v>
      </c>
      <c r="D100" s="31" t="n">
        <f aca="false">IF(AND(Ranking!B6="Provisional sums released",Ranking!B7="Design information issued at contract"),1,0)</f>
        <v>1</v>
      </c>
      <c r="E100" s="30" t="n">
        <f aca="false">D100-C100</f>
        <v>0</v>
      </c>
      <c r="F100" s="11" t="str">
        <f aca="false">IF(ABS(E100)&lt;=G100,"PASS","FAIL")</f>
        <v>PASS</v>
      </c>
      <c r="G100" s="27" t="n">
        <v>1E-008</v>
      </c>
    </row>
    <row r="101" customFormat="false" ht="15" hidden="false" customHeight="false" outlineLevel="0" collapsed="false">
      <c r="B101" s="3" t="s">
        <v>189</v>
      </c>
      <c r="C101" s="30" t="n">
        <v>1</v>
      </c>
      <c r="D101" s="31" t="n">
        <f aca="false">IF(Ranking!B11="Post-award pricing premium on client changes",1,0)</f>
        <v>1</v>
      </c>
      <c r="E101" s="30" t="n">
        <f aca="false">D101-C101</f>
        <v>0</v>
      </c>
      <c r="F101" s="11" t="str">
        <f aca="false">IF(ABS(E101)&lt;=G101,"PASS","FAIL")</f>
        <v>PASS</v>
      </c>
      <c r="G101" s="27" t="n">
        <v>1E-008</v>
      </c>
    </row>
    <row r="102" customFormat="false" ht="15" hidden="false" customHeight="false" outlineLevel="0" collapsed="false">
      <c r="B102" s="3" t="s">
        <v>190</v>
      </c>
      <c r="C102" s="30" t="n">
        <v>1</v>
      </c>
      <c r="D102" s="31" t="n">
        <f aca="false">IF(AND(Sensitivities!O7="MOVEMENT",Sensitivities!P7="Gap",Sensitivities!Q7="Final account",Sensitivities!D7="Design development",Sensitivities!O18="MOVEMENT",Sensitivities!P18="Gap",Sensitivities!Q18="Final account",Sensitivities!D18="Design development",Sensitivities!O29="MOVEMENT",Sensitivities!P29="Gap",Sensitivities!Q29="Final account",Sensitivities!D29="Design development",Sensitivities!O40="MOVEMENT",Sensitivities!P40="Gap",Sensitivities!Q40="Final account",Sensitivities!D40="Design development",Sensitivities!O51="MOVEMENT",Sensitivities!P51="Gap",Sensitivities!Q51="Final account",Sensitivities!D51="Design development",Sensitivities!O62="MOVEMENT",Sensitivities!P62="Gap",Sensitivities!Q62="Final account",Sensitivities!D62="Design development"),1,0)</f>
        <v>1</v>
      </c>
      <c r="E102" s="30" t="n">
        <f aca="false">D102-C102</f>
        <v>0</v>
      </c>
      <c r="F102" s="11" t="str">
        <f aca="false">IF(ABS(E102)&lt;=G102,"PASS","FAIL")</f>
        <v>PASS</v>
      </c>
      <c r="G102" s="27" t="n">
        <v>1E-008</v>
      </c>
    </row>
    <row r="104" customFormat="false" ht="15" hidden="false" customHeight="false" outlineLevel="0" collapsed="false">
      <c r="B104" s="11" t="s">
        <v>191</v>
      </c>
      <c r="C104" s="11" t="n">
        <f aca="false">COUNTIF(F7:F102,"PASS")+COUNTIF(F7:F102,"FAIL")</f>
        <v>87</v>
      </c>
    </row>
    <row r="105" customFormat="false" ht="15" hidden="false" customHeight="false" outlineLevel="0" collapsed="false">
      <c r="B105" s="11" t="s">
        <v>192</v>
      </c>
      <c r="C105" s="11" t="n">
        <f aca="false">COUNTIF(F7:F102,"PASS")</f>
        <v>87</v>
      </c>
    </row>
    <row r="106" customFormat="false" ht="15" hidden="false" customHeight="false" outlineLevel="0" collapsed="false">
      <c r="B106" s="11" t="s">
        <v>193</v>
      </c>
      <c r="C106" s="11" t="n">
        <f aca="false">COUNTIF(F7:F102,"FAIL")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2026-09-10T20:50:50Z</dcterms:created>
  <dc:creator>openpyxl</dc:creator>
  <dc:description/>
  <dc:language>en-US</dc:language>
  <cp:lastModifiedBy/>
  <dcterms:modified xsi:type="dcterms:W3CDTF">2026-09-24T01:41:57Z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