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Your project" sheetId="2" state="visible" r:id="rId4"/>
    <sheet name="Contract sum" sheetId="3" state="visible" r:id="rId5"/>
    <sheet name="Forecast" sheetId="4" state="visible" r:id="rId6"/>
    <sheet name="Headroom" sheetId="5" state="visible" r:id="rId7"/>
    <sheet name="Checks" sheetId="6" state="visible" r:id="rId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<sst xmlns="http://schemas.openxmlformats.org/spreadsheetml/2006/main" count="194" uniqueCount="167">
  <si>
    <t xml:space="preserve">Construction Cost Control -- Workbook 4 of 4</t>
  </si>
  <si>
    <t xml:space="preserve">Before Signature: forecast the knowable part of the gap</t>
  </si>
  <si>
    <t xml:space="preserve">Julian R. Sterling. Companion files: julianrsterling.com/costcontrol</t>
  </si>
  <si>
    <t xml:space="preserve">What this workbook is for</t>
  </si>
  <si>
    <t xml:space="preserve">The other three workbooks take one finished project apart. This one is meant to be used on a</t>
  </si>
  <si>
    <t xml:space="preserve">project that has not been signed yet. Type your own scheme into the blue cells and it computes</t>
  </si>
  <si>
    <t xml:space="preserve">the part of the gap that is knowable at signature, and sets it against the headroom your</t>
  </si>
  <si>
    <t xml:space="preserve">appraisal actually has.</t>
  </si>
  <si>
    <t xml:space="preserve">It forecasts five lines and refuses to forecast four</t>
  </si>
  <si>
    <t xml:space="preserve">It forecasts design development, provisional sums, the post-award pricing premium, prolongation</t>
  </si>
  <si>
    <t xml:space="preserve">and the escalation on all four. Those are the lines whose inputs exist before signature.</t>
  </si>
  <si>
    <t xml:space="preserve">It does NOT forecast the scope half of client changes, disruption, statutory change or</t>
  </si>
  <si>
    <t xml:space="preserve">contra-charges. Those are listed on the Forecast sheet at zero, with a note saying why, because</t>
  </si>
  <si>
    <t xml:space="preserve">a forecast that quietly includes an unforecastable line is worse than one that admits the gap.</t>
  </si>
  <si>
    <t xml:space="preserve">So the number this workbook produces is a floor, not an estimate of the outturn.</t>
  </si>
  <si>
    <t xml:space="preserve">It ships filled in with Pemberton Yard</t>
  </si>
  <si>
    <t xml:space="preserve">The blue cells arrive holding the book's own scheme, so the Checks sheet can prove the workbook</t>
  </si>
  <si>
    <t xml:space="preserve">reproduces the book before you overtype anything. Overtype the blue cells with your own scheme</t>
  </si>
  <si>
    <t xml:space="preserve">and the checks will fail by design: that is the workbook working, not breaking.</t>
  </si>
  <si>
    <t xml:space="preserve">No macros, no external links, no protection, no circular references.</t>
  </si>
  <si>
    <t xml:space="preserve">Your project</t>
  </si>
  <si>
    <t xml:space="preserve">Overtype the blue cells. Everything else in this file is a formula.</t>
  </si>
  <si>
    <t xml:space="preserve">The scheme</t>
  </si>
  <si>
    <t xml:space="preserve">Units</t>
  </si>
  <si>
    <t xml:space="preserve">Gross internal area, m2</t>
  </si>
  <si>
    <t xml:space="preserve">Net internal area, m2</t>
  </si>
  <si>
    <t xml:space="preserve">Contract period, weeks</t>
  </si>
  <si>
    <t xml:space="preserve">The tender, as priced</t>
  </si>
  <si>
    <t xml:space="preserve">Measured works rate, per m2</t>
  </si>
  <si>
    <t xml:space="preserve">From the priced document, not the summary</t>
  </si>
  <si>
    <t xml:space="preserve">External works and site</t>
  </si>
  <si>
    <t xml:space="preserve">Preliminaries, per cent of works</t>
  </si>
  <si>
    <t xml:space="preserve">Overheads and profit, per cent of works plus prelims</t>
  </si>
  <si>
    <t xml:space="preserve">Contractor's design development allowance, per cent</t>
  </si>
  <si>
    <t xml:space="preserve">The first loss layer. Ask for it as a figure, not a summary line</t>
  </si>
  <si>
    <t xml:space="preserve">Provisional sums</t>
  </si>
  <si>
    <t xml:space="preserve">Count them. List them. Say which are undesignable</t>
  </si>
  <si>
    <t xml:space="preserve">What you can measure today</t>
  </si>
  <si>
    <t xml:space="preserve">Design information issued at contract</t>
  </si>
  <si>
    <t xml:space="preserve">Counted package by package. This is the input everything runs on</t>
  </si>
  <si>
    <t xml:space="preserve">Premium on value priced after award</t>
  </si>
  <si>
    <t xml:space="preserve">Ask your cost consultant to defend this figure in writing</t>
  </si>
  <si>
    <t xml:space="preserve">Time-related share of preliminaries</t>
  </si>
  <si>
    <t xml:space="preserve">Months from tender to the midpoint of work that will be priced later</t>
  </si>
  <si>
    <t xml:space="preserve">Escalation index a year</t>
  </si>
  <si>
    <t xml:space="preserve">What you have to assume, and should assume out loud</t>
  </si>
  <si>
    <t xml:space="preserve">Provisional sums: the amount you expect them to release at</t>
  </si>
  <si>
    <t xml:space="preserve">Re-estimate each sum against a real specification. The book's project released at 1.604 times its allowance.</t>
  </si>
  <si>
    <t xml:space="preserve">Client changes you expect to instruct, at contract rates</t>
  </si>
  <si>
    <t xml:space="preserve">Bought, not lost. Say so in the board paper</t>
  </si>
  <si>
    <t xml:space="preserve">Post-award pricing premium you expect to pay on them</t>
  </si>
  <si>
    <t xml:space="preserve">Weeks of extension of time you expect to grant</t>
  </si>
  <si>
    <t xml:space="preserve">Implied overrun on the provisional sums</t>
  </si>
  <si>
    <t xml:space="preserve">Your appraisal</t>
  </si>
  <si>
    <t xml:space="preserve">Revenue per unit</t>
  </si>
  <si>
    <t xml:space="preserve">Land</t>
  </si>
  <si>
    <t xml:space="preserve">Professional fees, per cent of construction cost</t>
  </si>
  <si>
    <t xml:space="preserve">Sale costs, per cent of revenue</t>
  </si>
  <si>
    <t xml:space="preserve">Loan to cost</t>
  </si>
  <si>
    <t xml:space="preserve">Average drawn share</t>
  </si>
  <si>
    <t xml:space="preserve">Interest rate a year</t>
  </si>
  <si>
    <t xml:space="preserve">Term, years</t>
  </si>
  <si>
    <t xml:space="preserve">Target profit on cost</t>
  </si>
  <si>
    <t xml:space="preserve">Headroom does not exist without a stated threshold</t>
  </si>
  <si>
    <t xml:space="preserve">Retention time value credited against finance</t>
  </si>
  <si>
    <t xml:space="preserve">Your contract sum, rebuilt layer by layer</t>
  </si>
  <si>
    <t xml:space="preserve">Each layer sits on the layer beneath it</t>
  </si>
  <si>
    <t xml:space="preserve">Measured works</t>
  </si>
  <si>
    <t xml:space="preserve">Works total</t>
  </si>
  <si>
    <t xml:space="preserve">Preliminaries</t>
  </si>
  <si>
    <t xml:space="preserve">Of the works</t>
  </si>
  <si>
    <t xml:space="preserve">Overheads and profit</t>
  </si>
  <si>
    <t xml:space="preserve">Of works PLUS preliminaries</t>
  </si>
  <si>
    <t xml:space="preserve">Subtotal before the allowance</t>
  </si>
  <si>
    <t xml:space="preserve">This is also the value exposed to late design</t>
  </si>
  <si>
    <t xml:space="preserve">Contractor's design development allowance</t>
  </si>
  <si>
    <t xml:space="preserve">CONTRACT SUM</t>
  </si>
  <si>
    <t xml:space="preserve">Cost per m2 of gross internal area</t>
  </si>
  <si>
    <t xml:space="preserve">Cost per unit</t>
  </si>
  <si>
    <t xml:space="preserve">Time-related preliminaries per week</t>
  </si>
  <si>
    <t xml:space="preserve">The single most useful figure nobody quotes</t>
  </si>
  <si>
    <t xml:space="preserve">Value that will be priced after signature</t>
  </si>
  <si>
    <t xml:space="preserve">An arithmetical statement, not a forecast</t>
  </si>
  <si>
    <t xml:space="preserve">What the knowable lines say, before you sign</t>
  </si>
  <si>
    <t xml:space="preserve">Line</t>
  </si>
  <si>
    <t xml:space="preserve">Amount</t>
  </si>
  <si>
    <t xml:space="preserve">Kind</t>
  </si>
  <si>
    <t xml:space="preserve">How it is computed, and why it is knowable</t>
  </si>
  <si>
    <t xml:space="preserve">Forecast: the five lines whose inputs exist today</t>
  </si>
  <si>
    <t xml:space="preserve">Design development beyond the allowance</t>
  </si>
  <si>
    <t xml:space="preserve">lost</t>
  </si>
  <si>
    <t xml:space="preserve">Value priced late, times the premium, less the contractor's first loss layer. All four inputs are on the priced document or are a count.</t>
  </si>
  <si>
    <t xml:space="preserve">Provisional sums released above allowance</t>
  </si>
  <si>
    <t xml:space="preserve">Your allowance times your assumed release multiple. The allowance is a fact; the multiple is an assumption you are making out loud.</t>
  </si>
  <si>
    <t xml:space="preserve">Client changes, premium for pricing after award</t>
  </si>
  <si>
    <t xml:space="preserve">The premium is a property of the contract, not of the change. It is knowable even though the changes are not.</t>
  </si>
  <si>
    <t xml:space="preserve">Prolongation of time-related preliminaries</t>
  </si>
  <si>
    <t xml:space="preserve">The weekly rate is derivable from the tender today. Only the number of weeks is a judgement.</t>
  </si>
  <si>
    <t xml:space="preserve">Escalation on the work priced after the tender</t>
  </si>
  <si>
    <t xml:space="preserve">A tax on the lines above. The index is a market fact; the lag is a project fact you control.</t>
  </si>
  <si>
    <t xml:space="preserve">FORECAST OF THE KNOWABLE GAP</t>
  </si>
  <si>
    <t xml:space="preserve">As a share of the contract sum</t>
  </si>
  <si>
    <t xml:space="preserve">Declared, and deliberately not forecast</t>
  </si>
  <si>
    <t xml:space="preserve">Client changes, the scope itself</t>
  </si>
  <si>
    <t xml:space="preserve">bought</t>
  </si>
  <si>
    <t xml:space="preserve">Building you will actually receive. Shown here because it will appear in the account, but it is not a loss and it is not knowable.</t>
  </si>
  <si>
    <t xml:space="preserve">Disruption, lost labor productivity</t>
  </si>
  <si>
    <t xml:space="preserve">The one large line whose inputs do not exist before signature. Left at zero. Instrument the records instead of forecasting it.</t>
  </si>
  <si>
    <t xml:space="preserve">Statutory change after contract</t>
  </si>
  <si>
    <t xml:space="preserve">Foreseeable in kind, not quantifiable in amount. This is what a contingency is actually for.</t>
  </si>
  <si>
    <t xml:space="preserve">Credits: contra-charges, damages, retention</t>
  </si>
  <si>
    <t xml:space="preserve">recovered</t>
  </si>
  <si>
    <t xml:space="preserve">Left at zero on purpose. A forecast that books its credits in advance is not prudent.</t>
  </si>
  <si>
    <t xml:space="preserve">Contract sum</t>
  </si>
  <si>
    <t xml:space="preserve">Plus the forecast knowable gap</t>
  </si>
  <si>
    <t xml:space="preserve">Plus the scope you expect to buy</t>
  </si>
  <si>
    <t xml:space="preserve">FLOOR ON THE FINAL ACCOUNT</t>
  </si>
  <si>
    <t xml:space="preserve">This is a floor, not an estimate. Four lines above it are declared at zero.</t>
  </si>
  <si>
    <t xml:space="preserve">Set the forecast against what your appraisal can absorb</t>
  </si>
  <si>
    <t xml:space="preserve">Your appraisal at the contract sum</t>
  </si>
  <si>
    <t xml:space="preserve">Revenue</t>
  </si>
  <si>
    <t xml:space="preserve">Construction</t>
  </si>
  <si>
    <t xml:space="preserve">Fees</t>
  </si>
  <si>
    <t xml:space="preserve">Finance, net of the retention credit</t>
  </si>
  <si>
    <t xml:space="preserve">Sale costs</t>
  </si>
  <si>
    <t xml:space="preserve">Total cost</t>
  </si>
  <si>
    <t xml:space="preserve">Profit</t>
  </si>
  <si>
    <t xml:space="preserve">Profit on cost</t>
  </si>
  <si>
    <t xml:space="preserve">Meets the target</t>
  </si>
  <si>
    <t xml:space="preserve">Headroom</t>
  </si>
  <si>
    <t xml:space="preserve">Break-even construction cost</t>
  </si>
  <si>
    <t xml:space="preserve">Closed form. Fees move with construction cost and the facility is held at its sized amount, so no iteration is needed.</t>
  </si>
  <si>
    <t xml:space="preserve">HEADROOM above the contract sum</t>
  </si>
  <si>
    <t xml:space="preserve">Headroom as a share of the contract sum</t>
  </si>
  <si>
    <t xml:space="preserve">The verdict</t>
  </si>
  <si>
    <t xml:space="preserve">Forecast of the knowable gap</t>
  </si>
  <si>
    <t xml:space="preserve">Knowable gap as a multiple of the headroom</t>
  </si>
  <si>
    <t xml:space="preserve">Reading</t>
  </si>
  <si>
    <t xml:space="preserve">Floor on the final account</t>
  </si>
  <si>
    <t xml:space="preserve">Floor less break-even</t>
  </si>
  <si>
    <t xml:space="preserve">A positive figure here means the scheme misses its target on the floor alone, before disruption, statutory change or the scope premium.</t>
  </si>
  <si>
    <t xml:space="preserve">Checks</t>
  </si>
  <si>
    <t xml:space="preserve">This workbook ships filled in with the book's own scheme, so it can prove itself before you use it.</t>
  </si>
  <si>
    <t xml:space="preserve">Once you overtype the blue cells with your own project, these checks will fail. That is the workbook working, not breaking.</t>
  </si>
  <si>
    <t xml:space="preserve">Figure</t>
  </si>
  <si>
    <t xml:space="preserve">As printed in the book</t>
  </si>
  <si>
    <t xml:space="preserve">Computed</t>
  </si>
  <si>
    <t xml:space="preserve">Difference</t>
  </si>
  <si>
    <t xml:space="preserve">Verdict</t>
  </si>
  <si>
    <t xml:space="preserve">Tolerance</t>
  </si>
  <si>
    <t xml:space="preserve">Your contract sum</t>
  </si>
  <si>
    <t xml:space="preserve">Value exposed to late design</t>
  </si>
  <si>
    <t xml:space="preserve">Design development allowance</t>
  </si>
  <si>
    <t xml:space="preserve">Cost per m2</t>
  </si>
  <si>
    <t xml:space="preserve">Value priced after signature</t>
  </si>
  <si>
    <t xml:space="preserve">The forecast of the knowable gap</t>
  </si>
  <si>
    <t xml:space="preserve">Client changes, premium</t>
  </si>
  <si>
    <t xml:space="preserve">Prolongation</t>
  </si>
  <si>
    <t xml:space="preserve">Escalation</t>
  </si>
  <si>
    <t xml:space="preserve">Implied provisional sum overrun</t>
  </si>
  <si>
    <t xml:space="preserve">Your appraisal and your headroom</t>
  </si>
  <si>
    <t xml:space="preserve">Fees at the contract sum</t>
  </si>
  <si>
    <t xml:space="preserve">HEADROOM</t>
  </si>
  <si>
    <t xml:space="preserve">Checks run</t>
  </si>
  <si>
    <t xml:space="preserve">PASS</t>
  </si>
  <si>
    <t xml:space="preserve">FAIL</t>
  </si>
  <si>
    <t xml:space="preserve">Note: money is checked to the pound, because the retention time value is carried in rounded from Workbook 1.</t>
  </si>
</sst>
</file>

<file path=xl/styles.xml><?xml version="1.0" encoding="utf-8"?>
<styleSheet xmlns="http://schemas.openxmlformats.org/spreadsheetml/2006/main">
  <numFmts count="8">
    <numFmt numFmtId="164" formatCode="General"/>
    <numFmt numFmtId="165" formatCode="#,##0"/>
    <numFmt numFmtId="166" formatCode="0.0%"/>
    <numFmt numFmtId="167" formatCode="#,##0.0"/>
    <numFmt numFmtId="168" formatCode="0.00%"/>
    <numFmt numFmtId="169" formatCode="#,##0.0000"/>
    <numFmt numFmtId="170" formatCode="0.00000000"/>
    <numFmt numFmtId="171" formatCode="0.0000%"/>
  </numFmts>
  <fonts count="12">
    <font>
      <sz val="11"/>
      <color theme="1"/>
      <name val="Calibri"/>
      <family val="2"/>
      <charset val="1"/>
    </font>
    <font>
      <sz val="10"/>
      <name val="Arial"/>
      <family val="0"/>
    </font>
    <font>
      <sz val="10"/>
      <name val="Arial"/>
      <family val="0"/>
    </font>
    <font>
      <sz val="10"/>
      <name val="Arial"/>
      <family val="0"/>
    </font>
    <font>
      <b val="true"/>
      <sz val="14"/>
      <color rgb="FF14283A"/>
      <name val="Calibri"/>
      <family val="0"/>
      <charset val="1"/>
    </font>
    <font>
      <b val="true"/>
      <sz val="11"/>
      <color rgb="FF14283A"/>
      <name val="Calibri"/>
      <family val="0"/>
      <charset val="1"/>
    </font>
    <font>
      <sz val="10"/>
      <name val="Calibri"/>
      <family val="0"/>
      <charset val="1"/>
    </font>
    <font>
      <sz val="10"/>
      <color rgb="FF0000CC"/>
      <name val="Calibri"/>
      <family val="0"/>
      <charset val="1"/>
    </font>
    <font>
      <sz val="9"/>
      <color rgb="FF666666"/>
      <name val="Calibri"/>
      <family val="0"/>
      <charset val="1"/>
    </font>
    <font>
      <b val="true"/>
      <sz val="10"/>
      <name val="Calibri"/>
      <family val="0"/>
      <charset val="1"/>
    </font>
    <font>
      <b val="true"/>
      <sz val="10"/>
      <color rgb="FFA02020"/>
      <name val="Calibri"/>
      <family val="0"/>
      <charset val="1"/>
    </font>
    <font>
      <sz val="10"/>
      <color rgb="FF006600"/>
      <name val="Calibri"/>
      <family val="0"/>
      <charset val="1"/>
    </font>
  </fonts>
  <fills count="3">
    <fill>
      <patternFill patternType="none"/>
    </fill>
    <fill>
      <patternFill patternType="gray125"/>
    </fill>
    <fill>
      <patternFill patternType="solid">
        <fgColor rgb="FFFFF2CC"/>
        <bgColor rgb="FFFFFFFF"/>
      </patternFill>
    </fill>
  </fills>
  <borders count="3">
    <border diagonalUp="false" diagonalDown="false">
      <left/>
      <right/>
      <top/>
      <bottom/>
      <diagonal/>
    </border>
    <border diagonalUp="false" diagonalDown="false">
      <left/>
      <right/>
      <top/>
      <bottom style="thin">
        <color rgb="FFBBBBBB"/>
      </bottom>
      <diagonal/>
    </border>
    <border diagonalUp="false" diagonalDown="false">
      <left/>
      <right/>
      <top style="thin">
        <color rgb="FF333333"/>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5" fillId="0" borderId="1" xfId="0" applyFont="tru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5" fontId="7" fillId="2"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6" fontId="7" fillId="2" borderId="0" xfId="0" applyFont="true" applyBorder="false" applyAlignment="false" applyProtection="false">
      <alignment horizontal="general" vertical="bottom" textRotation="0" wrapText="false" indent="0" shrinkToFit="false"/>
      <protection locked="true" hidden="false"/>
    </xf>
    <xf numFmtId="166" fontId="6" fillId="0" borderId="0" xfId="0" applyFont="true" applyBorder="false" applyAlignment="false" applyProtection="false">
      <alignment horizontal="general" vertical="bottom" textRotation="0" wrapText="false" indent="0" shrinkToFit="false"/>
      <protection locked="true" hidden="false"/>
    </xf>
    <xf numFmtId="167" fontId="7" fillId="2" borderId="0" xfId="0" applyFont="true" applyBorder="false" applyAlignment="false" applyProtection="false">
      <alignment horizontal="general" vertical="bottom" textRotation="0" wrapText="false" indent="0" shrinkToFit="false"/>
      <protection locked="true" hidden="false"/>
    </xf>
    <xf numFmtId="165" fontId="6" fillId="0" borderId="0" xfId="0" applyFont="true" applyBorder="false" applyAlignment="false" applyProtection="false">
      <alignment horizontal="general" vertical="bottom" textRotation="0" wrapText="false" indent="0" shrinkToFit="false"/>
      <protection locked="true" hidden="false"/>
    </xf>
    <xf numFmtId="164" fontId="9" fillId="0" borderId="2" xfId="0" applyFont="true" applyBorder="true" applyAlignment="false" applyProtection="false">
      <alignment horizontal="general" vertical="bottom" textRotation="0" wrapText="false" indent="0" shrinkToFit="false"/>
      <protection locked="true" hidden="false"/>
    </xf>
    <xf numFmtId="165" fontId="9" fillId="0" borderId="2" xfId="0" applyFont="true" applyBorder="true" applyAlignment="false" applyProtection="false">
      <alignment horizontal="general" vertical="bottom" textRotation="0" wrapText="false" indent="0" shrinkToFit="false"/>
      <protection locked="true" hidden="false"/>
    </xf>
    <xf numFmtId="164" fontId="9" fillId="0" borderId="1"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6" fontId="9"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5" fontId="9" fillId="0" borderId="0" xfId="0" applyFont="true" applyBorder="false" applyAlignment="false" applyProtection="false">
      <alignment horizontal="general" vertical="bottom" textRotation="0" wrapText="false" indent="0" shrinkToFit="false"/>
      <protection locked="true" hidden="false"/>
    </xf>
    <xf numFmtId="168" fontId="9" fillId="0" borderId="0" xfId="0" applyFont="true" applyBorder="false" applyAlignment="false" applyProtection="false">
      <alignment horizontal="general" vertical="bottom" textRotation="0" wrapText="false" indent="0" shrinkToFit="false"/>
      <protection locked="true" hidden="false"/>
    </xf>
    <xf numFmtId="167" fontId="10"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5" fontId="11" fillId="0" borderId="0" xfId="0" applyFont="true" applyBorder="false" applyAlignment="false" applyProtection="false">
      <alignment horizontal="general" vertical="bottom" textRotation="0" wrapText="false" indent="0" shrinkToFit="false"/>
      <protection locked="true" hidden="false"/>
    </xf>
    <xf numFmtId="169" fontId="6" fillId="0" borderId="0" xfId="0" applyFont="true" applyBorder="false" applyAlignment="false" applyProtection="false">
      <alignment horizontal="general" vertical="bottom" textRotation="0" wrapText="false" indent="0" shrinkToFit="false"/>
      <protection locked="true" hidden="false"/>
    </xf>
    <xf numFmtId="170" fontId="6" fillId="0" borderId="0" xfId="0" applyFont="true" applyBorder="false" applyAlignment="false" applyProtection="false">
      <alignment horizontal="general" vertical="bottom" textRotation="0" wrapText="false" indent="0" shrinkToFit="false"/>
      <protection locked="true" hidden="false"/>
    </xf>
    <xf numFmtId="171" fontId="6" fillId="0" borderId="0" xfId="0" applyFont="true" applyBorder="false" applyAlignment="false" applyProtection="false">
      <alignment horizontal="general" vertical="bottom" textRotation="0" wrapText="false" indent="0" shrinkToFit="false"/>
      <protection locked="true" hidden="false"/>
    </xf>
    <xf numFmtId="171" fontId="11"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CC"/>
      <rgbColor rgb="FFFFFF00"/>
      <rgbColor rgb="FFFF00FF"/>
      <rgbColor rgb="FF00FFFF"/>
      <rgbColor rgb="FF800000"/>
      <rgbColor rgb="FF006600"/>
      <rgbColor rgb="FF000080"/>
      <rgbColor rgb="FF808000"/>
      <rgbColor rgb="FF800080"/>
      <rgbColor rgb="FF008080"/>
      <rgbColor rgb="FFBBBBBB"/>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66"/>
      <rgbColor rgb="FF969696"/>
      <rgbColor rgb="FF14283A"/>
      <rgbColor rgb="FF339966"/>
      <rgbColor rgb="FF003300"/>
      <rgbColor rgb="FF333300"/>
      <rgbColor rgb="FFA0202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4283A"/>
    <pageSetUpPr fitToPage="false"/>
  </sheetPr>
  <dimension ref="B2:B2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
    <col collapsed="false" customWidth="true" hidden="false" outlineLevel="0" max="2" min="2" style="0" width="105"/>
  </cols>
  <sheetData>
    <row r="2" customFormat="false" ht="17.35" hidden="false" customHeight="false" outlineLevel="0" collapsed="false">
      <c r="B2" s="1" t="s">
        <v>0</v>
      </c>
    </row>
    <row r="3" customFormat="false" ht="15" hidden="false" customHeight="false" outlineLevel="0" collapsed="false">
      <c r="B3" s="2" t="s">
        <v>1</v>
      </c>
    </row>
    <row r="4" customFormat="false" ht="15" hidden="false" customHeight="false" outlineLevel="0" collapsed="false">
      <c r="B4" s="3"/>
    </row>
    <row r="5" customFormat="false" ht="15" hidden="false" customHeight="false" outlineLevel="0" collapsed="false">
      <c r="B5" s="3" t="s">
        <v>2</v>
      </c>
    </row>
    <row r="6" customFormat="false" ht="15" hidden="false" customHeight="false" outlineLevel="0" collapsed="false">
      <c r="B6" s="3"/>
    </row>
    <row r="7" customFormat="false" ht="15" hidden="false" customHeight="false" outlineLevel="0" collapsed="false">
      <c r="B7" s="2" t="s">
        <v>3</v>
      </c>
    </row>
    <row r="8" customFormat="false" ht="15" hidden="false" customHeight="false" outlineLevel="0" collapsed="false">
      <c r="B8" s="3" t="s">
        <v>4</v>
      </c>
    </row>
    <row r="9" customFormat="false" ht="15" hidden="false" customHeight="false" outlineLevel="0" collapsed="false">
      <c r="B9" s="3" t="s">
        <v>5</v>
      </c>
    </row>
    <row r="10" customFormat="false" ht="15" hidden="false" customHeight="false" outlineLevel="0" collapsed="false">
      <c r="B10" s="3" t="s">
        <v>6</v>
      </c>
    </row>
    <row r="11" customFormat="false" ht="15" hidden="false" customHeight="false" outlineLevel="0" collapsed="false">
      <c r="B11" s="3" t="s">
        <v>7</v>
      </c>
    </row>
    <row r="12" customFormat="false" ht="15" hidden="false" customHeight="false" outlineLevel="0" collapsed="false">
      <c r="B12" s="3"/>
    </row>
    <row r="13" customFormat="false" ht="15" hidden="false" customHeight="false" outlineLevel="0" collapsed="false">
      <c r="B13" s="2" t="s">
        <v>8</v>
      </c>
    </row>
    <row r="14" customFormat="false" ht="15" hidden="false" customHeight="false" outlineLevel="0" collapsed="false">
      <c r="B14" s="3" t="s">
        <v>9</v>
      </c>
    </row>
    <row r="15" customFormat="false" ht="15" hidden="false" customHeight="false" outlineLevel="0" collapsed="false">
      <c r="B15" s="3" t="s">
        <v>10</v>
      </c>
    </row>
    <row r="16" customFormat="false" ht="15" hidden="false" customHeight="false" outlineLevel="0" collapsed="false">
      <c r="B16" s="3" t="s">
        <v>11</v>
      </c>
    </row>
    <row r="17" customFormat="false" ht="15" hidden="false" customHeight="false" outlineLevel="0" collapsed="false">
      <c r="B17" s="3" t="s">
        <v>12</v>
      </c>
    </row>
    <row r="18" customFormat="false" ht="15" hidden="false" customHeight="false" outlineLevel="0" collapsed="false">
      <c r="B18" s="3" t="s">
        <v>13</v>
      </c>
    </row>
    <row r="19" customFormat="false" ht="15" hidden="false" customHeight="false" outlineLevel="0" collapsed="false">
      <c r="B19" s="3" t="s">
        <v>14</v>
      </c>
    </row>
    <row r="20" customFormat="false" ht="15" hidden="false" customHeight="false" outlineLevel="0" collapsed="false">
      <c r="B20" s="3"/>
    </row>
    <row r="21" customFormat="false" ht="15" hidden="false" customHeight="false" outlineLevel="0" collapsed="false">
      <c r="B21" s="2" t="s">
        <v>15</v>
      </c>
    </row>
    <row r="22" customFormat="false" ht="15" hidden="false" customHeight="false" outlineLevel="0" collapsed="false">
      <c r="B22" s="3" t="s">
        <v>16</v>
      </c>
    </row>
    <row r="23" customFormat="false" ht="15" hidden="false" customHeight="false" outlineLevel="0" collapsed="false">
      <c r="B23" s="3" t="s">
        <v>17</v>
      </c>
    </row>
    <row r="24" customFormat="false" ht="15" hidden="false" customHeight="false" outlineLevel="0" collapsed="false">
      <c r="B24" s="3" t="s">
        <v>18</v>
      </c>
    </row>
    <row r="25" customFormat="false" ht="15" hidden="false" customHeight="false" outlineLevel="0" collapsed="false">
      <c r="B25" s="3"/>
    </row>
    <row r="26" customFormat="false" ht="15" hidden="false" customHeight="false" outlineLevel="0" collapsed="false">
      <c r="B26" s="3" t="s">
        <v>19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4283A"/>
    <pageSetUpPr fitToPage="false"/>
  </sheetPr>
  <dimension ref="B2:D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
    <col collapsed="false" customWidth="true" hidden="false" outlineLevel="0" max="2" min="2" style="0" width="58"/>
    <col collapsed="false" customWidth="true" hidden="false" outlineLevel="0" max="3" min="3" style="0" width="16"/>
    <col collapsed="false" customWidth="true" hidden="false" outlineLevel="0" max="4" min="4" style="0" width="66"/>
  </cols>
  <sheetData>
    <row r="2" customFormat="false" ht="17.35" hidden="false" customHeight="false" outlineLevel="0" collapsed="false">
      <c r="B2" s="1" t="s">
        <v>20</v>
      </c>
    </row>
    <row r="3" customFormat="false" ht="15" hidden="false" customHeight="false" outlineLevel="0" collapsed="false">
      <c r="B3" s="3" t="s">
        <v>21</v>
      </c>
    </row>
    <row r="5" customFormat="false" ht="15" hidden="false" customHeight="false" outlineLevel="0" collapsed="false">
      <c r="B5" s="4" t="s">
        <v>22</v>
      </c>
      <c r="C5" s="5"/>
      <c r="D5" s="5"/>
    </row>
    <row r="6" customFormat="false" ht="15" hidden="false" customHeight="false" outlineLevel="0" collapsed="false">
      <c r="B6" s="3" t="s">
        <v>23</v>
      </c>
      <c r="C6" s="6" t="n">
        <v>96</v>
      </c>
    </row>
    <row r="7" customFormat="false" ht="15" hidden="false" customHeight="false" outlineLevel="0" collapsed="false">
      <c r="B7" s="3" t="s">
        <v>24</v>
      </c>
      <c r="C7" s="6" t="n">
        <v>8640</v>
      </c>
    </row>
    <row r="8" customFormat="false" ht="15" hidden="false" customHeight="false" outlineLevel="0" collapsed="false">
      <c r="B8" s="3" t="s">
        <v>25</v>
      </c>
      <c r="C8" s="6" t="n">
        <v>7344</v>
      </c>
    </row>
    <row r="9" customFormat="false" ht="15" hidden="false" customHeight="false" outlineLevel="0" collapsed="false">
      <c r="B9" s="3" t="s">
        <v>26</v>
      </c>
      <c r="C9" s="6" t="n">
        <v>94</v>
      </c>
    </row>
    <row r="11" customFormat="false" ht="15" hidden="false" customHeight="false" outlineLevel="0" collapsed="false">
      <c r="B11" s="4" t="s">
        <v>27</v>
      </c>
      <c r="C11" s="5"/>
      <c r="D11" s="5"/>
    </row>
    <row r="12" customFormat="false" ht="15" hidden="false" customHeight="false" outlineLevel="0" collapsed="false">
      <c r="B12" s="3" t="s">
        <v>28</v>
      </c>
      <c r="C12" s="6" t="n">
        <v>2180</v>
      </c>
      <c r="D12" s="7" t="s">
        <v>29</v>
      </c>
    </row>
    <row r="13" customFormat="false" ht="15" hidden="false" customHeight="false" outlineLevel="0" collapsed="false">
      <c r="B13" s="3" t="s">
        <v>30</v>
      </c>
      <c r="C13" s="6" t="n">
        <v>1240000</v>
      </c>
    </row>
    <row r="14" customFormat="false" ht="15" hidden="false" customHeight="false" outlineLevel="0" collapsed="false">
      <c r="B14" s="3" t="s">
        <v>31</v>
      </c>
      <c r="C14" s="8" t="n">
        <v>0.15</v>
      </c>
    </row>
    <row r="15" customFormat="false" ht="15" hidden="false" customHeight="false" outlineLevel="0" collapsed="false">
      <c r="B15" s="3" t="s">
        <v>32</v>
      </c>
      <c r="C15" s="8" t="n">
        <v>0.06</v>
      </c>
    </row>
    <row r="16" customFormat="false" ht="15" hidden="false" customHeight="false" outlineLevel="0" collapsed="false">
      <c r="B16" s="3" t="s">
        <v>33</v>
      </c>
      <c r="C16" s="8" t="n">
        <v>0.02</v>
      </c>
      <c r="D16" s="7" t="s">
        <v>34</v>
      </c>
    </row>
    <row r="17" customFormat="false" ht="15" hidden="false" customHeight="false" outlineLevel="0" collapsed="false">
      <c r="B17" s="3" t="s">
        <v>35</v>
      </c>
      <c r="C17" s="6" t="n">
        <v>1340000</v>
      </c>
      <c r="D17" s="7" t="s">
        <v>36</v>
      </c>
    </row>
    <row r="19" customFormat="false" ht="15" hidden="false" customHeight="false" outlineLevel="0" collapsed="false">
      <c r="B19" s="4" t="s">
        <v>37</v>
      </c>
      <c r="C19" s="5"/>
      <c r="D19" s="5"/>
    </row>
    <row r="20" customFormat="false" ht="15" hidden="false" customHeight="false" outlineLevel="0" collapsed="false">
      <c r="B20" s="3" t="s">
        <v>38</v>
      </c>
      <c r="C20" s="8" t="n">
        <v>0.72</v>
      </c>
      <c r="D20" s="7" t="s">
        <v>39</v>
      </c>
    </row>
    <row r="21" customFormat="false" ht="15" hidden="false" customHeight="false" outlineLevel="0" collapsed="false">
      <c r="B21" s="3" t="s">
        <v>40</v>
      </c>
      <c r="C21" s="8" t="n">
        <v>0.135</v>
      </c>
      <c r="D21" s="7" t="s">
        <v>41</v>
      </c>
    </row>
    <row r="22" customFormat="false" ht="15" hidden="false" customHeight="false" outlineLevel="0" collapsed="false">
      <c r="B22" s="3" t="s">
        <v>42</v>
      </c>
      <c r="C22" s="8" t="n">
        <v>0.72</v>
      </c>
    </row>
    <row r="23" customFormat="false" ht="15" hidden="false" customHeight="false" outlineLevel="0" collapsed="false">
      <c r="B23" s="3" t="s">
        <v>43</v>
      </c>
      <c r="C23" s="6" t="n">
        <v>19</v>
      </c>
    </row>
    <row r="24" customFormat="false" ht="15" hidden="false" customHeight="false" outlineLevel="0" collapsed="false">
      <c r="B24" s="3" t="s">
        <v>44</v>
      </c>
      <c r="C24" s="8" t="n">
        <v>0.041</v>
      </c>
    </row>
    <row r="26" customFormat="false" ht="15" hidden="false" customHeight="false" outlineLevel="0" collapsed="false">
      <c r="B26" s="4" t="s">
        <v>45</v>
      </c>
      <c r="C26" s="5"/>
      <c r="D26" s="5"/>
    </row>
    <row r="27" customFormat="false" ht="15" hidden="false" customHeight="false" outlineLevel="0" collapsed="false">
      <c r="B27" s="3" t="s">
        <v>46</v>
      </c>
      <c r="C27" s="6" t="n">
        <v>2150000</v>
      </c>
      <c r="D27" s="7" t="s">
        <v>47</v>
      </c>
    </row>
    <row r="28" customFormat="false" ht="15" hidden="false" customHeight="false" outlineLevel="0" collapsed="false">
      <c r="B28" s="3" t="s">
        <v>48</v>
      </c>
      <c r="C28" s="6" t="n">
        <v>742000</v>
      </c>
      <c r="D28" s="7" t="s">
        <v>49</v>
      </c>
    </row>
    <row r="29" customFormat="false" ht="15" hidden="false" customHeight="false" outlineLevel="0" collapsed="false">
      <c r="B29" s="3" t="s">
        <v>50</v>
      </c>
      <c r="C29" s="8" t="n">
        <v>0.142</v>
      </c>
    </row>
    <row r="30" customFormat="false" ht="15" hidden="false" customHeight="false" outlineLevel="0" collapsed="false">
      <c r="B30" s="3" t="s">
        <v>51</v>
      </c>
      <c r="C30" s="6" t="n">
        <v>11</v>
      </c>
    </row>
    <row r="31" customFormat="false" ht="15" hidden="false" customHeight="false" outlineLevel="0" collapsed="false">
      <c r="B31" s="0" t="s">
        <v>52</v>
      </c>
      <c r="C31" s="9" t="n">
        <f aca="false">'Your project'!C27/'Your project'!C17-1</f>
        <v>0.604477611940299</v>
      </c>
    </row>
    <row r="32" customFormat="false" ht="15" hidden="false" customHeight="false" outlineLevel="0" collapsed="false">
      <c r="B32" s="4" t="s">
        <v>53</v>
      </c>
      <c r="C32" s="5"/>
      <c r="D32" s="5"/>
    </row>
    <row r="33" customFormat="false" ht="15" hidden="false" customHeight="false" outlineLevel="0" collapsed="false">
      <c r="B33" s="3" t="s">
        <v>54</v>
      </c>
      <c r="C33" s="6" t="n">
        <v>472000</v>
      </c>
    </row>
    <row r="34" customFormat="false" ht="15" hidden="false" customHeight="false" outlineLevel="0" collapsed="false">
      <c r="B34" s="3" t="s">
        <v>55</v>
      </c>
      <c r="C34" s="6" t="n">
        <v>6200000</v>
      </c>
    </row>
    <row r="35" customFormat="false" ht="15" hidden="false" customHeight="false" outlineLevel="0" collapsed="false">
      <c r="B35" s="3" t="s">
        <v>56</v>
      </c>
      <c r="C35" s="8" t="n">
        <v>0.098</v>
      </c>
    </row>
    <row r="36" customFormat="false" ht="15" hidden="false" customHeight="false" outlineLevel="0" collapsed="false">
      <c r="B36" s="3" t="s">
        <v>57</v>
      </c>
      <c r="C36" s="8" t="n">
        <v>0.022</v>
      </c>
    </row>
    <row r="37" customFormat="false" ht="15" hidden="false" customHeight="false" outlineLevel="0" collapsed="false">
      <c r="B37" s="3" t="s">
        <v>58</v>
      </c>
      <c r="C37" s="8" t="n">
        <v>0.65</v>
      </c>
    </row>
    <row r="38" customFormat="false" ht="15" hidden="false" customHeight="false" outlineLevel="0" collapsed="false">
      <c r="B38" s="3" t="s">
        <v>59</v>
      </c>
      <c r="C38" s="8" t="n">
        <v>0.6</v>
      </c>
    </row>
    <row r="39" customFormat="false" ht="15" hidden="false" customHeight="false" outlineLevel="0" collapsed="false">
      <c r="B39" s="3" t="s">
        <v>60</v>
      </c>
      <c r="C39" s="8" t="n">
        <v>0.079</v>
      </c>
    </row>
    <row r="40" customFormat="false" ht="15" hidden="false" customHeight="false" outlineLevel="0" collapsed="false">
      <c r="B40" s="3" t="s">
        <v>61</v>
      </c>
      <c r="C40" s="10" t="n">
        <v>2.4</v>
      </c>
    </row>
    <row r="41" customFormat="false" ht="15" hidden="false" customHeight="false" outlineLevel="0" collapsed="false">
      <c r="B41" s="3" t="s">
        <v>62</v>
      </c>
      <c r="C41" s="8" t="n">
        <v>0.15</v>
      </c>
      <c r="D41" s="7" t="s">
        <v>63</v>
      </c>
    </row>
    <row r="42" customFormat="false" ht="15" hidden="false" customHeight="false" outlineLevel="0" collapsed="false">
      <c r="B42" s="3" t="s">
        <v>64</v>
      </c>
      <c r="C42" s="6" t="n">
        <v>71923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4283A"/>
    <pageSetUpPr fitToPage="false"/>
  </sheetPr>
  <dimension ref="B2:D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
    <col collapsed="false" customWidth="true" hidden="false" outlineLevel="0" max="2" min="2" style="0" width="58"/>
    <col collapsed="false" customWidth="true" hidden="false" outlineLevel="0" max="3" min="3" style="0" width="18"/>
    <col collapsed="false" customWidth="true" hidden="false" outlineLevel="0" max="4" min="4" style="0" width="60"/>
  </cols>
  <sheetData>
    <row r="2" customFormat="false" ht="17.35" hidden="false" customHeight="false" outlineLevel="0" collapsed="false">
      <c r="B2" s="1" t="s">
        <v>65</v>
      </c>
    </row>
    <row r="4" customFormat="false" ht="15" hidden="false" customHeight="false" outlineLevel="0" collapsed="false">
      <c r="B4" s="4" t="s">
        <v>66</v>
      </c>
      <c r="C4" s="5"/>
      <c r="D4" s="5"/>
    </row>
    <row r="5" customFormat="false" ht="15" hidden="false" customHeight="false" outlineLevel="0" collapsed="false">
      <c r="B5" s="3" t="s">
        <v>67</v>
      </c>
      <c r="C5" s="11" t="n">
        <f aca="false">'Your project'!$C$12*'Your project'!$C$7</f>
        <v>18835200</v>
      </c>
    </row>
    <row r="6" customFormat="false" ht="15" hidden="false" customHeight="false" outlineLevel="0" collapsed="false">
      <c r="B6" s="3" t="s">
        <v>30</v>
      </c>
      <c r="C6" s="11" t="n">
        <f aca="false">'Your project'!$C$13</f>
        <v>1240000</v>
      </c>
    </row>
    <row r="7" customFormat="false" ht="15" hidden="false" customHeight="false" outlineLevel="0" collapsed="false">
      <c r="B7" s="12" t="s">
        <v>68</v>
      </c>
      <c r="C7" s="13" t="n">
        <f aca="false">C5+C6</f>
        <v>20075200</v>
      </c>
    </row>
    <row r="8" customFormat="false" ht="15" hidden="false" customHeight="false" outlineLevel="0" collapsed="false">
      <c r="B8" s="3" t="s">
        <v>69</v>
      </c>
      <c r="C8" s="11" t="n">
        <f aca="false">C7*'Your project'!$C$14</f>
        <v>3011280</v>
      </c>
      <c r="D8" s="7" t="s">
        <v>70</v>
      </c>
    </row>
    <row r="9" customFormat="false" ht="15" hidden="false" customHeight="false" outlineLevel="0" collapsed="false">
      <c r="B9" s="3" t="s">
        <v>71</v>
      </c>
      <c r="C9" s="11" t="n">
        <f aca="false">(C7+C8)*'Your project'!$C$15</f>
        <v>1385188.8</v>
      </c>
      <c r="D9" s="7" t="s">
        <v>72</v>
      </c>
    </row>
    <row r="10" customFormat="false" ht="15" hidden="false" customHeight="false" outlineLevel="0" collapsed="false">
      <c r="B10" s="3" t="s">
        <v>73</v>
      </c>
      <c r="C10" s="11" t="n">
        <f aca="false">C7+C8+C9</f>
        <v>24471668.8</v>
      </c>
      <c r="D10" s="7" t="s">
        <v>74</v>
      </c>
    </row>
    <row r="11" customFormat="false" ht="15" hidden="false" customHeight="false" outlineLevel="0" collapsed="false">
      <c r="B11" s="3" t="s">
        <v>75</v>
      </c>
      <c r="C11" s="11" t="n">
        <f aca="false">C10*'Your project'!$C$16</f>
        <v>489433.376</v>
      </c>
    </row>
    <row r="12" customFormat="false" ht="15" hidden="false" customHeight="false" outlineLevel="0" collapsed="false">
      <c r="B12" s="3" t="s">
        <v>35</v>
      </c>
      <c r="C12" s="11" t="n">
        <f aca="false">'Your project'!$C$17</f>
        <v>1340000</v>
      </c>
    </row>
    <row r="13" customFormat="false" ht="15" hidden="false" customHeight="false" outlineLevel="0" collapsed="false">
      <c r="B13" s="12" t="s">
        <v>76</v>
      </c>
      <c r="C13" s="13" t="n">
        <f aca="false">C10+C11+C12</f>
        <v>26301102.176</v>
      </c>
    </row>
    <row r="15" customFormat="false" ht="15" hidden="false" customHeight="false" outlineLevel="0" collapsed="false">
      <c r="B15" s="3" t="s">
        <v>77</v>
      </c>
      <c r="C15" s="11" t="n">
        <f aca="false">C13/'Your project'!$C$7</f>
        <v>3044.10904814815</v>
      </c>
    </row>
    <row r="16" customFormat="false" ht="15" hidden="false" customHeight="false" outlineLevel="0" collapsed="false">
      <c r="B16" s="3" t="s">
        <v>78</v>
      </c>
      <c r="C16" s="11" t="n">
        <f aca="false">C13/'Your project'!$C$6</f>
        <v>273969.814333333</v>
      </c>
    </row>
    <row r="17" customFormat="false" ht="15" hidden="false" customHeight="false" outlineLevel="0" collapsed="false">
      <c r="B17" s="3" t="s">
        <v>79</v>
      </c>
      <c r="C17" s="11" t="n">
        <f aca="false">C8*'Your project'!$C$22/'Your project'!$C$9</f>
        <v>23065.1234042553</v>
      </c>
      <c r="D17" s="7" t="s">
        <v>80</v>
      </c>
    </row>
    <row r="18" customFormat="false" ht="15" hidden="false" customHeight="false" outlineLevel="0" collapsed="false">
      <c r="B18" s="3" t="s">
        <v>81</v>
      </c>
      <c r="C18" s="11" t="n">
        <f aca="false">C10*(1-'Your project'!$C$20)</f>
        <v>6852067.264</v>
      </c>
      <c r="D18" s="7" t="s">
        <v>82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4283A"/>
    <pageSetUpPr fitToPage="false"/>
  </sheetPr>
  <dimension ref="B2:E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
    <col collapsed="false" customWidth="true" hidden="false" outlineLevel="0" max="2" min="2" style="0" width="50"/>
    <col collapsed="false" customWidth="true" hidden="false" outlineLevel="0" max="3" min="3" style="0" width="18"/>
    <col collapsed="false" customWidth="true" hidden="false" outlineLevel="0" max="4" min="4" style="0" width="12"/>
    <col collapsed="false" customWidth="true" hidden="false" outlineLevel="0" max="5" min="5" style="0" width="64"/>
  </cols>
  <sheetData>
    <row r="2" customFormat="false" ht="17.35" hidden="false" customHeight="false" outlineLevel="0" collapsed="false">
      <c r="B2" s="1" t="s">
        <v>83</v>
      </c>
    </row>
    <row r="4" customFormat="false" ht="15" hidden="false" customHeight="false" outlineLevel="0" collapsed="false">
      <c r="B4" s="14" t="s">
        <v>84</v>
      </c>
      <c r="C4" s="14" t="s">
        <v>85</v>
      </c>
      <c r="D4" s="14" t="s">
        <v>86</v>
      </c>
      <c r="E4" s="14" t="s">
        <v>87</v>
      </c>
    </row>
    <row r="6" customFormat="false" ht="15" hidden="false" customHeight="false" outlineLevel="0" collapsed="false">
      <c r="B6" s="4" t="s">
        <v>88</v>
      </c>
      <c r="C6" s="5"/>
      <c r="D6" s="5"/>
    </row>
    <row r="7" customFormat="false" ht="22.35" hidden="false" customHeight="false" outlineLevel="0" collapsed="false">
      <c r="B7" s="3" t="s">
        <v>89</v>
      </c>
      <c r="C7" s="11" t="n">
        <f aca="false">MAX(0,'Contract sum'!$C$18*'Your project'!$C$21-'Contract sum'!$C$11)</f>
        <v>435595.70464</v>
      </c>
      <c r="D7" s="3" t="s">
        <v>90</v>
      </c>
      <c r="E7" s="15" t="s">
        <v>91</v>
      </c>
    </row>
    <row r="8" customFormat="false" ht="22.35" hidden="false" customHeight="false" outlineLevel="0" collapsed="false">
      <c r="B8" s="3" t="s">
        <v>92</v>
      </c>
      <c r="C8" s="11" t="n">
        <f aca="false">'Your project'!$C$27-'Your project'!$C$17</f>
        <v>810000</v>
      </c>
      <c r="D8" s="3" t="s">
        <v>90</v>
      </c>
      <c r="E8" s="15" t="s">
        <v>93</v>
      </c>
    </row>
    <row r="9" customFormat="false" ht="22.35" hidden="false" customHeight="false" outlineLevel="0" collapsed="false">
      <c r="B9" s="3" t="s">
        <v>94</v>
      </c>
      <c r="C9" s="11" t="n">
        <f aca="false">'Your project'!$C$28*'Your project'!$C$29</f>
        <v>105364</v>
      </c>
      <c r="D9" s="3" t="s">
        <v>90</v>
      </c>
      <c r="E9" s="15" t="s">
        <v>95</v>
      </c>
    </row>
    <row r="10" customFormat="false" ht="15" hidden="false" customHeight="false" outlineLevel="0" collapsed="false">
      <c r="B10" s="3" t="s">
        <v>96</v>
      </c>
      <c r="C10" s="11" t="n">
        <f aca="false">'Contract sum'!$C$17*'Your project'!$C$30</f>
        <v>253716.357446809</v>
      </c>
      <c r="D10" s="3" t="s">
        <v>90</v>
      </c>
      <c r="E10" s="15" t="s">
        <v>97</v>
      </c>
    </row>
    <row r="11" customFormat="false" ht="15" hidden="false" customHeight="false" outlineLevel="0" collapsed="false">
      <c r="B11" s="3" t="s">
        <v>98</v>
      </c>
      <c r="C11" s="11" t="n">
        <f aca="false">(C7+C8+'Your project'!$C$28+C9)*((1+'Your project'!$C$24)^('Your project'!$C$23/12)-1)</f>
        <v>137483.601609652</v>
      </c>
      <c r="D11" s="3" t="s">
        <v>90</v>
      </c>
      <c r="E11" s="15" t="s">
        <v>99</v>
      </c>
    </row>
    <row r="12" customFormat="false" ht="15" hidden="false" customHeight="false" outlineLevel="0" collapsed="false">
      <c r="B12" s="12" t="s">
        <v>100</v>
      </c>
      <c r="C12" s="13" t="n">
        <f aca="false">SUM(C7:C11)</f>
        <v>1742159.66369646</v>
      </c>
      <c r="D12" s="3"/>
      <c r="E12" s="15"/>
    </row>
    <row r="13" customFormat="false" ht="15" hidden="false" customHeight="false" outlineLevel="0" collapsed="false">
      <c r="B13" s="16" t="s">
        <v>101</v>
      </c>
      <c r="C13" s="17" t="n">
        <f aca="false">C12/'Contract sum'!$C$13</f>
        <v>0.0662390363733957</v>
      </c>
      <c r="D13" s="3"/>
      <c r="E13" s="15"/>
    </row>
    <row r="15" customFormat="false" ht="15" hidden="false" customHeight="false" outlineLevel="0" collapsed="false">
      <c r="B15" s="4" t="s">
        <v>102</v>
      </c>
      <c r="C15" s="5"/>
      <c r="D15" s="5"/>
    </row>
    <row r="16" customFormat="false" ht="22.35" hidden="false" customHeight="false" outlineLevel="0" collapsed="false">
      <c r="B16" s="3" t="s">
        <v>103</v>
      </c>
      <c r="C16" s="11" t="n">
        <f aca="false">'Your project'!$C$28</f>
        <v>742000</v>
      </c>
      <c r="D16" s="3" t="s">
        <v>104</v>
      </c>
      <c r="E16" s="15" t="s">
        <v>105</v>
      </c>
    </row>
    <row r="17" customFormat="false" ht="22.35" hidden="false" customHeight="false" outlineLevel="0" collapsed="false">
      <c r="B17" s="3" t="s">
        <v>106</v>
      </c>
      <c r="C17" s="18" t="n">
        <v>0</v>
      </c>
      <c r="D17" s="3" t="s">
        <v>90</v>
      </c>
      <c r="E17" s="15" t="s">
        <v>107</v>
      </c>
    </row>
    <row r="18" customFormat="false" ht="15" hidden="false" customHeight="false" outlineLevel="0" collapsed="false">
      <c r="B18" s="3" t="s">
        <v>108</v>
      </c>
      <c r="C18" s="18" t="n">
        <v>0</v>
      </c>
      <c r="D18" s="3" t="s">
        <v>104</v>
      </c>
      <c r="E18" s="15" t="s">
        <v>109</v>
      </c>
    </row>
    <row r="19" customFormat="false" ht="15" hidden="false" customHeight="false" outlineLevel="0" collapsed="false">
      <c r="B19" s="3" t="s">
        <v>110</v>
      </c>
      <c r="C19" s="18" t="n">
        <v>0</v>
      </c>
      <c r="D19" s="3" t="s">
        <v>111</v>
      </c>
      <c r="E19" s="15" t="s">
        <v>112</v>
      </c>
    </row>
    <row r="21" customFormat="false" ht="15" hidden="false" customHeight="false" outlineLevel="0" collapsed="false">
      <c r="B21" s="16" t="s">
        <v>113</v>
      </c>
      <c r="C21" s="19" t="n">
        <f aca="false">'Contract sum'!$C$13</f>
        <v>26301102.176</v>
      </c>
      <c r="D21" s="3"/>
      <c r="E21" s="15"/>
    </row>
    <row r="22" customFormat="false" ht="15" hidden="false" customHeight="false" outlineLevel="0" collapsed="false">
      <c r="B22" s="3" t="s">
        <v>114</v>
      </c>
      <c r="C22" s="11" t="n">
        <f aca="false">C12</f>
        <v>1742159.66369646</v>
      </c>
      <c r="D22" s="3"/>
      <c r="E22" s="15"/>
    </row>
    <row r="23" customFormat="false" ht="15" hidden="false" customHeight="false" outlineLevel="0" collapsed="false">
      <c r="B23" s="3" t="s">
        <v>115</v>
      </c>
      <c r="C23" s="11" t="n">
        <f aca="false">C16</f>
        <v>742000</v>
      </c>
      <c r="D23" s="3"/>
      <c r="E23" s="15"/>
    </row>
    <row r="24" customFormat="false" ht="15" hidden="false" customHeight="false" outlineLevel="0" collapsed="false">
      <c r="B24" s="12" t="s">
        <v>116</v>
      </c>
      <c r="C24" s="13" t="n">
        <f aca="false">C21+C22+C23</f>
        <v>28785261.8396965</v>
      </c>
      <c r="D24" s="3"/>
      <c r="E24" s="15"/>
    </row>
    <row r="25" customFormat="false" ht="15" hidden="false" customHeight="false" outlineLevel="0" collapsed="false">
      <c r="B25" s="7" t="s">
        <v>117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4283A"/>
    <pageSetUpPr fitToPage="false"/>
  </sheetPr>
  <dimension ref="B2:D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
    <col collapsed="false" customWidth="true" hidden="false" outlineLevel="0" max="2" min="2" style="0" width="58"/>
    <col collapsed="false" customWidth="true" hidden="false" outlineLevel="0" max="3" min="3" style="0" width="18"/>
    <col collapsed="false" customWidth="true" hidden="false" outlineLevel="0" max="4" min="4" style="0" width="64"/>
  </cols>
  <sheetData>
    <row r="2" customFormat="false" ht="17.35" hidden="false" customHeight="false" outlineLevel="0" collapsed="false">
      <c r="B2" s="1" t="s">
        <v>118</v>
      </c>
    </row>
    <row r="4" customFormat="false" ht="15" hidden="false" customHeight="false" outlineLevel="0" collapsed="false">
      <c r="B4" s="4" t="s">
        <v>119</v>
      </c>
      <c r="C4" s="5"/>
      <c r="D4" s="5"/>
    </row>
    <row r="5" customFormat="false" ht="15" hidden="false" customHeight="false" outlineLevel="0" collapsed="false">
      <c r="B5" s="3" t="s">
        <v>120</v>
      </c>
      <c r="C5" s="11" t="n">
        <f aca="false">'Your project'!$C$6*'Your project'!$C$33</f>
        <v>45312000</v>
      </c>
    </row>
    <row r="6" customFormat="false" ht="15" hidden="false" customHeight="false" outlineLevel="0" collapsed="false">
      <c r="B6" s="3" t="s">
        <v>121</v>
      </c>
      <c r="C6" s="11" t="n">
        <f aca="false">'Contract sum'!$C$13</f>
        <v>26301102.176</v>
      </c>
    </row>
    <row r="7" customFormat="false" ht="15" hidden="false" customHeight="false" outlineLevel="0" collapsed="false">
      <c r="B7" s="3" t="s">
        <v>122</v>
      </c>
      <c r="C7" s="11" t="n">
        <f aca="false">C6*'Your project'!$C$35</f>
        <v>2577508.013248</v>
      </c>
    </row>
    <row r="8" customFormat="false" ht="15" hidden="false" customHeight="false" outlineLevel="0" collapsed="false">
      <c r="B8" s="3" t="s">
        <v>123</v>
      </c>
      <c r="C8" s="11" t="n">
        <f aca="false">('Your project'!$C$34+C6+C6*'Your project'!$C$35)*'Your project'!$C$37*'Your project'!$C$38*'Your project'!$C$39*'Your project'!$C$40-'Your project'!$C$42</f>
        <v>2521929.75183375</v>
      </c>
    </row>
    <row r="9" customFormat="false" ht="15" hidden="false" customHeight="false" outlineLevel="0" collapsed="false">
      <c r="B9" s="3" t="s">
        <v>55</v>
      </c>
      <c r="C9" s="11" t="n">
        <f aca="false">'Your project'!$C$34</f>
        <v>6200000</v>
      </c>
    </row>
    <row r="10" customFormat="false" ht="15" hidden="false" customHeight="false" outlineLevel="0" collapsed="false">
      <c r="B10" s="3" t="s">
        <v>124</v>
      </c>
      <c r="C10" s="11" t="n">
        <f aca="false">C5*'Your project'!$C$36</f>
        <v>996864</v>
      </c>
    </row>
    <row r="11" customFormat="false" ht="15" hidden="false" customHeight="false" outlineLevel="0" collapsed="false">
      <c r="B11" s="16" t="s">
        <v>125</v>
      </c>
      <c r="C11" s="19" t="n">
        <f aca="false">SUM(C6:C10)</f>
        <v>38597403.9410818</v>
      </c>
    </row>
    <row r="12" customFormat="false" ht="15" hidden="false" customHeight="false" outlineLevel="0" collapsed="false">
      <c r="B12" s="16" t="s">
        <v>126</v>
      </c>
      <c r="C12" s="19" t="n">
        <f aca="false">C5-C11</f>
        <v>6714596.05891825</v>
      </c>
    </row>
    <row r="13" customFormat="false" ht="15" hidden="false" customHeight="false" outlineLevel="0" collapsed="false">
      <c r="B13" s="16" t="s">
        <v>127</v>
      </c>
      <c r="C13" s="20" t="n">
        <f aca="false">C12/C11</f>
        <v>0.173964965860604</v>
      </c>
    </row>
    <row r="14" customFormat="false" ht="15" hidden="false" customHeight="false" outlineLevel="0" collapsed="false">
      <c r="B14" s="3" t="s">
        <v>128</v>
      </c>
      <c r="C14" s="3" t="str">
        <f aca="false">IF(C13&gt;='Your project'!$C$41,"yes","no")</f>
        <v>yes</v>
      </c>
    </row>
    <row r="16" customFormat="false" ht="15" hidden="false" customHeight="false" outlineLevel="0" collapsed="false">
      <c r="B16" s="4" t="s">
        <v>129</v>
      </c>
      <c r="C16" s="5"/>
      <c r="D16" s="5"/>
    </row>
    <row r="17" customFormat="false" ht="22.35" hidden="false" customHeight="false" outlineLevel="0" collapsed="false">
      <c r="B17" s="3" t="s">
        <v>130</v>
      </c>
      <c r="C17" s="11" t="n">
        <f aca="false">(C5/(1+'Your project'!$C$41)-'Your project'!$C$34-C8-C10)/(1+'Your project'!$C$35)</f>
        <v>27033647.8857933</v>
      </c>
      <c r="D17" s="15" t="s">
        <v>131</v>
      </c>
    </row>
    <row r="18" customFormat="false" ht="15" hidden="false" customHeight="false" outlineLevel="0" collapsed="false">
      <c r="B18" s="16" t="s">
        <v>132</v>
      </c>
      <c r="C18" s="19" t="n">
        <f aca="false">C17-C6</f>
        <v>732545.709793292</v>
      </c>
    </row>
    <row r="19" customFormat="false" ht="15" hidden="false" customHeight="false" outlineLevel="0" collapsed="false">
      <c r="B19" s="16" t="s">
        <v>133</v>
      </c>
      <c r="C19" s="17" t="n">
        <f aca="false">C18/C6</f>
        <v>0.0278522818128035</v>
      </c>
    </row>
    <row r="21" customFormat="false" ht="15" hidden="false" customHeight="false" outlineLevel="0" collapsed="false">
      <c r="B21" s="4" t="s">
        <v>134</v>
      </c>
      <c r="C21" s="5"/>
      <c r="D21" s="5"/>
    </row>
    <row r="22" customFormat="false" ht="15" hidden="false" customHeight="false" outlineLevel="0" collapsed="false">
      <c r="B22" s="16" t="s">
        <v>135</v>
      </c>
      <c r="C22" s="19" t="n">
        <f aca="false">Forecast!C12</f>
        <v>1742159.66369646</v>
      </c>
    </row>
    <row r="23" customFormat="false" ht="15" hidden="false" customHeight="false" outlineLevel="0" collapsed="false">
      <c r="B23" s="16" t="s">
        <v>129</v>
      </c>
      <c r="C23" s="19" t="n">
        <f aca="false">C18</f>
        <v>732545.709793292</v>
      </c>
    </row>
    <row r="24" customFormat="false" ht="15" hidden="false" customHeight="false" outlineLevel="0" collapsed="false">
      <c r="B24" s="16" t="s">
        <v>136</v>
      </c>
      <c r="C24" s="21" t="n">
        <f aca="false">C22/C23</f>
        <v>2.37822656034401</v>
      </c>
    </row>
    <row r="25" customFormat="false" ht="91" hidden="false" customHeight="false" outlineLevel="0" collapsed="false">
      <c r="B25" s="3" t="s">
        <v>137</v>
      </c>
      <c r="C25" s="22" t="str">
        <f aca="false">IF(C23&lt;=0,"The scheme does not clear its target even at the contract sum. There is no headroom to consume.",IF(C22&gt;C23,"The part of the gap you can already measure exceeds every pound of overrun this appraisal can absorb. The scheme is committed to missing its target before the contract is signed.",IF(C22&gt;0.5*C23,"The knowable gap alone consumes more than half the headroom, before a single unforecastable line is added.","The knowable gap sits inside the headroom. Now add the lines this workbook refuses to forecast.")))</f>
        <v>The part of the gap you can already measure exceeds every pound of overrun this appraisal can absorb. The scheme is committed to missing its target before the contract is signed.</v>
      </c>
    </row>
    <row r="27" customFormat="false" ht="15" hidden="false" customHeight="false" outlineLevel="0" collapsed="false">
      <c r="B27" s="3" t="s">
        <v>138</v>
      </c>
      <c r="C27" s="11" t="n">
        <f aca="false">Forecast!C24</f>
        <v>28785261.8396965</v>
      </c>
    </row>
    <row r="28" customFormat="false" ht="15" hidden="false" customHeight="false" outlineLevel="0" collapsed="false">
      <c r="B28" s="3" t="s">
        <v>130</v>
      </c>
      <c r="C28" s="11" t="n">
        <f aca="false">C17</f>
        <v>27033647.8857933</v>
      </c>
    </row>
    <row r="29" customFormat="false" ht="22.35" hidden="false" customHeight="false" outlineLevel="0" collapsed="false">
      <c r="B29" s="16" t="s">
        <v>139</v>
      </c>
      <c r="C29" s="19" t="n">
        <f aca="false">C27-C28</f>
        <v>1751613.95390317</v>
      </c>
      <c r="D29" s="15" t="s">
        <v>140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4283A"/>
    <pageSetUpPr fitToPage="false"/>
  </sheetPr>
  <dimension ref="B2:G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
    <col collapsed="false" customWidth="true" hidden="false" outlineLevel="0" max="2" min="2" style="0" width="48"/>
    <col collapsed="false" customWidth="true" hidden="false" outlineLevel="0" max="4" min="3" style="0" width="18"/>
    <col collapsed="false" customWidth="true" hidden="false" outlineLevel="0" max="5" min="5" style="0" width="16"/>
    <col collapsed="false" customWidth="true" hidden="false" outlineLevel="0" max="6" min="6" style="0" width="10"/>
    <col collapsed="false" customWidth="true" hidden="false" outlineLevel="0" max="7" min="7" style="0" width="12"/>
  </cols>
  <sheetData>
    <row r="2" customFormat="false" ht="17.35" hidden="false" customHeight="false" outlineLevel="0" collapsed="false">
      <c r="B2" s="1" t="s">
        <v>141</v>
      </c>
    </row>
    <row r="3" customFormat="false" ht="15" hidden="false" customHeight="false" outlineLevel="0" collapsed="false">
      <c r="B3" s="3" t="s">
        <v>142</v>
      </c>
    </row>
    <row r="4" customFormat="false" ht="15" hidden="false" customHeight="false" outlineLevel="0" collapsed="false">
      <c r="B4" s="3" t="s">
        <v>143</v>
      </c>
    </row>
    <row r="6" customFormat="false" ht="15" hidden="false" customHeight="false" outlineLevel="0" collapsed="false">
      <c r="B6" s="14" t="s">
        <v>144</v>
      </c>
      <c r="C6" s="14" t="s">
        <v>145</v>
      </c>
      <c r="D6" s="14" t="s">
        <v>146</v>
      </c>
      <c r="E6" s="14" t="s">
        <v>147</v>
      </c>
      <c r="F6" s="14" t="s">
        <v>148</v>
      </c>
      <c r="G6" s="14" t="s">
        <v>149</v>
      </c>
    </row>
    <row r="7" customFormat="false" ht="15" hidden="false" customHeight="false" outlineLevel="0" collapsed="false">
      <c r="B7" s="2" t="s">
        <v>150</v>
      </c>
    </row>
    <row r="8" customFormat="false" ht="15" hidden="false" customHeight="false" outlineLevel="0" collapsed="false">
      <c r="B8" s="3" t="s">
        <v>113</v>
      </c>
      <c r="C8" s="11" t="n">
        <v>26301102</v>
      </c>
      <c r="D8" s="23" t="n">
        <f aca="false">ROUND('Contract sum'!C13,0)</f>
        <v>26301102</v>
      </c>
      <c r="E8" s="24" t="n">
        <f aca="false">D8-C8</f>
        <v>0</v>
      </c>
      <c r="F8" s="16" t="str">
        <f aca="false">IF(ABS(E8)&lt;=G8,"PASS","FAIL")</f>
        <v>PASS</v>
      </c>
      <c r="G8" s="25" t="n">
        <v>1</v>
      </c>
    </row>
    <row r="9" customFormat="false" ht="15" hidden="false" customHeight="false" outlineLevel="0" collapsed="false">
      <c r="B9" s="3" t="s">
        <v>68</v>
      </c>
      <c r="C9" s="11" t="n">
        <v>20075200</v>
      </c>
      <c r="D9" s="23" t="n">
        <f aca="false">ROUND('Contract sum'!C7,0)</f>
        <v>20075200</v>
      </c>
      <c r="E9" s="24" t="n">
        <f aca="false">D9-C9</f>
        <v>0</v>
      </c>
      <c r="F9" s="16" t="str">
        <f aca="false">IF(ABS(E9)&lt;=G9,"PASS","FAIL")</f>
        <v>PASS</v>
      </c>
      <c r="G9" s="25" t="n">
        <v>1</v>
      </c>
    </row>
    <row r="10" customFormat="false" ht="15" hidden="false" customHeight="false" outlineLevel="0" collapsed="false">
      <c r="B10" s="3" t="s">
        <v>69</v>
      </c>
      <c r="C10" s="11" t="n">
        <v>3011280</v>
      </c>
      <c r="D10" s="23" t="n">
        <f aca="false">ROUND('Contract sum'!C8,0)</f>
        <v>3011280</v>
      </c>
      <c r="E10" s="24" t="n">
        <f aca="false">D10-C10</f>
        <v>0</v>
      </c>
      <c r="F10" s="16" t="str">
        <f aca="false">IF(ABS(E10)&lt;=G10,"PASS","FAIL")</f>
        <v>PASS</v>
      </c>
      <c r="G10" s="25" t="n">
        <v>1</v>
      </c>
    </row>
    <row r="11" customFormat="false" ht="15" hidden="false" customHeight="false" outlineLevel="0" collapsed="false">
      <c r="B11" s="3" t="s">
        <v>71</v>
      </c>
      <c r="C11" s="11" t="n">
        <v>1385189</v>
      </c>
      <c r="D11" s="23" t="n">
        <f aca="false">ROUND('Contract sum'!C9,0)</f>
        <v>1385189</v>
      </c>
      <c r="E11" s="24" t="n">
        <f aca="false">D11-C11</f>
        <v>0</v>
      </c>
      <c r="F11" s="16" t="str">
        <f aca="false">IF(ABS(E11)&lt;=G11,"PASS","FAIL")</f>
        <v>PASS</v>
      </c>
      <c r="G11" s="25" t="n">
        <v>1</v>
      </c>
    </row>
    <row r="12" customFormat="false" ht="15" hidden="false" customHeight="false" outlineLevel="0" collapsed="false">
      <c r="B12" s="3" t="s">
        <v>151</v>
      </c>
      <c r="C12" s="11" t="n">
        <v>24471669</v>
      </c>
      <c r="D12" s="23" t="n">
        <f aca="false">ROUND('Contract sum'!C10,0)</f>
        <v>24471669</v>
      </c>
      <c r="E12" s="24" t="n">
        <f aca="false">D12-C12</f>
        <v>0</v>
      </c>
      <c r="F12" s="16" t="str">
        <f aca="false">IF(ABS(E12)&lt;=G12,"PASS","FAIL")</f>
        <v>PASS</v>
      </c>
      <c r="G12" s="25" t="n">
        <v>1</v>
      </c>
    </row>
    <row r="13" customFormat="false" ht="15" hidden="false" customHeight="false" outlineLevel="0" collapsed="false">
      <c r="B13" s="3" t="s">
        <v>152</v>
      </c>
      <c r="C13" s="11" t="n">
        <v>489433</v>
      </c>
      <c r="D13" s="23" t="n">
        <f aca="false">ROUND('Contract sum'!C11,0)</f>
        <v>489433</v>
      </c>
      <c r="E13" s="24" t="n">
        <f aca="false">D13-C13</f>
        <v>0</v>
      </c>
      <c r="F13" s="16" t="str">
        <f aca="false">IF(ABS(E13)&lt;=G13,"PASS","FAIL")</f>
        <v>PASS</v>
      </c>
      <c r="G13" s="25" t="n">
        <v>1</v>
      </c>
    </row>
    <row r="14" customFormat="false" ht="15" hidden="false" customHeight="false" outlineLevel="0" collapsed="false">
      <c r="B14" s="3" t="s">
        <v>153</v>
      </c>
      <c r="C14" s="11" t="n">
        <v>3044</v>
      </c>
      <c r="D14" s="23" t="n">
        <f aca="false">ROUND('Contract sum'!C15,0)</f>
        <v>3044</v>
      </c>
      <c r="E14" s="24" t="n">
        <f aca="false">D14-C14</f>
        <v>0</v>
      </c>
      <c r="F14" s="16" t="str">
        <f aca="false">IF(ABS(E14)&lt;=G14,"PASS","FAIL")</f>
        <v>PASS</v>
      </c>
      <c r="G14" s="25" t="n">
        <v>1</v>
      </c>
    </row>
    <row r="15" customFormat="false" ht="15" hidden="false" customHeight="false" outlineLevel="0" collapsed="false">
      <c r="B15" s="3" t="s">
        <v>78</v>
      </c>
      <c r="C15" s="11" t="n">
        <v>273970</v>
      </c>
      <c r="D15" s="23" t="n">
        <f aca="false">ROUND('Contract sum'!C16,0)</f>
        <v>273970</v>
      </c>
      <c r="E15" s="24" t="n">
        <f aca="false">D15-C15</f>
        <v>0</v>
      </c>
      <c r="F15" s="16" t="str">
        <f aca="false">IF(ABS(E15)&lt;=G15,"PASS","FAIL")</f>
        <v>PASS</v>
      </c>
      <c r="G15" s="25" t="n">
        <v>1</v>
      </c>
    </row>
    <row r="16" customFormat="false" ht="15" hidden="false" customHeight="false" outlineLevel="0" collapsed="false">
      <c r="B16" s="3" t="s">
        <v>79</v>
      </c>
      <c r="C16" s="11" t="n">
        <v>23065</v>
      </c>
      <c r="D16" s="23" t="n">
        <f aca="false">ROUND('Contract sum'!C17,0)</f>
        <v>23065</v>
      </c>
      <c r="E16" s="24" t="n">
        <f aca="false">D16-C16</f>
        <v>0</v>
      </c>
      <c r="F16" s="16" t="str">
        <f aca="false">IF(ABS(E16)&lt;=G16,"PASS","FAIL")</f>
        <v>PASS</v>
      </c>
      <c r="G16" s="25" t="n">
        <v>1</v>
      </c>
    </row>
    <row r="17" customFormat="false" ht="15" hidden="false" customHeight="false" outlineLevel="0" collapsed="false">
      <c r="B17" s="3" t="s">
        <v>154</v>
      </c>
      <c r="C17" s="11" t="n">
        <v>6852067</v>
      </c>
      <c r="D17" s="23" t="n">
        <f aca="false">ROUND('Contract sum'!C18,0)</f>
        <v>6852067</v>
      </c>
      <c r="E17" s="24" t="n">
        <f aca="false">D17-C17</f>
        <v>0</v>
      </c>
      <c r="F17" s="16" t="str">
        <f aca="false">IF(ABS(E17)&lt;=G17,"PASS","FAIL")</f>
        <v>PASS</v>
      </c>
      <c r="G17" s="25" t="n">
        <v>1</v>
      </c>
    </row>
    <row r="18" customFormat="false" ht="15" hidden="false" customHeight="false" outlineLevel="0" collapsed="false">
      <c r="B18" s="2" t="s">
        <v>155</v>
      </c>
    </row>
    <row r="19" customFormat="false" ht="15" hidden="false" customHeight="false" outlineLevel="0" collapsed="false">
      <c r="B19" s="3" t="s">
        <v>89</v>
      </c>
      <c r="C19" s="11" t="n">
        <v>435596</v>
      </c>
      <c r="D19" s="23" t="n">
        <f aca="false">ROUND(Forecast!C7,0)</f>
        <v>435596</v>
      </c>
      <c r="E19" s="24" t="n">
        <f aca="false">D19-C19</f>
        <v>0</v>
      </c>
      <c r="F19" s="16" t="str">
        <f aca="false">IF(ABS(E19)&lt;=G19,"PASS","FAIL")</f>
        <v>PASS</v>
      </c>
      <c r="G19" s="25" t="n">
        <v>1</v>
      </c>
    </row>
    <row r="20" customFormat="false" ht="15" hidden="false" customHeight="false" outlineLevel="0" collapsed="false">
      <c r="B20" s="3" t="s">
        <v>92</v>
      </c>
      <c r="C20" s="11" t="n">
        <v>810000</v>
      </c>
      <c r="D20" s="23" t="n">
        <f aca="false">ROUND(Forecast!C8,0)</f>
        <v>810000</v>
      </c>
      <c r="E20" s="24" t="n">
        <f aca="false">D20-C20</f>
        <v>0</v>
      </c>
      <c r="F20" s="16" t="str">
        <f aca="false">IF(ABS(E20)&lt;=G20,"PASS","FAIL")</f>
        <v>PASS</v>
      </c>
      <c r="G20" s="25" t="n">
        <v>1</v>
      </c>
    </row>
    <row r="21" customFormat="false" ht="15" hidden="false" customHeight="false" outlineLevel="0" collapsed="false">
      <c r="B21" s="3" t="s">
        <v>156</v>
      </c>
      <c r="C21" s="11" t="n">
        <v>105364</v>
      </c>
      <c r="D21" s="23" t="n">
        <f aca="false">ROUND(Forecast!C9,0)</f>
        <v>105364</v>
      </c>
      <c r="E21" s="24" t="n">
        <f aca="false">D21-C21</f>
        <v>0</v>
      </c>
      <c r="F21" s="16" t="str">
        <f aca="false">IF(ABS(E21)&lt;=G21,"PASS","FAIL")</f>
        <v>PASS</v>
      </c>
      <c r="G21" s="25" t="n">
        <v>1</v>
      </c>
    </row>
    <row r="22" customFormat="false" ht="15" hidden="false" customHeight="false" outlineLevel="0" collapsed="false">
      <c r="B22" s="3" t="s">
        <v>157</v>
      </c>
      <c r="C22" s="11" t="n">
        <v>253716</v>
      </c>
      <c r="D22" s="23" t="n">
        <f aca="false">ROUND(Forecast!C10,0)</f>
        <v>253716</v>
      </c>
      <c r="E22" s="24" t="n">
        <f aca="false">D22-C22</f>
        <v>0</v>
      </c>
      <c r="F22" s="16" t="str">
        <f aca="false">IF(ABS(E22)&lt;=G22,"PASS","FAIL")</f>
        <v>PASS</v>
      </c>
      <c r="G22" s="25" t="n">
        <v>1</v>
      </c>
    </row>
    <row r="23" customFormat="false" ht="15" hidden="false" customHeight="false" outlineLevel="0" collapsed="false">
      <c r="B23" s="3" t="s">
        <v>158</v>
      </c>
      <c r="C23" s="11" t="n">
        <v>137484</v>
      </c>
      <c r="D23" s="23" t="n">
        <f aca="false">ROUND(Forecast!C11,0)</f>
        <v>137484</v>
      </c>
      <c r="E23" s="24" t="n">
        <f aca="false">D23-C23</f>
        <v>0</v>
      </c>
      <c r="F23" s="16" t="str">
        <f aca="false">IF(ABS(E23)&lt;=G23,"PASS","FAIL")</f>
        <v>PASS</v>
      </c>
      <c r="G23" s="25" t="n">
        <v>1</v>
      </c>
    </row>
    <row r="24" customFormat="false" ht="15" hidden="false" customHeight="false" outlineLevel="0" collapsed="false">
      <c r="B24" s="3" t="s">
        <v>100</v>
      </c>
      <c r="C24" s="11" t="n">
        <v>1742160</v>
      </c>
      <c r="D24" s="23" t="n">
        <f aca="false">ROUND(Forecast!C12,0)</f>
        <v>1742160</v>
      </c>
      <c r="E24" s="24" t="n">
        <f aca="false">D24-C24</f>
        <v>0</v>
      </c>
      <c r="F24" s="16" t="str">
        <f aca="false">IF(ABS(E24)&lt;=G24,"PASS","FAIL")</f>
        <v>PASS</v>
      </c>
      <c r="G24" s="25" t="n">
        <v>1</v>
      </c>
    </row>
    <row r="25" customFormat="false" ht="15" hidden="false" customHeight="false" outlineLevel="0" collapsed="false">
      <c r="B25" s="3" t="s">
        <v>159</v>
      </c>
      <c r="C25" s="26" t="n">
        <v>0.604</v>
      </c>
      <c r="D25" s="27" t="n">
        <f aca="false">ROUND('Your project'!C31,3)</f>
        <v>0.604</v>
      </c>
      <c r="E25" s="24" t="n">
        <f aca="false">D25-C25</f>
        <v>0</v>
      </c>
      <c r="F25" s="16" t="str">
        <f aca="false">IF(ABS(E25)&lt;=G25,"PASS","FAIL")</f>
        <v>PASS</v>
      </c>
      <c r="G25" s="25" t="n">
        <v>1E-008</v>
      </c>
    </row>
    <row r="26" customFormat="false" ht="15" hidden="false" customHeight="false" outlineLevel="0" collapsed="false">
      <c r="B26" s="2" t="s">
        <v>160</v>
      </c>
    </row>
    <row r="27" customFormat="false" ht="15" hidden="false" customHeight="false" outlineLevel="0" collapsed="false">
      <c r="B27" s="3" t="s">
        <v>161</v>
      </c>
      <c r="C27" s="11" t="n">
        <v>2577508</v>
      </c>
      <c r="D27" s="23" t="n">
        <f aca="false">ROUND(Headroom!C7,0)</f>
        <v>2577508</v>
      </c>
      <c r="E27" s="24" t="n">
        <f aca="false">D27-C27</f>
        <v>0</v>
      </c>
      <c r="F27" s="16" t="str">
        <f aca="false">IF(ABS(E27)&lt;=G27,"PASS","FAIL")</f>
        <v>PASS</v>
      </c>
      <c r="G27" s="25" t="n">
        <v>1</v>
      </c>
    </row>
    <row r="28" customFormat="false" ht="15" hidden="false" customHeight="false" outlineLevel="0" collapsed="false">
      <c r="B28" s="3" t="s">
        <v>123</v>
      </c>
      <c r="C28" s="11" t="n">
        <v>2521929</v>
      </c>
      <c r="D28" s="23" t="n">
        <f aca="false">ROUND(Headroom!C8,0)</f>
        <v>2521930</v>
      </c>
      <c r="E28" s="24" t="n">
        <f aca="false">D28-C28</f>
        <v>1</v>
      </c>
      <c r="F28" s="16" t="str">
        <f aca="false">IF(ABS(E28)&lt;=G28,"PASS","FAIL")</f>
        <v>PASS</v>
      </c>
      <c r="G28" s="25" t="n">
        <v>1</v>
      </c>
    </row>
    <row r="29" customFormat="false" ht="15" hidden="false" customHeight="false" outlineLevel="0" collapsed="false">
      <c r="B29" s="3" t="s">
        <v>124</v>
      </c>
      <c r="C29" s="11" t="n">
        <v>996864</v>
      </c>
      <c r="D29" s="23" t="n">
        <f aca="false">ROUND(Headroom!C10,0)</f>
        <v>996864</v>
      </c>
      <c r="E29" s="24" t="n">
        <f aca="false">D29-C29</f>
        <v>0</v>
      </c>
      <c r="F29" s="16" t="str">
        <f aca="false">IF(ABS(E29)&lt;=G29,"PASS","FAIL")</f>
        <v>PASS</v>
      </c>
      <c r="G29" s="25" t="n">
        <v>1</v>
      </c>
    </row>
    <row r="30" customFormat="false" ht="15" hidden="false" customHeight="false" outlineLevel="0" collapsed="false">
      <c r="B30" s="3" t="s">
        <v>125</v>
      </c>
      <c r="C30" s="11" t="n">
        <v>38597404</v>
      </c>
      <c r="D30" s="23" t="n">
        <f aca="false">ROUND(Headroom!C11,0)</f>
        <v>38597404</v>
      </c>
      <c r="E30" s="24" t="n">
        <f aca="false">D30-C30</f>
        <v>0</v>
      </c>
      <c r="F30" s="16" t="str">
        <f aca="false">IF(ABS(E30)&lt;=G30,"PASS","FAIL")</f>
        <v>PASS</v>
      </c>
      <c r="G30" s="25" t="n">
        <v>1</v>
      </c>
    </row>
    <row r="31" customFormat="false" ht="15" hidden="false" customHeight="false" outlineLevel="0" collapsed="false">
      <c r="B31" s="3" t="s">
        <v>126</v>
      </c>
      <c r="C31" s="11" t="n">
        <v>6714596</v>
      </c>
      <c r="D31" s="23" t="n">
        <f aca="false">ROUND(Headroom!C12,0)</f>
        <v>6714596</v>
      </c>
      <c r="E31" s="24" t="n">
        <f aca="false">D31-C31</f>
        <v>0</v>
      </c>
      <c r="F31" s="16" t="str">
        <f aca="false">IF(ABS(E31)&lt;=G31,"PASS","FAIL")</f>
        <v>PASS</v>
      </c>
      <c r="G31" s="25" t="n">
        <v>1</v>
      </c>
    </row>
    <row r="32" customFormat="false" ht="15" hidden="false" customHeight="false" outlineLevel="0" collapsed="false">
      <c r="B32" s="3" t="s">
        <v>127</v>
      </c>
      <c r="C32" s="26" t="n">
        <v>0.174</v>
      </c>
      <c r="D32" s="27" t="n">
        <f aca="false">ROUND(Headroom!C13,4)</f>
        <v>0.174</v>
      </c>
      <c r="E32" s="24" t="n">
        <f aca="false">D32-C32</f>
        <v>0</v>
      </c>
      <c r="F32" s="16" t="str">
        <f aca="false">IF(ABS(E32)&lt;=G32,"PASS","FAIL")</f>
        <v>PASS</v>
      </c>
      <c r="G32" s="25" t="n">
        <v>1E-008</v>
      </c>
    </row>
    <row r="33" customFormat="false" ht="15" hidden="false" customHeight="false" outlineLevel="0" collapsed="false">
      <c r="B33" s="3" t="s">
        <v>130</v>
      </c>
      <c r="C33" s="11" t="n">
        <v>27033648</v>
      </c>
      <c r="D33" s="23" t="n">
        <f aca="false">ROUND(Headroom!C17,0)</f>
        <v>27033648</v>
      </c>
      <c r="E33" s="24" t="n">
        <f aca="false">D33-C33</f>
        <v>0</v>
      </c>
      <c r="F33" s="16" t="str">
        <f aca="false">IF(ABS(E33)&lt;=G33,"PASS","FAIL")</f>
        <v>PASS</v>
      </c>
      <c r="G33" s="25" t="n">
        <v>1</v>
      </c>
    </row>
    <row r="34" customFormat="false" ht="15" hidden="false" customHeight="false" outlineLevel="0" collapsed="false">
      <c r="B34" s="3" t="s">
        <v>162</v>
      </c>
      <c r="C34" s="11" t="n">
        <v>732546</v>
      </c>
      <c r="D34" s="23" t="n">
        <f aca="false">ROUND(Headroom!C18,0)</f>
        <v>732546</v>
      </c>
      <c r="E34" s="24" t="n">
        <f aca="false">D34-C34</f>
        <v>0</v>
      </c>
      <c r="F34" s="16" t="str">
        <f aca="false">IF(ABS(E34)&lt;=G34,"PASS","FAIL")</f>
        <v>PASS</v>
      </c>
      <c r="G34" s="25" t="n">
        <v>1</v>
      </c>
    </row>
    <row r="35" customFormat="false" ht="15" hidden="false" customHeight="false" outlineLevel="0" collapsed="false">
      <c r="B35" s="3" t="s">
        <v>133</v>
      </c>
      <c r="C35" s="26" t="n">
        <v>0.028</v>
      </c>
      <c r="D35" s="27" t="n">
        <f aca="false">ROUND(Headroom!C19,3)</f>
        <v>0.028</v>
      </c>
      <c r="E35" s="24" t="n">
        <f aca="false">D35-C35</f>
        <v>0</v>
      </c>
      <c r="F35" s="16" t="str">
        <f aca="false">IF(ABS(E35)&lt;=G35,"PASS","FAIL")</f>
        <v>PASS</v>
      </c>
      <c r="G35" s="25" t="n">
        <v>1E-008</v>
      </c>
    </row>
    <row r="37" customFormat="false" ht="15" hidden="false" customHeight="false" outlineLevel="0" collapsed="false">
      <c r="B37" s="16" t="s">
        <v>163</v>
      </c>
      <c r="C37" s="16" t="n">
        <f aca="false">COUNTIF(F7:F35,"PASS")+COUNTIF(F7:F35,"FAIL")</f>
        <v>26</v>
      </c>
    </row>
    <row r="38" customFormat="false" ht="15" hidden="false" customHeight="false" outlineLevel="0" collapsed="false">
      <c r="B38" s="16" t="s">
        <v>164</v>
      </c>
      <c r="C38" s="16" t="n">
        <f aca="false">COUNTIF(F7:F35,"PASS")</f>
        <v>26</v>
      </c>
    </row>
    <row r="39" customFormat="false" ht="15" hidden="false" customHeight="false" outlineLevel="0" collapsed="false">
      <c r="B39" s="16" t="s">
        <v>165</v>
      </c>
      <c r="C39" s="16" t="n">
        <f aca="false">COUNTIF(F7:F35,"FAIL")</f>
        <v>0</v>
      </c>
    </row>
    <row r="41" customFormat="false" ht="15" hidden="false" customHeight="false" outlineLevel="0" collapsed="false">
      <c r="B41" s="7" t="s">
        <v>166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2026-09-10T20:53:18Z</dcterms:created>
  <dc:creator>openpyxl</dc:creator>
  <dc:description/>
  <dc:language>en-US</dc:language>
  <cp:lastModifiedBy/>
  <dcterms:modified xsi:type="dcterms:W3CDTF">2026-09-10T20:54:10Z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