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he Brief" sheetId="1" state="visible" r:id="rId3"/>
    <sheet name="Ledger" sheetId="2" state="visible" r:id="rId4"/>
    <sheet name="Trade Planner" sheetId="3" state="visible" r:id="rId5"/>
    <sheet name="Check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<sst xmlns="http://schemas.openxmlformats.org/spreadsheetml/2006/main" count="149" uniqueCount="124">
  <si>
    <t xml:space="preserve">The one-page brief</t>
  </si>
  <si>
    <t xml:space="preserve">Print this. Take it into the room. Nothing else is needed.</t>
  </si>
  <si>
    <t xml:space="preserve">Before anything else</t>
  </si>
  <si>
    <t xml:space="preserve">Price offered</t>
  </si>
  <si>
    <t xml:space="preserve">Equivalence price</t>
  </si>
  <si>
    <t xml:space="preserve">Below the equivalence price we sign. Above it we do not, whatever the headline price says.</t>
  </si>
  <si>
    <t xml:space="preserve">Clause cost per unit</t>
  </si>
  <si>
    <t xml:space="preserve">Further discount required</t>
  </si>
  <si>
    <t xml:space="preserve">Must have — open here</t>
  </si>
  <si>
    <t xml:space="preserve">Ask</t>
  </si>
  <si>
    <t xml:space="preserve">Per unit</t>
  </si>
  <si>
    <t xml:space="preserve">Over the term</t>
  </si>
  <si>
    <t xml:space="preserve">The sentence that goes with it</t>
  </si>
  <si>
    <t xml:space="preserve">Whatever the index does, it does to both price paths. A cap costs the supplier nothing in a flat year.</t>
  </si>
  <si>
    <t xml:space="preserve">A threshold above our own low case is a surcharge we have already forecast paying.</t>
  </si>
  <si>
    <t xml:space="preserve">We carry the currency or you do. One of us is hedged already.</t>
  </si>
  <si>
    <t xml:space="preserve">Worth of the three</t>
  </si>
  <si>
    <t xml:space="preserve">Tradable — available, one at a time, for the three above</t>
  </si>
  <si>
    <t xml:space="preserve">Concession</t>
  </si>
  <si>
    <t xml:space="preserve">Why the supplier may want it more than you</t>
  </si>
  <si>
    <t xml:space="preserve">A supplier with an uncertain defect rate pays real money for a shorter window.</t>
  </si>
  <si>
    <t xml:space="preserve">Change margin is the most profitable revenue in the agreement.</t>
  </si>
  <si>
    <t xml:space="preserve">An exclusivity right through a disruption protects their whole order book.</t>
  </si>
  <si>
    <t xml:space="preserve">A low cap protects the margin on every order they deliver late.</t>
  </si>
  <si>
    <t xml:space="preserve">A supplier with thin working capital values days far above what they cost us.</t>
  </si>
  <si>
    <t xml:space="preserve">Worth of the five</t>
  </si>
  <si>
    <t xml:space="preserve">The trade on offer: give this, receive that</t>
  </si>
  <si>
    <t xml:space="preserve">The warranty, the change margin, the damages cap and the payment terms: four concessions</t>
  </si>
  <si>
    <t xml:space="preserve">the supplier has already asked for, against the three asks above. Force majeure is not in the trade.</t>
  </si>
  <si>
    <t xml:space="preserve">At the foot of the page: the walk-away</t>
  </si>
  <si>
    <t xml:space="preserve">The alternative, headline price</t>
  </si>
  <si>
    <t xml:space="preserve">Terms worth, per unit</t>
  </si>
  <si>
    <t xml:space="preserve">The alternative is dearer on the sticker and cheaper on the paper. That is the walk-away, and it is real.</t>
  </si>
  <si>
    <t xml:space="preserve">Ratio, top three against the last two</t>
  </si>
  <si>
    <t xml:space="preserve">Larchmere spent its negotiating credit in almost exactly the reverse of this order.</t>
  </si>
  <si>
    <t xml:space="preserve">Revised 24 September 2026. The ledger is now the input and the brief and the planner are drawn from it. The planner's verdict compared a price that rose with every ask won with the equivalence price, and so always said keep asking; it now asks whether the asks close the gap, and on Larchmere they do. Twenty-two checks.</t>
  </si>
  <si>
    <t xml:space="preserve">The ledger in full</t>
  </si>
  <si>
    <t xml:space="preserve">Every ask, ranked, with the arithmetic behind it. Change the threshold and the line moves.</t>
  </si>
  <si>
    <t xml:space="preserve">Threshold</t>
  </si>
  <si>
    <t xml:space="preserve">What the package has to be worth</t>
  </si>
  <si>
    <t xml:space="preserve">Set it to the gap you have to close. On Larchmere that gap was the net position against Tarnwick.</t>
  </si>
  <si>
    <t xml:space="preserve">Units over the term</t>
  </si>
  <si>
    <t xml:space="preserve">Ranked by what winning the ask is worth</t>
  </si>
  <si>
    <t xml:space="preserve">Worth over the term</t>
  </si>
  <si>
    <t xml:space="preserve">Rank</t>
  </si>
  <si>
    <t xml:space="preserve">Cumulative</t>
  </si>
  <si>
    <t xml:space="preserve">Priority</t>
  </si>
  <si>
    <t xml:space="preserve">Indexation capped at 3 per cent</t>
  </si>
  <si>
    <t xml:space="preserve">Volume band removed, or the threshold set below the low case</t>
  </si>
  <si>
    <t xml:space="preserve">Price denominated in the buyer's currency</t>
  </si>
  <si>
    <t xml:space="preserve">Warranty of 24 months from delivery</t>
  </si>
  <si>
    <t xml:space="preserve">Change control at cost plus 12 per cent</t>
  </si>
  <si>
    <t xml:space="preserve">Force majeure with a four-week alternative sourcing trigger</t>
  </si>
  <si>
    <t xml:space="preserve">Liquidated damages capped at 10 per cent of the affected order</t>
  </si>
  <si>
    <t xml:space="preserve">Payment terms of 60 days</t>
  </si>
  <si>
    <t xml:space="preserve">Asks needed to clear the threshold</t>
  </si>
  <si>
    <t xml:space="preserve">What that package is worth</t>
  </si>
  <si>
    <t xml:space="preserve">Worth per unit</t>
  </si>
  <si>
    <t xml:space="preserve">Everything below that line is currency. Spend it deliberately, one item at a time.</t>
  </si>
  <si>
    <t xml:space="preserve">Enter the asks in descending order of worth; the checks sheet says if they are not.</t>
  </si>
  <si>
    <t xml:space="preserve">The arithmetic behind each line</t>
  </si>
  <si>
    <t xml:space="preserve">One line of arithmetic</t>
  </si>
  <si>
    <t xml:space="preserve">compounded price path minus capped price path, times volume</t>
  </si>
  <si>
    <t xml:space="preserve">low case volume x price x surcharge rate, in each year it triggers</t>
  </si>
  <si>
    <t xml:space="preserve">spend after year one x cumulative expected movement</t>
  </si>
  <si>
    <t xml:space="preserve">units x defect rate x share outside cover x repair cost</t>
  </si>
  <si>
    <t xml:space="preserve">changes a year x average value x margin difference x years</t>
  </si>
  <si>
    <t xml:space="preserve">units you could not buy elsewhere x the premium you paid</t>
  </si>
  <si>
    <t xml:space="preserve">affected order value x the difference between the two caps</t>
  </si>
  <si>
    <t xml:space="preserve">spend x days conceded / 365 x cost of funds</t>
  </si>
  <si>
    <t xml:space="preserve">What you are willing to give, and what you need back</t>
  </si>
  <si>
    <t xml:space="preserve">Tick a concession, tick an ask. The sheet tells you whether the trade is in your favour.</t>
  </si>
  <si>
    <t xml:space="preserve">Concessions you are willing to make (1 = offered)</t>
  </si>
  <si>
    <t xml:space="preserve">Offer?</t>
  </si>
  <si>
    <t xml:space="preserve">Running total</t>
  </si>
  <si>
    <t xml:space="preserve">Note</t>
  </si>
  <si>
    <t xml:space="preserve">Already on their own list of asks.</t>
  </si>
  <si>
    <t xml:space="preserve">Held back: an exclusivity right is worth more than its price.</t>
  </si>
  <si>
    <t xml:space="preserve">Total conceded, per unit</t>
  </si>
  <si>
    <t xml:space="preserve">Asks you need in return (1 = required)</t>
  </si>
  <si>
    <t xml:space="preserve">Require?</t>
  </si>
  <si>
    <t xml:space="preserve">Whatever the index does, it does to bo</t>
  </si>
  <si>
    <t xml:space="preserve">A threshold above our own low case is </t>
  </si>
  <si>
    <t xml:space="preserve">We carry the currency or you do. One o</t>
  </si>
  <si>
    <t xml:space="preserve">Total required, per unit</t>
  </si>
  <si>
    <t xml:space="preserve">The verdict</t>
  </si>
  <si>
    <t xml:space="preserve">Net of the trade, per unit, against your own opening list</t>
  </si>
  <si>
    <t xml:space="preserve">Net of the trade, over the term</t>
  </si>
  <si>
    <t xml:space="preserve">Gap the asks must close, per unit: the paper's net position against the alternative</t>
  </si>
  <si>
    <t xml:space="preserve">Does what you receive close it?</t>
  </si>
  <si>
    <t xml:space="preserve">The concessions cost nothing against the draft: they are its own terms. They are what you give up against your opening list, and what buys the asks. The margin is additive; Chapter 17, with the interactions, finds +21,104 over the term.</t>
  </si>
  <si>
    <t xml:space="preserve">A concession that is cheap to the giver and valuable to the receiver is the only kind worth making.</t>
  </si>
  <si>
    <t xml:space="preserve">Checks</t>
  </si>
  <si>
    <t xml:space="preserve">This brief must agree with the ledger printed in Chapter 18.</t>
  </si>
  <si>
    <t xml:space="preserve">Figure</t>
  </si>
  <si>
    <t xml:space="preserve">Live formula</t>
  </si>
  <si>
    <t xml:space="preserve">As published</t>
  </si>
  <si>
    <t xml:space="preserve">Variance</t>
  </si>
  <si>
    <t xml:space="preserve">Status</t>
  </si>
  <si>
    <t xml:space="preserve">Top three, per unit</t>
  </si>
  <si>
    <t xml:space="preserve">Bottom five, per unit</t>
  </si>
  <si>
    <t xml:space="preserve">The trade: given, per unit</t>
  </si>
  <si>
    <t xml:space="preserve">Ratio, top three to last two</t>
  </si>
  <si>
    <t xml:space="preserve">Indexation cap, worth over the term</t>
  </si>
  <si>
    <t xml:space="preserve">Indexation cap, per unit</t>
  </si>
  <si>
    <t xml:space="preserve">Volume band, per unit</t>
  </si>
  <si>
    <t xml:space="preserve">Currency, per unit</t>
  </si>
  <si>
    <t xml:space="preserve">Payment terms, per unit</t>
  </si>
  <si>
    <t xml:space="preserve">Asks needed to clear the net position</t>
  </si>
  <si>
    <t xml:space="preserve">Trade Planner: given</t>
  </si>
  <si>
    <t xml:space="preserve">Trade Planner: received</t>
  </si>
  <si>
    <t xml:space="preserve">Trade Planner: net</t>
  </si>
  <si>
    <t xml:space="preserve">Ledger: package worth per unit</t>
  </si>
  <si>
    <t xml:space="preserve">Trade Planner: gap the asks must close, per unit</t>
  </si>
  <si>
    <t xml:space="preserve">Trade Planner: the three asks close it (1 = yes)</t>
  </si>
  <si>
    <t xml:space="preserve">revised: the first version said "keep asking"</t>
  </si>
  <si>
    <t xml:space="preserve">Trade Planner: margin, per unit</t>
  </si>
  <si>
    <t xml:space="preserve">additive; Chapter 17 finds +21,104 with the interactions</t>
  </si>
  <si>
    <t xml:space="preserve">Ledger: asks entered in descending order (1 = yes)</t>
  </si>
  <si>
    <t xml:space="preserve">holds for any inputs</t>
  </si>
  <si>
    <t xml:space="preserve">Ledger: clause cost per unit, the seven after indexation</t>
  </si>
  <si>
    <t xml:space="preserve">ties the brief to the ledger</t>
  </si>
  <si>
    <t xml:space="preserve">Checks passing</t>
  </si>
  <si>
    <t xml:space="preserve">All checks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</si>
</sst>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#,##0.0000"/>
    <numFmt numFmtId="167" formatCode="0.00%"/>
    <numFmt numFmtId="168" formatCode="#,##0"/>
    <numFmt numFmtId="169" formatCode="0.00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8EDF5"/>
        <bgColor rgb="FFFFF2CC"/>
      </patternFill>
    </fill>
    <fill>
      <patternFill patternType="solid">
        <fgColor rgb="FF1F3864"/>
        <bgColor rgb="FF333333"/>
      </patternFill>
    </fill>
    <fill>
      <patternFill patternType="solid">
        <fgColor rgb="FFFFF2CC"/>
        <bgColor rgb="FFE8ED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8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62"/>
    <col collapsed="false" customWidth="true" hidden="false" outlineLevel="0" max="4" min="3" style="1" width="18"/>
    <col collapsed="false" customWidth="true" hidden="false" outlineLevel="0" max="5" min="5" style="1" width="64"/>
  </cols>
  <sheetData>
    <row r="2" customFormat="false" ht="15.7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6" customFormat="false" ht="15" hidden="false" customHeight="true" outlineLevel="0" collapsed="false">
      <c r="B6" s="4" t="s">
        <v>2</v>
      </c>
      <c r="C6" s="5"/>
      <c r="D6" s="5"/>
      <c r="E6" s="5"/>
      <c r="F6" s="5"/>
      <c r="G6" s="5"/>
    </row>
    <row r="7" customFormat="false" ht="15" hidden="false" customHeight="true" outlineLevel="0" collapsed="false">
      <c r="B7" s="6" t="s">
        <v>3</v>
      </c>
      <c r="C7" s="7" t="n">
        <v>104</v>
      </c>
    </row>
    <row r="8" customFormat="false" ht="15" hidden="false" customHeight="true" outlineLevel="0" collapsed="false">
      <c r="B8" s="6" t="s">
        <v>4</v>
      </c>
      <c r="C8" s="8" t="n">
        <f aca="false">ROUND(C7-C10,4)</f>
        <v>94.1947</v>
      </c>
    </row>
    <row r="9" customFormat="false" ht="15" hidden="false" customHeight="true" outlineLevel="0" collapsed="false">
      <c r="B9" s="3" t="s">
        <v>5</v>
      </c>
    </row>
    <row r="10" customFormat="false" ht="15" hidden="false" customHeight="true" outlineLevel="0" collapsed="false">
      <c r="B10" s="9" t="s">
        <v>6</v>
      </c>
      <c r="C10" s="10" t="n">
        <v>9.8053</v>
      </c>
    </row>
    <row r="11" customFormat="false" ht="15" hidden="false" customHeight="true" outlineLevel="0" collapsed="false">
      <c r="B11" s="9" t="s">
        <v>7</v>
      </c>
      <c r="C11" s="11" t="n">
        <f aca="false">ROUND(C10/C7,4)</f>
        <v>0.0943</v>
      </c>
    </row>
    <row r="13" customFormat="false" ht="15" hidden="false" customHeight="true" outlineLevel="0" collapsed="false">
      <c r="B13" s="4" t="s">
        <v>8</v>
      </c>
      <c r="C13" s="5"/>
      <c r="D13" s="5"/>
      <c r="E13" s="5"/>
      <c r="F13" s="5"/>
      <c r="G13" s="5"/>
    </row>
    <row r="14" customFormat="false" ht="15" hidden="false" customHeight="true" outlineLevel="0" collapsed="false">
      <c r="B14" s="12" t="s">
        <v>9</v>
      </c>
      <c r="C14" s="12" t="s">
        <v>10</v>
      </c>
      <c r="D14" s="12" t="s">
        <v>11</v>
      </c>
      <c r="E14" s="12" t="s">
        <v>12</v>
      </c>
    </row>
    <row r="15" customFormat="false" ht="15" hidden="false" customHeight="true" outlineLevel="0" collapsed="false">
      <c r="B15" s="13" t="str">
        <f aca="false">Ledger!B12</f>
        <v>Indexation capped at 3 per cent</v>
      </c>
      <c r="C15" s="14" t="n">
        <f aca="false">Ledger!D12</f>
        <v>3.3708</v>
      </c>
      <c r="D15" s="15" t="n">
        <f aca="false">Ledger!C12</f>
        <v>538309.17</v>
      </c>
      <c r="E15" s="16" t="s">
        <v>13</v>
      </c>
    </row>
    <row r="16" customFormat="false" ht="15" hidden="false" customHeight="true" outlineLevel="0" collapsed="false">
      <c r="B16" s="13" t="str">
        <f aca="false">Ledger!B13</f>
        <v>Volume band removed, or the threshold set below the low case</v>
      </c>
      <c r="C16" s="14" t="n">
        <f aca="false">Ledger!D13</f>
        <v>3.2202</v>
      </c>
      <c r="D16" s="15" t="n">
        <f aca="false">Ledger!C13</f>
        <v>514263.68</v>
      </c>
      <c r="E16" s="16" t="s">
        <v>14</v>
      </c>
    </row>
    <row r="17" customFormat="false" ht="15" hidden="false" customHeight="true" outlineLevel="0" collapsed="false">
      <c r="B17" s="13" t="str">
        <f aca="false">Ledger!B14</f>
        <v>Price denominated in the buyer's currency</v>
      </c>
      <c r="C17" s="14" t="n">
        <f aca="false">Ledger!D14</f>
        <v>2.8544</v>
      </c>
      <c r="D17" s="15" t="n">
        <f aca="false">Ledger!C14</f>
        <v>455844.71</v>
      </c>
      <c r="E17" s="16" t="s">
        <v>15</v>
      </c>
    </row>
    <row r="18" customFormat="false" ht="15" hidden="false" customHeight="true" outlineLevel="0" collapsed="false">
      <c r="B18" s="6" t="s">
        <v>16</v>
      </c>
      <c r="C18" s="8" t="n">
        <f aca="false">ROUND(SUM(C15:C17),4)</f>
        <v>9.4454</v>
      </c>
    </row>
    <row r="20" customFormat="false" ht="15" hidden="false" customHeight="true" outlineLevel="0" collapsed="false">
      <c r="B20" s="4" t="s">
        <v>17</v>
      </c>
      <c r="C20" s="5"/>
      <c r="D20" s="5"/>
      <c r="E20" s="5"/>
      <c r="F20" s="5"/>
      <c r="G20" s="5"/>
    </row>
    <row r="21" customFormat="false" ht="15" hidden="false" customHeight="true" outlineLevel="0" collapsed="false">
      <c r="B21" s="12" t="s">
        <v>18</v>
      </c>
      <c r="C21" s="12" t="s">
        <v>10</v>
      </c>
      <c r="D21" s="12" t="s">
        <v>11</v>
      </c>
      <c r="E21" s="12" t="s">
        <v>19</v>
      </c>
    </row>
    <row r="22" customFormat="false" ht="15" hidden="false" customHeight="true" outlineLevel="0" collapsed="false">
      <c r="B22" s="17" t="str">
        <f aca="false">Ledger!B15</f>
        <v>Warranty of 24 months from delivery</v>
      </c>
      <c r="C22" s="18" t="n">
        <f aca="false">Ledger!D15</f>
        <v>1.2335</v>
      </c>
      <c r="D22" s="15" t="n">
        <f aca="false">Ledger!C15</f>
        <v>196996.34</v>
      </c>
      <c r="E22" s="16" t="s">
        <v>20</v>
      </c>
    </row>
    <row r="23" customFormat="false" ht="15" hidden="false" customHeight="true" outlineLevel="0" collapsed="false">
      <c r="B23" s="17" t="str">
        <f aca="false">Ledger!B16</f>
        <v>Change control at cost plus 12 per cent</v>
      </c>
      <c r="C23" s="18" t="n">
        <f aca="false">Ledger!D16</f>
        <v>1.1793</v>
      </c>
      <c r="D23" s="15" t="n">
        <f aca="false">Ledger!C16</f>
        <v>188340</v>
      </c>
      <c r="E23" s="16" t="s">
        <v>21</v>
      </c>
    </row>
    <row r="24" customFormat="false" ht="15" hidden="false" customHeight="true" outlineLevel="0" collapsed="false">
      <c r="B24" s="17" t="str">
        <f aca="false">Ledger!B17</f>
        <v>Force majeure with a four-week alternative sourcing trigger</v>
      </c>
      <c r="C24" s="18" t="n">
        <f aca="false">Ledger!D17</f>
        <v>0.5217</v>
      </c>
      <c r="D24" s="15" t="n">
        <f aca="false">Ledger!C17</f>
        <v>83309.93</v>
      </c>
      <c r="E24" s="16" t="s">
        <v>22</v>
      </c>
    </row>
    <row r="25" customFormat="false" ht="15" hidden="false" customHeight="true" outlineLevel="0" collapsed="false">
      <c r="B25" s="17" t="str">
        <f aca="false">Ledger!B18</f>
        <v>Liquidated damages capped at 10 per cent of the affected order</v>
      </c>
      <c r="C25" s="18" t="n">
        <f aca="false">Ledger!D18</f>
        <v>0.508</v>
      </c>
      <c r="D25" s="15" t="n">
        <f aca="false">Ledger!C18</f>
        <v>81120</v>
      </c>
      <c r="E25" s="16" t="s">
        <v>23</v>
      </c>
    </row>
    <row r="26" customFormat="false" ht="15" hidden="false" customHeight="true" outlineLevel="0" collapsed="false">
      <c r="B26" s="17" t="str">
        <f aca="false">Ledger!B19</f>
        <v>Payment terms of 60 days</v>
      </c>
      <c r="C26" s="18" t="n">
        <f aca="false">Ledger!D19</f>
        <v>0.2882</v>
      </c>
      <c r="D26" s="15" t="n">
        <f aca="false">Ledger!C19</f>
        <v>46031.82</v>
      </c>
      <c r="E26" s="16" t="s">
        <v>24</v>
      </c>
    </row>
    <row r="27" customFormat="false" ht="15" hidden="false" customHeight="true" outlineLevel="0" collapsed="false">
      <c r="B27" s="6" t="s">
        <v>25</v>
      </c>
      <c r="C27" s="8" t="n">
        <f aca="false">ROUND(SUM(C22:C26),4)</f>
        <v>3.7307</v>
      </c>
    </row>
    <row r="28" customFormat="false" ht="15" hidden="false" customHeight="true" outlineLevel="0" collapsed="false">
      <c r="B28" s="6" t="s">
        <v>26</v>
      </c>
      <c r="C28" s="8" t="n">
        <f aca="false">ROUND(C22+C23+C25+C26,4)</f>
        <v>3.209</v>
      </c>
    </row>
    <row r="29" customFormat="false" ht="15" hidden="false" customHeight="true" outlineLevel="0" collapsed="false">
      <c r="B29" s="3" t="s">
        <v>27</v>
      </c>
    </row>
    <row r="30" customFormat="false" ht="15" hidden="false" customHeight="true" outlineLevel="0" collapsed="false">
      <c r="B30" s="3" t="s">
        <v>28</v>
      </c>
    </row>
    <row r="32" customFormat="false" ht="15" hidden="false" customHeight="true" outlineLevel="0" collapsed="false">
      <c r="B32" s="4" t="s">
        <v>29</v>
      </c>
      <c r="C32" s="5"/>
      <c r="D32" s="5"/>
      <c r="E32" s="5"/>
      <c r="F32" s="5"/>
      <c r="G32" s="5"/>
    </row>
    <row r="33" customFormat="false" ht="15" hidden="false" customHeight="true" outlineLevel="0" collapsed="false">
      <c r="B33" s="9" t="s">
        <v>30</v>
      </c>
      <c r="C33" s="19" t="n">
        <v>109.5</v>
      </c>
    </row>
    <row r="34" customFormat="false" ht="15" hidden="false" customHeight="true" outlineLevel="0" collapsed="false">
      <c r="B34" s="9" t="s">
        <v>31</v>
      </c>
      <c r="C34" s="18" t="n">
        <f aca="false">C10</f>
        <v>9.8053</v>
      </c>
    </row>
    <row r="35" customFormat="false" ht="15" hidden="false" customHeight="true" outlineLevel="0" collapsed="false">
      <c r="B35" s="3" t="s">
        <v>32</v>
      </c>
    </row>
    <row r="36" customFormat="false" ht="15" hidden="false" customHeight="true" outlineLevel="0" collapsed="false">
      <c r="B36" s="9" t="s">
        <v>33</v>
      </c>
      <c r="C36" s="18" t="n">
        <f aca="false">ROUND(C18/(C25+C26),4)</f>
        <v>11.8631</v>
      </c>
    </row>
    <row r="37" customFormat="false" ht="15" hidden="false" customHeight="true" outlineLevel="0" collapsed="false">
      <c r="B37" s="3" t="s">
        <v>34</v>
      </c>
    </row>
    <row r="38" customFormat="false" ht="30" hidden="false" customHeight="true" outlineLevel="0" collapsed="false">
      <c r="B38" s="20" t="s">
        <v>35</v>
      </c>
      <c r="C38" s="20"/>
      <c r="D38" s="20"/>
      <c r="E38" s="20"/>
      <c r="F38" s="20"/>
      <c r="G38" s="20"/>
    </row>
    <row r="39" customFormat="false" ht="15" hidden="false" customHeight="false" outlineLevel="0" collapsed="false">
      <c r="B39" s="20"/>
      <c r="C39" s="20"/>
      <c r="D39" s="20"/>
      <c r="E39" s="20"/>
      <c r="F39" s="20"/>
      <c r="G39" s="20"/>
    </row>
    <row r="40" customFormat="false" ht="15" hidden="false" customHeight="false" outlineLevel="0" collapsed="false">
      <c r="B40" s="20"/>
      <c r="C40" s="20"/>
      <c r="D40" s="20"/>
      <c r="E40" s="20"/>
      <c r="F40" s="20"/>
      <c r="G40" s="20"/>
    </row>
  </sheetData>
  <mergeCells count="1">
    <mergeCell ref="B38:G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62"/>
    <col collapsed="false" customWidth="true" hidden="false" outlineLevel="0" max="3" min="3" style="1" width="96"/>
    <col collapsed="false" customWidth="true" hidden="false" outlineLevel="0" max="4" min="4" style="1" width="18"/>
    <col collapsed="false" customWidth="true" hidden="false" outlineLevel="0" max="5" min="5" style="1" width="16"/>
    <col collapsed="false" customWidth="true" hidden="false" outlineLevel="0" max="6" min="6" style="1" width="20"/>
    <col collapsed="false" customWidth="true" hidden="false" outlineLevel="0" max="7" min="7" style="1" width="18"/>
  </cols>
  <sheetData>
    <row r="2" customFormat="false" ht="15.75" hidden="false" customHeight="true" outlineLevel="0" collapsed="false">
      <c r="B2" s="2" t="s">
        <v>36</v>
      </c>
    </row>
    <row r="3" customFormat="false" ht="15" hidden="false" customHeight="true" outlineLevel="0" collapsed="false">
      <c r="B3" s="3" t="s">
        <v>37</v>
      </c>
    </row>
    <row r="6" customFormat="false" ht="15" hidden="false" customHeight="true" outlineLevel="0" collapsed="false">
      <c r="B6" s="4" t="s">
        <v>38</v>
      </c>
      <c r="C6" s="5"/>
      <c r="D6" s="5"/>
      <c r="E6" s="5"/>
      <c r="F6" s="5"/>
      <c r="G6" s="5"/>
    </row>
    <row r="7" customFormat="false" ht="15" hidden="false" customHeight="true" outlineLevel="0" collapsed="false">
      <c r="B7" s="9" t="s">
        <v>39</v>
      </c>
      <c r="C7" s="21" t="n">
        <v>1478602.44</v>
      </c>
    </row>
    <row r="8" customFormat="false" ht="15" hidden="false" customHeight="true" outlineLevel="0" collapsed="false">
      <c r="B8" s="3" t="s">
        <v>40</v>
      </c>
    </row>
    <row r="9" customFormat="false" ht="15" hidden="false" customHeight="false" outlineLevel="0" collapsed="false">
      <c r="B9" s="22" t="s">
        <v>41</v>
      </c>
      <c r="C9" s="23" t="n">
        <v>159700</v>
      </c>
    </row>
    <row r="10" customFormat="false" ht="15" hidden="false" customHeight="true" outlineLevel="0" collapsed="false">
      <c r="B10" s="4" t="s">
        <v>42</v>
      </c>
      <c r="C10" s="5"/>
      <c r="D10" s="5"/>
      <c r="E10" s="5"/>
      <c r="F10" s="5"/>
      <c r="G10" s="5"/>
    </row>
    <row r="11" customFormat="false" ht="15" hidden="false" customHeight="true" outlineLevel="0" collapsed="false">
      <c r="B11" s="12" t="s">
        <v>9</v>
      </c>
      <c r="C11" s="12" t="s">
        <v>43</v>
      </c>
      <c r="D11" s="12" t="s">
        <v>10</v>
      </c>
      <c r="E11" s="12" t="s">
        <v>44</v>
      </c>
      <c r="F11" s="12" t="s">
        <v>45</v>
      </c>
      <c r="G11" s="12" t="s">
        <v>46</v>
      </c>
    </row>
    <row r="12" customFormat="false" ht="15" hidden="false" customHeight="true" outlineLevel="0" collapsed="false">
      <c r="B12" s="17" t="s">
        <v>47</v>
      </c>
      <c r="C12" s="19" t="n">
        <v>538309.17</v>
      </c>
      <c r="D12" s="18" t="n">
        <f aca="false">ROUND(C12/$C$9,4)</f>
        <v>3.3708</v>
      </c>
      <c r="E12" s="24" t="n">
        <v>1</v>
      </c>
      <c r="F12" s="15" t="n">
        <f aca="false">ROUND(SUM($C$12:C12),2)</f>
        <v>538309.17</v>
      </c>
      <c r="G12" s="17" t="str">
        <f aca="false">IF(ROUND(SUM($C$12:C12),2)-C12&lt;$C$7,"must have",IF(1=8,"give away","trade"))</f>
        <v>must have</v>
      </c>
    </row>
    <row r="13" customFormat="false" ht="15" hidden="false" customHeight="true" outlineLevel="0" collapsed="false">
      <c r="B13" s="17" t="s">
        <v>48</v>
      </c>
      <c r="C13" s="19" t="n">
        <v>514263.68</v>
      </c>
      <c r="D13" s="18" t="n">
        <f aca="false">ROUND(C13/$C$9,4)</f>
        <v>3.2202</v>
      </c>
      <c r="E13" s="24" t="n">
        <v>2</v>
      </c>
      <c r="F13" s="15" t="n">
        <f aca="false">ROUND(SUM($C$12:C13),2)</f>
        <v>1052572.85</v>
      </c>
      <c r="G13" s="17" t="str">
        <f aca="false">IF(ROUND(SUM($C$12:C13),2)-C13&lt;$C$7,"must have",IF(2=8,"give away","trade"))</f>
        <v>must have</v>
      </c>
    </row>
    <row r="14" customFormat="false" ht="15" hidden="false" customHeight="true" outlineLevel="0" collapsed="false">
      <c r="B14" s="17" t="s">
        <v>49</v>
      </c>
      <c r="C14" s="19" t="n">
        <v>455844.71</v>
      </c>
      <c r="D14" s="18" t="n">
        <f aca="false">ROUND(C14/$C$9,4)</f>
        <v>2.8544</v>
      </c>
      <c r="E14" s="24" t="n">
        <v>3</v>
      </c>
      <c r="F14" s="15" t="n">
        <f aca="false">ROUND(SUM($C$12:C14),2)</f>
        <v>1508417.56</v>
      </c>
      <c r="G14" s="17" t="str">
        <f aca="false">IF(ROUND(SUM($C$12:C14),2)-C14&lt;$C$7,"must have",IF(3=8,"give away","trade"))</f>
        <v>must have</v>
      </c>
    </row>
    <row r="15" customFormat="false" ht="15" hidden="false" customHeight="true" outlineLevel="0" collapsed="false">
      <c r="B15" s="17" t="s">
        <v>50</v>
      </c>
      <c r="C15" s="19" t="n">
        <v>196996.34</v>
      </c>
      <c r="D15" s="18" t="n">
        <f aca="false">ROUND(C15/$C$9,4)</f>
        <v>1.2335</v>
      </c>
      <c r="E15" s="24" t="n">
        <v>4</v>
      </c>
      <c r="F15" s="15" t="n">
        <f aca="false">ROUND(SUM($C$12:C15),2)</f>
        <v>1705413.9</v>
      </c>
      <c r="G15" s="17" t="str">
        <f aca="false">IF(ROUND(SUM($C$12:C15),2)-C15&lt;$C$7,"must have",IF(4=8,"give away","trade"))</f>
        <v>trade</v>
      </c>
    </row>
    <row r="16" customFormat="false" ht="15" hidden="false" customHeight="true" outlineLevel="0" collapsed="false">
      <c r="B16" s="17" t="s">
        <v>51</v>
      </c>
      <c r="C16" s="19" t="n">
        <v>188340</v>
      </c>
      <c r="D16" s="18" t="n">
        <f aca="false">ROUND(C16/$C$9,4)</f>
        <v>1.1793</v>
      </c>
      <c r="E16" s="24" t="n">
        <v>5</v>
      </c>
      <c r="F16" s="15" t="n">
        <f aca="false">ROUND(SUM($C$12:C16),2)</f>
        <v>1893753.9</v>
      </c>
      <c r="G16" s="17" t="str">
        <f aca="false">IF(ROUND(SUM($C$12:C16),2)-C16&lt;$C$7,"must have",IF(5=8,"give away","trade"))</f>
        <v>trade</v>
      </c>
    </row>
    <row r="17" customFormat="false" ht="15" hidden="false" customHeight="true" outlineLevel="0" collapsed="false">
      <c r="B17" s="17" t="s">
        <v>52</v>
      </c>
      <c r="C17" s="19" t="n">
        <v>83309.93</v>
      </c>
      <c r="D17" s="18" t="n">
        <f aca="false">ROUND(C17/$C$9,4)</f>
        <v>0.5217</v>
      </c>
      <c r="E17" s="24" t="n">
        <v>6</v>
      </c>
      <c r="F17" s="15" t="n">
        <f aca="false">ROUND(SUM($C$12:C17),2)</f>
        <v>1977063.83</v>
      </c>
      <c r="G17" s="17" t="str">
        <f aca="false">IF(ROUND(SUM($C$12:C17),2)-C17&lt;$C$7,"must have",IF(6=8,"give away","trade"))</f>
        <v>trade</v>
      </c>
    </row>
    <row r="18" customFormat="false" ht="15" hidden="false" customHeight="true" outlineLevel="0" collapsed="false">
      <c r="B18" s="17" t="s">
        <v>53</v>
      </c>
      <c r="C18" s="19" t="n">
        <v>81120</v>
      </c>
      <c r="D18" s="18" t="n">
        <f aca="false">ROUND(C18/$C$9,4)</f>
        <v>0.508</v>
      </c>
      <c r="E18" s="24" t="n">
        <v>7</v>
      </c>
      <c r="F18" s="15" t="n">
        <f aca="false">ROUND(SUM($C$12:C18),2)</f>
        <v>2058183.83</v>
      </c>
      <c r="G18" s="17" t="str">
        <f aca="false">IF(ROUND(SUM($C$12:C18),2)-C18&lt;$C$7,"must have",IF(7=8,"give away","trade"))</f>
        <v>trade</v>
      </c>
    </row>
    <row r="19" customFormat="false" ht="15" hidden="false" customHeight="true" outlineLevel="0" collapsed="false">
      <c r="B19" s="17" t="s">
        <v>54</v>
      </c>
      <c r="C19" s="19" t="n">
        <v>46031.82</v>
      </c>
      <c r="D19" s="18" t="n">
        <f aca="false">ROUND(C19/$C$9,4)</f>
        <v>0.2882</v>
      </c>
      <c r="E19" s="24" t="n">
        <v>8</v>
      </c>
      <c r="F19" s="15" t="n">
        <f aca="false">ROUND(SUM($C$12:C19),2)</f>
        <v>2104215.65</v>
      </c>
      <c r="G19" s="17" t="str">
        <f aca="false">IF(ROUND(SUM($C$12:C19),2)-C19&lt;$C$7,"must have",IF(8=8,"give away","trade"))</f>
        <v>give away</v>
      </c>
    </row>
    <row r="20" customFormat="false" ht="15" hidden="false" customHeight="true" outlineLevel="0" collapsed="false">
      <c r="B20" s="6" t="s">
        <v>55</v>
      </c>
      <c r="C20" s="25" t="n">
        <f aca="false">MATCH(TRUE(),INDEX(F12:F19&gt;=$C$7,0),0)</f>
        <v>3</v>
      </c>
    </row>
    <row r="21" customFormat="false" ht="15" hidden="false" customHeight="true" outlineLevel="0" collapsed="false">
      <c r="B21" s="6" t="s">
        <v>56</v>
      </c>
      <c r="C21" s="26" t="n">
        <f aca="false">INDEX(F12:F19,$C$20)</f>
        <v>1508417.56</v>
      </c>
    </row>
    <row r="22" customFormat="false" ht="15" hidden="false" customHeight="true" outlineLevel="0" collapsed="false">
      <c r="B22" s="6" t="s">
        <v>57</v>
      </c>
      <c r="C22" s="8" t="n">
        <f aca="true">ROUND(SUM(OFFSET($D$12,0,0,$C$20,1)),4)</f>
        <v>9.4454</v>
      </c>
    </row>
    <row r="23" customFormat="false" ht="15" hidden="false" customHeight="true" outlineLevel="0" collapsed="false">
      <c r="B23" s="3" t="s">
        <v>58</v>
      </c>
    </row>
    <row r="24" customFormat="false" ht="15" hidden="false" customHeight="false" outlineLevel="0" collapsed="false">
      <c r="B24" s="27" t="s">
        <v>59</v>
      </c>
    </row>
    <row r="25" customFormat="false" ht="15" hidden="false" customHeight="true" outlineLevel="0" collapsed="false">
      <c r="B25" s="4" t="s">
        <v>60</v>
      </c>
      <c r="C25" s="5"/>
      <c r="D25" s="5"/>
      <c r="E25" s="5"/>
      <c r="F25" s="5"/>
      <c r="G25" s="5"/>
    </row>
    <row r="26" customFormat="false" ht="15" hidden="false" customHeight="true" outlineLevel="0" collapsed="false">
      <c r="B26" s="12" t="s">
        <v>9</v>
      </c>
      <c r="C26" s="12" t="s">
        <v>61</v>
      </c>
    </row>
    <row r="27" customFormat="false" ht="15" hidden="false" customHeight="true" outlineLevel="0" collapsed="false">
      <c r="B27" s="17" t="s">
        <v>47</v>
      </c>
      <c r="C27" s="16" t="s">
        <v>62</v>
      </c>
    </row>
    <row r="28" customFormat="false" ht="15" hidden="false" customHeight="true" outlineLevel="0" collapsed="false">
      <c r="B28" s="17" t="s">
        <v>48</v>
      </c>
      <c r="C28" s="16" t="s">
        <v>63</v>
      </c>
    </row>
    <row r="29" customFormat="false" ht="15" hidden="false" customHeight="true" outlineLevel="0" collapsed="false">
      <c r="B29" s="17" t="s">
        <v>49</v>
      </c>
      <c r="C29" s="16" t="s">
        <v>64</v>
      </c>
    </row>
    <row r="30" customFormat="false" ht="15" hidden="false" customHeight="true" outlineLevel="0" collapsed="false">
      <c r="B30" s="17" t="s">
        <v>50</v>
      </c>
      <c r="C30" s="16" t="s">
        <v>65</v>
      </c>
    </row>
    <row r="31" customFormat="false" ht="15" hidden="false" customHeight="true" outlineLevel="0" collapsed="false">
      <c r="B31" s="17" t="s">
        <v>51</v>
      </c>
      <c r="C31" s="16" t="s">
        <v>66</v>
      </c>
    </row>
    <row r="32" customFormat="false" ht="15" hidden="false" customHeight="true" outlineLevel="0" collapsed="false">
      <c r="B32" s="17" t="s">
        <v>52</v>
      </c>
      <c r="C32" s="16" t="s">
        <v>67</v>
      </c>
    </row>
    <row r="33" customFormat="false" ht="15" hidden="false" customHeight="true" outlineLevel="0" collapsed="false">
      <c r="B33" s="17" t="s">
        <v>53</v>
      </c>
      <c r="C33" s="16" t="s">
        <v>68</v>
      </c>
    </row>
    <row r="34" customFormat="false" ht="15" hidden="false" customHeight="true" outlineLevel="0" collapsed="false">
      <c r="B34" s="17" t="s">
        <v>54</v>
      </c>
      <c r="C34" s="16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62"/>
    <col collapsed="false" customWidth="true" hidden="false" outlineLevel="0" max="3" min="3" style="1" width="14"/>
    <col collapsed="false" customWidth="true" hidden="false" outlineLevel="0" max="5" min="4" style="1" width="18"/>
    <col collapsed="false" customWidth="true" hidden="false" outlineLevel="0" max="6" min="6" style="1" width="40"/>
  </cols>
  <sheetData>
    <row r="2" customFormat="false" ht="15.75" hidden="false" customHeight="true" outlineLevel="0" collapsed="false">
      <c r="B2" s="2" t="s">
        <v>70</v>
      </c>
    </row>
    <row r="3" customFormat="false" ht="15" hidden="false" customHeight="true" outlineLevel="0" collapsed="false">
      <c r="B3" s="3" t="s">
        <v>71</v>
      </c>
    </row>
    <row r="6" customFormat="false" ht="15" hidden="false" customHeight="true" outlineLevel="0" collapsed="false">
      <c r="B6" s="4" t="s">
        <v>72</v>
      </c>
      <c r="C6" s="5"/>
      <c r="D6" s="5"/>
      <c r="E6" s="5"/>
      <c r="F6" s="5"/>
      <c r="G6" s="5"/>
    </row>
    <row r="7" customFormat="false" ht="15" hidden="false" customHeight="true" outlineLevel="0" collapsed="false">
      <c r="B7" s="12" t="s">
        <v>18</v>
      </c>
      <c r="C7" s="12" t="s">
        <v>73</v>
      </c>
      <c r="D7" s="12" t="s">
        <v>10</v>
      </c>
      <c r="E7" s="12" t="s">
        <v>74</v>
      </c>
      <c r="F7" s="12" t="s">
        <v>75</v>
      </c>
    </row>
    <row r="8" customFormat="false" ht="15" hidden="false" customHeight="true" outlineLevel="0" collapsed="false">
      <c r="B8" s="17" t="str">
        <f aca="false">Ledger!B15</f>
        <v>Warranty of 24 months from delivery</v>
      </c>
      <c r="C8" s="28" t="n">
        <v>1</v>
      </c>
      <c r="D8" s="18" t="n">
        <f aca="false">Ledger!D15</f>
        <v>1.2335</v>
      </c>
      <c r="E8" s="18" t="n">
        <f aca="false">ROUND(SUMPRODUCT($C$8:C8,$D$8:D8),4)</f>
        <v>1.2335</v>
      </c>
      <c r="F8" s="16" t="s">
        <v>76</v>
      </c>
    </row>
    <row r="9" customFormat="false" ht="15" hidden="false" customHeight="true" outlineLevel="0" collapsed="false">
      <c r="B9" s="17" t="str">
        <f aca="false">Ledger!B16</f>
        <v>Change control at cost plus 12 per cent</v>
      </c>
      <c r="C9" s="28" t="n">
        <v>1</v>
      </c>
      <c r="D9" s="18" t="n">
        <f aca="false">Ledger!D16</f>
        <v>1.1793</v>
      </c>
      <c r="E9" s="18" t="n">
        <f aca="false">ROUND(SUMPRODUCT($C$8:C9,$D$8:D9),4)</f>
        <v>2.4128</v>
      </c>
      <c r="F9" s="16" t="s">
        <v>76</v>
      </c>
    </row>
    <row r="10" customFormat="false" ht="15" hidden="false" customHeight="true" outlineLevel="0" collapsed="false">
      <c r="B10" s="17" t="str">
        <f aca="false">Ledger!B17</f>
        <v>Force majeure with a four-week alternative sourcing trigger</v>
      </c>
      <c r="C10" s="28" t="n">
        <v>0</v>
      </c>
      <c r="D10" s="18" t="n">
        <f aca="false">Ledger!D17</f>
        <v>0.5217</v>
      </c>
      <c r="E10" s="18" t="n">
        <f aca="false">ROUND(SUMPRODUCT($C$8:C10,$D$8:D10),4)</f>
        <v>2.4128</v>
      </c>
      <c r="F10" s="16" t="s">
        <v>77</v>
      </c>
    </row>
    <row r="11" customFormat="false" ht="15" hidden="false" customHeight="true" outlineLevel="0" collapsed="false">
      <c r="B11" s="17" t="str">
        <f aca="false">Ledger!B18</f>
        <v>Liquidated damages capped at 10 per cent of the affected order</v>
      </c>
      <c r="C11" s="28" t="n">
        <v>1</v>
      </c>
      <c r="D11" s="18" t="n">
        <f aca="false">Ledger!D18</f>
        <v>0.508</v>
      </c>
      <c r="E11" s="18" t="n">
        <f aca="false">ROUND(SUMPRODUCT($C$8:C11,$D$8:D11),4)</f>
        <v>2.9208</v>
      </c>
      <c r="F11" s="16" t="s">
        <v>76</v>
      </c>
    </row>
    <row r="12" customFormat="false" ht="15" hidden="false" customHeight="true" outlineLevel="0" collapsed="false">
      <c r="B12" s="17" t="str">
        <f aca="false">Ledger!B19</f>
        <v>Payment terms of 60 days</v>
      </c>
      <c r="C12" s="28" t="n">
        <v>1</v>
      </c>
      <c r="D12" s="18" t="n">
        <f aca="false">Ledger!D19</f>
        <v>0.2882</v>
      </c>
      <c r="E12" s="18" t="n">
        <f aca="false">ROUND(SUMPRODUCT($C$8:C12,$D$8:D12),4)</f>
        <v>3.209</v>
      </c>
      <c r="F12" s="16" t="s">
        <v>76</v>
      </c>
    </row>
    <row r="13" customFormat="false" ht="15" hidden="false" customHeight="true" outlineLevel="0" collapsed="false">
      <c r="B13" s="6" t="s">
        <v>78</v>
      </c>
      <c r="C13" s="8" t="n">
        <f aca="false">ROUND(SUMPRODUCT(C8:C12,D8:D12),4)</f>
        <v>3.209</v>
      </c>
    </row>
    <row r="15" customFormat="false" ht="15" hidden="false" customHeight="true" outlineLevel="0" collapsed="false">
      <c r="B15" s="4" t="s">
        <v>79</v>
      </c>
      <c r="C15" s="5"/>
      <c r="D15" s="5"/>
      <c r="E15" s="5"/>
      <c r="F15" s="5"/>
      <c r="G15" s="5"/>
    </row>
    <row r="16" customFormat="false" ht="15" hidden="false" customHeight="true" outlineLevel="0" collapsed="false">
      <c r="B16" s="12" t="s">
        <v>9</v>
      </c>
      <c r="C16" s="12" t="s">
        <v>80</v>
      </c>
      <c r="D16" s="12" t="s">
        <v>10</v>
      </c>
      <c r="E16" s="12" t="s">
        <v>74</v>
      </c>
      <c r="F16" s="12" t="s">
        <v>75</v>
      </c>
    </row>
    <row r="17" customFormat="false" ht="15" hidden="false" customHeight="true" outlineLevel="0" collapsed="false">
      <c r="B17" s="17" t="str">
        <f aca="false">Ledger!B12</f>
        <v>Indexation capped at 3 per cent</v>
      </c>
      <c r="C17" s="28" t="n">
        <v>1</v>
      </c>
      <c r="D17" s="18" t="n">
        <f aca="false">Ledger!D12</f>
        <v>3.3708</v>
      </c>
      <c r="E17" s="18" t="n">
        <f aca="false">ROUND(SUMPRODUCT($C$17:C17,$D$17:D17),4)</f>
        <v>3.3708</v>
      </c>
      <c r="F17" s="16" t="s">
        <v>81</v>
      </c>
    </row>
    <row r="18" customFormat="false" ht="15" hidden="false" customHeight="true" outlineLevel="0" collapsed="false">
      <c r="B18" s="17" t="str">
        <f aca="false">Ledger!B13</f>
        <v>Volume band removed, or the threshold set below the low case</v>
      </c>
      <c r="C18" s="28" t="n">
        <v>1</v>
      </c>
      <c r="D18" s="18" t="n">
        <f aca="false">Ledger!D13</f>
        <v>3.2202</v>
      </c>
      <c r="E18" s="18" t="n">
        <f aca="false">ROUND(SUMPRODUCT($C$17:C18,$D$17:D18),4)</f>
        <v>6.591</v>
      </c>
      <c r="F18" s="16" t="s">
        <v>82</v>
      </c>
    </row>
    <row r="19" customFormat="false" ht="15" hidden="false" customHeight="true" outlineLevel="0" collapsed="false">
      <c r="B19" s="17" t="str">
        <f aca="false">Ledger!B14</f>
        <v>Price denominated in the buyer's currency</v>
      </c>
      <c r="C19" s="28" t="n">
        <v>1</v>
      </c>
      <c r="D19" s="18" t="n">
        <f aca="false">Ledger!D14</f>
        <v>2.8544</v>
      </c>
      <c r="E19" s="18" t="n">
        <f aca="false">ROUND(SUMPRODUCT($C$17:C19,$D$17:D19),4)</f>
        <v>9.4454</v>
      </c>
      <c r="F19" s="16" t="s">
        <v>83</v>
      </c>
    </row>
    <row r="20" customFormat="false" ht="15" hidden="false" customHeight="true" outlineLevel="0" collapsed="false">
      <c r="B20" s="6" t="s">
        <v>84</v>
      </c>
      <c r="C20" s="8" t="n">
        <f aca="false">ROUND(SUMPRODUCT(C17:C19,D17:D19),4)</f>
        <v>9.4454</v>
      </c>
    </row>
    <row r="22" customFormat="false" ht="15" hidden="false" customHeight="true" outlineLevel="0" collapsed="false">
      <c r="B22" s="4" t="s">
        <v>85</v>
      </c>
      <c r="C22" s="5"/>
      <c r="D22" s="5"/>
      <c r="E22" s="5"/>
      <c r="F22" s="5"/>
      <c r="G22" s="5"/>
    </row>
    <row r="23" customFormat="false" ht="15" hidden="false" customHeight="true" outlineLevel="0" collapsed="false">
      <c r="B23" s="6" t="s">
        <v>86</v>
      </c>
      <c r="C23" s="8" t="n">
        <f aca="false">ROUND($C$20-$C$13,4)</f>
        <v>6.2364</v>
      </c>
    </row>
    <row r="24" customFormat="false" ht="15" hidden="false" customHeight="true" outlineLevel="0" collapsed="false">
      <c r="B24" s="6" t="s">
        <v>87</v>
      </c>
      <c r="C24" s="26" t="n">
        <f aca="false">ROUND($C$23*Ledger!$C$9,2)</f>
        <v>995953.08</v>
      </c>
    </row>
    <row r="25" customFormat="false" ht="15" hidden="false" customHeight="true" outlineLevel="0" collapsed="false">
      <c r="B25" s="6" t="s">
        <v>88</v>
      </c>
      <c r="C25" s="29" t="n">
        <f aca="false">ROUND(Ledger!$C$7/Ledger!$C$9,4)</f>
        <v>9.2586</v>
      </c>
    </row>
    <row r="26" customFormat="false" ht="15" hidden="false" customHeight="true" outlineLevel="0" collapsed="false">
      <c r="B26" s="6" t="s">
        <v>89</v>
      </c>
      <c r="C26" s="30" t="str">
        <f aca="false">IF($C$20&gt;=$C$25,"yes: the paper now beats the alternative by "&amp;TEXT($C$20-$C$25,"0.0000")&amp;" a unit","no, keep asking: "&amp;TEXT($C$25-$C$20,"0.0000")&amp;" a unit short")</f>
        <v>yes: the paper now beats the alternative by 0.1868 a unit</v>
      </c>
    </row>
    <row r="27" customFormat="false" ht="42" hidden="false" customHeight="true" outlineLevel="0" collapsed="false">
      <c r="B27" s="31" t="s">
        <v>90</v>
      </c>
    </row>
    <row r="28" customFormat="false" ht="15" hidden="false" customHeight="false" outlineLevel="0" collapsed="false">
      <c r="B28" s="27" t="s">
        <v>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52"/>
    <col collapsed="false" customWidth="true" hidden="false" outlineLevel="0" max="5" min="3" style="1" width="22"/>
    <col collapsed="false" customWidth="true" hidden="false" outlineLevel="0" max="6" min="6" style="1" width="14"/>
    <col collapsed="false" customWidth="true" hidden="false" outlineLevel="0" max="7" min="7" style="0" width="58"/>
  </cols>
  <sheetData>
    <row r="2" customFormat="false" ht="15.75" hidden="false" customHeight="true" outlineLevel="0" collapsed="false">
      <c r="B2" s="2" t="s">
        <v>92</v>
      </c>
    </row>
    <row r="3" customFormat="false" ht="15" hidden="false" customHeight="true" outlineLevel="0" collapsed="false">
      <c r="B3" s="3" t="s">
        <v>93</v>
      </c>
    </row>
    <row r="5" customFormat="false" ht="15" hidden="false" customHeight="true" outlineLevel="0" collapsed="false">
      <c r="B5" s="12" t="s">
        <v>94</v>
      </c>
      <c r="C5" s="12" t="s">
        <v>95</v>
      </c>
      <c r="D5" s="12" t="s">
        <v>96</v>
      </c>
      <c r="E5" s="12" t="s">
        <v>97</v>
      </c>
      <c r="F5" s="12" t="s">
        <v>98</v>
      </c>
    </row>
    <row r="6" customFormat="false" ht="15" hidden="false" customHeight="true" outlineLevel="0" collapsed="false">
      <c r="B6" s="17" t="s">
        <v>4</v>
      </c>
      <c r="C6" s="18" t="n">
        <f aca="false">'The Brief'!$C$8</f>
        <v>94.1947</v>
      </c>
      <c r="D6" s="32" t="n">
        <v>94.1947</v>
      </c>
      <c r="E6" s="18" t="n">
        <f aca="false">ROUND(C6-D6,6)</f>
        <v>0</v>
      </c>
      <c r="F6" s="13" t="str">
        <f aca="false">IF(ABS(E6)&lt;=0.005,"PASS","FAIL")</f>
        <v>PASS</v>
      </c>
    </row>
    <row r="7" customFormat="false" ht="15" hidden="false" customHeight="true" outlineLevel="0" collapsed="false">
      <c r="B7" s="17" t="s">
        <v>6</v>
      </c>
      <c r="C7" s="18" t="n">
        <f aca="false">'The Brief'!$C$10</f>
        <v>9.8053</v>
      </c>
      <c r="D7" s="32" t="n">
        <v>9.8053</v>
      </c>
      <c r="E7" s="18" t="n">
        <f aca="false">ROUND(C7-D7,6)</f>
        <v>0</v>
      </c>
      <c r="F7" s="13" t="str">
        <f aca="false">IF(ABS(E7)&lt;=0.005,"PASS","FAIL")</f>
        <v>PASS</v>
      </c>
    </row>
    <row r="8" customFormat="false" ht="15" hidden="false" customHeight="true" outlineLevel="0" collapsed="false">
      <c r="B8" s="17" t="s">
        <v>7</v>
      </c>
      <c r="C8" s="18" t="n">
        <f aca="false">'The Brief'!$C$11</f>
        <v>0.0943</v>
      </c>
      <c r="D8" s="32" t="n">
        <v>0.0943</v>
      </c>
      <c r="E8" s="18" t="n">
        <f aca="false">ROUND(C8-D8,6)</f>
        <v>0</v>
      </c>
      <c r="F8" s="13" t="str">
        <f aca="false">IF(ABS(E8)&lt;=0.005,"PASS","FAIL")</f>
        <v>PASS</v>
      </c>
    </row>
    <row r="9" customFormat="false" ht="15" hidden="false" customHeight="true" outlineLevel="0" collapsed="false">
      <c r="B9" s="17" t="s">
        <v>99</v>
      </c>
      <c r="C9" s="18" t="n">
        <f aca="false">'The Brief'!$C$18</f>
        <v>9.4454</v>
      </c>
      <c r="D9" s="32" t="n">
        <v>9.4454</v>
      </c>
      <c r="E9" s="18" t="n">
        <f aca="false">ROUND(C9-D9,6)</f>
        <v>0</v>
      </c>
      <c r="F9" s="13" t="str">
        <f aca="false">IF(ABS(E9)&lt;=0.005,"PASS","FAIL")</f>
        <v>PASS</v>
      </c>
    </row>
    <row r="10" customFormat="false" ht="15" hidden="false" customHeight="true" outlineLevel="0" collapsed="false">
      <c r="B10" s="17" t="s">
        <v>100</v>
      </c>
      <c r="C10" s="18" t="n">
        <f aca="false">'The Brief'!$C$27</f>
        <v>3.7307</v>
      </c>
      <c r="D10" s="32" t="n">
        <v>3.7307</v>
      </c>
      <c r="E10" s="18" t="n">
        <f aca="false">ROUND(C10-D10,6)</f>
        <v>0</v>
      </c>
      <c r="F10" s="13" t="str">
        <f aca="false">IF(ABS(E10)&lt;=0.005,"PASS","FAIL")</f>
        <v>PASS</v>
      </c>
    </row>
    <row r="11" customFormat="false" ht="15" hidden="false" customHeight="true" outlineLevel="0" collapsed="false">
      <c r="B11" s="17" t="s">
        <v>101</v>
      </c>
      <c r="C11" s="18" t="n">
        <f aca="false">'The Brief'!$C$28</f>
        <v>3.209</v>
      </c>
      <c r="D11" s="32" t="n">
        <v>3.209</v>
      </c>
      <c r="E11" s="18" t="n">
        <f aca="false">ROUND(C11-D11,6)</f>
        <v>0</v>
      </c>
      <c r="F11" s="13" t="str">
        <f aca="false">IF(ABS(E11)&lt;=0.005,"PASS","FAIL")</f>
        <v>PASS</v>
      </c>
    </row>
    <row r="12" customFormat="false" ht="15" hidden="false" customHeight="true" outlineLevel="0" collapsed="false">
      <c r="B12" s="17" t="s">
        <v>102</v>
      </c>
      <c r="C12" s="18" t="n">
        <f aca="false">'The Brief'!$C$36</f>
        <v>11.8631</v>
      </c>
      <c r="D12" s="32" t="n">
        <v>11.8631</v>
      </c>
      <c r="E12" s="18" t="n">
        <f aca="false">ROUND(C12-D12,6)</f>
        <v>0</v>
      </c>
      <c r="F12" s="13" t="str">
        <f aca="false">IF(ABS(E12)&lt;=0.005,"PASS","FAIL")</f>
        <v>PASS</v>
      </c>
    </row>
    <row r="13" customFormat="false" ht="15" hidden="false" customHeight="true" outlineLevel="0" collapsed="false">
      <c r="B13" s="17" t="s">
        <v>103</v>
      </c>
      <c r="C13" s="18" t="n">
        <f aca="false">Ledger!$C$12</f>
        <v>538309.17</v>
      </c>
      <c r="D13" s="32" t="n">
        <v>538309.17</v>
      </c>
      <c r="E13" s="18" t="n">
        <f aca="false">ROUND(C13-D13,6)</f>
        <v>0</v>
      </c>
      <c r="F13" s="13" t="str">
        <f aca="false">IF(ABS(E13)&lt;=0.005,"PASS","FAIL")</f>
        <v>PASS</v>
      </c>
    </row>
    <row r="14" customFormat="false" ht="15" hidden="false" customHeight="true" outlineLevel="0" collapsed="false">
      <c r="B14" s="17" t="s">
        <v>104</v>
      </c>
      <c r="C14" s="18" t="n">
        <f aca="false">Ledger!$D$12</f>
        <v>3.3708</v>
      </c>
      <c r="D14" s="32" t="n">
        <v>3.3708</v>
      </c>
      <c r="E14" s="18" t="n">
        <f aca="false">ROUND(C14-D14,6)</f>
        <v>0</v>
      </c>
      <c r="F14" s="13" t="str">
        <f aca="false">IF(ABS(E14)&lt;=0.005,"PASS","FAIL")</f>
        <v>PASS</v>
      </c>
    </row>
    <row r="15" customFormat="false" ht="15" hidden="false" customHeight="true" outlineLevel="0" collapsed="false">
      <c r="B15" s="17" t="s">
        <v>105</v>
      </c>
      <c r="C15" s="18" t="n">
        <f aca="false">Ledger!$D$13</f>
        <v>3.2202</v>
      </c>
      <c r="D15" s="32" t="n">
        <v>3.2202</v>
      </c>
      <c r="E15" s="18" t="n">
        <f aca="false">ROUND(C15-D15,6)</f>
        <v>0</v>
      </c>
      <c r="F15" s="13" t="str">
        <f aca="false">IF(ABS(E15)&lt;=0.005,"PASS","FAIL")</f>
        <v>PASS</v>
      </c>
    </row>
    <row r="16" customFormat="false" ht="15" hidden="false" customHeight="true" outlineLevel="0" collapsed="false">
      <c r="B16" s="17" t="s">
        <v>106</v>
      </c>
      <c r="C16" s="18" t="n">
        <f aca="false">Ledger!$D$14</f>
        <v>2.8544</v>
      </c>
      <c r="D16" s="32" t="n">
        <v>2.8544</v>
      </c>
      <c r="E16" s="18" t="n">
        <f aca="false">ROUND(C16-D16,6)</f>
        <v>0</v>
      </c>
      <c r="F16" s="13" t="str">
        <f aca="false">IF(ABS(E16)&lt;=0.005,"PASS","FAIL")</f>
        <v>PASS</v>
      </c>
    </row>
    <row r="17" customFormat="false" ht="15" hidden="false" customHeight="true" outlineLevel="0" collapsed="false">
      <c r="B17" s="17" t="s">
        <v>107</v>
      </c>
      <c r="C17" s="18" t="n">
        <f aca="false">Ledger!$D$19</f>
        <v>0.2882</v>
      </c>
      <c r="D17" s="32" t="n">
        <v>0.2882</v>
      </c>
      <c r="E17" s="18" t="n">
        <f aca="false">ROUND(C17-D17,6)</f>
        <v>0</v>
      </c>
      <c r="F17" s="13" t="str">
        <f aca="false">IF(ABS(E17)&lt;=0.005,"PASS","FAIL")</f>
        <v>PASS</v>
      </c>
    </row>
    <row r="18" customFormat="false" ht="15" hidden="false" customHeight="true" outlineLevel="0" collapsed="false">
      <c r="B18" s="17" t="s">
        <v>108</v>
      </c>
      <c r="C18" s="18" t="n">
        <f aca="false">Ledger!$C$20</f>
        <v>3</v>
      </c>
      <c r="D18" s="32" t="n">
        <v>3</v>
      </c>
      <c r="E18" s="18" t="n">
        <f aca="false">ROUND(C18-D18,6)</f>
        <v>0</v>
      </c>
      <c r="F18" s="13" t="str">
        <f aca="false">IF(ABS(E18)&lt;=0.005,"PASS","FAIL")</f>
        <v>PASS</v>
      </c>
    </row>
    <row r="19" customFormat="false" ht="15" hidden="false" customHeight="true" outlineLevel="0" collapsed="false">
      <c r="B19" s="17" t="s">
        <v>109</v>
      </c>
      <c r="C19" s="18" t="n">
        <f aca="false">'Trade Planner'!$C$13</f>
        <v>3.209</v>
      </c>
      <c r="D19" s="32" t="n">
        <v>3.209</v>
      </c>
      <c r="E19" s="18" t="n">
        <f aca="false">ROUND(C19-D19,6)</f>
        <v>0</v>
      </c>
      <c r="F19" s="13" t="str">
        <f aca="false">IF(ABS(E19)&lt;=0.005,"PASS","FAIL")</f>
        <v>PASS</v>
      </c>
    </row>
    <row r="20" customFormat="false" ht="15" hidden="false" customHeight="true" outlineLevel="0" collapsed="false">
      <c r="B20" s="17" t="s">
        <v>110</v>
      </c>
      <c r="C20" s="18" t="n">
        <f aca="false">'Trade Planner'!$C$20</f>
        <v>9.4454</v>
      </c>
      <c r="D20" s="32" t="n">
        <v>9.4454</v>
      </c>
      <c r="E20" s="18" t="n">
        <f aca="false">ROUND(C20-D20,6)</f>
        <v>0</v>
      </c>
      <c r="F20" s="13" t="str">
        <f aca="false">IF(ABS(E20)&lt;=0.005,"PASS","FAIL")</f>
        <v>PASS</v>
      </c>
    </row>
    <row r="21" customFormat="false" ht="15" hidden="false" customHeight="true" outlineLevel="0" collapsed="false">
      <c r="B21" s="17" t="s">
        <v>111</v>
      </c>
      <c r="C21" s="18" t="n">
        <f aca="false">'Trade Planner'!$C$23</f>
        <v>6.2364</v>
      </c>
      <c r="D21" s="32" t="n">
        <v>6.2364</v>
      </c>
      <c r="E21" s="18" t="n">
        <f aca="false">ROUND(C21-D21,6)</f>
        <v>0</v>
      </c>
      <c r="F21" s="13" t="str">
        <f aca="false">IF(ABS(E21)&lt;=0.005,"PASS","FAIL")</f>
        <v>PASS</v>
      </c>
    </row>
    <row r="22" customFormat="false" ht="15" hidden="false" customHeight="true" outlineLevel="0" collapsed="false">
      <c r="B22" s="17" t="s">
        <v>112</v>
      </c>
      <c r="C22" s="18" t="n">
        <f aca="false">Ledger!$C$22</f>
        <v>9.4454</v>
      </c>
      <c r="D22" s="32" t="n">
        <v>9.4454</v>
      </c>
      <c r="E22" s="18" t="n">
        <f aca="false">ROUND(C22-D22,6)</f>
        <v>0</v>
      </c>
      <c r="F22" s="13" t="str">
        <f aca="false">IF(ABS(E22)&lt;=0.005,"PASS","FAIL")</f>
        <v>PASS</v>
      </c>
    </row>
    <row r="23" customFormat="false" ht="15" hidden="false" customHeight="false" outlineLevel="0" collapsed="false">
      <c r="B23" s="17" t="s">
        <v>113</v>
      </c>
      <c r="C23" s="33" t="n">
        <f aca="false">'Trade Planner'!$C$25</f>
        <v>9.2586</v>
      </c>
      <c r="D23" s="34" t="n">
        <v>9.2586</v>
      </c>
      <c r="E23" s="18" t="n">
        <f aca="false">ROUND(C23-D23,6)</f>
        <v>0</v>
      </c>
      <c r="F23" s="13" t="str">
        <f aca="false">IF(ABS(E23)&lt;=0.005,"PASS","FAIL")</f>
        <v>PASS</v>
      </c>
    </row>
    <row r="24" customFormat="false" ht="15" hidden="false" customHeight="true" outlineLevel="0" collapsed="false">
      <c r="B24" s="17" t="s">
        <v>114</v>
      </c>
      <c r="C24" s="24" t="n">
        <f aca="false">IF('Trade Planner'!$C$20&gt;='Trade Planner'!$C$25,1,0)</f>
        <v>1</v>
      </c>
      <c r="D24" s="35" t="n">
        <v>1</v>
      </c>
      <c r="E24" s="18" t="n">
        <f aca="false">ROUND(C24-D24,6)</f>
        <v>0</v>
      </c>
      <c r="F24" s="13" t="str">
        <f aca="false">IF(ABS(E24)&lt;=0.005,"PASS","FAIL")</f>
        <v>PASS</v>
      </c>
      <c r="G24" s="27" t="s">
        <v>115</v>
      </c>
    </row>
    <row r="25" customFormat="false" ht="15" hidden="false" customHeight="false" outlineLevel="0" collapsed="false">
      <c r="B25" s="17" t="s">
        <v>116</v>
      </c>
      <c r="C25" s="33" t="n">
        <f aca="false">ROUND('Trade Planner'!$C$20-'Trade Planner'!$C$25,4)</f>
        <v>0.1868</v>
      </c>
      <c r="D25" s="34" t="n">
        <v>0.1868</v>
      </c>
      <c r="E25" s="18" t="n">
        <f aca="false">ROUND(C25-D25,6)</f>
        <v>0</v>
      </c>
      <c r="F25" s="13" t="str">
        <f aca="false">IF(ABS(E25)&lt;=0.005,"PASS","FAIL")</f>
        <v>PASS</v>
      </c>
      <c r="G25" s="27" t="s">
        <v>117</v>
      </c>
    </row>
    <row r="26" customFormat="false" ht="15" hidden="false" customHeight="false" outlineLevel="0" collapsed="false">
      <c r="B26" s="17" t="s">
        <v>118</v>
      </c>
      <c r="C26" s="24" t="n">
        <f aca="false">IF(SUMPRODUCT((Ledger!$C$12:$C$18&lt;Ledger!$C$13:$C$19)*1)=0,1,0)</f>
        <v>1</v>
      </c>
      <c r="D26" s="35" t="n">
        <v>1</v>
      </c>
      <c r="E26" s="18" t="n">
        <f aca="false">ROUND(C26-D26,6)</f>
        <v>0</v>
      </c>
      <c r="F26" s="13" t="str">
        <f aca="false">IF(ABS(E26)&lt;=0.005,"PASS","FAIL")</f>
        <v>PASS</v>
      </c>
      <c r="G26" s="27" t="s">
        <v>119</v>
      </c>
    </row>
    <row r="27" customFormat="false" ht="15" hidden="false" customHeight="false" outlineLevel="0" collapsed="false">
      <c r="B27" s="17" t="s">
        <v>120</v>
      </c>
      <c r="C27" s="33" t="n">
        <f aca="false">ROUND(SUM(Ledger!$D$13:$D$19),4)</f>
        <v>9.8053</v>
      </c>
      <c r="D27" s="34" t="n">
        <v>9.8053</v>
      </c>
      <c r="E27" s="18" t="n">
        <f aca="false">ROUND(C27-D27,6)</f>
        <v>0</v>
      </c>
      <c r="F27" s="13" t="str">
        <f aca="false">IF(ABS(E27)&lt;=0.005,"PASS","FAIL")</f>
        <v>PASS</v>
      </c>
      <c r="G27" s="27" t="s">
        <v>121</v>
      </c>
    </row>
    <row r="29" customFormat="false" ht="15" hidden="false" customHeight="false" outlineLevel="0" collapsed="false">
      <c r="B29" s="36" t="s">
        <v>122</v>
      </c>
      <c r="C29" s="37" t="str">
        <f aca="false">COUNTIF(F6:F27,"PASS")&amp;" of 22"</f>
        <v>22 of 22</v>
      </c>
    </row>
    <row r="30" customFormat="false" ht="15" hidden="false" customHeight="false" outlineLevel="0" collapsed="false">
      <c r="B30" s="36" t="s">
        <v>123</v>
      </c>
      <c r="C30" s="36" t="str">
        <f aca="false">IF(COUNTIF(F6:F27,"PASS")=22,"ALL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2026-09-13T07:49:40Z</dcterms:created>
  <dc:creator>openpyxl</dc:creator>
  <dc:description/>
  <dc:language>en-US</dc:language>
  <cp:lastModifiedBy/>
  <dcterms:modified xsi:type="dcterms:W3CDTF">2026-09-24T02:11:40Z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