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3"/>
    <sheet name="Payment Terms" sheetId="2" state="visible" r:id="rId4"/>
    <sheet name="Indexation" sheetId="3" state="visible" r:id="rId5"/>
    <sheet name="Volume Band" sheetId="4" state="visible" r:id="rId6"/>
    <sheet name="Rebate" sheetId="5" state="visible" r:id="rId7"/>
    <sheet name="Liquidated Damages" sheetId="6" state="visible" r:id="rId8"/>
    <sheet name="Warranty" sheetId="7" state="visible" r:id="rId9"/>
    <sheet name="Change Control" sheetId="8" state="visible" r:id="rId10"/>
    <sheet name="Currency" sheetId="9" state="visible" r:id="rId11"/>
    <sheet name="Exit Cost" sheetId="10" state="visible" r:id="rId12"/>
    <sheet name="Checks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<sst xmlns="http://schemas.openxmlformats.org/spreadsheetml/2006/main" count="274" uniqueCount="245">
  <si>
    <t xml:space="preserve">The Clause Calculators</t>
  </si>
  <si>
    <t xml:space="preserve">Nine standalone calculators. Price one clause without the whole case around it.</t>
  </si>
  <si>
    <t xml:space="preserve">How to use</t>
  </si>
  <si>
    <t xml:space="preserve">Open the sheet for the clause you are negotiating. Change the blue cells. Read the answer.</t>
  </si>
  <si>
    <t xml:space="preserve">Each sheet stands alone</t>
  </si>
  <si>
    <t xml:space="preserve">Nothing depends on another sheet. Take one to a meeting and ignore the rest.</t>
  </si>
  <si>
    <t xml:space="preserve">Yellow cells</t>
  </si>
  <si>
    <t xml:space="preserve">The input that decides the answer. If you can ask for one thing, ask for that one.</t>
  </si>
  <si>
    <t xml:space="preserve">The example</t>
  </si>
  <si>
    <t xml:space="preserve">Each sheet opens on the Larchmere figures from the book, so you can see it work first.</t>
  </si>
  <si>
    <t xml:space="preserve">Sensitivities</t>
  </si>
  <si>
    <t xml:space="preserve">Each sheet carries the table printed in the corresponding chapter.</t>
  </si>
  <si>
    <t xml:space="preserve">Nothing is locked</t>
  </si>
  <si>
    <t xml:space="preserve">Break it, extend it, paste your own contract into it.</t>
  </si>
  <si>
    <t xml:space="preserve">Revised</t>
  </si>
  <si>
    <t xml:space="preserve">Revised 24 September 2026. Warranty: the part price was typed into a formula; it is now an input, and the curve follows rows 14 and 15. Volume band: year two fell 6.55 per cent below the threshold, not 5.81. The exit sheet's first input is units a year. Twenty-two checks.</t>
  </si>
  <si>
    <t xml:space="preserve">Payment terms</t>
  </si>
  <si>
    <t xml:space="preserve">Chapter 6. What the days you conceded cost.</t>
  </si>
  <si>
    <t xml:space="preserve">Inputs</t>
  </si>
  <si>
    <t xml:space="preserve">Spend over the term</t>
  </si>
  <si>
    <t xml:space="preserve">Days signed</t>
  </si>
  <si>
    <t xml:space="preserve">Days available from the alternative</t>
  </si>
  <si>
    <t xml:space="preserve">Cost of funds</t>
  </si>
  <si>
    <t xml:space="preserve">Result</t>
  </si>
  <si>
    <t xml:space="preserve">Days conceded</t>
  </si>
  <si>
    <t xml:space="preserve">Cost over the term</t>
  </si>
  <si>
    <t xml:space="preserve">Cost a year</t>
  </si>
  <si>
    <t xml:space="preserve">Sensitivity: cost against the alternative, by the days you sign</t>
  </si>
  <si>
    <t xml:space="preserve">Settlement discount test</t>
  </si>
  <si>
    <t xml:space="preserve">Discount offered for early payment</t>
  </si>
  <si>
    <t xml:space="preserve">Days early</t>
  </si>
  <si>
    <t xml:space="preserve">Annualised return on paying early</t>
  </si>
  <si>
    <t xml:space="preserve">Take any settlement discount that annualises above your cost of funds.</t>
  </si>
  <si>
    <t xml:space="preserve">Indexation, and the crossover month</t>
  </si>
  <si>
    <t xml:space="preserve">Chapter 3. Where your price path crosses the price of the bid you rejected.</t>
  </si>
  <si>
    <t xml:space="preserve">Base price signed</t>
  </si>
  <si>
    <t xml:space="preserve">Price of the rejected bid</t>
  </si>
  <si>
    <t xml:space="preserve">Index movement, year two</t>
  </si>
  <si>
    <t xml:space="preserve">Index movement, year three</t>
  </si>
  <si>
    <t xml:space="preserve">Annual cap on the alternative</t>
  </si>
  <si>
    <t xml:space="preserve">Units, year one</t>
  </si>
  <si>
    <t xml:space="preserve">Units, year two</t>
  </si>
  <si>
    <t xml:space="preserve">Units, year three</t>
  </si>
  <si>
    <t xml:space="preserve">Quarterly steps</t>
  </si>
  <si>
    <t xml:space="preserve">Year two</t>
  </si>
  <si>
    <t xml:space="preserve">Year three</t>
  </si>
  <si>
    <t xml:space="preserve">Capped alternative</t>
  </si>
  <si>
    <t xml:space="preserve">The two price paths</t>
  </si>
  <si>
    <t xml:space="preserve">Quarter</t>
  </si>
  <si>
    <t xml:space="preserve">Months</t>
  </si>
  <si>
    <t xml:space="preserve">Price signed</t>
  </si>
  <si>
    <t xml:space="preserve">Price rejected bid</t>
  </si>
  <si>
    <t xml:space="preserve">Signed dearer?</t>
  </si>
  <si>
    <t xml:space="preserve">Crossover quarter</t>
  </si>
  <si>
    <t xml:space="preserve">Crossover month</t>
  </si>
  <si>
    <t xml:space="preserve">Cost of the indexation clause over the term</t>
  </si>
  <si>
    <t xml:space="preserve">Sensitivity: cost of the clause, by annual cap</t>
  </si>
  <si>
    <t xml:space="preserve">Annual cap</t>
  </si>
  <si>
    <t xml:space="preserve">Quarterly step</t>
  </si>
  <si>
    <t xml:space="preserve">No indexation</t>
  </si>
  <si>
    <t xml:space="preserve">2.00 per cent</t>
  </si>
  <si>
    <t xml:space="preserve">3.00 per cent</t>
  </si>
  <si>
    <t xml:space="preserve">4.00 per cent</t>
  </si>
  <si>
    <t xml:space="preserve">6.00 per cent</t>
  </si>
  <si>
    <t xml:space="preserve">No cap</t>
  </si>
  <si>
    <t xml:space="preserve">Columns G to R carry the quarterly path under each cap, so the working stays visible.</t>
  </si>
  <si>
    <t xml:space="preserve">Volume band</t>
  </si>
  <si>
    <t xml:space="preserve">Chapter 4. Test it against your low case, never your base case.</t>
  </si>
  <si>
    <t xml:space="preserve">Band threshold, units a year</t>
  </si>
  <si>
    <t xml:space="preserve">Surcharge below the threshold</t>
  </si>
  <si>
    <t xml:space="preserve">Price, year one</t>
  </si>
  <si>
    <t xml:space="preserve">Price, year two</t>
  </si>
  <si>
    <t xml:space="preserve">Price, year three</t>
  </si>
  <si>
    <t xml:space="preserve">Surcharge, year by year</t>
  </si>
  <si>
    <t xml:space="preserve">Year</t>
  </si>
  <si>
    <t xml:space="preserve">Units</t>
  </si>
  <si>
    <t xml:space="preserve">Price</t>
  </si>
  <si>
    <t xml:space="preserve">Below the threshold?</t>
  </si>
  <si>
    <t xml:space="preserve">Surcharge</t>
  </si>
  <si>
    <t xml:space="preserve">Surcharge over three years</t>
  </si>
  <si>
    <t xml:space="preserve">Units short of the threshold, year two</t>
  </si>
  <si>
    <t xml:space="preserve">Cost of the last unit below the threshold, year two</t>
  </si>
  <si>
    <t xml:space="preserve">This is the number the clause never tells you.</t>
  </si>
  <si>
    <t xml:space="preserve">If the surcharge applied to the shortfall instead of the year</t>
  </si>
  <si>
    <t xml:space="preserve">Factor between the two draftings</t>
  </si>
  <si>
    <t xml:space="preserve">Year two, short of the threshold, as a share of it</t>
  </si>
  <si>
    <t xml:space="preserve">the first edition of the book printed 5.81 per cent</t>
  </si>
  <si>
    <t xml:space="preserve">Sensitivity: surcharge over three years, by threshold</t>
  </si>
  <si>
    <t xml:space="preserve">Threshold</t>
  </si>
  <si>
    <t xml:space="preserve">Find the threshold at which the exposure disappears, and ask for that one.</t>
  </si>
  <si>
    <t xml:space="preserve">Rebate</t>
  </si>
  <si>
    <t xml:space="preserve">Chapter 5. A conditional saving is worth its expected value, never its face value.</t>
  </si>
  <si>
    <t xml:space="preserve">Rebate threshold, units a year</t>
  </si>
  <si>
    <t xml:space="preserve">Rebate rate</t>
  </si>
  <si>
    <t xml:space="preserve">Price used</t>
  </si>
  <si>
    <t xml:space="preserve">Low case, units</t>
  </si>
  <si>
    <t xml:space="preserve">Base case, units</t>
  </si>
  <si>
    <t xml:space="preserve">High case, units</t>
  </si>
  <si>
    <t xml:space="preserve">What each scenario pays</t>
  </si>
  <si>
    <t xml:space="preserve">Scenario</t>
  </si>
  <si>
    <t xml:space="preserve">Threshold cleared?</t>
  </si>
  <si>
    <t xml:space="preserve">Rebate paid</t>
  </si>
  <si>
    <t xml:space="preserve">Weight</t>
  </si>
  <si>
    <t xml:space="preserve">Contribution</t>
  </si>
  <si>
    <t xml:space="preserve">Low</t>
  </si>
  <si>
    <t xml:space="preserve">Base</t>
  </si>
  <si>
    <t xml:space="preserve">High</t>
  </si>
  <si>
    <t xml:space="preserve">Expected value of the rebate, one year</t>
  </si>
  <si>
    <t xml:space="preserve">Face value if the high case is simply assumed</t>
  </si>
  <si>
    <t xml:space="preserve">Overstatement if booked at face value</t>
  </si>
  <si>
    <t xml:space="preserve">Book a conditional line at expected value, or do not book it at all.</t>
  </si>
  <si>
    <t xml:space="preserve">Liquidated damages</t>
  </si>
  <si>
    <t xml:space="preserve">Chapter 8. Compare what the clause recovers with what the failure actually costs.</t>
  </si>
  <si>
    <t xml:space="preserve">Cost of an hour of stoppage</t>
  </si>
  <si>
    <t xml:space="preserve">Hours lost, year one</t>
  </si>
  <si>
    <t xml:space="preserve">Hours lost, year two</t>
  </si>
  <si>
    <t xml:space="preserve">Hours lost, year three</t>
  </si>
  <si>
    <t xml:space="preserve">Orders affected</t>
  </si>
  <si>
    <t xml:space="preserve">Units in an affected order</t>
  </si>
  <si>
    <t xml:space="preserve">Damages cap signed</t>
  </si>
  <si>
    <t xml:space="preserve">Damages cap available</t>
  </si>
  <si>
    <t xml:space="preserve">Supplier margin on an order</t>
  </si>
  <si>
    <t xml:space="preserve">Hours lost in total</t>
  </si>
  <si>
    <t xml:space="preserve">What the stoppages cost</t>
  </si>
  <si>
    <t xml:space="preserve">Affected order value</t>
  </si>
  <si>
    <t xml:space="preserve">Recovered under the cap signed</t>
  </si>
  <si>
    <t xml:space="preserve">Recoverable under the cap available</t>
  </si>
  <si>
    <t xml:space="preserve">Cost of the clause</t>
  </si>
  <si>
    <t xml:space="preserve">Share of the loss the signed cap recovers</t>
  </si>
  <si>
    <t xml:space="preserve">Left uncovered whatever happens</t>
  </si>
  <si>
    <t xml:space="preserve">Damages per order against the supplier's margin on it</t>
  </si>
  <si>
    <t xml:space="preserve">Below about half, the clause will not change a schedule.</t>
  </si>
  <si>
    <t xml:space="preserve">Sensitivity: recovery by cap</t>
  </si>
  <si>
    <t xml:space="preserve">Cap</t>
  </si>
  <si>
    <t xml:space="preserve">Recovered</t>
  </si>
  <si>
    <t xml:space="preserve">Share of the loss</t>
  </si>
  <si>
    <t xml:space="preserve">No cap any supplier will sign covers a stoppage. Buy the buffer stock instead.</t>
  </si>
  <si>
    <t xml:space="preserve">Warranty</t>
  </si>
  <si>
    <t xml:space="preserve">Chapter 10. Measure it against your downstream obligation, not against market practice.</t>
  </si>
  <si>
    <t xml:space="preserve">Units over the term</t>
  </si>
  <si>
    <t xml:space="preserve">Defect rate</t>
  </si>
  <si>
    <t xml:space="preserve">Field repair cost a unit</t>
  </si>
  <si>
    <t xml:space="preserve">Warranty signed, months from delivery</t>
  </si>
  <si>
    <t xml:space="preserve">Warranty available, months</t>
  </si>
  <si>
    <t xml:space="preserve">Your warranty to your customers, months</t>
  </si>
  <si>
    <t xml:space="preserve">Delivery to commissioning, months</t>
  </si>
  <si>
    <t xml:space="preserve">Share of defects surfacing by 12 months</t>
  </si>
  <si>
    <t xml:space="preserve">Share of defects surfacing by 24 months</t>
  </si>
  <si>
    <t xml:space="preserve">Price of the part: what a part-only remedy pays</t>
  </si>
  <si>
    <t xml:space="preserve">Window carried with no supplier cover, months</t>
  </si>
  <si>
    <t xml:space="preserve">Expected defects</t>
  </si>
  <si>
    <t xml:space="preserve">Uncovered defects, warranty signed</t>
  </si>
  <si>
    <t xml:space="preserve">Uncovered cost, warranty signed</t>
  </si>
  <si>
    <t xml:space="preserve">Uncovered cost, warranty available</t>
  </si>
  <si>
    <t xml:space="preserve">Share of the failure cost a part-only remedy covers</t>
  </si>
  <si>
    <t xml:space="preserve">Sensitivity: uncovered cost by warranty length</t>
  </si>
  <si>
    <t xml:space="preserve">Months from delivery</t>
  </si>
  <si>
    <t xml:space="preserve">Cumulative share surfaced</t>
  </si>
  <si>
    <t xml:space="preserve">Uncovered cost</t>
  </si>
  <si>
    <t xml:space="preserve">months 6 and 18: halfway, assumed linear; 36 months: Chapter 10's field curve</t>
  </si>
  <si>
    <t xml:space="preserve">Build this curve once from your own field data and it prices every warranty you sign afterwards.</t>
  </si>
  <si>
    <t xml:space="preserve">Change control</t>
  </si>
  <si>
    <t xml:space="preserve">Chapter 11. A process clause with a multiplication sign in it.</t>
  </si>
  <si>
    <t xml:space="preserve">Engineering changes a year</t>
  </si>
  <si>
    <t xml:space="preserve">Average cost base of a change</t>
  </si>
  <si>
    <t xml:space="preserve">Margin signed</t>
  </si>
  <si>
    <t xml:space="preserve">Margin available</t>
  </si>
  <si>
    <t xml:space="preserve">Years</t>
  </si>
  <si>
    <t xml:space="preserve">Possible overstatement of the base</t>
  </si>
  <si>
    <t xml:space="preserve">Annual change volume at the signed margin</t>
  </si>
  <si>
    <t xml:space="preserve">Cost of the margin over the term</t>
  </si>
  <si>
    <t xml:space="preserve">Exposure to an unverifiable base, over the term</t>
  </si>
  <si>
    <t xml:space="preserve">This is what an audit right is worth.</t>
  </si>
  <si>
    <t xml:space="preserve">Sensitivity: cost of the margin, against the margin available</t>
  </si>
  <si>
    <t xml:space="preserve">Margin</t>
  </si>
  <si>
    <t xml:space="preserve">Put the repetitive change types on a rate card and most of this disappears.</t>
  </si>
  <si>
    <t xml:space="preserve">Currency of denomination</t>
  </si>
  <si>
    <t xml:space="preserve">Chapter 7. Eleven words in the definitions.</t>
  </si>
  <si>
    <t xml:space="preserve">Spend, year two</t>
  </si>
  <si>
    <t xml:space="preserve">Spend, year three</t>
  </si>
  <si>
    <t xml:space="preserve">Movement, year two</t>
  </si>
  <si>
    <t xml:space="preserve">Movement, year three</t>
  </si>
  <si>
    <t xml:space="preserve">Premium a supplier would add to quote in your currency</t>
  </si>
  <si>
    <t xml:space="preserve">Unit price</t>
  </si>
  <si>
    <t xml:space="preserve">Cumulative movement to year three</t>
  </si>
  <si>
    <t xml:space="preserve">Cost, year two</t>
  </si>
  <si>
    <t xml:space="preserve">Cost, year three</t>
  </si>
  <si>
    <t xml:space="preserve">Cost per percentage point of cumulative movement</t>
  </si>
  <si>
    <t xml:space="preserve">What the supplier's premium would have cost instead</t>
  </si>
  <si>
    <t xml:space="preserve">Compare the two. Paying the premium is often cheaper than carrying the exposure.</t>
  </si>
  <si>
    <t xml:space="preserve">If the contract is in the supplier's currency, tell treasury. The exposure exists whether or not anyone is told.</t>
  </si>
  <si>
    <t xml:space="preserve">The cost of walking away</t>
  </si>
  <si>
    <t xml:space="preserve">Chapters 13 and 14. Compute it at signature, not at the point of leaving.</t>
  </si>
  <si>
    <t xml:space="preserve">Units a year at the point of decision</t>
  </si>
  <si>
    <t xml:space="preserve">Notice signed, months</t>
  </si>
  <si>
    <t xml:space="preserve">Notice available, months</t>
  </si>
  <si>
    <t xml:space="preserve">Contract price at the point of decision</t>
  </si>
  <si>
    <t xml:space="preserve">Market price available</t>
  </si>
  <si>
    <t xml:space="preserve">Stock and work in progress, units</t>
  </si>
  <si>
    <t xml:space="preserve">Tooling paid</t>
  </si>
  <si>
    <t xml:space="preserve">Tooling amortisation, months</t>
  </si>
  <si>
    <t xml:space="preserve">Months elapsed at the decision</t>
  </si>
  <si>
    <t xml:space="preserve">Tooling at an alternative supplier</t>
  </si>
  <si>
    <t xml:space="preserve">Price gap against the market</t>
  </si>
  <si>
    <t xml:space="preserve">Units bought through the notice period</t>
  </si>
  <si>
    <t xml:space="preserve">Notice period above market</t>
  </si>
  <si>
    <t xml:space="preserve">Stock and work in progress to be taken</t>
  </si>
  <si>
    <t xml:space="preserve">Tooling unamortised</t>
  </si>
  <si>
    <t xml:space="preserve">Cost of walking away</t>
  </si>
  <si>
    <t xml:space="preserve">Cost of walking away under the shorter notice</t>
  </si>
  <si>
    <t xml:space="preserve">What the notice period and the tooling clause are worth</t>
  </si>
  <si>
    <t xml:space="preserve">A barrier is never on an invoice and always decides the outcome.</t>
  </si>
  <si>
    <t xml:space="preserve">Checks</t>
  </si>
  <si>
    <t xml:space="preserve">Each calculator, opened on the Larchmere figures, against what the book publishes.</t>
  </si>
  <si>
    <t xml:space="preserve">Figure</t>
  </si>
  <si>
    <t xml:space="preserve">Live formula</t>
  </si>
  <si>
    <t xml:space="preserve">As published</t>
  </si>
  <si>
    <t xml:space="preserve">Variance</t>
  </si>
  <si>
    <t xml:space="preserve">Status</t>
  </si>
  <si>
    <t xml:space="preserve">Payment Terms: Cost over the term</t>
  </si>
  <si>
    <t xml:space="preserve">Payment Terms: Annualised return on paying early</t>
  </si>
  <si>
    <t xml:space="preserve">Indexation: Crossover month</t>
  </si>
  <si>
    <t xml:space="preserve">Indexation: Cost of the indexation clause over the term</t>
  </si>
  <si>
    <t xml:space="preserve">Volume Band: Surcharge over three years</t>
  </si>
  <si>
    <t xml:space="preserve">Volume Band: Cost of the last unit below the threshold, year two</t>
  </si>
  <si>
    <t xml:space="preserve">Volume Band: Factor between the two draftings</t>
  </si>
  <si>
    <t xml:space="preserve">Rebate: Expected value of the rebate, one year</t>
  </si>
  <si>
    <t xml:space="preserve">Liquidated Damages: What the stoppages cost</t>
  </si>
  <si>
    <t xml:space="preserve">Liquidated Damages: Cost of the clause</t>
  </si>
  <si>
    <t xml:space="preserve">Liquidated Damages: Share of the loss the signed cap recovers</t>
  </si>
  <si>
    <t xml:space="preserve">Warranty: Window carried with no supplier cover, months</t>
  </si>
  <si>
    <t xml:space="preserve">Warranty: Uncovered cost, warranty signed</t>
  </si>
  <si>
    <t xml:space="preserve">Warranty: Cost of the clause</t>
  </si>
  <si>
    <t xml:space="preserve">Change Control: Cost of the margin over the term</t>
  </si>
  <si>
    <t xml:space="preserve">Change Control: Annual change volume at the signed margin</t>
  </si>
  <si>
    <t xml:space="preserve">Currency: Cost of the clause</t>
  </si>
  <si>
    <t xml:space="preserve">Currency: What the supplier's premium would have cost instead</t>
  </si>
  <si>
    <t xml:space="preserve">Exit Cost: Cost of walking away</t>
  </si>
  <si>
    <t xml:space="preserve">Exit Cost: Cost of walking away under the shorter notice</t>
  </si>
  <si>
    <t xml:space="preserve">Warranty: share of the failure cost a part-only remedy covers</t>
  </si>
  <si>
    <t xml:space="preserve">the book says eleven per cent</t>
  </si>
  <si>
    <t xml:space="preserve">Volume Band: year two short of the threshold, as a share of it</t>
  </si>
  <si>
    <t xml:space="preserve">revised: the first edition printed 5.81 per cent</t>
  </si>
  <si>
    <t xml:space="preserve">Checks passing</t>
  </si>
  <si>
    <t xml:space="preserve">All checks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</si>
</sst>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#,##0"/>
    <numFmt numFmtId="167" formatCode="0.00%"/>
    <numFmt numFmtId="168" formatCode="0.0000%"/>
    <numFmt numFmtId="169" formatCode="#,##0.0000"/>
    <numFmt numFmtId="170" formatCode="0.00"/>
    <numFmt numFmtId="171" formatCode="0.000%"/>
    <numFmt numFmtId="172" formatCode="0.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EDF5"/>
        <bgColor rgb="FFFFF2CC"/>
      </patternFill>
    </fill>
    <fill>
      <patternFill patternType="solid">
        <fgColor rgb="FFFFF2CC"/>
        <bgColor rgb="FFE8EDF5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6"/>
    <col collapsed="false" customWidth="true" hidden="false" outlineLevel="0" max="3" min="3" style="1" width="94"/>
  </cols>
  <sheetData>
    <row r="2" customFormat="false" ht="15.7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15" hidden="false" customHeight="true" outlineLevel="0" collapsed="false">
      <c r="B5" s="4" t="s">
        <v>2</v>
      </c>
      <c r="C5" s="5" t="s">
        <v>3</v>
      </c>
    </row>
    <row r="6" customFormat="false" ht="15" hidden="false" customHeight="true" outlineLevel="0" collapsed="false">
      <c r="B6" s="4" t="s">
        <v>4</v>
      </c>
      <c r="C6" s="5" t="s">
        <v>5</v>
      </c>
    </row>
    <row r="7" customFormat="false" ht="15" hidden="false" customHeight="true" outlineLevel="0" collapsed="false">
      <c r="B7" s="4" t="s">
        <v>6</v>
      </c>
      <c r="C7" s="5" t="s">
        <v>7</v>
      </c>
    </row>
    <row r="8" customFormat="false" ht="15" hidden="false" customHeight="true" outlineLevel="0" collapsed="false">
      <c r="B8" s="4" t="s">
        <v>8</v>
      </c>
      <c r="C8" s="5" t="s">
        <v>9</v>
      </c>
    </row>
    <row r="9" customFormat="false" ht="15" hidden="false" customHeight="true" outlineLevel="0" collapsed="false">
      <c r="B9" s="4" t="s">
        <v>10</v>
      </c>
      <c r="C9" s="5" t="s">
        <v>11</v>
      </c>
    </row>
    <row r="10" customFormat="false" ht="15" hidden="false" customHeight="true" outlineLevel="0" collapsed="false">
      <c r="B10" s="4" t="s">
        <v>12</v>
      </c>
      <c r="C10" s="5" t="s">
        <v>13</v>
      </c>
    </row>
    <row r="12" customFormat="false" ht="51.75" hidden="false" customHeight="true" outlineLevel="0" collapsed="false">
      <c r="B12" s="6" t="s">
        <v>14</v>
      </c>
      <c r="C12" s="7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6"/>
    <col collapsed="false" customWidth="true" hidden="false" outlineLevel="0" max="7" min="3" style="1" width="18"/>
  </cols>
  <sheetData>
    <row r="2" customFormat="false" ht="15.75" hidden="false" customHeight="true" outlineLevel="0" collapsed="false">
      <c r="B2" s="2" t="s">
        <v>16</v>
      </c>
    </row>
    <row r="3" customFormat="false" ht="15" hidden="false" customHeight="true" outlineLevel="0" collapsed="false">
      <c r="B3" s="3" t="s">
        <v>17</v>
      </c>
    </row>
    <row r="6" customFormat="false" ht="15" hidden="false" customHeight="true" outlineLevel="0" collapsed="false">
      <c r="B6" s="8" t="s">
        <v>18</v>
      </c>
      <c r="C6" s="9"/>
      <c r="D6" s="9"/>
      <c r="E6" s="9"/>
      <c r="F6" s="9"/>
      <c r="G6" s="9"/>
    </row>
    <row r="7" customFormat="false" ht="15" hidden="false" customHeight="true" outlineLevel="0" collapsed="false">
      <c r="B7" s="5" t="s">
        <v>19</v>
      </c>
      <c r="C7" s="10" t="n">
        <v>17501681.88</v>
      </c>
    </row>
    <row r="8" customFormat="false" ht="15" hidden="false" customHeight="true" outlineLevel="0" collapsed="false">
      <c r="B8" s="5" t="s">
        <v>20</v>
      </c>
      <c r="C8" s="11" t="n">
        <v>45</v>
      </c>
    </row>
    <row r="9" customFormat="false" ht="15" hidden="false" customHeight="true" outlineLevel="0" collapsed="false">
      <c r="B9" s="5" t="s">
        <v>21</v>
      </c>
      <c r="C9" s="12" t="n">
        <v>60</v>
      </c>
    </row>
    <row r="10" customFormat="false" ht="15" hidden="false" customHeight="true" outlineLevel="0" collapsed="false">
      <c r="B10" s="5" t="s">
        <v>22</v>
      </c>
      <c r="C10" s="13" t="n">
        <v>0.064</v>
      </c>
    </row>
    <row r="12" customFormat="false" ht="15" hidden="false" customHeight="true" outlineLevel="0" collapsed="false">
      <c r="B12" s="8" t="s">
        <v>23</v>
      </c>
      <c r="C12" s="9"/>
      <c r="D12" s="9"/>
      <c r="E12" s="9"/>
      <c r="F12" s="9"/>
      <c r="G12" s="9"/>
    </row>
    <row r="13" customFormat="false" ht="15" hidden="false" customHeight="true" outlineLevel="0" collapsed="false">
      <c r="B13" s="5" t="s">
        <v>24</v>
      </c>
      <c r="C13" s="14" t="n">
        <f aca="false">$C$9-$C$8</f>
        <v>15</v>
      </c>
    </row>
    <row r="14" customFormat="false" ht="15" hidden="false" customHeight="true" outlineLevel="0" collapsed="false">
      <c r="B14" s="4" t="s">
        <v>25</v>
      </c>
      <c r="C14" s="15" t="n">
        <f aca="false">ROUND($C$7*$C$13/365*$C$10,2)</f>
        <v>46031.82</v>
      </c>
    </row>
    <row r="15" customFormat="false" ht="15" hidden="false" customHeight="true" outlineLevel="0" collapsed="false">
      <c r="B15" s="5" t="s">
        <v>26</v>
      </c>
      <c r="C15" s="16" t="n">
        <f aca="false">ROUND($C$14/3,2)</f>
        <v>15343.94</v>
      </c>
    </row>
    <row r="17" customFormat="false" ht="15" hidden="false" customHeight="true" outlineLevel="0" collapsed="false">
      <c r="B17" s="8" t="s">
        <v>27</v>
      </c>
      <c r="C17" s="9"/>
      <c r="D17" s="9"/>
      <c r="E17" s="9"/>
      <c r="F17" s="9"/>
      <c r="G17" s="9"/>
    </row>
    <row r="18" customFormat="false" ht="15" hidden="false" customHeight="true" outlineLevel="0" collapsed="false">
      <c r="B18" s="17" t="s">
        <v>20</v>
      </c>
      <c r="C18" s="17" t="s">
        <v>25</v>
      </c>
    </row>
    <row r="19" customFormat="false" ht="15" hidden="false" customHeight="true" outlineLevel="0" collapsed="false">
      <c r="B19" s="14" t="n">
        <v>30</v>
      </c>
      <c r="C19" s="16" t="n">
        <f aca="false">ROUND($C$7*($C$9-B19)/365*$C$10,2)</f>
        <v>92063.64</v>
      </c>
    </row>
    <row r="20" customFormat="false" ht="15" hidden="false" customHeight="true" outlineLevel="0" collapsed="false">
      <c r="B20" s="14" t="n">
        <v>45</v>
      </c>
      <c r="C20" s="16" t="n">
        <f aca="false">ROUND($C$7*($C$9-B20)/365*$C$10,2)</f>
        <v>46031.82</v>
      </c>
    </row>
    <row r="21" customFormat="false" ht="15" hidden="false" customHeight="true" outlineLevel="0" collapsed="false">
      <c r="B21" s="14" t="n">
        <v>60</v>
      </c>
      <c r="C21" s="16" t="n">
        <f aca="false">ROUND($C$7*($C$9-B21)/365*$C$10,2)</f>
        <v>0</v>
      </c>
    </row>
    <row r="22" customFormat="false" ht="15" hidden="false" customHeight="true" outlineLevel="0" collapsed="false">
      <c r="B22" s="14" t="n">
        <v>75</v>
      </c>
      <c r="C22" s="16" t="n">
        <f aca="false">ROUND($C$7*($C$9-B22)/365*$C$10,2)</f>
        <v>-46031.82</v>
      </c>
    </row>
    <row r="23" customFormat="false" ht="15" hidden="false" customHeight="true" outlineLevel="0" collapsed="false">
      <c r="B23" s="14" t="n">
        <v>90</v>
      </c>
      <c r="C23" s="16" t="n">
        <f aca="false">ROUND($C$7*($C$9-B23)/365*$C$10,2)</f>
        <v>-92063.64</v>
      </c>
    </row>
    <row r="25" customFormat="false" ht="15" hidden="false" customHeight="true" outlineLevel="0" collapsed="false">
      <c r="B25" s="8" t="s">
        <v>28</v>
      </c>
      <c r="C25" s="9"/>
      <c r="D25" s="9"/>
      <c r="E25" s="9"/>
      <c r="F25" s="9"/>
      <c r="G25" s="9"/>
    </row>
    <row r="26" customFormat="false" ht="15" hidden="false" customHeight="true" outlineLevel="0" collapsed="false">
      <c r="B26" s="5" t="s">
        <v>29</v>
      </c>
      <c r="C26" s="13" t="n">
        <v>0.0075</v>
      </c>
    </row>
    <row r="27" customFormat="false" ht="15" hidden="false" customHeight="true" outlineLevel="0" collapsed="false">
      <c r="B27" s="5" t="s">
        <v>30</v>
      </c>
      <c r="C27" s="12" t="n">
        <v>15</v>
      </c>
    </row>
    <row r="28" customFormat="false" ht="15" hidden="false" customHeight="true" outlineLevel="0" collapsed="false">
      <c r="B28" s="4" t="s">
        <v>31</v>
      </c>
      <c r="C28" s="18" t="n">
        <f aca="false">$C$26/(1-$C$26)*365/$C$27</f>
        <v>0.183879093198992</v>
      </c>
    </row>
    <row r="29" customFormat="false" ht="15" hidden="false" customHeight="true" outlineLevel="0" collapsed="false">
      <c r="B29" s="3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R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6"/>
    <col collapsed="false" customWidth="true" hidden="false" outlineLevel="0" max="3" min="3" style="1" width="18"/>
    <col collapsed="false" customWidth="true" hidden="false" outlineLevel="0" max="5" min="4" style="1" width="20"/>
    <col collapsed="false" customWidth="true" hidden="false" outlineLevel="0" max="6" min="6" style="1" width="18"/>
    <col collapsed="false" customWidth="true" hidden="false" outlineLevel="0" max="18" min="7" style="1" width="11"/>
  </cols>
  <sheetData>
    <row r="2" customFormat="false" ht="15.75" hidden="false" customHeight="true" outlineLevel="0" collapsed="false">
      <c r="B2" s="2" t="s">
        <v>33</v>
      </c>
    </row>
    <row r="3" customFormat="false" ht="15" hidden="false" customHeight="true" outlineLevel="0" collapsed="false">
      <c r="B3" s="3" t="s">
        <v>34</v>
      </c>
    </row>
    <row r="6" customFormat="false" ht="15" hidden="false" customHeight="true" outlineLevel="0" collapsed="false">
      <c r="B6" s="8" t="s">
        <v>18</v>
      </c>
      <c r="C6" s="9"/>
      <c r="D6" s="9"/>
      <c r="E6" s="9"/>
      <c r="F6" s="9"/>
      <c r="G6" s="9"/>
    </row>
    <row r="7" customFormat="false" ht="15" hidden="false" customHeight="true" outlineLevel="0" collapsed="false">
      <c r="B7" s="5" t="s">
        <v>35</v>
      </c>
      <c r="C7" s="10" t="n">
        <v>104</v>
      </c>
    </row>
    <row r="8" customFormat="false" ht="15" hidden="false" customHeight="true" outlineLevel="0" collapsed="false">
      <c r="B8" s="5" t="s">
        <v>36</v>
      </c>
      <c r="C8" s="19" t="n">
        <v>109.5</v>
      </c>
    </row>
    <row r="9" customFormat="false" ht="15" hidden="false" customHeight="true" outlineLevel="0" collapsed="false">
      <c r="B9" s="5" t="s">
        <v>37</v>
      </c>
      <c r="C9" s="13" t="n">
        <v>0.084</v>
      </c>
    </row>
    <row r="10" customFormat="false" ht="15" hidden="false" customHeight="true" outlineLevel="0" collapsed="false">
      <c r="B10" s="5" t="s">
        <v>38</v>
      </c>
      <c r="C10" s="13" t="n">
        <v>0.051</v>
      </c>
    </row>
    <row r="11" customFormat="false" ht="15" hidden="false" customHeight="true" outlineLevel="0" collapsed="false">
      <c r="B11" s="5" t="s">
        <v>39</v>
      </c>
      <c r="C11" s="20" t="n">
        <v>0.03</v>
      </c>
    </row>
    <row r="12" customFormat="false" ht="15" hidden="false" customHeight="true" outlineLevel="0" collapsed="false">
      <c r="B12" s="5" t="s">
        <v>40</v>
      </c>
      <c r="C12" s="12" t="n">
        <v>58400</v>
      </c>
    </row>
    <row r="13" customFormat="false" ht="15" hidden="false" customHeight="true" outlineLevel="0" collapsed="false">
      <c r="B13" s="5" t="s">
        <v>41</v>
      </c>
      <c r="C13" s="12" t="n">
        <v>51400</v>
      </c>
    </row>
    <row r="14" customFormat="false" ht="15" hidden="false" customHeight="true" outlineLevel="0" collapsed="false">
      <c r="B14" s="5" t="s">
        <v>42</v>
      </c>
      <c r="C14" s="12" t="n">
        <v>49900</v>
      </c>
    </row>
    <row r="16" customFormat="false" ht="15" hidden="false" customHeight="true" outlineLevel="0" collapsed="false">
      <c r="B16" s="8" t="s">
        <v>43</v>
      </c>
      <c r="C16" s="9"/>
      <c r="D16" s="9"/>
      <c r="E16" s="9"/>
      <c r="F16" s="9"/>
      <c r="G16" s="9"/>
    </row>
    <row r="17" customFormat="false" ht="15" hidden="false" customHeight="true" outlineLevel="0" collapsed="false">
      <c r="B17" s="5" t="s">
        <v>44</v>
      </c>
      <c r="C17" s="21" t="n">
        <f aca="false">ROUND((1+$C$9)^(1/4)-1,4)</f>
        <v>0.0204</v>
      </c>
    </row>
    <row r="18" customFormat="false" ht="15" hidden="false" customHeight="true" outlineLevel="0" collapsed="false">
      <c r="B18" s="5" t="s">
        <v>45</v>
      </c>
      <c r="C18" s="21" t="n">
        <f aca="false">ROUND((1+$C$10)^(1/4)-1,4)</f>
        <v>0.0125</v>
      </c>
    </row>
    <row r="19" customFormat="false" ht="15" hidden="false" customHeight="true" outlineLevel="0" collapsed="false">
      <c r="B19" s="5" t="s">
        <v>46</v>
      </c>
      <c r="C19" s="21" t="n">
        <f aca="false">ROUND((1+$C$11)^(1/4)-1,4)</f>
        <v>0.0074</v>
      </c>
    </row>
    <row r="21" customFormat="false" ht="15" hidden="false" customHeight="true" outlineLevel="0" collapsed="false">
      <c r="B21" s="8" t="s">
        <v>47</v>
      </c>
      <c r="C21" s="9"/>
      <c r="D21" s="9"/>
      <c r="E21" s="9"/>
      <c r="F21" s="9"/>
      <c r="G21" s="9"/>
    </row>
    <row r="22" customFormat="false" ht="15" hidden="false" customHeight="true" outlineLevel="0" collapsed="false">
      <c r="B22" s="17" t="s">
        <v>48</v>
      </c>
      <c r="C22" s="17" t="s">
        <v>49</v>
      </c>
      <c r="D22" s="17" t="s">
        <v>50</v>
      </c>
      <c r="E22" s="17" t="s">
        <v>51</v>
      </c>
      <c r="F22" s="17" t="s">
        <v>52</v>
      </c>
    </row>
    <row r="23" customFormat="false" ht="15" hidden="false" customHeight="true" outlineLevel="0" collapsed="false">
      <c r="B23" s="14" t="n">
        <v>1</v>
      </c>
      <c r="C23" s="22" t="str">
        <f aca="false">1&amp;"-"&amp;3</f>
        <v>1-3</v>
      </c>
      <c r="D23" s="23" t="n">
        <f aca="false">ROUND($C$7*(1+$C$17)^0*(1+$C$18)^0,4)</f>
        <v>104</v>
      </c>
      <c r="E23" s="23" t="n">
        <f aca="false">ROUND($C$8*(1+$C$19)^0,4)</f>
        <v>109.5</v>
      </c>
      <c r="F23" s="22" t="str">
        <f aca="false">IF(D23&gt;E23,"yes","no")</f>
        <v>no</v>
      </c>
    </row>
    <row r="24" customFormat="false" ht="15" hidden="false" customHeight="true" outlineLevel="0" collapsed="false">
      <c r="B24" s="14" t="n">
        <v>2</v>
      </c>
      <c r="C24" s="22" t="str">
        <f aca="false">4&amp;"-"&amp;6</f>
        <v>4-6</v>
      </c>
      <c r="D24" s="23" t="n">
        <f aca="false">ROUND($C$7*(1+$C$17)^0*(1+$C$18)^0,4)</f>
        <v>104</v>
      </c>
      <c r="E24" s="23" t="n">
        <f aca="false">ROUND($C$8*(1+$C$19)^0,4)</f>
        <v>109.5</v>
      </c>
      <c r="F24" s="22" t="str">
        <f aca="false">IF(D24&gt;E24,"yes","no")</f>
        <v>no</v>
      </c>
    </row>
    <row r="25" customFormat="false" ht="15" hidden="false" customHeight="true" outlineLevel="0" collapsed="false">
      <c r="B25" s="14" t="n">
        <v>3</v>
      </c>
      <c r="C25" s="22" t="str">
        <f aca="false">7&amp;"-"&amp;9</f>
        <v>7-9</v>
      </c>
      <c r="D25" s="23" t="n">
        <f aca="false">ROUND($C$7*(1+$C$17)^0*(1+$C$18)^0,4)</f>
        <v>104</v>
      </c>
      <c r="E25" s="23" t="n">
        <f aca="false">ROUND($C$8*(1+$C$19)^0,4)</f>
        <v>109.5</v>
      </c>
      <c r="F25" s="22" t="str">
        <f aca="false">IF(D25&gt;E25,"yes","no")</f>
        <v>no</v>
      </c>
    </row>
    <row r="26" customFormat="false" ht="15" hidden="false" customHeight="true" outlineLevel="0" collapsed="false">
      <c r="B26" s="14" t="n">
        <v>4</v>
      </c>
      <c r="C26" s="22" t="str">
        <f aca="false">10&amp;"-"&amp;12</f>
        <v>10-12</v>
      </c>
      <c r="D26" s="23" t="n">
        <f aca="false">ROUND($C$7*(1+$C$17)^0*(1+$C$18)^0,4)</f>
        <v>104</v>
      </c>
      <c r="E26" s="23" t="n">
        <f aca="false">ROUND($C$8*(1+$C$19)^0,4)</f>
        <v>109.5</v>
      </c>
      <c r="F26" s="22" t="str">
        <f aca="false">IF(D26&gt;E26,"yes","no")</f>
        <v>no</v>
      </c>
    </row>
    <row r="27" customFormat="false" ht="15" hidden="false" customHeight="true" outlineLevel="0" collapsed="false">
      <c r="B27" s="14" t="n">
        <v>5</v>
      </c>
      <c r="C27" s="22" t="str">
        <f aca="false">13&amp;"-"&amp;15</f>
        <v>13-15</v>
      </c>
      <c r="D27" s="23" t="n">
        <f aca="false">ROUND($C$7*(1+$C$17)^1*(1+$C$18)^0,4)</f>
        <v>106.1216</v>
      </c>
      <c r="E27" s="23" t="n">
        <f aca="false">ROUND($C$8*(1+$C$19)^0,4)</f>
        <v>109.5</v>
      </c>
      <c r="F27" s="22" t="str">
        <f aca="false">IF(D27&gt;E27,"yes","no")</f>
        <v>no</v>
      </c>
    </row>
    <row r="28" customFormat="false" ht="15" hidden="false" customHeight="true" outlineLevel="0" collapsed="false">
      <c r="B28" s="14" t="n">
        <v>6</v>
      </c>
      <c r="C28" s="22" t="str">
        <f aca="false">16&amp;"-"&amp;18</f>
        <v>16-18</v>
      </c>
      <c r="D28" s="23" t="n">
        <f aca="false">ROUND($C$7*(1+$C$17)^2*(1+$C$18)^0,4)</f>
        <v>108.2865</v>
      </c>
      <c r="E28" s="23" t="n">
        <f aca="false">ROUND($C$8*(1+$C$19)^0,4)</f>
        <v>109.5</v>
      </c>
      <c r="F28" s="22" t="str">
        <f aca="false">IF(D28&gt;E28,"yes","no")</f>
        <v>no</v>
      </c>
    </row>
    <row r="29" customFormat="false" ht="15" hidden="false" customHeight="true" outlineLevel="0" collapsed="false">
      <c r="B29" s="14" t="n">
        <v>7</v>
      </c>
      <c r="C29" s="22" t="str">
        <f aca="false">19&amp;"-"&amp;21</f>
        <v>19-21</v>
      </c>
      <c r="D29" s="23" t="n">
        <f aca="false">ROUND($C$7*(1+$C$17)^3*(1+$C$18)^0,4)</f>
        <v>110.4955</v>
      </c>
      <c r="E29" s="23" t="n">
        <f aca="false">ROUND($C$8*(1+$C$19)^0,4)</f>
        <v>109.5</v>
      </c>
      <c r="F29" s="22" t="str">
        <f aca="false">IF(D29&gt;E29,"yes","no")</f>
        <v>yes</v>
      </c>
    </row>
    <row r="30" customFormat="false" ht="15" hidden="false" customHeight="true" outlineLevel="0" collapsed="false">
      <c r="B30" s="14" t="n">
        <v>8</v>
      </c>
      <c r="C30" s="22" t="str">
        <f aca="false">22&amp;"-"&amp;24</f>
        <v>22-24</v>
      </c>
      <c r="D30" s="23" t="n">
        <f aca="false">ROUND($C$7*(1+$C$17)^4*(1+$C$18)^0,4)</f>
        <v>112.7496</v>
      </c>
      <c r="E30" s="23" t="n">
        <f aca="false">ROUND($C$8*(1+$C$19)^0,4)</f>
        <v>109.5</v>
      </c>
      <c r="F30" s="22" t="str">
        <f aca="false">IF(D30&gt;E30,"yes","no")</f>
        <v>yes</v>
      </c>
    </row>
    <row r="31" customFormat="false" ht="15" hidden="false" customHeight="true" outlineLevel="0" collapsed="false">
      <c r="B31" s="14" t="n">
        <v>9</v>
      </c>
      <c r="C31" s="22" t="str">
        <f aca="false">25&amp;"-"&amp;27</f>
        <v>25-27</v>
      </c>
      <c r="D31" s="23" t="n">
        <f aca="false">ROUND($C$7*(1+$C$17)^4*(1+$C$18)^1,4)</f>
        <v>114.159</v>
      </c>
      <c r="E31" s="23" t="n">
        <f aca="false">ROUND($C$8*(1+$C$19)^1,4)</f>
        <v>110.3103</v>
      </c>
      <c r="F31" s="22" t="str">
        <f aca="false">IF(D31&gt;E31,"yes","no")</f>
        <v>yes</v>
      </c>
    </row>
    <row r="32" customFormat="false" ht="15" hidden="false" customHeight="true" outlineLevel="0" collapsed="false">
      <c r="B32" s="14" t="n">
        <v>10</v>
      </c>
      <c r="C32" s="22" t="str">
        <f aca="false">28&amp;"-"&amp;30</f>
        <v>28-30</v>
      </c>
      <c r="D32" s="23" t="n">
        <f aca="false">ROUND($C$7*(1+$C$17)^4*(1+$C$18)^2,4)</f>
        <v>115.586</v>
      </c>
      <c r="E32" s="23" t="n">
        <f aca="false">ROUND($C$8*(1+$C$19)^2,4)</f>
        <v>111.1266</v>
      </c>
      <c r="F32" s="22" t="str">
        <f aca="false">IF(D32&gt;E32,"yes","no")</f>
        <v>yes</v>
      </c>
    </row>
    <row r="33" customFormat="false" ht="15" hidden="false" customHeight="true" outlineLevel="0" collapsed="false">
      <c r="B33" s="14" t="n">
        <v>11</v>
      </c>
      <c r="C33" s="22" t="str">
        <f aca="false">31&amp;"-"&amp;33</f>
        <v>31-33</v>
      </c>
      <c r="D33" s="23" t="n">
        <f aca="false">ROUND($C$7*(1+$C$17)^4*(1+$C$18)^3,4)</f>
        <v>117.0308</v>
      </c>
      <c r="E33" s="23" t="n">
        <f aca="false">ROUND($C$8*(1+$C$19)^3,4)</f>
        <v>111.9489</v>
      </c>
      <c r="F33" s="22" t="str">
        <f aca="false">IF(D33&gt;E33,"yes","no")</f>
        <v>yes</v>
      </c>
    </row>
    <row r="34" customFormat="false" ht="15" hidden="false" customHeight="true" outlineLevel="0" collapsed="false">
      <c r="B34" s="14" t="n">
        <v>12</v>
      </c>
      <c r="C34" s="22" t="str">
        <f aca="false">34&amp;"-"&amp;36</f>
        <v>34-36</v>
      </c>
      <c r="D34" s="23" t="n">
        <f aca="false">ROUND($C$7*(1+$C$17)^4*(1+$C$18)^4,4)</f>
        <v>118.4937</v>
      </c>
      <c r="E34" s="23" t="n">
        <f aca="false">ROUND($C$8*(1+$C$19)^4,4)</f>
        <v>112.7774</v>
      </c>
      <c r="F34" s="22" t="str">
        <f aca="false">IF(D34&gt;E34,"yes","no")</f>
        <v>yes</v>
      </c>
    </row>
    <row r="36" customFormat="false" ht="15" hidden="false" customHeight="true" outlineLevel="0" collapsed="false">
      <c r="B36" s="8" t="s">
        <v>23</v>
      </c>
      <c r="C36" s="9"/>
      <c r="D36" s="9"/>
      <c r="E36" s="9"/>
      <c r="F36" s="9"/>
      <c r="G36" s="9"/>
    </row>
    <row r="37" customFormat="false" ht="15" hidden="false" customHeight="true" outlineLevel="0" collapsed="false">
      <c r="B37" s="4" t="s">
        <v>53</v>
      </c>
      <c r="C37" s="24" t="n">
        <f aca="false">MATCH("yes",F23:F34,0)</f>
        <v>7</v>
      </c>
    </row>
    <row r="38" customFormat="false" ht="15" hidden="false" customHeight="true" outlineLevel="0" collapsed="false">
      <c r="B38" s="4" t="s">
        <v>54</v>
      </c>
      <c r="C38" s="24" t="n">
        <f aca="false">($C$37-1)*3+1</f>
        <v>19</v>
      </c>
    </row>
    <row r="39" customFormat="false" ht="15" hidden="false" customHeight="true" outlineLevel="0" collapsed="false">
      <c r="B39" s="4" t="s">
        <v>55</v>
      </c>
      <c r="C39" s="15" t="n">
        <f aca="false">ROUND((ROUND(AVERAGE(D23:D26),4)-$C$7)*$C$12+(ROUND(AVERAGE(D27:D30),4)-$C$7)*$C$13+(ROUND(AVERAGE(D31:D34),4)-$C$7)*$C$14,2)</f>
        <v>892881.88</v>
      </c>
    </row>
    <row r="41" customFormat="false" ht="15" hidden="false" customHeight="true" outlineLevel="0" collapsed="false">
      <c r="B41" s="8" t="s">
        <v>56</v>
      </c>
      <c r="C41" s="9"/>
      <c r="D41" s="9"/>
      <c r="E41" s="9"/>
      <c r="F41" s="9"/>
      <c r="G41" s="9"/>
    </row>
    <row r="42" customFormat="false" ht="15" hidden="false" customHeight="true" outlineLevel="0" collapsed="false">
      <c r="B42" s="17" t="s">
        <v>57</v>
      </c>
      <c r="C42" s="17" t="s">
        <v>58</v>
      </c>
      <c r="D42" s="17" t="s">
        <v>25</v>
      </c>
    </row>
    <row r="43" customFormat="false" ht="15" hidden="false" customHeight="true" outlineLevel="0" collapsed="false">
      <c r="B43" s="22" t="s">
        <v>59</v>
      </c>
      <c r="C43" s="20" t="n">
        <v>0</v>
      </c>
      <c r="D43" s="16" t="n">
        <f aca="false">ROUND((ROUND(AVERAGE(G43:J43),4)-$C$7)*$C$12+(ROUND(AVERAGE(K43:N43),4)-$C$7)*$C$13+(ROUND(AVERAGE(O43:R43),4)-$C$7)*$C$14,2)</f>
        <v>0</v>
      </c>
      <c r="E43" s="21" t="n">
        <f aca="false">ROUND((1+C43)^(1/4)-1,4)</f>
        <v>0</v>
      </c>
      <c r="G43" s="25" t="n">
        <f aca="false">ROUND($C$7*(1+MIN($C$17,$E$43))^0*(1+MIN($C$18,$E$43))^0,4)</f>
        <v>104</v>
      </c>
      <c r="H43" s="25" t="n">
        <f aca="false">ROUND($C$7*(1+MIN($C$17,$E$43))^0*(1+MIN($C$18,$E$43))^0,4)</f>
        <v>104</v>
      </c>
      <c r="I43" s="25" t="n">
        <f aca="false">ROUND($C$7*(1+MIN($C$17,$E$43))^0*(1+MIN($C$18,$E$43))^0,4)</f>
        <v>104</v>
      </c>
      <c r="J43" s="25" t="n">
        <f aca="false">ROUND($C$7*(1+MIN($C$17,$E$43))^0*(1+MIN($C$18,$E$43))^0,4)</f>
        <v>104</v>
      </c>
      <c r="K43" s="25" t="n">
        <f aca="false">ROUND($C$7*(1+MIN($C$17,$E$43))^1*(1+MIN($C$18,$E$43))^0,4)</f>
        <v>104</v>
      </c>
      <c r="L43" s="25" t="n">
        <f aca="false">ROUND($C$7*(1+MIN($C$17,$E$43))^2*(1+MIN($C$18,$E$43))^0,4)</f>
        <v>104</v>
      </c>
      <c r="M43" s="25" t="n">
        <f aca="false">ROUND($C$7*(1+MIN($C$17,$E$43))^3*(1+MIN($C$18,$E$43))^0,4)</f>
        <v>104</v>
      </c>
      <c r="N43" s="25" t="n">
        <f aca="false">ROUND($C$7*(1+MIN($C$17,$E$43))^4*(1+MIN($C$18,$E$43))^0,4)</f>
        <v>104</v>
      </c>
      <c r="O43" s="25" t="n">
        <f aca="false">ROUND($C$7*(1+MIN($C$17,$E$43))^4*(1+MIN($C$18,$E$43))^1,4)</f>
        <v>104</v>
      </c>
      <c r="P43" s="25" t="n">
        <f aca="false">ROUND($C$7*(1+MIN($C$17,$E$43))^4*(1+MIN($C$18,$E$43))^2,4)</f>
        <v>104</v>
      </c>
      <c r="Q43" s="25" t="n">
        <f aca="false">ROUND($C$7*(1+MIN($C$17,$E$43))^4*(1+MIN($C$18,$E$43))^3,4)</f>
        <v>104</v>
      </c>
      <c r="R43" s="25" t="n">
        <f aca="false">ROUND($C$7*(1+MIN($C$17,$E$43))^4*(1+MIN($C$18,$E$43))^4,4)</f>
        <v>104</v>
      </c>
    </row>
    <row r="44" customFormat="false" ht="15" hidden="false" customHeight="true" outlineLevel="0" collapsed="false">
      <c r="B44" s="22" t="s">
        <v>60</v>
      </c>
      <c r="C44" s="20" t="n">
        <v>0.02</v>
      </c>
      <c r="D44" s="16" t="n">
        <f aca="false">ROUND((ROUND(AVERAGE(G44:J44),4)-$C$7)*$C$12+(ROUND(AVERAGE(K44:N44),4)-$C$7)*$C$13+(ROUND(AVERAGE(O44:R44),4)-$C$7)*$C$14,2)</f>
        <v>238236.25</v>
      </c>
      <c r="E44" s="21" t="n">
        <f aca="false">ROUND((1+C44)^(1/4)-1,4)</f>
        <v>0.005</v>
      </c>
      <c r="G44" s="25" t="n">
        <f aca="false">ROUND($C$7*(1+MIN($C$17,$E$44))^0*(1+MIN($C$18,$E$44))^0,4)</f>
        <v>104</v>
      </c>
      <c r="H44" s="25" t="n">
        <f aca="false">ROUND($C$7*(1+MIN($C$17,$E$44))^0*(1+MIN($C$18,$E$44))^0,4)</f>
        <v>104</v>
      </c>
      <c r="I44" s="25" t="n">
        <f aca="false">ROUND($C$7*(1+MIN($C$17,$E$44))^0*(1+MIN($C$18,$E$44))^0,4)</f>
        <v>104</v>
      </c>
      <c r="J44" s="25" t="n">
        <f aca="false">ROUND($C$7*(1+MIN($C$17,$E$44))^0*(1+MIN($C$18,$E$44))^0,4)</f>
        <v>104</v>
      </c>
      <c r="K44" s="25" t="n">
        <f aca="false">ROUND($C$7*(1+MIN($C$17,$E$44))^1*(1+MIN($C$18,$E$44))^0,4)</f>
        <v>104.52</v>
      </c>
      <c r="L44" s="25" t="n">
        <f aca="false">ROUND($C$7*(1+MIN($C$17,$E$44))^2*(1+MIN($C$18,$E$44))^0,4)</f>
        <v>105.0426</v>
      </c>
      <c r="M44" s="25" t="n">
        <f aca="false">ROUND($C$7*(1+MIN($C$17,$E$44))^3*(1+MIN($C$18,$E$44))^0,4)</f>
        <v>105.5678</v>
      </c>
      <c r="N44" s="25" t="n">
        <f aca="false">ROUND($C$7*(1+MIN($C$17,$E$44))^4*(1+MIN($C$18,$E$44))^0,4)</f>
        <v>106.0957</v>
      </c>
      <c r="O44" s="25" t="n">
        <f aca="false">ROUND($C$7*(1+MIN($C$17,$E$44))^4*(1+MIN($C$18,$E$44))^1,4)</f>
        <v>106.6261</v>
      </c>
      <c r="P44" s="25" t="n">
        <f aca="false">ROUND($C$7*(1+MIN($C$17,$E$44))^4*(1+MIN($C$18,$E$44))^2,4)</f>
        <v>107.1593</v>
      </c>
      <c r="Q44" s="25" t="n">
        <f aca="false">ROUND($C$7*(1+MIN($C$17,$E$44))^4*(1+MIN($C$18,$E$44))^3,4)</f>
        <v>107.6951</v>
      </c>
      <c r="R44" s="25" t="n">
        <f aca="false">ROUND($C$7*(1+MIN($C$17,$E$44))^4*(1+MIN($C$18,$E$44))^4,4)</f>
        <v>108.2335</v>
      </c>
    </row>
    <row r="45" customFormat="false" ht="15" hidden="false" customHeight="true" outlineLevel="0" collapsed="false">
      <c r="B45" s="22" t="s">
        <v>61</v>
      </c>
      <c r="C45" s="20" t="n">
        <v>0.03</v>
      </c>
      <c r="D45" s="16" t="n">
        <f aca="false">ROUND((ROUND(AVERAGE(G45:J45),4)-$C$7)*$C$12+(ROUND(AVERAGE(K45:N45),4)-$C$7)*$C$13+(ROUND(AVERAGE(O45:R45),4)-$C$7)*$C$14,2)</f>
        <v>354572.71</v>
      </c>
      <c r="E45" s="21" t="n">
        <f aca="false">ROUND((1+C45)^(1/4)-1,4)</f>
        <v>0.0074</v>
      </c>
      <c r="G45" s="25" t="n">
        <f aca="false">ROUND($C$7*(1+MIN($C$17,$E$45))^0*(1+MIN($C$18,$E$45))^0,4)</f>
        <v>104</v>
      </c>
      <c r="H45" s="25" t="n">
        <f aca="false">ROUND($C$7*(1+MIN($C$17,$E$45))^0*(1+MIN($C$18,$E$45))^0,4)</f>
        <v>104</v>
      </c>
      <c r="I45" s="25" t="n">
        <f aca="false">ROUND($C$7*(1+MIN($C$17,$E$45))^0*(1+MIN($C$18,$E$45))^0,4)</f>
        <v>104</v>
      </c>
      <c r="J45" s="25" t="n">
        <f aca="false">ROUND($C$7*(1+MIN($C$17,$E$45))^0*(1+MIN($C$18,$E$45))^0,4)</f>
        <v>104</v>
      </c>
      <c r="K45" s="25" t="n">
        <f aca="false">ROUND($C$7*(1+MIN($C$17,$E$45))^1*(1+MIN($C$18,$E$45))^0,4)</f>
        <v>104.7696</v>
      </c>
      <c r="L45" s="25" t="n">
        <f aca="false">ROUND($C$7*(1+MIN($C$17,$E$45))^2*(1+MIN($C$18,$E$45))^0,4)</f>
        <v>105.5449</v>
      </c>
      <c r="M45" s="25" t="n">
        <f aca="false">ROUND($C$7*(1+MIN($C$17,$E$45))^3*(1+MIN($C$18,$E$45))^0,4)</f>
        <v>106.3259</v>
      </c>
      <c r="N45" s="25" t="n">
        <f aca="false">ROUND($C$7*(1+MIN($C$17,$E$45))^4*(1+MIN($C$18,$E$45))^0,4)</f>
        <v>107.1127</v>
      </c>
      <c r="O45" s="25" t="n">
        <f aca="false">ROUND($C$7*(1+MIN($C$17,$E$45))^4*(1+MIN($C$18,$E$45))^1,4)</f>
        <v>107.9054</v>
      </c>
      <c r="P45" s="25" t="n">
        <f aca="false">ROUND($C$7*(1+MIN($C$17,$E$45))^4*(1+MIN($C$18,$E$45))^2,4)</f>
        <v>108.7039</v>
      </c>
      <c r="Q45" s="25" t="n">
        <f aca="false">ROUND($C$7*(1+MIN($C$17,$E$45))^4*(1+MIN($C$18,$E$45))^3,4)</f>
        <v>109.5083</v>
      </c>
      <c r="R45" s="25" t="n">
        <f aca="false">ROUND($C$7*(1+MIN($C$17,$E$45))^4*(1+MIN($C$18,$E$45))^4,4)</f>
        <v>110.3186</v>
      </c>
    </row>
    <row r="46" customFormat="false" ht="15" hidden="false" customHeight="true" outlineLevel="0" collapsed="false">
      <c r="B46" s="22" t="s">
        <v>62</v>
      </c>
      <c r="C46" s="20" t="n">
        <v>0.04</v>
      </c>
      <c r="D46" s="16" t="n">
        <f aca="false">ROUND((ROUND(AVERAGE(G46:J46),4)-$C$7)*$C$12+(ROUND(AVERAGE(K46:N46),4)-$C$7)*$C$13+(ROUND(AVERAGE(O46:R46),4)-$C$7)*$C$14,2)</f>
        <v>477131.04</v>
      </c>
      <c r="E46" s="21" t="n">
        <f aca="false">ROUND((1+C46)^(1/4)-1,4)</f>
        <v>0.0099</v>
      </c>
      <c r="G46" s="25" t="n">
        <f aca="false">ROUND($C$7*(1+MIN($C$17,$E$46))^0*(1+MIN($C$18,$E$46))^0,4)</f>
        <v>104</v>
      </c>
      <c r="H46" s="25" t="n">
        <f aca="false">ROUND($C$7*(1+MIN($C$17,$E$46))^0*(1+MIN($C$18,$E$46))^0,4)</f>
        <v>104</v>
      </c>
      <c r="I46" s="25" t="n">
        <f aca="false">ROUND($C$7*(1+MIN($C$17,$E$46))^0*(1+MIN($C$18,$E$46))^0,4)</f>
        <v>104</v>
      </c>
      <c r="J46" s="25" t="n">
        <f aca="false">ROUND($C$7*(1+MIN($C$17,$E$46))^0*(1+MIN($C$18,$E$46))^0,4)</f>
        <v>104</v>
      </c>
      <c r="K46" s="25" t="n">
        <f aca="false">ROUND($C$7*(1+MIN($C$17,$E$46))^1*(1+MIN($C$18,$E$46))^0,4)</f>
        <v>105.0296</v>
      </c>
      <c r="L46" s="25" t="n">
        <f aca="false">ROUND($C$7*(1+MIN($C$17,$E$46))^2*(1+MIN($C$18,$E$46))^0,4)</f>
        <v>106.0694</v>
      </c>
      <c r="M46" s="25" t="n">
        <f aca="false">ROUND($C$7*(1+MIN($C$17,$E$46))^3*(1+MIN($C$18,$E$46))^0,4)</f>
        <v>107.1195</v>
      </c>
      <c r="N46" s="25" t="n">
        <f aca="false">ROUND($C$7*(1+MIN($C$17,$E$46))^4*(1+MIN($C$18,$E$46))^0,4)</f>
        <v>108.18</v>
      </c>
      <c r="O46" s="25" t="n">
        <f aca="false">ROUND($C$7*(1+MIN($C$17,$E$46))^4*(1+MIN($C$18,$E$46))^1,4)</f>
        <v>109.2509</v>
      </c>
      <c r="P46" s="25" t="n">
        <f aca="false">ROUND($C$7*(1+MIN($C$17,$E$46))^4*(1+MIN($C$18,$E$46))^2,4)</f>
        <v>110.3325</v>
      </c>
      <c r="Q46" s="25" t="n">
        <f aca="false">ROUND($C$7*(1+MIN($C$17,$E$46))^4*(1+MIN($C$18,$E$46))^3,4)</f>
        <v>111.4248</v>
      </c>
      <c r="R46" s="25" t="n">
        <f aca="false">ROUND($C$7*(1+MIN($C$17,$E$46))^4*(1+MIN($C$18,$E$46))^4,4)</f>
        <v>112.5279</v>
      </c>
    </row>
    <row r="47" customFormat="false" ht="15" hidden="false" customHeight="true" outlineLevel="0" collapsed="false">
      <c r="B47" s="22" t="s">
        <v>63</v>
      </c>
      <c r="C47" s="20" t="n">
        <v>0.06</v>
      </c>
      <c r="D47" s="16" t="n">
        <f aca="false">ROUND((ROUND(AVERAGE(G47:J47),4)-$C$7)*$C$12+(ROUND(AVERAGE(K47:N47),4)-$C$7)*$C$13+(ROUND(AVERAGE(O47:R47),4)-$C$7)*$C$14,2)</f>
        <v>685391.03</v>
      </c>
      <c r="E47" s="21" t="n">
        <f aca="false">ROUND((1+C47)^(1/4)-1,4)</f>
        <v>0.0147</v>
      </c>
      <c r="G47" s="25" t="n">
        <f aca="false">ROUND($C$7*(1+MIN($C$17,$E$47))^0*(1+MIN($C$18,$E$47))^0,4)</f>
        <v>104</v>
      </c>
      <c r="H47" s="25" t="n">
        <f aca="false">ROUND($C$7*(1+MIN($C$17,$E$47))^0*(1+MIN($C$18,$E$47))^0,4)</f>
        <v>104</v>
      </c>
      <c r="I47" s="25" t="n">
        <f aca="false">ROUND($C$7*(1+MIN($C$17,$E$47))^0*(1+MIN($C$18,$E$47))^0,4)</f>
        <v>104</v>
      </c>
      <c r="J47" s="25" t="n">
        <f aca="false">ROUND($C$7*(1+MIN($C$17,$E$47))^0*(1+MIN($C$18,$E$47))^0,4)</f>
        <v>104</v>
      </c>
      <c r="K47" s="25" t="n">
        <f aca="false">ROUND($C$7*(1+MIN($C$17,$E$47))^1*(1+MIN($C$18,$E$47))^0,4)</f>
        <v>105.5288</v>
      </c>
      <c r="L47" s="25" t="n">
        <f aca="false">ROUND($C$7*(1+MIN($C$17,$E$47))^2*(1+MIN($C$18,$E$47))^0,4)</f>
        <v>107.0801</v>
      </c>
      <c r="M47" s="25" t="n">
        <f aca="false">ROUND($C$7*(1+MIN($C$17,$E$47))^3*(1+MIN($C$18,$E$47))^0,4)</f>
        <v>108.6542</v>
      </c>
      <c r="N47" s="25" t="n">
        <f aca="false">ROUND($C$7*(1+MIN($C$17,$E$47))^4*(1+MIN($C$18,$E$47))^0,4)</f>
        <v>110.2514</v>
      </c>
      <c r="O47" s="25" t="n">
        <f aca="false">ROUND($C$7*(1+MIN($C$17,$E$47))^4*(1+MIN($C$18,$E$47))^1,4)</f>
        <v>111.6295</v>
      </c>
      <c r="P47" s="25" t="n">
        <f aca="false">ROUND($C$7*(1+MIN($C$17,$E$47))^4*(1+MIN($C$18,$E$47))^2,4)</f>
        <v>113.0249</v>
      </c>
      <c r="Q47" s="25" t="n">
        <f aca="false">ROUND($C$7*(1+MIN($C$17,$E$47))^4*(1+MIN($C$18,$E$47))^3,4)</f>
        <v>114.4377</v>
      </c>
      <c r="R47" s="25" t="n">
        <f aca="false">ROUND($C$7*(1+MIN($C$17,$E$47))^4*(1+MIN($C$18,$E$47))^4,4)</f>
        <v>115.8682</v>
      </c>
    </row>
    <row r="48" customFormat="false" ht="15" hidden="false" customHeight="true" outlineLevel="0" collapsed="false">
      <c r="B48" s="22" t="s">
        <v>64</v>
      </c>
      <c r="C48" s="20" t="n">
        <v>0.99</v>
      </c>
      <c r="D48" s="16" t="n">
        <f aca="false">ROUND((ROUND(AVERAGE(G48:J48),4)-$C$7)*$C$12+(ROUND(AVERAGE(K48:N48),4)-$C$7)*$C$13+(ROUND(AVERAGE(O48:R48),4)-$C$7)*$C$14,2)</f>
        <v>892881.88</v>
      </c>
      <c r="E48" s="21" t="n">
        <f aca="false">ROUND((1+C48)^(1/4)-1,4)</f>
        <v>0.1877</v>
      </c>
      <c r="G48" s="25" t="n">
        <f aca="false">ROUND($C$7*(1+MIN($C$17,$E$48))^0*(1+MIN($C$18,$E$48))^0,4)</f>
        <v>104</v>
      </c>
      <c r="H48" s="25" t="n">
        <f aca="false">ROUND($C$7*(1+MIN($C$17,$E$48))^0*(1+MIN($C$18,$E$48))^0,4)</f>
        <v>104</v>
      </c>
      <c r="I48" s="25" t="n">
        <f aca="false">ROUND($C$7*(1+MIN($C$17,$E$48))^0*(1+MIN($C$18,$E$48))^0,4)</f>
        <v>104</v>
      </c>
      <c r="J48" s="25" t="n">
        <f aca="false">ROUND($C$7*(1+MIN($C$17,$E$48))^0*(1+MIN($C$18,$E$48))^0,4)</f>
        <v>104</v>
      </c>
      <c r="K48" s="25" t="n">
        <f aca="false">ROUND($C$7*(1+MIN($C$17,$E$48))^1*(1+MIN($C$18,$E$48))^0,4)</f>
        <v>106.1216</v>
      </c>
      <c r="L48" s="25" t="n">
        <f aca="false">ROUND($C$7*(1+MIN($C$17,$E$48))^2*(1+MIN($C$18,$E$48))^0,4)</f>
        <v>108.2865</v>
      </c>
      <c r="M48" s="25" t="n">
        <f aca="false">ROUND($C$7*(1+MIN($C$17,$E$48))^3*(1+MIN($C$18,$E$48))^0,4)</f>
        <v>110.4955</v>
      </c>
      <c r="N48" s="25" t="n">
        <f aca="false">ROUND($C$7*(1+MIN($C$17,$E$48))^4*(1+MIN($C$18,$E$48))^0,4)</f>
        <v>112.7496</v>
      </c>
      <c r="O48" s="25" t="n">
        <f aca="false">ROUND($C$7*(1+MIN($C$17,$E$48))^4*(1+MIN($C$18,$E$48))^1,4)</f>
        <v>114.159</v>
      </c>
      <c r="P48" s="25" t="n">
        <f aca="false">ROUND($C$7*(1+MIN($C$17,$E$48))^4*(1+MIN($C$18,$E$48))^2,4)</f>
        <v>115.586</v>
      </c>
      <c r="Q48" s="25" t="n">
        <f aca="false">ROUND($C$7*(1+MIN($C$17,$E$48))^4*(1+MIN($C$18,$E$48))^3,4)</f>
        <v>117.0308</v>
      </c>
      <c r="R48" s="25" t="n">
        <f aca="false">ROUND($C$7*(1+MIN($C$17,$E$48))^4*(1+MIN($C$18,$E$48))^4,4)</f>
        <v>118.4937</v>
      </c>
    </row>
    <row r="49" customFormat="false" ht="15" hidden="false" customHeight="true" outlineLevel="0" collapsed="false">
      <c r="B49" s="3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6"/>
    <col collapsed="false" customWidth="true" hidden="false" outlineLevel="0" max="3" min="3" style="1" width="24"/>
    <col collapsed="false" customWidth="true" hidden="false" outlineLevel="0" max="4" min="4" style="1" width="16"/>
    <col collapsed="false" customWidth="true" hidden="false" outlineLevel="0" max="5" min="5" style="1" width="22"/>
    <col collapsed="false" customWidth="true" hidden="false" outlineLevel="0" max="7" min="6" style="1" width="18"/>
  </cols>
  <sheetData>
    <row r="2" customFormat="false" ht="15.75" hidden="false" customHeight="true" outlineLevel="0" collapsed="false">
      <c r="B2" s="2" t="s">
        <v>66</v>
      </c>
    </row>
    <row r="3" customFormat="false" ht="15" hidden="false" customHeight="true" outlineLevel="0" collapsed="false">
      <c r="B3" s="3" t="s">
        <v>67</v>
      </c>
    </row>
    <row r="6" customFormat="false" ht="15" hidden="false" customHeight="true" outlineLevel="0" collapsed="false">
      <c r="B6" s="8" t="s">
        <v>18</v>
      </c>
      <c r="C6" s="9"/>
      <c r="D6" s="9"/>
      <c r="E6" s="9"/>
      <c r="F6" s="9"/>
      <c r="G6" s="9"/>
    </row>
    <row r="7" customFormat="false" ht="15" hidden="false" customHeight="true" outlineLevel="0" collapsed="false">
      <c r="B7" s="5" t="s">
        <v>68</v>
      </c>
      <c r="C7" s="11" t="n">
        <v>55000</v>
      </c>
    </row>
    <row r="8" customFormat="false" ht="15" hidden="false" customHeight="true" outlineLevel="0" collapsed="false">
      <c r="B8" s="5" t="s">
        <v>69</v>
      </c>
      <c r="C8" s="13" t="n">
        <v>0.045</v>
      </c>
    </row>
    <row r="9" customFormat="false" ht="15" hidden="false" customHeight="true" outlineLevel="0" collapsed="false">
      <c r="B9" s="5" t="s">
        <v>40</v>
      </c>
      <c r="C9" s="12" t="n">
        <v>58400</v>
      </c>
    </row>
    <row r="10" customFormat="false" ht="15" hidden="false" customHeight="true" outlineLevel="0" collapsed="false">
      <c r="B10" s="5" t="s">
        <v>41</v>
      </c>
      <c r="C10" s="11" t="n">
        <v>51400</v>
      </c>
    </row>
    <row r="11" customFormat="false" ht="15" hidden="false" customHeight="true" outlineLevel="0" collapsed="false">
      <c r="B11" s="5" t="s">
        <v>42</v>
      </c>
      <c r="C11" s="11" t="n">
        <v>49900</v>
      </c>
    </row>
    <row r="12" customFormat="false" ht="15" hidden="false" customHeight="true" outlineLevel="0" collapsed="false">
      <c r="B12" s="5" t="s">
        <v>70</v>
      </c>
      <c r="C12" s="26" t="n">
        <v>104</v>
      </c>
    </row>
    <row r="13" customFormat="false" ht="15" hidden="false" customHeight="true" outlineLevel="0" collapsed="false">
      <c r="B13" s="5" t="s">
        <v>71</v>
      </c>
      <c r="C13" s="26" t="n">
        <v>109.4133</v>
      </c>
    </row>
    <row r="14" customFormat="false" ht="15" hidden="false" customHeight="true" outlineLevel="0" collapsed="false">
      <c r="B14" s="5" t="s">
        <v>72</v>
      </c>
      <c r="C14" s="26" t="n">
        <v>116.3174</v>
      </c>
    </row>
    <row r="16" customFormat="false" ht="15" hidden="false" customHeight="true" outlineLevel="0" collapsed="false">
      <c r="B16" s="8" t="s">
        <v>73</v>
      </c>
      <c r="C16" s="9"/>
      <c r="D16" s="9"/>
      <c r="E16" s="9"/>
      <c r="F16" s="9"/>
      <c r="G16" s="9"/>
    </row>
    <row r="17" customFormat="false" ht="15" hidden="false" customHeight="true" outlineLevel="0" collapsed="false">
      <c r="B17" s="17" t="s">
        <v>74</v>
      </c>
      <c r="C17" s="17" t="s">
        <v>75</v>
      </c>
      <c r="D17" s="17" t="s">
        <v>76</v>
      </c>
      <c r="E17" s="17" t="s">
        <v>77</v>
      </c>
      <c r="F17" s="17" t="s">
        <v>78</v>
      </c>
    </row>
    <row r="18" customFormat="false" ht="15" hidden="false" customHeight="true" outlineLevel="0" collapsed="false">
      <c r="B18" s="14" t="n">
        <v>1</v>
      </c>
      <c r="C18" s="14" t="n">
        <f aca="false">$C$9</f>
        <v>58400</v>
      </c>
      <c r="D18" s="23" t="n">
        <f aca="false">$C$12</f>
        <v>104</v>
      </c>
      <c r="E18" s="22" t="str">
        <f aca="false">IF($C$9&lt;$C$7,"yes","no")</f>
        <v>no</v>
      </c>
      <c r="F18" s="16" t="n">
        <f aca="false">IF($C$9&lt;$C$7,ROUND($C$9*$C$12*$C$8,2),0)</f>
        <v>0</v>
      </c>
    </row>
    <row r="19" customFormat="false" ht="15" hidden="false" customHeight="true" outlineLevel="0" collapsed="false">
      <c r="B19" s="14" t="n">
        <v>2</v>
      </c>
      <c r="C19" s="14" t="n">
        <f aca="false">$C$10</f>
        <v>51400</v>
      </c>
      <c r="D19" s="23" t="n">
        <f aca="false">$C$13</f>
        <v>109.4133</v>
      </c>
      <c r="E19" s="22" t="str">
        <f aca="false">IF($C$10&lt;$C$7,"yes","no")</f>
        <v>yes</v>
      </c>
      <c r="F19" s="16" t="n">
        <f aca="false">IF($C$10&lt;$C$7,ROUND($C$10*$C$13*$C$8,2),0)</f>
        <v>253072.96</v>
      </c>
    </row>
    <row r="20" customFormat="false" ht="15" hidden="false" customHeight="true" outlineLevel="0" collapsed="false">
      <c r="B20" s="14" t="n">
        <v>3</v>
      </c>
      <c r="C20" s="14" t="n">
        <f aca="false">$C$11</f>
        <v>49900</v>
      </c>
      <c r="D20" s="23" t="n">
        <f aca="false">$C$14</f>
        <v>116.3174</v>
      </c>
      <c r="E20" s="22" t="str">
        <f aca="false">IF($C$11&lt;$C$7,"yes","no")</f>
        <v>yes</v>
      </c>
      <c r="F20" s="16" t="n">
        <f aca="false">IF($C$11&lt;$C$7,ROUND($C$11*$C$14*$C$8,2),0)</f>
        <v>261190.72</v>
      </c>
    </row>
    <row r="22" customFormat="false" ht="15" hidden="false" customHeight="true" outlineLevel="0" collapsed="false">
      <c r="B22" s="8" t="s">
        <v>23</v>
      </c>
      <c r="C22" s="9"/>
      <c r="D22" s="9"/>
      <c r="E22" s="9"/>
      <c r="F22" s="9"/>
      <c r="G22" s="9"/>
    </row>
    <row r="23" customFormat="false" ht="15" hidden="false" customHeight="true" outlineLevel="0" collapsed="false">
      <c r="B23" s="4" t="s">
        <v>79</v>
      </c>
      <c r="C23" s="15" t="n">
        <f aca="false">ROUND(SUM(F18:F20),2)</f>
        <v>514263.68</v>
      </c>
    </row>
    <row r="24" customFormat="false" ht="15" hidden="false" customHeight="true" outlineLevel="0" collapsed="false">
      <c r="B24" s="5" t="s">
        <v>80</v>
      </c>
      <c r="C24" s="14" t="n">
        <f aca="false">$C$7-$C$10</f>
        <v>3600</v>
      </c>
    </row>
    <row r="25" customFormat="false" ht="15" hidden="false" customHeight="true" outlineLevel="0" collapsed="false">
      <c r="B25" s="4" t="s">
        <v>81</v>
      </c>
      <c r="C25" s="27" t="n">
        <f aca="false">ROUND(F19/$C$24,4)</f>
        <v>70.298</v>
      </c>
      <c r="D25" s="3" t="s">
        <v>82</v>
      </c>
    </row>
    <row r="26" customFormat="false" ht="15" hidden="false" customHeight="true" outlineLevel="0" collapsed="false">
      <c r="B26" s="5" t="s">
        <v>83</v>
      </c>
      <c r="C26" s="16" t="n">
        <f aca="false">ROUND($C$24*$C$13*$C$8,2)</f>
        <v>17724.95</v>
      </c>
    </row>
    <row r="27" customFormat="false" ht="15" hidden="false" customHeight="true" outlineLevel="0" collapsed="false">
      <c r="B27" s="5" t="s">
        <v>84</v>
      </c>
      <c r="C27" s="23" t="n">
        <f aca="false">ROUND(F19/$C$26,4)</f>
        <v>14.2778</v>
      </c>
    </row>
    <row r="28" customFormat="false" ht="15" hidden="false" customHeight="false" outlineLevel="0" collapsed="false">
      <c r="B28" s="28" t="s">
        <v>85</v>
      </c>
      <c r="C28" s="29" t="n">
        <f aca="false">$C$24/$C$7</f>
        <v>0.0654545454545455</v>
      </c>
      <c r="D28" s="30" t="s">
        <v>86</v>
      </c>
    </row>
    <row r="29" customFormat="false" ht="15" hidden="false" customHeight="true" outlineLevel="0" collapsed="false">
      <c r="B29" s="8" t="s">
        <v>87</v>
      </c>
      <c r="C29" s="9"/>
      <c r="D29" s="9"/>
      <c r="E29" s="9"/>
      <c r="F29" s="9"/>
      <c r="G29" s="9"/>
    </row>
    <row r="30" customFormat="false" ht="15" hidden="false" customHeight="true" outlineLevel="0" collapsed="false">
      <c r="B30" s="17" t="s">
        <v>88</v>
      </c>
      <c r="C30" s="17" t="s">
        <v>79</v>
      </c>
    </row>
    <row r="31" customFormat="false" ht="15" hidden="false" customHeight="true" outlineLevel="0" collapsed="false">
      <c r="B31" s="14" t="n">
        <v>45000</v>
      </c>
      <c r="C31" s="16" t="n">
        <f aca="false">ROUND(IF($C$9&lt;B31,$C$9*$C$12*$C$8,0),2)+ROUND(IF($C$10&lt;B31,$C$10*$C$13*$C$8,0),2)+ROUND(IF($C$11&lt;B31,$C$11*$C$14*$C$8,0),2)</f>
        <v>0</v>
      </c>
    </row>
    <row r="32" customFormat="false" ht="15" hidden="false" customHeight="true" outlineLevel="0" collapsed="false">
      <c r="B32" s="14" t="n">
        <v>48000</v>
      </c>
      <c r="C32" s="16" t="n">
        <f aca="false">ROUND(IF($C$9&lt;B32,$C$9*$C$12*$C$8,0),2)+ROUND(IF($C$10&lt;B32,$C$10*$C$13*$C$8,0),2)+ROUND(IF($C$11&lt;B32,$C$11*$C$14*$C$8,0),2)</f>
        <v>0</v>
      </c>
    </row>
    <row r="33" customFormat="false" ht="15" hidden="false" customHeight="true" outlineLevel="0" collapsed="false">
      <c r="B33" s="14" t="n">
        <v>50000</v>
      </c>
      <c r="C33" s="16" t="n">
        <f aca="false">ROUND(IF($C$9&lt;B33,$C$9*$C$12*$C$8,0),2)+ROUND(IF($C$10&lt;B33,$C$10*$C$13*$C$8,0),2)+ROUND(IF($C$11&lt;B33,$C$11*$C$14*$C$8,0),2)</f>
        <v>261190.72</v>
      </c>
    </row>
    <row r="34" customFormat="false" ht="15" hidden="false" customHeight="true" outlineLevel="0" collapsed="false">
      <c r="B34" s="14" t="n">
        <v>52000</v>
      </c>
      <c r="C34" s="16" t="n">
        <f aca="false">ROUND(IF($C$9&lt;B34,$C$9*$C$12*$C$8,0),2)+ROUND(IF($C$10&lt;B34,$C$10*$C$13*$C$8,0),2)+ROUND(IF($C$11&lt;B34,$C$11*$C$14*$C$8,0),2)</f>
        <v>514263.68</v>
      </c>
    </row>
    <row r="35" customFormat="false" ht="15" hidden="false" customHeight="true" outlineLevel="0" collapsed="false">
      <c r="B35" s="14" t="n">
        <v>55000</v>
      </c>
      <c r="C35" s="16" t="n">
        <f aca="false">ROUND(IF($C$9&lt;B35,$C$9*$C$12*$C$8,0),2)+ROUND(IF($C$10&lt;B35,$C$10*$C$13*$C$8,0),2)+ROUND(IF($C$11&lt;B35,$C$11*$C$14*$C$8,0),2)</f>
        <v>514263.68</v>
      </c>
    </row>
    <row r="36" customFormat="false" ht="15" hidden="false" customHeight="true" outlineLevel="0" collapsed="false">
      <c r="B36" s="3" t="s">
        <v>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0"/>
    <col collapsed="false" customWidth="true" hidden="false" outlineLevel="0" max="3" min="3" style="1" width="14"/>
    <col collapsed="false" customWidth="true" hidden="false" outlineLevel="0" max="4" min="4" style="1" width="20"/>
    <col collapsed="false" customWidth="true" hidden="false" outlineLevel="0" max="5" min="5" style="1" width="18"/>
    <col collapsed="false" customWidth="true" hidden="false" outlineLevel="0" max="6" min="6" style="1" width="12"/>
    <col collapsed="false" customWidth="true" hidden="false" outlineLevel="0" max="7" min="7" style="1" width="18"/>
  </cols>
  <sheetData>
    <row r="2" customFormat="false" ht="15.75" hidden="false" customHeight="true" outlineLevel="0" collapsed="false">
      <c r="B2" s="2" t="s">
        <v>90</v>
      </c>
    </row>
    <row r="3" customFormat="false" ht="15" hidden="false" customHeight="true" outlineLevel="0" collapsed="false">
      <c r="B3" s="3" t="s">
        <v>91</v>
      </c>
    </row>
    <row r="6" customFormat="false" ht="15" hidden="false" customHeight="true" outlineLevel="0" collapsed="false">
      <c r="B6" s="8" t="s">
        <v>18</v>
      </c>
      <c r="C6" s="9"/>
      <c r="D6" s="9"/>
      <c r="E6" s="9"/>
      <c r="F6" s="9"/>
      <c r="G6" s="9"/>
    </row>
    <row r="7" customFormat="false" ht="15" hidden="false" customHeight="true" outlineLevel="0" collapsed="false">
      <c r="B7" s="5" t="s">
        <v>92</v>
      </c>
      <c r="C7" s="11" t="n">
        <v>65000</v>
      </c>
    </row>
    <row r="8" customFormat="false" ht="15" hidden="false" customHeight="true" outlineLevel="0" collapsed="false">
      <c r="B8" s="5" t="s">
        <v>93</v>
      </c>
      <c r="C8" s="20" t="n">
        <v>0.015</v>
      </c>
    </row>
    <row r="9" customFormat="false" ht="15" hidden="false" customHeight="true" outlineLevel="0" collapsed="false">
      <c r="B9" s="5" t="s">
        <v>94</v>
      </c>
      <c r="C9" s="26" t="n">
        <v>109.4133</v>
      </c>
    </row>
    <row r="10" customFormat="false" ht="15" hidden="false" customHeight="true" outlineLevel="0" collapsed="false">
      <c r="B10" s="5" t="s">
        <v>95</v>
      </c>
      <c r="C10" s="11" t="n">
        <v>50200</v>
      </c>
    </row>
    <row r="11" customFormat="false" ht="15" hidden="false" customHeight="true" outlineLevel="0" collapsed="false">
      <c r="B11" s="5" t="s">
        <v>96</v>
      </c>
      <c r="C11" s="11" t="n">
        <v>62000</v>
      </c>
    </row>
    <row r="12" customFormat="false" ht="15" hidden="false" customHeight="true" outlineLevel="0" collapsed="false">
      <c r="B12" s="5" t="s">
        <v>97</v>
      </c>
      <c r="C12" s="11" t="n">
        <v>68500</v>
      </c>
    </row>
    <row r="14" customFormat="false" ht="15" hidden="false" customHeight="true" outlineLevel="0" collapsed="false">
      <c r="B14" s="8" t="s">
        <v>98</v>
      </c>
      <c r="C14" s="9"/>
      <c r="D14" s="9"/>
      <c r="E14" s="9"/>
      <c r="F14" s="9"/>
      <c r="G14" s="9"/>
    </row>
    <row r="15" customFormat="false" ht="15" hidden="false" customHeight="true" outlineLevel="0" collapsed="false">
      <c r="B15" s="17" t="s">
        <v>99</v>
      </c>
      <c r="C15" s="17" t="s">
        <v>75</v>
      </c>
      <c r="D15" s="17" t="s">
        <v>100</v>
      </c>
      <c r="E15" s="17" t="s">
        <v>101</v>
      </c>
      <c r="F15" s="17" t="s">
        <v>102</v>
      </c>
      <c r="G15" s="17" t="s">
        <v>103</v>
      </c>
    </row>
    <row r="16" customFormat="false" ht="15" hidden="false" customHeight="true" outlineLevel="0" collapsed="false">
      <c r="B16" s="22" t="s">
        <v>104</v>
      </c>
      <c r="C16" s="14" t="n">
        <f aca="false">$C$10</f>
        <v>50200</v>
      </c>
      <c r="D16" s="22" t="str">
        <f aca="false">IF($C$10&gt;$C$7,"yes","no")</f>
        <v>no</v>
      </c>
      <c r="E16" s="16" t="n">
        <f aca="false">IF($C$10&gt;$C$7,ROUND($C$10*$C$9*$C$8,2),0)</f>
        <v>0</v>
      </c>
      <c r="F16" s="31" t="n">
        <f aca="false">1/3</f>
        <v>0.333333333333333</v>
      </c>
      <c r="G16" s="16" t="n">
        <f aca="false">ROUND(E16*F16,2)</f>
        <v>0</v>
      </c>
    </row>
    <row r="17" customFormat="false" ht="15" hidden="false" customHeight="true" outlineLevel="0" collapsed="false">
      <c r="B17" s="22" t="s">
        <v>105</v>
      </c>
      <c r="C17" s="14" t="n">
        <f aca="false">$C$11</f>
        <v>62000</v>
      </c>
      <c r="D17" s="22" t="str">
        <f aca="false">IF($C$11&gt;$C$7,"yes","no")</f>
        <v>no</v>
      </c>
      <c r="E17" s="16" t="n">
        <f aca="false">IF($C$11&gt;$C$7,ROUND($C$11*$C$9*$C$8,2),0)</f>
        <v>0</v>
      </c>
      <c r="F17" s="31" t="n">
        <f aca="false">1/3</f>
        <v>0.333333333333333</v>
      </c>
      <c r="G17" s="16" t="n">
        <f aca="false">ROUND(E17*F17,2)</f>
        <v>0</v>
      </c>
    </row>
    <row r="18" customFormat="false" ht="15" hidden="false" customHeight="true" outlineLevel="0" collapsed="false">
      <c r="B18" s="22" t="s">
        <v>106</v>
      </c>
      <c r="C18" s="14" t="n">
        <f aca="false">$C$12</f>
        <v>68500</v>
      </c>
      <c r="D18" s="22" t="str">
        <f aca="false">IF($C$12&gt;$C$7,"yes","no")</f>
        <v>yes</v>
      </c>
      <c r="E18" s="16" t="n">
        <f aca="false">IF($C$12&gt;$C$7,ROUND($C$12*$C$9*$C$8,2),0)</f>
        <v>112422.17</v>
      </c>
      <c r="F18" s="31" t="n">
        <f aca="false">1/3</f>
        <v>0.333333333333333</v>
      </c>
      <c r="G18" s="16" t="n">
        <f aca="false">ROUND(E18*F18,2)</f>
        <v>37474.06</v>
      </c>
    </row>
    <row r="20" customFormat="false" ht="15" hidden="false" customHeight="true" outlineLevel="0" collapsed="false">
      <c r="B20" s="8" t="s">
        <v>23</v>
      </c>
      <c r="C20" s="9"/>
      <c r="D20" s="9"/>
      <c r="E20" s="9"/>
      <c r="F20" s="9"/>
      <c r="G20" s="9"/>
    </row>
    <row r="21" customFormat="false" ht="15" hidden="false" customHeight="true" outlineLevel="0" collapsed="false">
      <c r="B21" s="4" t="s">
        <v>107</v>
      </c>
      <c r="C21" s="15" t="n">
        <f aca="false">ROUND(SUM(G16:G18),2)</f>
        <v>37474.06</v>
      </c>
    </row>
    <row r="22" customFormat="false" ht="15" hidden="false" customHeight="true" outlineLevel="0" collapsed="false">
      <c r="B22" s="5" t="s">
        <v>108</v>
      </c>
      <c r="C22" s="16" t="n">
        <f aca="false">E18</f>
        <v>112422.17</v>
      </c>
    </row>
    <row r="23" customFormat="false" ht="15" hidden="false" customHeight="true" outlineLevel="0" collapsed="false">
      <c r="B23" s="4" t="s">
        <v>109</v>
      </c>
      <c r="C23" s="15" t="n">
        <f aca="false">ROUND($C$22-$C$21,2)</f>
        <v>74948.11</v>
      </c>
    </row>
    <row r="24" customFormat="false" ht="15" hidden="false" customHeight="true" outlineLevel="0" collapsed="false">
      <c r="B24" s="3" t="s">
        <v>110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4"/>
    <col collapsed="false" customWidth="true" hidden="false" outlineLevel="0" max="4" min="3" style="1" width="20"/>
    <col collapsed="false" customWidth="true" hidden="false" outlineLevel="0" max="7" min="5" style="1" width="18"/>
  </cols>
  <sheetData>
    <row r="2" customFormat="false" ht="15.75" hidden="false" customHeight="true" outlineLevel="0" collapsed="false">
      <c r="B2" s="2" t="s">
        <v>111</v>
      </c>
    </row>
    <row r="3" customFormat="false" ht="15" hidden="false" customHeight="true" outlineLevel="0" collapsed="false">
      <c r="B3" s="3" t="s">
        <v>112</v>
      </c>
    </row>
    <row r="6" customFormat="false" ht="15" hidden="false" customHeight="true" outlineLevel="0" collapsed="false">
      <c r="B6" s="8" t="s">
        <v>18</v>
      </c>
      <c r="C6" s="9"/>
      <c r="D6" s="9"/>
      <c r="E6" s="9"/>
      <c r="F6" s="9"/>
      <c r="G6" s="9"/>
    </row>
    <row r="7" customFormat="false" ht="15" hidden="false" customHeight="true" outlineLevel="0" collapsed="false">
      <c r="B7" s="5" t="s">
        <v>113</v>
      </c>
      <c r="C7" s="10" t="n">
        <v>18400</v>
      </c>
    </row>
    <row r="8" customFormat="false" ht="15" hidden="false" customHeight="true" outlineLevel="0" collapsed="false">
      <c r="B8" s="5" t="s">
        <v>114</v>
      </c>
      <c r="C8" s="19" t="n">
        <v>11.5</v>
      </c>
    </row>
    <row r="9" customFormat="false" ht="15" hidden="false" customHeight="true" outlineLevel="0" collapsed="false">
      <c r="B9" s="5" t="s">
        <v>115</v>
      </c>
      <c r="C9" s="19" t="n">
        <v>7</v>
      </c>
    </row>
    <row r="10" customFormat="false" ht="15" hidden="false" customHeight="true" outlineLevel="0" collapsed="false">
      <c r="B10" s="5" t="s">
        <v>116</v>
      </c>
      <c r="C10" s="19" t="n">
        <v>16.25</v>
      </c>
    </row>
    <row r="11" customFormat="false" ht="15" hidden="false" customHeight="true" outlineLevel="0" collapsed="false">
      <c r="B11" s="5" t="s">
        <v>117</v>
      </c>
      <c r="C11" s="12" t="n">
        <v>3</v>
      </c>
    </row>
    <row r="12" customFormat="false" ht="15" hidden="false" customHeight="true" outlineLevel="0" collapsed="false">
      <c r="B12" s="5" t="s">
        <v>118</v>
      </c>
      <c r="C12" s="12" t="n">
        <v>5200</v>
      </c>
    </row>
    <row r="13" customFormat="false" ht="15" hidden="false" customHeight="true" outlineLevel="0" collapsed="false">
      <c r="B13" s="5" t="s">
        <v>94</v>
      </c>
      <c r="C13" s="26" t="n">
        <v>104</v>
      </c>
    </row>
    <row r="14" customFormat="false" ht="15" hidden="false" customHeight="true" outlineLevel="0" collapsed="false">
      <c r="B14" s="5" t="s">
        <v>119</v>
      </c>
      <c r="C14" s="13" t="n">
        <v>0.05</v>
      </c>
    </row>
    <row r="15" customFormat="false" ht="15" hidden="false" customHeight="true" outlineLevel="0" collapsed="false">
      <c r="B15" s="5" t="s">
        <v>120</v>
      </c>
      <c r="C15" s="20" t="n">
        <v>0.1</v>
      </c>
    </row>
    <row r="16" customFormat="false" ht="15" hidden="false" customHeight="true" outlineLevel="0" collapsed="false">
      <c r="B16" s="5" t="s">
        <v>121</v>
      </c>
      <c r="C16" s="20" t="n">
        <v>0.13</v>
      </c>
    </row>
    <row r="18" customFormat="false" ht="15" hidden="false" customHeight="true" outlineLevel="0" collapsed="false">
      <c r="B18" s="8" t="s">
        <v>23</v>
      </c>
      <c r="C18" s="9"/>
      <c r="D18" s="9"/>
      <c r="E18" s="9"/>
      <c r="F18" s="9"/>
      <c r="G18" s="9"/>
    </row>
    <row r="19" customFormat="false" ht="15" hidden="false" customHeight="true" outlineLevel="0" collapsed="false">
      <c r="B19" s="5" t="s">
        <v>122</v>
      </c>
      <c r="C19" s="16" t="n">
        <f aca="false">$C$8+$C$9+$C$10</f>
        <v>34.75</v>
      </c>
    </row>
    <row r="20" customFormat="false" ht="15" hidden="false" customHeight="true" outlineLevel="0" collapsed="false">
      <c r="B20" s="4" t="s">
        <v>123</v>
      </c>
      <c r="C20" s="15" t="n">
        <f aca="false">ROUND($C$19*$C$7,2)</f>
        <v>639400</v>
      </c>
    </row>
    <row r="21" customFormat="false" ht="15" hidden="false" customHeight="true" outlineLevel="0" collapsed="false">
      <c r="B21" s="5" t="s">
        <v>124</v>
      </c>
      <c r="C21" s="16" t="n">
        <f aca="false">ROUND($C$11*$C$12*$C$13,2)</f>
        <v>1622400</v>
      </c>
    </row>
    <row r="22" customFormat="false" ht="15" hidden="false" customHeight="true" outlineLevel="0" collapsed="false">
      <c r="B22" s="5" t="s">
        <v>125</v>
      </c>
      <c r="C22" s="16" t="n">
        <f aca="false">ROUND($C$21*$C$14,2)</f>
        <v>81120</v>
      </c>
    </row>
    <row r="23" customFormat="false" ht="15" hidden="false" customHeight="true" outlineLevel="0" collapsed="false">
      <c r="B23" s="5" t="s">
        <v>126</v>
      </c>
      <c r="C23" s="16" t="n">
        <f aca="false">ROUND($C$21*$C$15,2)</f>
        <v>162240</v>
      </c>
    </row>
    <row r="24" customFormat="false" ht="15" hidden="false" customHeight="true" outlineLevel="0" collapsed="false">
      <c r="B24" s="4" t="s">
        <v>127</v>
      </c>
      <c r="C24" s="15" t="n">
        <f aca="false">$C$23-$C$22</f>
        <v>81120</v>
      </c>
    </row>
    <row r="25" customFormat="false" ht="15" hidden="false" customHeight="true" outlineLevel="0" collapsed="false">
      <c r="B25" s="4" t="s">
        <v>128</v>
      </c>
      <c r="C25" s="18" t="n">
        <f aca="false">$C$22/$C$20</f>
        <v>0.126868939630904</v>
      </c>
    </row>
    <row r="26" customFormat="false" ht="15" hidden="false" customHeight="true" outlineLevel="0" collapsed="false">
      <c r="B26" s="5" t="s">
        <v>129</v>
      </c>
      <c r="C26" s="16" t="n">
        <f aca="false">$C$20-$C$22</f>
        <v>558280</v>
      </c>
    </row>
    <row r="27" customFormat="false" ht="15" hidden="false" customHeight="true" outlineLevel="0" collapsed="false">
      <c r="B27" s="4" t="s">
        <v>130</v>
      </c>
      <c r="C27" s="18" t="n">
        <f aca="false">ROUND($C$22/$C$11,2)/ROUND($C$12*$C$13*$C$16,2)</f>
        <v>0.384615384615385</v>
      </c>
      <c r="D27" s="3" t="s">
        <v>131</v>
      </c>
    </row>
    <row r="29" customFormat="false" ht="15" hidden="false" customHeight="true" outlineLevel="0" collapsed="false">
      <c r="B29" s="8" t="s">
        <v>132</v>
      </c>
      <c r="C29" s="9"/>
      <c r="D29" s="9"/>
      <c r="E29" s="9"/>
      <c r="F29" s="9"/>
      <c r="G29" s="9"/>
    </row>
    <row r="30" customFormat="false" ht="15" hidden="false" customHeight="true" outlineLevel="0" collapsed="false">
      <c r="B30" s="17" t="s">
        <v>133</v>
      </c>
      <c r="C30" s="17" t="s">
        <v>134</v>
      </c>
      <c r="D30" s="17" t="s">
        <v>135</v>
      </c>
    </row>
    <row r="31" customFormat="false" ht="15" hidden="false" customHeight="true" outlineLevel="0" collapsed="false">
      <c r="B31" s="32" t="n">
        <v>0.05</v>
      </c>
      <c r="C31" s="16" t="n">
        <f aca="false">ROUND($C$21*B31,2)</f>
        <v>81120</v>
      </c>
      <c r="D31" s="32" t="n">
        <f aca="false">C31/$C$20</f>
        <v>0.126868939630904</v>
      </c>
    </row>
    <row r="32" customFormat="false" ht="15" hidden="false" customHeight="true" outlineLevel="0" collapsed="false">
      <c r="B32" s="32" t="n">
        <v>0.1</v>
      </c>
      <c r="C32" s="16" t="n">
        <f aca="false">ROUND($C$21*B32,2)</f>
        <v>162240</v>
      </c>
      <c r="D32" s="32" t="n">
        <f aca="false">C32/$C$20</f>
        <v>0.253737879261808</v>
      </c>
    </row>
    <row r="33" customFormat="false" ht="15" hidden="false" customHeight="true" outlineLevel="0" collapsed="false">
      <c r="B33" s="32" t="n">
        <v>0.15</v>
      </c>
      <c r="C33" s="16" t="n">
        <f aca="false">ROUND($C$21*B33,2)</f>
        <v>243360</v>
      </c>
      <c r="D33" s="32" t="n">
        <f aca="false">C33/$C$20</f>
        <v>0.380606818892712</v>
      </c>
    </row>
    <row r="34" customFormat="false" ht="15" hidden="false" customHeight="true" outlineLevel="0" collapsed="false">
      <c r="B34" s="32" t="n">
        <v>0.2</v>
      </c>
      <c r="C34" s="16" t="n">
        <f aca="false">ROUND($C$21*B34,2)</f>
        <v>324480</v>
      </c>
      <c r="D34" s="32" t="n">
        <f aca="false">C34/$C$20</f>
        <v>0.507475758523616</v>
      </c>
    </row>
    <row r="35" customFormat="false" ht="15" hidden="false" customHeight="true" outlineLevel="0" collapsed="false">
      <c r="B35" s="32" t="n">
        <v>0.5</v>
      </c>
      <c r="C35" s="16" t="n">
        <f aca="false">ROUND($C$21*B35,2)</f>
        <v>811200</v>
      </c>
      <c r="D35" s="32" t="n">
        <f aca="false">C35/$C$20</f>
        <v>1.26868939630904</v>
      </c>
    </row>
    <row r="36" customFormat="false" ht="15" hidden="false" customHeight="true" outlineLevel="0" collapsed="false">
      <c r="B36" s="3" t="s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4"/>
    <col collapsed="false" customWidth="true" hidden="false" outlineLevel="0" max="3" min="3" style="1" width="26"/>
    <col collapsed="false" customWidth="true" hidden="false" outlineLevel="0" max="4" min="4" style="1" width="20"/>
    <col collapsed="false" customWidth="true" hidden="false" outlineLevel="0" max="7" min="5" style="1" width="18"/>
  </cols>
  <sheetData>
    <row r="2" customFormat="false" ht="15.75" hidden="false" customHeight="true" outlineLevel="0" collapsed="false">
      <c r="B2" s="2" t="s">
        <v>137</v>
      </c>
    </row>
    <row r="3" customFormat="false" ht="15" hidden="false" customHeight="true" outlineLevel="0" collapsed="false">
      <c r="B3" s="3" t="s">
        <v>138</v>
      </c>
    </row>
    <row r="6" customFormat="false" ht="15" hidden="false" customHeight="true" outlineLevel="0" collapsed="false">
      <c r="B6" s="8" t="s">
        <v>18</v>
      </c>
      <c r="C6" s="9"/>
      <c r="D6" s="9"/>
      <c r="E6" s="9"/>
      <c r="F6" s="9"/>
      <c r="G6" s="9"/>
    </row>
    <row r="7" customFormat="false" ht="15" hidden="false" customHeight="true" outlineLevel="0" collapsed="false">
      <c r="B7" s="5" t="s">
        <v>139</v>
      </c>
      <c r="C7" s="12" t="n">
        <v>159700</v>
      </c>
    </row>
    <row r="8" customFormat="false" ht="15" hidden="false" customHeight="true" outlineLevel="0" collapsed="false">
      <c r="B8" s="5" t="s">
        <v>140</v>
      </c>
      <c r="C8" s="33" t="n">
        <v>0.0042</v>
      </c>
    </row>
    <row r="9" customFormat="false" ht="15" hidden="false" customHeight="true" outlineLevel="0" collapsed="false">
      <c r="B9" s="5" t="s">
        <v>141</v>
      </c>
      <c r="C9" s="10" t="n">
        <v>890</v>
      </c>
    </row>
    <row r="10" customFormat="false" ht="15" hidden="false" customHeight="true" outlineLevel="0" collapsed="false">
      <c r="B10" s="5" t="s">
        <v>142</v>
      </c>
      <c r="C10" s="11" t="n">
        <v>12</v>
      </c>
    </row>
    <row r="11" customFormat="false" ht="15" hidden="false" customHeight="true" outlineLevel="0" collapsed="false">
      <c r="B11" s="5" t="s">
        <v>143</v>
      </c>
      <c r="C11" s="12" t="n">
        <v>24</v>
      </c>
    </row>
    <row r="12" customFormat="false" ht="15" hidden="false" customHeight="true" outlineLevel="0" collapsed="false">
      <c r="B12" s="5" t="s">
        <v>144</v>
      </c>
      <c r="C12" s="11" t="n">
        <v>36</v>
      </c>
    </row>
    <row r="13" customFormat="false" ht="15" hidden="false" customHeight="true" outlineLevel="0" collapsed="false">
      <c r="B13" s="5" t="s">
        <v>145</v>
      </c>
      <c r="C13" s="10" t="n">
        <v>5.2</v>
      </c>
    </row>
    <row r="14" customFormat="false" ht="15" hidden="false" customHeight="true" outlineLevel="0" collapsed="false">
      <c r="B14" s="5" t="s">
        <v>146</v>
      </c>
      <c r="C14" s="20" t="n">
        <v>0.38</v>
      </c>
    </row>
    <row r="15" customFormat="false" ht="15" hidden="false" customHeight="true" outlineLevel="0" collapsed="false">
      <c r="B15" s="5" t="s">
        <v>147</v>
      </c>
      <c r="C15" s="20" t="n">
        <v>0.71</v>
      </c>
    </row>
    <row r="16" customFormat="false" ht="15" hidden="false" customHeight="false" outlineLevel="0" collapsed="false">
      <c r="B16" s="28" t="s">
        <v>148</v>
      </c>
      <c r="C16" s="34" t="n">
        <v>104</v>
      </c>
    </row>
    <row r="17" customFormat="false" ht="15" hidden="false" customHeight="true" outlineLevel="0" collapsed="false">
      <c r="B17" s="8" t="s">
        <v>23</v>
      </c>
      <c r="C17" s="9"/>
      <c r="D17" s="9"/>
      <c r="E17" s="9"/>
      <c r="F17" s="9"/>
      <c r="G17" s="9"/>
    </row>
    <row r="18" customFormat="false" ht="15" hidden="false" customHeight="true" outlineLevel="0" collapsed="false">
      <c r="B18" s="4" t="s">
        <v>149</v>
      </c>
      <c r="C18" s="15" t="n">
        <f aca="false">$C$12+$C$13-$C$10</f>
        <v>29.2</v>
      </c>
    </row>
    <row r="19" customFormat="false" ht="15" hidden="false" customHeight="true" outlineLevel="0" collapsed="false">
      <c r="B19" s="5" t="s">
        <v>150</v>
      </c>
      <c r="C19" s="16" t="n">
        <f aca="false">ROUND($C$7*$C$8,2)</f>
        <v>670.74</v>
      </c>
    </row>
    <row r="20" customFormat="false" ht="15" hidden="false" customHeight="true" outlineLevel="0" collapsed="false">
      <c r="B20" s="5" t="s">
        <v>151</v>
      </c>
      <c r="C20" s="16" t="n">
        <f aca="false">ROUND($C$19*(1-$C$14),2)</f>
        <v>415.86</v>
      </c>
    </row>
    <row r="21" customFormat="false" ht="15" hidden="false" customHeight="true" outlineLevel="0" collapsed="false">
      <c r="B21" s="4" t="s">
        <v>152</v>
      </c>
      <c r="C21" s="15" t="n">
        <f aca="false">ROUND($C$19*(1-$C$14)*$C$9,2)</f>
        <v>370114.33</v>
      </c>
    </row>
    <row r="22" customFormat="false" ht="15" hidden="false" customHeight="true" outlineLevel="0" collapsed="false">
      <c r="B22" s="5" t="s">
        <v>153</v>
      </c>
      <c r="C22" s="16" t="n">
        <f aca="false">ROUND($C$19*(1-$C$15)*$C$9,2)</f>
        <v>173117.99</v>
      </c>
    </row>
    <row r="23" customFormat="false" ht="15" hidden="false" customHeight="true" outlineLevel="0" collapsed="false">
      <c r="B23" s="4" t="s">
        <v>127</v>
      </c>
      <c r="C23" s="15" t="n">
        <f aca="false">$C$21-$C$22</f>
        <v>196996.34</v>
      </c>
    </row>
    <row r="24" customFormat="false" ht="15" hidden="false" customHeight="true" outlineLevel="0" collapsed="false">
      <c r="B24" s="5" t="s">
        <v>154</v>
      </c>
      <c r="C24" s="32" t="n">
        <f aca="false">ROUND($C$16/$C$9,4)</f>
        <v>0.1169</v>
      </c>
    </row>
    <row r="26" customFormat="false" ht="15" hidden="false" customHeight="true" outlineLevel="0" collapsed="false">
      <c r="B26" s="8" t="s">
        <v>155</v>
      </c>
      <c r="C26" s="9"/>
      <c r="D26" s="9"/>
      <c r="E26" s="9"/>
      <c r="F26" s="9"/>
      <c r="G26" s="9"/>
    </row>
    <row r="27" customFormat="false" ht="15" hidden="false" customHeight="true" outlineLevel="0" collapsed="false">
      <c r="B27" s="17" t="s">
        <v>156</v>
      </c>
      <c r="C27" s="17" t="s">
        <v>157</v>
      </c>
      <c r="D27" s="17" t="s">
        <v>158</v>
      </c>
    </row>
    <row r="28" customFormat="false" ht="15" hidden="false" customHeight="true" outlineLevel="0" collapsed="false">
      <c r="B28" s="14" t="n">
        <v>6</v>
      </c>
      <c r="C28" s="32" t="n">
        <f aca="false">$C$14/2</f>
        <v>0.19</v>
      </c>
      <c r="D28" s="16" t="n">
        <f aca="false">ROUND($C$19*(1-C28)*$C$9,2)</f>
        <v>483536.47</v>
      </c>
      <c r="E28" s="30" t="s">
        <v>159</v>
      </c>
    </row>
    <row r="29" customFormat="false" ht="15" hidden="false" customHeight="true" outlineLevel="0" collapsed="false">
      <c r="B29" s="14" t="n">
        <v>12</v>
      </c>
      <c r="C29" s="32" t="n">
        <f aca="false">$C$14</f>
        <v>0.38</v>
      </c>
      <c r="D29" s="16" t="n">
        <f aca="false">ROUND($C$19*(1-C29)*$C$9,2)</f>
        <v>370114.33</v>
      </c>
    </row>
    <row r="30" customFormat="false" ht="15" hidden="false" customHeight="true" outlineLevel="0" collapsed="false">
      <c r="B30" s="14" t="n">
        <v>18</v>
      </c>
      <c r="C30" s="32" t="n">
        <f aca="false">($C$14+$C$15)/2</f>
        <v>0.545</v>
      </c>
      <c r="D30" s="16" t="n">
        <f aca="false">ROUND($C$19*(1-C30)*$C$9,2)</f>
        <v>271616.16</v>
      </c>
    </row>
    <row r="31" customFormat="false" ht="15" hidden="false" customHeight="true" outlineLevel="0" collapsed="false">
      <c r="B31" s="14" t="n">
        <v>24</v>
      </c>
      <c r="C31" s="32" t="n">
        <f aca="false">$C$15</f>
        <v>0.71</v>
      </c>
      <c r="D31" s="16" t="n">
        <f aca="false">ROUND($C$19*(1-C31)*$C$9,2)</f>
        <v>173117.99</v>
      </c>
    </row>
    <row r="32" customFormat="false" ht="15" hidden="false" customHeight="true" outlineLevel="0" collapsed="false">
      <c r="B32" s="14" t="n">
        <v>36</v>
      </c>
      <c r="C32" s="20" t="n">
        <v>0.89</v>
      </c>
      <c r="D32" s="16" t="n">
        <f aca="false">ROUND($C$19*(1-C32)*$C$9,2)</f>
        <v>65665.45</v>
      </c>
    </row>
    <row r="33" customFormat="false" ht="15" hidden="false" customHeight="true" outlineLevel="0" collapsed="false">
      <c r="B33" s="3" t="s">
        <v>160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4"/>
    <col collapsed="false" customWidth="true" hidden="false" outlineLevel="0" max="3" min="3" style="1" width="22"/>
    <col collapsed="false" customWidth="true" hidden="false" outlineLevel="0" max="7" min="4" style="1" width="18"/>
  </cols>
  <sheetData>
    <row r="2" customFormat="false" ht="15.75" hidden="false" customHeight="true" outlineLevel="0" collapsed="false">
      <c r="B2" s="2" t="s">
        <v>161</v>
      </c>
    </row>
    <row r="3" customFormat="false" ht="15" hidden="false" customHeight="true" outlineLevel="0" collapsed="false">
      <c r="B3" s="3" t="s">
        <v>162</v>
      </c>
    </row>
    <row r="6" customFormat="false" ht="15" hidden="false" customHeight="true" outlineLevel="0" collapsed="false">
      <c r="B6" s="8" t="s">
        <v>18</v>
      </c>
      <c r="C6" s="9"/>
      <c r="D6" s="9"/>
      <c r="E6" s="9"/>
      <c r="F6" s="9"/>
      <c r="G6" s="9"/>
    </row>
    <row r="7" customFormat="false" ht="15" hidden="false" customHeight="true" outlineLevel="0" collapsed="false">
      <c r="B7" s="5" t="s">
        <v>163</v>
      </c>
      <c r="C7" s="11" t="n">
        <v>43</v>
      </c>
    </row>
    <row r="8" customFormat="false" ht="15" hidden="false" customHeight="true" outlineLevel="0" collapsed="false">
      <c r="B8" s="5" t="s">
        <v>164</v>
      </c>
      <c r="C8" s="10" t="n">
        <v>14600</v>
      </c>
    </row>
    <row r="9" customFormat="false" ht="15" hidden="false" customHeight="true" outlineLevel="0" collapsed="false">
      <c r="B9" s="5" t="s">
        <v>165</v>
      </c>
      <c r="C9" s="13" t="n">
        <v>0.22</v>
      </c>
    </row>
    <row r="10" customFormat="false" ht="15" hidden="false" customHeight="true" outlineLevel="0" collapsed="false">
      <c r="B10" s="5" t="s">
        <v>166</v>
      </c>
      <c r="C10" s="20" t="n">
        <v>0.12</v>
      </c>
    </row>
    <row r="11" customFormat="false" ht="15" hidden="false" customHeight="true" outlineLevel="0" collapsed="false">
      <c r="B11" s="5" t="s">
        <v>167</v>
      </c>
      <c r="C11" s="12" t="n">
        <v>3</v>
      </c>
    </row>
    <row r="12" customFormat="false" ht="15" hidden="false" customHeight="true" outlineLevel="0" collapsed="false">
      <c r="B12" s="5" t="s">
        <v>168</v>
      </c>
      <c r="C12" s="13" t="n">
        <v>0.1</v>
      </c>
    </row>
    <row r="14" customFormat="false" ht="15" hidden="false" customHeight="true" outlineLevel="0" collapsed="false">
      <c r="B14" s="8" t="s">
        <v>23</v>
      </c>
      <c r="C14" s="9"/>
      <c r="D14" s="9"/>
      <c r="E14" s="9"/>
      <c r="F14" s="9"/>
      <c r="G14" s="9"/>
    </row>
    <row r="15" customFormat="false" ht="15" hidden="false" customHeight="true" outlineLevel="0" collapsed="false">
      <c r="B15" s="5" t="s">
        <v>169</v>
      </c>
      <c r="C15" s="16" t="n">
        <f aca="false">ROUND($C$7*$C$8*(1+$C$9),2)</f>
        <v>765916</v>
      </c>
    </row>
    <row r="16" customFormat="false" ht="15" hidden="false" customHeight="true" outlineLevel="0" collapsed="false">
      <c r="B16" s="4" t="s">
        <v>170</v>
      </c>
      <c r="C16" s="15" t="n">
        <f aca="false">ROUND($C$7*$C$8*ROUND($C$9-$C$10,4)*$C$11,2)</f>
        <v>188340</v>
      </c>
    </row>
    <row r="17" customFormat="false" ht="15" hidden="false" customHeight="true" outlineLevel="0" collapsed="false">
      <c r="B17" s="4" t="s">
        <v>171</v>
      </c>
      <c r="C17" s="15" t="n">
        <f aca="false">ROUND($C$7*$C$8*$C$12*(1+$C$9)*$C$11,2)</f>
        <v>229774.8</v>
      </c>
      <c r="D17" s="3" t="s">
        <v>172</v>
      </c>
    </row>
    <row r="19" customFormat="false" ht="15" hidden="false" customHeight="true" outlineLevel="0" collapsed="false">
      <c r="B19" s="8" t="s">
        <v>173</v>
      </c>
      <c r="C19" s="9"/>
      <c r="D19" s="9"/>
      <c r="E19" s="9"/>
      <c r="F19" s="9"/>
      <c r="G19" s="9"/>
    </row>
    <row r="20" customFormat="false" ht="15" hidden="false" customHeight="true" outlineLevel="0" collapsed="false">
      <c r="B20" s="17" t="s">
        <v>174</v>
      </c>
      <c r="C20" s="17" t="s">
        <v>25</v>
      </c>
    </row>
    <row r="21" customFormat="false" ht="15" hidden="false" customHeight="true" outlineLevel="0" collapsed="false">
      <c r="B21" s="32" t="n">
        <v>0.12</v>
      </c>
      <c r="C21" s="16" t="n">
        <f aca="false">ROUND($C$7*$C$8*(B21-$C$10)*$C$11,2)</f>
        <v>0</v>
      </c>
    </row>
    <row r="22" customFormat="false" ht="15" hidden="false" customHeight="true" outlineLevel="0" collapsed="false">
      <c r="B22" s="32" t="n">
        <v>0.15</v>
      </c>
      <c r="C22" s="16" t="n">
        <f aca="false">ROUND($C$7*$C$8*(B22-$C$10)*$C$11,2)</f>
        <v>56502</v>
      </c>
    </row>
    <row r="23" customFormat="false" ht="15" hidden="false" customHeight="true" outlineLevel="0" collapsed="false">
      <c r="B23" s="32" t="n">
        <v>0.18</v>
      </c>
      <c r="C23" s="16" t="n">
        <f aca="false">ROUND($C$7*$C$8*(B23-$C$10)*$C$11,2)</f>
        <v>113004</v>
      </c>
    </row>
    <row r="24" customFormat="false" ht="15" hidden="false" customHeight="true" outlineLevel="0" collapsed="false">
      <c r="B24" s="32" t="n">
        <v>0.22</v>
      </c>
      <c r="C24" s="16" t="n">
        <f aca="false">ROUND($C$7*$C$8*(B24-$C$10)*$C$11,2)</f>
        <v>188340</v>
      </c>
    </row>
    <row r="25" customFormat="false" ht="15" hidden="false" customHeight="true" outlineLevel="0" collapsed="false">
      <c r="B25" s="32" t="n">
        <v>0.25</v>
      </c>
      <c r="C25" s="16" t="n">
        <f aca="false">ROUND($C$7*$C$8*(B25-$C$10)*$C$11,2)</f>
        <v>244842</v>
      </c>
    </row>
    <row r="26" customFormat="false" ht="15" hidden="false" customHeight="true" outlineLevel="0" collapsed="false">
      <c r="B26" s="3" t="s">
        <v>175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6"/>
    <col collapsed="false" customWidth="true" hidden="false" outlineLevel="0" max="7" min="3" style="1" width="18"/>
  </cols>
  <sheetData>
    <row r="2" customFormat="false" ht="15.75" hidden="false" customHeight="true" outlineLevel="0" collapsed="false">
      <c r="B2" s="2" t="s">
        <v>176</v>
      </c>
    </row>
    <row r="3" customFormat="false" ht="15" hidden="false" customHeight="true" outlineLevel="0" collapsed="false">
      <c r="B3" s="3" t="s">
        <v>177</v>
      </c>
    </row>
    <row r="6" customFormat="false" ht="15" hidden="false" customHeight="true" outlineLevel="0" collapsed="false">
      <c r="B6" s="8" t="s">
        <v>18</v>
      </c>
      <c r="C6" s="9"/>
      <c r="D6" s="9"/>
      <c r="E6" s="9"/>
      <c r="F6" s="9"/>
      <c r="G6" s="9"/>
    </row>
    <row r="7" customFormat="false" ht="15" hidden="false" customHeight="true" outlineLevel="0" collapsed="false">
      <c r="B7" s="5" t="s">
        <v>178</v>
      </c>
      <c r="C7" s="19" t="n">
        <v>5623843.62</v>
      </c>
    </row>
    <row r="8" customFormat="false" ht="15" hidden="false" customHeight="true" outlineLevel="0" collapsed="false">
      <c r="B8" s="5" t="s">
        <v>179</v>
      </c>
      <c r="C8" s="19" t="n">
        <v>5804238.26</v>
      </c>
    </row>
    <row r="9" customFormat="false" ht="15" hidden="false" customHeight="true" outlineLevel="0" collapsed="false">
      <c r="B9" s="5" t="s">
        <v>180</v>
      </c>
      <c r="C9" s="13" t="n">
        <v>0.031</v>
      </c>
    </row>
    <row r="10" customFormat="false" ht="15" hidden="false" customHeight="true" outlineLevel="0" collapsed="false">
      <c r="B10" s="5" t="s">
        <v>181</v>
      </c>
      <c r="C10" s="13" t="n">
        <v>0.017</v>
      </c>
    </row>
    <row r="11" customFormat="false" ht="15" hidden="false" customHeight="true" outlineLevel="0" collapsed="false">
      <c r="B11" s="5" t="s">
        <v>182</v>
      </c>
      <c r="C11" s="13" t="n">
        <v>0.025</v>
      </c>
    </row>
    <row r="12" customFormat="false" ht="15" hidden="false" customHeight="true" outlineLevel="0" collapsed="false">
      <c r="B12" s="5" t="s">
        <v>183</v>
      </c>
      <c r="C12" s="19" t="n">
        <v>104</v>
      </c>
    </row>
    <row r="13" customFormat="false" ht="15" hidden="false" customHeight="true" outlineLevel="0" collapsed="false">
      <c r="B13" s="5" t="s">
        <v>139</v>
      </c>
      <c r="C13" s="12" t="n">
        <v>159700</v>
      </c>
    </row>
    <row r="15" customFormat="false" ht="15" hidden="false" customHeight="true" outlineLevel="0" collapsed="false">
      <c r="B15" s="8" t="s">
        <v>23</v>
      </c>
      <c r="C15" s="9"/>
      <c r="D15" s="9"/>
      <c r="E15" s="9"/>
      <c r="F15" s="9"/>
      <c r="G15" s="9"/>
    </row>
    <row r="16" customFormat="false" ht="15" hidden="false" customHeight="true" outlineLevel="0" collapsed="false">
      <c r="B16" s="5" t="s">
        <v>184</v>
      </c>
      <c r="C16" s="32" t="n">
        <f aca="false">ROUND((1+$C$9)*(1+$C$10)-1,4)</f>
        <v>0.0485</v>
      </c>
    </row>
    <row r="17" customFormat="false" ht="15" hidden="false" customHeight="true" outlineLevel="0" collapsed="false">
      <c r="B17" s="5" t="s">
        <v>185</v>
      </c>
      <c r="C17" s="16" t="n">
        <f aca="false">ROUND($C$7*ROUND($C$9,4),2)</f>
        <v>174339.15</v>
      </c>
    </row>
    <row r="18" customFormat="false" ht="15" hidden="false" customHeight="true" outlineLevel="0" collapsed="false">
      <c r="B18" s="5" t="s">
        <v>186</v>
      </c>
      <c r="C18" s="16" t="n">
        <f aca="false">ROUND($C$8*$C$16,2)</f>
        <v>281505.56</v>
      </c>
    </row>
    <row r="19" customFormat="false" ht="15" hidden="false" customHeight="true" outlineLevel="0" collapsed="false">
      <c r="B19" s="4" t="s">
        <v>127</v>
      </c>
      <c r="C19" s="15" t="n">
        <f aca="false">$C$17+$C$18</f>
        <v>455844.71</v>
      </c>
    </row>
    <row r="20" customFormat="false" ht="15" hidden="false" customHeight="true" outlineLevel="0" collapsed="false">
      <c r="B20" s="4" t="s">
        <v>187</v>
      </c>
      <c r="C20" s="15" t="n">
        <f aca="false">ROUND($C$19/($C$16*100),2)</f>
        <v>93988.6</v>
      </c>
    </row>
    <row r="21" customFormat="false" ht="15" hidden="false" customHeight="true" outlineLevel="0" collapsed="false">
      <c r="B21" s="4" t="s">
        <v>188</v>
      </c>
      <c r="C21" s="15" t="n">
        <f aca="false">ROUND(ROUND($C$12*$C$11,4)*$C$13,2)</f>
        <v>415220</v>
      </c>
      <c r="D21" s="3" t="s">
        <v>189</v>
      </c>
    </row>
    <row r="22" customFormat="false" ht="15" hidden="false" customHeight="true" outlineLevel="0" collapsed="false">
      <c r="B22" s="3" t="s">
        <v>190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6"/>
    <col collapsed="false" customWidth="true" hidden="false" outlineLevel="0" max="7" min="3" style="1" width="18"/>
  </cols>
  <sheetData>
    <row r="2" customFormat="false" ht="15.75" hidden="false" customHeight="true" outlineLevel="0" collapsed="false">
      <c r="B2" s="2" t="s">
        <v>191</v>
      </c>
    </row>
    <row r="3" customFormat="false" ht="15" hidden="false" customHeight="true" outlineLevel="0" collapsed="false">
      <c r="B3" s="3" t="s">
        <v>192</v>
      </c>
    </row>
    <row r="6" customFormat="false" ht="15" hidden="false" customHeight="true" outlineLevel="0" collapsed="false">
      <c r="B6" s="8" t="s">
        <v>18</v>
      </c>
      <c r="C6" s="9"/>
      <c r="D6" s="9"/>
      <c r="E6" s="9"/>
      <c r="F6" s="9"/>
      <c r="G6" s="9"/>
    </row>
    <row r="7" customFormat="false" ht="15" hidden="false" customHeight="true" outlineLevel="0" collapsed="false">
      <c r="B7" s="5" t="s">
        <v>193</v>
      </c>
      <c r="C7" s="12" t="n">
        <v>49900</v>
      </c>
    </row>
    <row r="8" customFormat="false" ht="15" hidden="false" customHeight="true" outlineLevel="0" collapsed="false">
      <c r="B8" s="5" t="s">
        <v>194</v>
      </c>
      <c r="C8" s="11" t="n">
        <v>12</v>
      </c>
    </row>
    <row r="9" customFormat="false" ht="15" hidden="false" customHeight="true" outlineLevel="0" collapsed="false">
      <c r="B9" s="5" t="s">
        <v>195</v>
      </c>
      <c r="C9" s="12" t="n">
        <v>6</v>
      </c>
    </row>
    <row r="10" customFormat="false" ht="15" hidden="false" customHeight="true" outlineLevel="0" collapsed="false">
      <c r="B10" s="5" t="s">
        <v>196</v>
      </c>
      <c r="C10" s="26" t="n">
        <v>116.3174</v>
      </c>
    </row>
    <row r="11" customFormat="false" ht="15" hidden="false" customHeight="true" outlineLevel="0" collapsed="false">
      <c r="B11" s="5" t="s">
        <v>197</v>
      </c>
      <c r="C11" s="10" t="n">
        <v>96.2</v>
      </c>
    </row>
    <row r="12" customFormat="false" ht="15" hidden="false" customHeight="true" outlineLevel="0" collapsed="false">
      <c r="B12" s="5" t="s">
        <v>198</v>
      </c>
      <c r="C12" s="12" t="n">
        <v>4100</v>
      </c>
    </row>
    <row r="13" customFormat="false" ht="15" hidden="false" customHeight="true" outlineLevel="0" collapsed="false">
      <c r="B13" s="5" t="s">
        <v>199</v>
      </c>
      <c r="C13" s="19" t="n">
        <v>340000</v>
      </c>
    </row>
    <row r="14" customFormat="false" ht="15" hidden="false" customHeight="true" outlineLevel="0" collapsed="false">
      <c r="B14" s="5" t="s">
        <v>200</v>
      </c>
      <c r="C14" s="12" t="n">
        <v>36</v>
      </c>
    </row>
    <row r="15" customFormat="false" ht="15" hidden="false" customHeight="true" outlineLevel="0" collapsed="false">
      <c r="B15" s="5" t="s">
        <v>201</v>
      </c>
      <c r="C15" s="11" t="n">
        <v>24</v>
      </c>
    </row>
    <row r="16" customFormat="false" ht="15" hidden="false" customHeight="true" outlineLevel="0" collapsed="false">
      <c r="B16" s="5" t="s">
        <v>202</v>
      </c>
      <c r="C16" s="10" t="n">
        <v>415000</v>
      </c>
    </row>
    <row r="18" customFormat="false" ht="15" hidden="false" customHeight="true" outlineLevel="0" collapsed="false">
      <c r="B18" s="8" t="s">
        <v>23</v>
      </c>
      <c r="C18" s="9"/>
      <c r="D18" s="9"/>
      <c r="E18" s="9"/>
      <c r="F18" s="9"/>
      <c r="G18" s="9"/>
    </row>
    <row r="19" customFormat="false" ht="15" hidden="false" customHeight="true" outlineLevel="0" collapsed="false">
      <c r="B19" s="5" t="s">
        <v>203</v>
      </c>
      <c r="C19" s="23" t="n">
        <f aca="false">ROUND($C$10-$C$11,4)</f>
        <v>20.1174</v>
      </c>
    </row>
    <row r="20" customFormat="false" ht="15" hidden="false" customHeight="true" outlineLevel="0" collapsed="false">
      <c r="B20" s="5" t="s">
        <v>204</v>
      </c>
      <c r="C20" s="16" t="n">
        <f aca="false">ROUND($C$7*$C$8/12,2)</f>
        <v>49900</v>
      </c>
    </row>
    <row r="21" customFormat="false" ht="15" hidden="false" customHeight="true" outlineLevel="0" collapsed="false">
      <c r="B21" s="5" t="s">
        <v>205</v>
      </c>
      <c r="C21" s="16" t="n">
        <f aca="false">ROUND($C$20*$C$19,2)</f>
        <v>1003858.26</v>
      </c>
    </row>
    <row r="22" customFormat="false" ht="15" hidden="false" customHeight="true" outlineLevel="0" collapsed="false">
      <c r="B22" s="5" t="s">
        <v>206</v>
      </c>
      <c r="C22" s="16" t="n">
        <f aca="false">ROUND($C$12*$C$10,2)</f>
        <v>476901.34</v>
      </c>
    </row>
    <row r="23" customFormat="false" ht="15" hidden="false" customHeight="true" outlineLevel="0" collapsed="false">
      <c r="B23" s="5" t="s">
        <v>207</v>
      </c>
      <c r="C23" s="16" t="n">
        <f aca="false">ROUND($C$13*($C$14-$C$15)/$C$14,2)</f>
        <v>113333.33</v>
      </c>
    </row>
    <row r="24" customFormat="false" ht="15" hidden="false" customHeight="true" outlineLevel="0" collapsed="false">
      <c r="B24" s="4" t="s">
        <v>208</v>
      </c>
      <c r="C24" s="15" t="n">
        <f aca="false">$C$21+$C$22+$C$23+$C$16</f>
        <v>2009092.93</v>
      </c>
    </row>
    <row r="25" customFormat="false" ht="15" hidden="false" customHeight="true" outlineLevel="0" collapsed="false">
      <c r="B25" s="4" t="s">
        <v>209</v>
      </c>
      <c r="C25" s="15" t="n">
        <f aca="false">ROUND(ROUND($C$7*$C$9/12,2)*$C$19,2)+$C$22</f>
        <v>978830.47</v>
      </c>
    </row>
    <row r="26" customFormat="false" ht="15" hidden="false" customHeight="true" outlineLevel="0" collapsed="false">
      <c r="B26" s="4" t="s">
        <v>210</v>
      </c>
      <c r="C26" s="15" t="n">
        <f aca="false">$C$24-$C$25</f>
        <v>1030262.46</v>
      </c>
    </row>
    <row r="27" customFormat="false" ht="15" hidden="false" customHeight="true" outlineLevel="0" collapsed="false">
      <c r="B27" s="3" t="s">
        <v>211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8"/>
    <col collapsed="false" customWidth="true" hidden="false" outlineLevel="0" max="4" min="3" style="1" width="20"/>
    <col collapsed="false" customWidth="true" hidden="false" outlineLevel="0" max="5" min="5" style="1" width="16"/>
    <col collapsed="false" customWidth="true" hidden="false" outlineLevel="0" max="6" min="6" style="1" width="14"/>
    <col collapsed="false" customWidth="true" hidden="false" outlineLevel="0" max="7" min="7" style="0" width="58"/>
  </cols>
  <sheetData>
    <row r="2" customFormat="false" ht="15.75" hidden="false" customHeight="true" outlineLevel="0" collapsed="false">
      <c r="B2" s="2" t="s">
        <v>212</v>
      </c>
    </row>
    <row r="3" customFormat="false" ht="15" hidden="false" customHeight="true" outlineLevel="0" collapsed="false">
      <c r="B3" s="3" t="s">
        <v>213</v>
      </c>
    </row>
    <row r="5" customFormat="false" ht="15" hidden="false" customHeight="true" outlineLevel="0" collapsed="false">
      <c r="B5" s="17" t="s">
        <v>214</v>
      </c>
      <c r="C5" s="17" t="s">
        <v>215</v>
      </c>
      <c r="D5" s="17" t="s">
        <v>216</v>
      </c>
      <c r="E5" s="17" t="s">
        <v>217</v>
      </c>
      <c r="F5" s="17" t="s">
        <v>218</v>
      </c>
    </row>
    <row r="6" customFormat="false" ht="15" hidden="false" customHeight="true" outlineLevel="0" collapsed="false">
      <c r="B6" s="22" t="s">
        <v>219</v>
      </c>
      <c r="C6" s="16" t="n">
        <f aca="false">'Payment Terms'!$C$14</f>
        <v>46031.82</v>
      </c>
      <c r="D6" s="16" t="n">
        <v>46031.82</v>
      </c>
      <c r="E6" s="35" t="n">
        <f aca="false">C6-D6</f>
        <v>0</v>
      </c>
      <c r="F6" s="22" t="str">
        <f aca="false">IF(ABS(E6)&lt;0.011,"PASS","CHECK")</f>
        <v>PASS</v>
      </c>
    </row>
    <row r="7" customFormat="false" ht="15" hidden="false" customHeight="true" outlineLevel="0" collapsed="false">
      <c r="B7" s="22" t="s">
        <v>220</v>
      </c>
      <c r="C7" s="32" t="n">
        <f aca="false">'Payment Terms'!$C$28</f>
        <v>0.183879093198992</v>
      </c>
      <c r="D7" s="32" t="n">
        <v>0.1839</v>
      </c>
      <c r="E7" s="35" t="n">
        <f aca="false">C7-D7</f>
        <v>-2.09068010076086E-005</v>
      </c>
      <c r="F7" s="22" t="str">
        <f aca="false">IF(ABS(E7)&lt;0.011,"PASS","CHECK")</f>
        <v>PASS</v>
      </c>
    </row>
    <row r="8" customFormat="false" ht="15" hidden="false" customHeight="true" outlineLevel="0" collapsed="false">
      <c r="B8" s="22" t="s">
        <v>221</v>
      </c>
      <c r="C8" s="14" t="n">
        <f aca="false">Indexation!$C$38</f>
        <v>19</v>
      </c>
      <c r="D8" s="14" t="n">
        <v>19</v>
      </c>
      <c r="E8" s="35" t="n">
        <f aca="false">C8-D8</f>
        <v>0</v>
      </c>
      <c r="F8" s="22" t="str">
        <f aca="false">IF(ABS(E8)&lt;0.011,"PASS","CHECK")</f>
        <v>PASS</v>
      </c>
    </row>
    <row r="9" customFormat="false" ht="15" hidden="false" customHeight="true" outlineLevel="0" collapsed="false">
      <c r="B9" s="22" t="s">
        <v>222</v>
      </c>
      <c r="C9" s="16" t="n">
        <f aca="false">Indexation!$C$39</f>
        <v>892881.88</v>
      </c>
      <c r="D9" s="16" t="n">
        <v>892881.88</v>
      </c>
      <c r="E9" s="35" t="n">
        <f aca="false">C9-D9</f>
        <v>0</v>
      </c>
      <c r="F9" s="22" t="str">
        <f aca="false">IF(ABS(E9)&lt;0.011,"PASS","CHECK")</f>
        <v>PASS</v>
      </c>
    </row>
    <row r="10" customFormat="false" ht="15" hidden="false" customHeight="true" outlineLevel="0" collapsed="false">
      <c r="B10" s="22" t="s">
        <v>223</v>
      </c>
      <c r="C10" s="16" t="n">
        <f aca="false">'Volume Band'!$C$23</f>
        <v>514263.68</v>
      </c>
      <c r="D10" s="16" t="n">
        <v>514263.68</v>
      </c>
      <c r="E10" s="35" t="n">
        <f aca="false">C10-D10</f>
        <v>0</v>
      </c>
      <c r="F10" s="22" t="str">
        <f aca="false">IF(ABS(E10)&lt;0.011,"PASS","CHECK")</f>
        <v>PASS</v>
      </c>
    </row>
    <row r="11" customFormat="false" ht="15" hidden="false" customHeight="true" outlineLevel="0" collapsed="false">
      <c r="B11" s="22" t="s">
        <v>224</v>
      </c>
      <c r="C11" s="23" t="n">
        <f aca="false">'Volume Band'!$C$25</f>
        <v>70.298</v>
      </c>
      <c r="D11" s="23" t="n">
        <v>70.298</v>
      </c>
      <c r="E11" s="35" t="n">
        <f aca="false">C11-D11</f>
        <v>0</v>
      </c>
      <c r="F11" s="22" t="str">
        <f aca="false">IF(ABS(E11)&lt;0.011,"PASS","CHECK")</f>
        <v>PASS</v>
      </c>
    </row>
    <row r="12" customFormat="false" ht="15" hidden="false" customHeight="true" outlineLevel="0" collapsed="false">
      <c r="B12" s="22" t="s">
        <v>225</v>
      </c>
      <c r="C12" s="23" t="n">
        <f aca="false">'Volume Band'!$C$27</f>
        <v>14.2778</v>
      </c>
      <c r="D12" s="23" t="n">
        <v>14.2778</v>
      </c>
      <c r="E12" s="35" t="n">
        <f aca="false">C12-D12</f>
        <v>0</v>
      </c>
      <c r="F12" s="22" t="str">
        <f aca="false">IF(ABS(E12)&lt;0.011,"PASS","CHECK")</f>
        <v>PASS</v>
      </c>
    </row>
    <row r="13" customFormat="false" ht="15" hidden="false" customHeight="true" outlineLevel="0" collapsed="false">
      <c r="B13" s="22" t="s">
        <v>226</v>
      </c>
      <c r="C13" s="16" t="n">
        <f aca="false">Rebate!$C$21</f>
        <v>37474.06</v>
      </c>
      <c r="D13" s="16" t="n">
        <v>37474.06</v>
      </c>
      <c r="E13" s="35" t="n">
        <f aca="false">C13-D13</f>
        <v>0</v>
      </c>
      <c r="F13" s="22" t="str">
        <f aca="false">IF(ABS(E13)&lt;0.011,"PASS","CHECK")</f>
        <v>PASS</v>
      </c>
    </row>
    <row r="14" customFormat="false" ht="15" hidden="false" customHeight="true" outlineLevel="0" collapsed="false">
      <c r="B14" s="22" t="s">
        <v>227</v>
      </c>
      <c r="C14" s="16" t="n">
        <f aca="false">'Liquidated Damages'!$C$20</f>
        <v>639400</v>
      </c>
      <c r="D14" s="16" t="n">
        <v>639400</v>
      </c>
      <c r="E14" s="35" t="n">
        <f aca="false">C14-D14</f>
        <v>0</v>
      </c>
      <c r="F14" s="22" t="str">
        <f aca="false">IF(ABS(E14)&lt;0.011,"PASS","CHECK")</f>
        <v>PASS</v>
      </c>
    </row>
    <row r="15" customFormat="false" ht="15" hidden="false" customHeight="true" outlineLevel="0" collapsed="false">
      <c r="B15" s="22" t="s">
        <v>228</v>
      </c>
      <c r="C15" s="16" t="n">
        <f aca="false">'Liquidated Damages'!$C$24</f>
        <v>81120</v>
      </c>
      <c r="D15" s="16" t="n">
        <v>81120</v>
      </c>
      <c r="E15" s="35" t="n">
        <f aca="false">C15-D15</f>
        <v>0</v>
      </c>
      <c r="F15" s="22" t="str">
        <f aca="false">IF(ABS(E15)&lt;0.011,"PASS","CHECK")</f>
        <v>PASS</v>
      </c>
    </row>
    <row r="16" customFormat="false" ht="15" hidden="false" customHeight="true" outlineLevel="0" collapsed="false">
      <c r="B16" s="22" t="s">
        <v>229</v>
      </c>
      <c r="C16" s="32" t="n">
        <f aca="false">'Liquidated Damages'!$C$25</f>
        <v>0.126868939630904</v>
      </c>
      <c r="D16" s="32" t="n">
        <v>0.1269</v>
      </c>
      <c r="E16" s="35" t="n">
        <f aca="false">C16-D16</f>
        <v>-3.10603690960309E-005</v>
      </c>
      <c r="F16" s="22" t="str">
        <f aca="false">IF(ABS(E16)&lt;0.011,"PASS","CHECK")</f>
        <v>PASS</v>
      </c>
    </row>
    <row r="17" customFormat="false" ht="15" hidden="false" customHeight="true" outlineLevel="0" collapsed="false">
      <c r="B17" s="22" t="s">
        <v>230</v>
      </c>
      <c r="C17" s="16" t="n">
        <f aca="false">Warranty!$C$18</f>
        <v>29.2</v>
      </c>
      <c r="D17" s="16" t="n">
        <v>29.2</v>
      </c>
      <c r="E17" s="35" t="n">
        <f aca="false">C17-D17</f>
        <v>0</v>
      </c>
      <c r="F17" s="22" t="str">
        <f aca="false">IF(ABS(E17)&lt;0.011,"PASS","CHECK")</f>
        <v>PASS</v>
      </c>
    </row>
    <row r="18" customFormat="false" ht="15" hidden="false" customHeight="true" outlineLevel="0" collapsed="false">
      <c r="B18" s="22" t="s">
        <v>231</v>
      </c>
      <c r="C18" s="16" t="n">
        <f aca="false">Warranty!$C$21</f>
        <v>370114.33</v>
      </c>
      <c r="D18" s="16" t="n">
        <v>370114.33</v>
      </c>
      <c r="E18" s="35" t="n">
        <f aca="false">C18-D18</f>
        <v>0</v>
      </c>
      <c r="F18" s="22" t="str">
        <f aca="false">IF(ABS(E18)&lt;0.011,"PASS","CHECK")</f>
        <v>PASS</v>
      </c>
    </row>
    <row r="19" customFormat="false" ht="15" hidden="false" customHeight="true" outlineLevel="0" collapsed="false">
      <c r="B19" s="22" t="s">
        <v>232</v>
      </c>
      <c r="C19" s="16" t="n">
        <f aca="false">Warranty!$C$23</f>
        <v>196996.34</v>
      </c>
      <c r="D19" s="16" t="n">
        <v>196996.34</v>
      </c>
      <c r="E19" s="35" t="n">
        <f aca="false">C19-D19</f>
        <v>0</v>
      </c>
      <c r="F19" s="22" t="str">
        <f aca="false">IF(ABS(E19)&lt;0.011,"PASS","CHECK")</f>
        <v>PASS</v>
      </c>
    </row>
    <row r="20" customFormat="false" ht="15" hidden="false" customHeight="true" outlineLevel="0" collapsed="false">
      <c r="B20" s="22" t="s">
        <v>233</v>
      </c>
      <c r="C20" s="16" t="n">
        <f aca="false">'Change Control'!$C$16</f>
        <v>188340</v>
      </c>
      <c r="D20" s="16" t="n">
        <v>188340</v>
      </c>
      <c r="E20" s="35" t="n">
        <f aca="false">C20-D20</f>
        <v>0</v>
      </c>
      <c r="F20" s="22" t="str">
        <f aca="false">IF(ABS(E20)&lt;0.011,"PASS","CHECK")</f>
        <v>PASS</v>
      </c>
    </row>
    <row r="21" customFormat="false" ht="15" hidden="false" customHeight="true" outlineLevel="0" collapsed="false">
      <c r="B21" s="22" t="s">
        <v>234</v>
      </c>
      <c r="C21" s="16" t="n">
        <f aca="false">'Change Control'!$C$15</f>
        <v>765916</v>
      </c>
      <c r="D21" s="16" t="n">
        <v>765916</v>
      </c>
      <c r="E21" s="35" t="n">
        <f aca="false">C21-D21</f>
        <v>0</v>
      </c>
      <c r="F21" s="22" t="str">
        <f aca="false">IF(ABS(E21)&lt;0.011,"PASS","CHECK")</f>
        <v>PASS</v>
      </c>
    </row>
    <row r="22" customFormat="false" ht="15" hidden="false" customHeight="true" outlineLevel="0" collapsed="false">
      <c r="B22" s="22" t="s">
        <v>235</v>
      </c>
      <c r="C22" s="16" t="n">
        <f aca="false">Currency!$C$19</f>
        <v>455844.71</v>
      </c>
      <c r="D22" s="16" t="n">
        <v>455844.71</v>
      </c>
      <c r="E22" s="35" t="n">
        <f aca="false">C22-D22</f>
        <v>0</v>
      </c>
      <c r="F22" s="22" t="str">
        <f aca="false">IF(ABS(E22)&lt;0.011,"PASS","CHECK")</f>
        <v>PASS</v>
      </c>
    </row>
    <row r="23" customFormat="false" ht="15" hidden="false" customHeight="true" outlineLevel="0" collapsed="false">
      <c r="B23" s="22" t="s">
        <v>236</v>
      </c>
      <c r="C23" s="16" t="n">
        <f aca="false">Currency!$C$21</f>
        <v>415220</v>
      </c>
      <c r="D23" s="16" t="n">
        <v>415220</v>
      </c>
      <c r="E23" s="35" t="n">
        <f aca="false">C23-D23</f>
        <v>0</v>
      </c>
      <c r="F23" s="22" t="str">
        <f aca="false">IF(ABS(E23)&lt;0.011,"PASS","CHECK")</f>
        <v>PASS</v>
      </c>
    </row>
    <row r="24" customFormat="false" ht="15" hidden="false" customHeight="true" outlineLevel="0" collapsed="false">
      <c r="B24" s="22" t="s">
        <v>237</v>
      </c>
      <c r="C24" s="16" t="n">
        <f aca="false">'Exit Cost'!$C$24</f>
        <v>2009092.93</v>
      </c>
      <c r="D24" s="16" t="n">
        <v>2009092.93</v>
      </c>
      <c r="E24" s="35" t="n">
        <f aca="false">C24-D24</f>
        <v>0</v>
      </c>
      <c r="F24" s="22" t="str">
        <f aca="false">IF(ABS(E24)&lt;0.011,"PASS","CHECK")</f>
        <v>PASS</v>
      </c>
    </row>
    <row r="25" customFormat="false" ht="15" hidden="false" customHeight="true" outlineLevel="0" collapsed="false">
      <c r="B25" s="22" t="s">
        <v>238</v>
      </c>
      <c r="C25" s="16" t="n">
        <f aca="false">'Exit Cost'!$C$25</f>
        <v>978830.47</v>
      </c>
      <c r="D25" s="16" t="n">
        <v>978830.47</v>
      </c>
      <c r="E25" s="35" t="n">
        <f aca="false">C25-D25</f>
        <v>0</v>
      </c>
      <c r="F25" s="22" t="str">
        <f aca="false">IF(ABS(E25)&lt;0.011,"PASS","CHECK")</f>
        <v>PASS</v>
      </c>
    </row>
    <row r="26" customFormat="false" ht="15" hidden="false" customHeight="false" outlineLevel="0" collapsed="false">
      <c r="B26" s="22" t="s">
        <v>239</v>
      </c>
      <c r="C26" s="35" t="n">
        <f aca="false">Warranty!$C$24</f>
        <v>0.1169</v>
      </c>
      <c r="D26" s="35" t="n">
        <v>0.1169</v>
      </c>
      <c r="E26" s="35" t="n">
        <f aca="false">C26-D26</f>
        <v>0</v>
      </c>
      <c r="F26" s="22" t="str">
        <f aca="false">IF(ABS(E26)&lt;0.011,"PASS","CHECK")</f>
        <v>PASS</v>
      </c>
      <c r="G26" s="30" t="s">
        <v>240</v>
      </c>
    </row>
    <row r="27" customFormat="false" ht="15" hidden="false" customHeight="true" outlineLevel="0" collapsed="false">
      <c r="B27" s="22" t="s">
        <v>241</v>
      </c>
      <c r="C27" s="35" t="n">
        <f aca="false">'Volume Band'!$C$28</f>
        <v>0.0654545454545455</v>
      </c>
      <c r="D27" s="35" t="n">
        <v>0.0655</v>
      </c>
      <c r="E27" s="35" t="n">
        <f aca="false">C27-D27</f>
        <v>-4.5454545454543E-005</v>
      </c>
      <c r="F27" s="22" t="str">
        <f aca="false">IF(ABS(E27)&lt;0.011,"PASS","CHECK")</f>
        <v>PASS</v>
      </c>
      <c r="G27" s="30" t="s">
        <v>242</v>
      </c>
    </row>
    <row r="29" customFormat="false" ht="15" hidden="false" customHeight="false" outlineLevel="0" collapsed="false">
      <c r="B29" s="6" t="s">
        <v>243</v>
      </c>
      <c r="C29" s="36" t="str">
        <f aca="false">COUNTIF(F6:F27,"PASS")&amp;" of 22"</f>
        <v>22 of 22</v>
      </c>
    </row>
    <row r="30" customFormat="false" ht="15" hidden="false" customHeight="false" outlineLevel="0" collapsed="false">
      <c r="B30" s="6" t="s">
        <v>244</v>
      </c>
      <c r="C30" s="6" t="str">
        <f aca="false">IF(COUNTIF(F6:F27,"PASS")=22,"ALL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2026-09-13T07:41:52Z</dcterms:created>
  <dc:creator>openpyxl</dc:creator>
  <dc:description/>
  <dc:language>en-US</dc:language>
  <cp:lastModifiedBy/>
  <dcterms:modified xsi:type="dcterms:W3CDTF">2026-09-24T02:11:40Z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