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Your Contract" sheetId="2" state="visible" r:id="rId4"/>
    <sheet name="Clause Costs" sheetId="3" state="visible" r:id="rId5"/>
    <sheet name="Three Columns" sheetId="4" state="visible" r:id="rId6"/>
    <sheet name="Equivalence Price" sheetId="5" state="visible" r:id="rId7"/>
    <sheet name="Ledger"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<sst xmlns="http://schemas.openxmlformats.org/spreadsheetml/2006/main" count="301" uniqueCount="266">
  <si>
    <t xml:space="preserve">Price Your Own Contract</t>
  </si>
  <si>
    <t xml:space="preserve">Chapter 19, as a working file. One afternoon, on a contract still in draft.</t>
  </si>
  <si>
    <t xml:space="preserve">What this does</t>
  </si>
  <si>
    <t xml:space="preserve">Prices the draft in front of you against the best alternative you actually hold.</t>
  </si>
  <si>
    <t xml:space="preserve">Step 1</t>
  </si>
  <si>
    <t xml:space="preserve">Your Contract. Replace every blue cell with your own figures.</t>
  </si>
  <si>
    <t xml:space="preserve">Step 2</t>
  </si>
  <si>
    <t xml:space="preserve">Clause Costs. Nine lines. Signed position, alternative position, difference.</t>
  </si>
  <si>
    <t xml:space="preserve">Step 3</t>
  </si>
  <si>
    <t xml:space="preserve">Three Columns. Incurred, exposure, barrier. They are never added together.</t>
  </si>
  <si>
    <t xml:space="preserve">Step 4</t>
  </si>
  <si>
    <t xml:space="preserve">Equivalence Price. The price at which the two deals are an even trade.</t>
  </si>
  <si>
    <t xml:space="preserve">Step 5</t>
  </si>
  <si>
    <t xml:space="preserve">Ledger. Ranked, with the smallest package that clears your threshold.</t>
  </si>
  <si>
    <t xml:space="preserve">The rule</t>
  </si>
  <si>
    <t xml:space="preserve">The alternative must be real. A bid on the table, an incumbent's terms,</t>
  </si>
  <si>
    <t xml:space="preserve">a qualified supplier's standard paper. Never an ideal, and never nothing.</t>
  </si>
  <si>
    <t xml:space="preserve">Loaded with</t>
  </si>
  <si>
    <t xml:space="preserve">The Larchmere case from the book, so you can see it work before you</t>
  </si>
  <si>
    <t xml:space="preserve">overwrite it. The Checks sheet proves it reproduces the published figures.</t>
  </si>
  <si>
    <t xml:space="preserve">If a clause is silent</t>
  </si>
  <si>
    <t xml:space="preserve">The alternative position is the absence of the clause. That is frequently</t>
  </si>
  <si>
    <t xml:space="preserve">the most valuable position of all: Tarnwick's missing volume band was worth 514,263.68.</t>
  </si>
  <si>
    <t xml:space="preserve">Yellow cells</t>
  </si>
  <si>
    <t xml:space="preserve">The inputs that carry the answer. If you can collect six numbers, collect these.</t>
  </si>
  <si>
    <t xml:space="preserve">Nothing is locked</t>
  </si>
  <si>
    <t xml:space="preserve">No password, no protection. Break it and extend it.</t>
  </si>
  <si>
    <t xml:space="preserve">Revised</t>
  </si>
  <si>
    <t xml:space="preserve">Revised 24 September 2026. The cell labelled low case (55,000) was the band threshold; they are now two inputs, rows 16 and 17, and the low case is tested on its own (247,164.64 of surcharge at 50,200). The force majeure event has its own length (row 90), the months elapsed at exit are an input (row 91), and ties in the ranking no longer repeat a name. Twenty-five checks.</t>
  </si>
  <si>
    <t xml:space="preserve">Your contract, and the one you are about to reject</t>
  </si>
  <si>
    <t xml:space="preserve">Every blue cell is yours to replace. Yellow cells are the six operational rates.</t>
  </si>
  <si>
    <t xml:space="preserve">The two positions</t>
  </si>
  <si>
    <t xml:space="preserve">Price offered, the bid you intend to sign</t>
  </si>
  <si>
    <t xml:space="preserve">Price offered, the bid you intend to reject</t>
  </si>
  <si>
    <t xml:space="preserve">Term, months</t>
  </si>
  <si>
    <t xml:space="preserve">Volumes</t>
  </si>
  <si>
    <t xml:space="preserve">Units, year one</t>
  </si>
  <si>
    <t xml:space="preserve">Units, year two</t>
  </si>
  <si>
    <t xml:space="preserve">Units, year three</t>
  </si>
  <si>
    <t xml:space="preserve">Units over the term</t>
  </si>
  <si>
    <t xml:space="preserve">Low case volume, a year, from the commercial plan</t>
  </si>
  <si>
    <t xml:space="preserve">Rate number five: it tests every threshold in the agreement.</t>
  </si>
  <si>
    <t xml:space="preserve">Volume band threshold, units a year</t>
  </si>
  <si>
    <t xml:space="preserve">Indexation</t>
  </si>
  <si>
    <t xml:space="preserve">Index movement assumed, year two</t>
  </si>
  <si>
    <t xml:space="preserve">Index movement assumed, year three</t>
  </si>
  <si>
    <t xml:space="preserve">Annual cap offered by the alternative</t>
  </si>
  <si>
    <t xml:space="preserve">Quarterly step, year two</t>
  </si>
  <si>
    <t xml:space="preserve">Quarterly step, year three</t>
  </si>
  <si>
    <t xml:space="preserve">Quarterly step, capped alternative</t>
  </si>
  <si>
    <t xml:space="preserve">The price is firm for four quarters, then revised every quarter. The alternative is firm for eight.</t>
  </si>
  <si>
    <t xml:space="preserve">Quarter</t>
  </si>
  <si>
    <t xml:space="preserve">Price signed</t>
  </si>
  <si>
    <t xml:space="preserve">Price rejected bid</t>
  </si>
  <si>
    <t xml:space="preserve">Signed dearer?</t>
  </si>
  <si>
    <t xml:space="preserve">Quarter 1 (months 1 to 3)</t>
  </si>
  <si>
    <t xml:space="preserve">Quarter 2 (months 4 to 6)</t>
  </si>
  <si>
    <t xml:space="preserve">Quarter 3 (months 7 to 9)</t>
  </si>
  <si>
    <t xml:space="preserve">Quarter 4 (months 10 to 12)</t>
  </si>
  <si>
    <t xml:space="preserve">Quarter 5 (months 13 to 15)</t>
  </si>
  <si>
    <t xml:space="preserve">Quarter 6 (months 16 to 18)</t>
  </si>
  <si>
    <t xml:space="preserve">Quarter 7 (months 19 to 21)</t>
  </si>
  <si>
    <t xml:space="preserve">Quarter 8 (months 22 to 24)</t>
  </si>
  <si>
    <t xml:space="preserve">Quarter 9 (months 25 to 27)</t>
  </si>
  <si>
    <t xml:space="preserve">Quarter 10 (months 28 to 30)</t>
  </si>
  <si>
    <t xml:space="preserve">Quarter 11 (months 31 to 33)</t>
  </si>
  <si>
    <t xml:space="preserve">Quarter 12 (months 34 to 36)</t>
  </si>
  <si>
    <t xml:space="preserve">Crossover quarter</t>
  </si>
  <si>
    <t xml:space="preserve">Crossover month</t>
  </si>
  <si>
    <t xml:space="preserve">Price signed, year one</t>
  </si>
  <si>
    <t xml:space="preserve">Price signed, year two</t>
  </si>
  <si>
    <t xml:space="preserve">Price signed, year three</t>
  </si>
  <si>
    <t xml:space="preserve">Price rejected bid, year three</t>
  </si>
  <si>
    <t xml:space="preserve">Spend, year one</t>
  </si>
  <si>
    <t xml:space="preserve">Spend, year two</t>
  </si>
  <si>
    <t xml:space="preserve">Spend, year three</t>
  </si>
  <si>
    <t xml:space="preserve">Spend over the term</t>
  </si>
  <si>
    <t xml:space="preserve">The six operational rates</t>
  </si>
  <si>
    <t xml:space="preserve">These live outside procurement. Each is already maintained by somebody, for another purpose.</t>
  </si>
  <si>
    <t xml:space="preserve">1. Cost of funds, from treasury</t>
  </si>
  <si>
    <t xml:space="preserve">2. Cost of an hour of downtime, from operations</t>
  </si>
  <si>
    <t xml:space="preserve">3a. Defect rate, from quality</t>
  </si>
  <si>
    <t xml:space="preserve">3b. Cost of a field repair, from quality</t>
  </si>
  <si>
    <t xml:space="preserve">4a. Changes a year, from the change system</t>
  </si>
  <si>
    <t xml:space="preserve">4b. Average value of a change</t>
  </si>
  <si>
    <t xml:space="preserve">5. See low case volume above</t>
  </si>
  <si>
    <t xml:space="preserve">(above)</t>
  </si>
  <si>
    <t xml:space="preserve">6a. Currency movement expected, year two</t>
  </si>
  <si>
    <t xml:space="preserve">6b. Currency movement expected, year three</t>
  </si>
  <si>
    <t xml:space="preserve">Clause positions: signed against alternative</t>
  </si>
  <si>
    <t xml:space="preserve">Clause</t>
  </si>
  <si>
    <t xml:space="preserve">Signed</t>
  </si>
  <si>
    <t xml:space="preserve">Alternative</t>
  </si>
  <si>
    <t xml:space="preserve">If the alternative is silent</t>
  </si>
  <si>
    <t xml:space="preserve">Payment terms, days</t>
  </si>
  <si>
    <t xml:space="preserve">Use your standard terms.</t>
  </si>
  <si>
    <t xml:space="preserve">Volume band, surcharge rate below the threshold</t>
  </si>
  <si>
    <t xml:space="preserve">Zero. That absence is worth money.</t>
  </si>
  <si>
    <t xml:space="preserve">Liquidated damages, cap as a share of the affected order</t>
  </si>
  <si>
    <t xml:space="preserve">Zero cap means no recovery at all.</t>
  </si>
  <si>
    <t xml:space="preserve">Warranty, months of cover</t>
  </si>
  <si>
    <t xml:space="preserve">Your statutory minimum.</t>
  </si>
  <si>
    <t xml:space="preserve">Change control, margin on changes</t>
  </si>
  <si>
    <t xml:space="preserve">The margin in the base price.</t>
  </si>
  <si>
    <t xml:space="preserve">Currency risk carried by the buyer</t>
  </si>
  <si>
    <t xml:space="preserve">Zero if the alternative is in your currency.</t>
  </si>
  <si>
    <t xml:space="preserve">Force majeure, weeks before you may buy elsewhere</t>
  </si>
  <si>
    <t xml:space="preserve">Immediately, which is the best position.</t>
  </si>
  <si>
    <t xml:space="preserve">Termination notice, months</t>
  </si>
  <si>
    <t xml:space="preserve">Your standard notice.</t>
  </si>
  <si>
    <t xml:space="preserve">Event inputs (for exposure and for the two event clauses)</t>
  </si>
  <si>
    <t xml:space="preserve">Share of defects surfacing inside the signed window</t>
  </si>
  <si>
    <t xml:space="preserve">Share of defects surfacing inside the alternative window</t>
  </si>
  <si>
    <t xml:space="preserve">Affected orders, units each</t>
  </si>
  <si>
    <t xml:space="preserve">Number of affected orders</t>
  </si>
  <si>
    <t xml:space="preserve">Hours of downtime over the term</t>
  </si>
  <si>
    <t xml:space="preserve">Units bought on the spot market during the event</t>
  </si>
  <si>
    <t xml:space="preserve">Spot price paid</t>
  </si>
  <si>
    <t xml:space="preserve">Units exposed to recall</t>
  </si>
  <si>
    <t xml:space="preserve">Cost per recalled unit</t>
  </si>
  <si>
    <t xml:space="preserve">Liability cap, months of spend</t>
  </si>
  <si>
    <t xml:space="preserve">Tooling paid for</t>
  </si>
  <si>
    <t xml:space="preserve">Tooling amortisation, months</t>
  </si>
  <si>
    <t xml:space="preserve">Cost of tooling up elsewhere</t>
  </si>
  <si>
    <t xml:space="preserve">Work in progress, units</t>
  </si>
  <si>
    <t xml:space="preserve">Expected market price at exit</t>
  </si>
  <si>
    <t xml:space="preserve">Length of the force majeure event, weeks</t>
  </si>
  <si>
    <t xml:space="preserve">Row 71 is read against this: no right to buy elsewhere means the whole event.</t>
  </si>
  <si>
    <t xml:space="preserve">Months elapsed at the exit decision</t>
  </si>
  <si>
    <t xml:space="preserve">The tooling not yet amortised is counted from here.</t>
  </si>
  <si>
    <t xml:space="preserve">Nine lines, one for each clause</t>
  </si>
  <si>
    <t xml:space="preserve">The cost of a clause is what you signed minus what the alternative offered. Never against an ideal.</t>
  </si>
  <si>
    <t xml:space="preserve">1. Payment terms</t>
  </si>
  <si>
    <t xml:space="preserve">Days conceded</t>
  </si>
  <si>
    <t xml:space="preserve">Cost</t>
  </si>
  <si>
    <t xml:space="preserve">spend x days / 365 x cost of funds</t>
  </si>
  <si>
    <t xml:space="preserve">2. Indexation (shown, not added to the stack)</t>
  </si>
  <si>
    <t xml:space="preserve">Effect over the term</t>
  </si>
  <si>
    <t xml:space="preserve">already inside the price gap: showing it twice double counts</t>
  </si>
  <si>
    <t xml:space="preserve">3. Volume band</t>
  </si>
  <si>
    <t xml:space="preserve">Surcharge, year one</t>
  </si>
  <si>
    <t xml:space="preserve">Surcharge, year two</t>
  </si>
  <si>
    <t xml:space="preserve">Surcharge, year three</t>
  </si>
  <si>
    <t xml:space="preserve">actual volume x price x surcharge rate, in each year it triggers</t>
  </si>
  <si>
    <t xml:space="preserve">Low-case test: the surcharge in a year at the low case, year-two price</t>
  </si>
  <si>
    <t xml:space="preserve">the number for the approval paper, before signature</t>
  </si>
  <si>
    <t xml:space="preserve">4. Liquidated damages</t>
  </si>
  <si>
    <t xml:space="preserve">Affected order value</t>
  </si>
  <si>
    <t xml:space="preserve">Recovery, signed cap</t>
  </si>
  <si>
    <t xml:space="preserve">Recovery, alternative cap</t>
  </si>
  <si>
    <t xml:space="preserve">the recovery you gave up, not the damages you hope to claim</t>
  </si>
  <si>
    <t xml:space="preserve">5. Warranty</t>
  </si>
  <si>
    <t xml:space="preserve">Defects over the term</t>
  </si>
  <si>
    <t xml:space="preserve">Uncovered cost, signed window</t>
  </si>
  <si>
    <t xml:space="preserve">Uncovered cost, alternative window</t>
  </si>
  <si>
    <t xml:space="preserve">units x defect rate x share outside cover x repair cost</t>
  </si>
  <si>
    <t xml:space="preserve">6. Change control</t>
  </si>
  <si>
    <t xml:space="preserve">Margin difference</t>
  </si>
  <si>
    <t xml:space="preserve">changes a year x average value x margin difference x years</t>
  </si>
  <si>
    <t xml:space="preserve">7. Currency</t>
  </si>
  <si>
    <t xml:space="preserve">Cumulative movement, year two</t>
  </si>
  <si>
    <t xml:space="preserve">Cumulative movement, year three</t>
  </si>
  <si>
    <t xml:space="preserve">spend after year one x cumulative expected movement</t>
  </si>
  <si>
    <t xml:space="preserve">8. Force majeure</t>
  </si>
  <si>
    <t xml:space="preserve">Units outside the alternative's grace period</t>
  </si>
  <si>
    <t xml:space="preserve">Premium per unit</t>
  </si>
  <si>
    <t xml:space="preserve">units you could not buy elsewhere x the premium you paid</t>
  </si>
  <si>
    <t xml:space="preserve">9. Termination: the barrier, not a clause cost</t>
  </si>
  <si>
    <t xml:space="preserve">Termination is priced on the Three Columns sheet. It never joins the clause stack.</t>
  </si>
  <si>
    <t xml:space="preserve">The clause stack</t>
  </si>
  <si>
    <t xml:space="preserve">Column</t>
  </si>
  <si>
    <t xml:space="preserve">Per unit</t>
  </si>
  <si>
    <t xml:space="preserve">Rank key</t>
  </si>
  <si>
    <t xml:space="preserve">Volume band</t>
  </si>
  <si>
    <t xml:space="preserve">Incurred</t>
  </si>
  <si>
    <t xml:space="preserve">Currency</t>
  </si>
  <si>
    <t xml:space="preserve">Warranty</t>
  </si>
  <si>
    <t xml:space="preserve">Change control</t>
  </si>
  <si>
    <t xml:space="preserve">Force majeure</t>
  </si>
  <si>
    <t xml:space="preserve">Liquidated damages</t>
  </si>
  <si>
    <t xml:space="preserve">Payment terms</t>
  </si>
  <si>
    <t xml:space="preserve">Clause cost</t>
  </si>
  <si>
    <t xml:space="preserve">Indexation is deliberately absent: it is already inside the price gap.</t>
  </si>
  <si>
    <t xml:space="preserve">Incurred, exposure, barrier</t>
  </si>
  <si>
    <t xml:space="preserve">Three numbers that answer three different questions. They are never summed.</t>
  </si>
  <si>
    <t xml:space="preserve">Column one: incurred</t>
  </si>
  <si>
    <t xml:space="preserve">Left the bank account, or certainly will. This is the only column that is added up.</t>
  </si>
  <si>
    <t xml:space="preserve">Column two: exposure</t>
  </si>
  <si>
    <t xml:space="preserve">Recall exposure</t>
  </si>
  <si>
    <t xml:space="preserve">Liability cap, signed</t>
  </si>
  <si>
    <t xml:space="preserve">Cap as a multiple of the exposure</t>
  </si>
  <si>
    <t xml:space="preserve">Recoverable under the signed contract</t>
  </si>
  <si>
    <t xml:space="preserve">Zero, if consequential loss is excluded above the cap. A cap 2.5 times the exposure recovers nothing.</t>
  </si>
  <si>
    <t xml:space="preserve">Column three: barrier</t>
  </si>
  <si>
    <t xml:space="preserve">Notice volume, units</t>
  </si>
  <si>
    <t xml:space="preserve">Price gap against the market at exit</t>
  </si>
  <si>
    <t xml:space="preserve">Notice served at the price gap</t>
  </si>
  <si>
    <t xml:space="preserve">Work in progress taken back at contract price</t>
  </si>
  <si>
    <t xml:space="preserve">Tooling not amortised at exit</t>
  </si>
  <si>
    <t xml:space="preserve">Tooling up elsewhere</t>
  </si>
  <si>
    <t xml:space="preserve">Cost of walking away</t>
  </si>
  <si>
    <t xml:space="preserve">Cost of walking away under the shorter notice the alternative offered</t>
  </si>
  <si>
    <t xml:space="preserve">Never paid if you stay, which is exactly why it is never added to column one.</t>
  </si>
  <si>
    <t xml:space="preserve">What you must not do</t>
  </si>
  <si>
    <t xml:space="preserve">The three columns added together</t>
  </si>
  <si>
    <t xml:space="preserve">This number is meaningless. It is shown only so that nobody quotes it by accident.</t>
  </si>
  <si>
    <t xml:space="preserve">The equivalence price</t>
  </si>
  <si>
    <t xml:space="preserve">The price at which the deal in front of you is an even trade against the one you hold.</t>
  </si>
  <si>
    <t xml:space="preserve">The calculation</t>
  </si>
  <si>
    <t xml:space="preserve">Cost per unit</t>
  </si>
  <si>
    <t xml:space="preserve">Price offered</t>
  </si>
  <si>
    <t xml:space="preserve">Equivalence price</t>
  </si>
  <si>
    <t xml:space="preserve">Write this at the top of the brief and take it into the room.</t>
  </si>
  <si>
    <t xml:space="preserve">What it means</t>
  </si>
  <si>
    <t xml:space="preserve">Further discount required, as a share of the offered price</t>
  </si>
  <si>
    <t xml:space="preserve">Price of the alternative</t>
  </si>
  <si>
    <t xml:space="preserve">Headline gap in the alternative's favour</t>
  </si>
  <si>
    <t xml:space="preserve">Clause cost as a multiple of the headline gap</t>
  </si>
  <si>
    <t xml:space="preserve">Above one, the paper costs more than the price saved. That is the whole finding of this book.</t>
  </si>
  <si>
    <t xml:space="preserve">Sensitivity: equivalence price against the clause cost you accept</t>
  </si>
  <si>
    <t xml:space="preserve">Share of the clause package conceded</t>
  </si>
  <si>
    <t xml:space="preserve">The negotiation ledger</t>
  </si>
  <si>
    <t xml:space="preserve">Ranked by what each clause is worth. The agenda is the top of this list, not page one of the draft.</t>
  </si>
  <si>
    <t xml:space="preserve">Your threshold</t>
  </si>
  <si>
    <t xml:space="preserve">What you need the package to be worth</t>
  </si>
  <si>
    <t xml:space="preserve">Set it to the gap you have to close. The package below is the smallest that clears it.</t>
  </si>
  <si>
    <t xml:space="preserve">Ranked</t>
  </si>
  <si>
    <t xml:space="preserve">Rank</t>
  </si>
  <si>
    <t xml:space="preserve">Cumulative</t>
  </si>
  <si>
    <t xml:space="preserve">Clears the threshold?</t>
  </si>
  <si>
    <t xml:space="preserve">Clauses needed to clear the threshold</t>
  </si>
  <si>
    <t xml:space="preserve">What that package is worth</t>
  </si>
  <si>
    <t xml:space="preserve">Everything below that line is tradable. Offer it, one item at a time, for the items above it.</t>
  </si>
  <si>
    <t xml:space="preserve">The brief, in the order you will use it</t>
  </si>
  <si>
    <t xml:space="preserve">Position</t>
  </si>
  <si>
    <t xml:space="preserve">Ask</t>
  </si>
  <si>
    <t xml:space="preserve">Walk away</t>
  </si>
  <si>
    <t xml:space="preserve">Cost of walking away once signed</t>
  </si>
  <si>
    <t xml:space="preserve">The barrier is what the exit costs after signature. Before signature it is zero, which is the whole point of doing this now.</t>
  </si>
  <si>
    <t xml:space="preserve">Checks</t>
  </si>
  <si>
    <t xml:space="preserve">Loaded with the Larchmere case, this file must reproduce the figures printed in the book.</t>
  </si>
  <si>
    <t xml:space="preserve">Figure</t>
  </si>
  <si>
    <t xml:space="preserve">Live formula</t>
  </si>
  <si>
    <t xml:space="preserve">As published</t>
  </si>
  <si>
    <t xml:space="preserve">Variance</t>
  </si>
  <si>
    <t xml:space="preserve">Status</t>
  </si>
  <si>
    <t xml:space="preserve">Payment terms, cost</t>
  </si>
  <si>
    <t xml:space="preserve">Indexation effect</t>
  </si>
  <si>
    <t xml:space="preserve">Volume band, cost</t>
  </si>
  <si>
    <t xml:space="preserve">Liquidated damages, cost</t>
  </si>
  <si>
    <t xml:space="preserve">Warranty, cost</t>
  </si>
  <si>
    <t xml:space="preserve">Change control, cost</t>
  </si>
  <si>
    <t xml:space="preserve">Currency, cost</t>
  </si>
  <si>
    <t xml:space="preserve">Force majeure, cost</t>
  </si>
  <si>
    <t xml:space="preserve">Further discount required</t>
  </si>
  <si>
    <t xml:space="preserve">Cost of walking away, shorter notice</t>
  </si>
  <si>
    <t xml:space="preserve">Largest clause, per unit</t>
  </si>
  <si>
    <t xml:space="preserve">Smallest clause, per unit</t>
  </si>
  <si>
    <t xml:space="preserve">Low-case test: surcharge at the low case, year two</t>
  </si>
  <si>
    <t xml:space="preserve">the low case triggers the band: Chapter 4</t>
  </si>
  <si>
    <t xml:space="preserve">Force majeure: units outside the alternative's trigger</t>
  </si>
  <si>
    <t xml:space="preserve">Ledger: seven distinct clauses named</t>
  </si>
  <si>
    <t xml:space="preserve">ties no longer repeat a name</t>
  </si>
  <si>
    <t xml:space="preserve">Three columns, never summed: the meaningless total</t>
  </si>
  <si>
    <t xml:space="preserve">Checks passing</t>
  </si>
  <si>
    <t xml:space="preserve">All checks</t>
  </si>
</sst>
</file>

<file path=xl/styles.xml><?xml version="1.0" encoding="utf-8"?>
<styleSheet xmlns="http://schemas.openxmlformats.org/spreadsheetml/2006/main">
  <numFmts count="7">
    <numFmt numFmtId="164" formatCode="General"/>
    <numFmt numFmtId="165" formatCode="#,##0.00"/>
    <numFmt numFmtId="166" formatCode="#,##0"/>
    <numFmt numFmtId="167" formatCode="0.00%"/>
    <numFmt numFmtId="168" formatCode="0.0000%"/>
    <numFmt numFmtId="169" formatCode="#,##0.0000"/>
    <numFmt numFmtId="170" formatCode="0"/>
  </numFmts>
  <fonts count="11">
    <font>
      <sz val="11"/>
      <color theme="1"/>
      <name val="Calibri"/>
      <family val="2"/>
      <charset val="1"/>
    </font>
    <font>
      <sz val="10"/>
      <name val="Arial"/>
      <family val="0"/>
    </font>
    <font>
      <sz val="10"/>
      <name val="Arial"/>
      <family val="0"/>
    </font>
    <font>
      <sz val="10"/>
      <name val="Arial"/>
      <family val="0"/>
    </font>
    <font>
      <b val="true"/>
      <sz val="13"/>
      <color rgb="FF1F3864"/>
      <name val="Arial"/>
      <family val="0"/>
      <charset val="1"/>
    </font>
    <font>
      <sz val="10"/>
      <color rgb="FF595959"/>
      <name val="Arial"/>
      <family val="0"/>
      <charset val="1"/>
    </font>
    <font>
      <b val="true"/>
      <sz val="10"/>
      <name val="Arial"/>
      <family val="0"/>
      <charset val="1"/>
    </font>
    <font>
      <sz val="10"/>
      <name val="Arial"/>
      <family val="0"/>
      <charset val="1"/>
    </font>
    <font>
      <sz val="10"/>
      <color rgb="FF0000CC"/>
      <name val="Arial"/>
      <family val="0"/>
      <charset val="1"/>
    </font>
    <font>
      <b val="true"/>
      <sz val="10"/>
      <color rgb="FFFFFFFF"/>
      <name val="Arial"/>
      <family val="0"/>
      <charset val="1"/>
    </font>
    <font>
      <sz val="10"/>
      <color rgb="FF008000"/>
      <name val="Arial"/>
      <family val="0"/>
      <charset val="1"/>
    </font>
  </fonts>
  <fills count="5">
    <fill>
      <patternFill patternType="none"/>
    </fill>
    <fill>
      <patternFill patternType="gray125"/>
    </fill>
    <fill>
      <patternFill patternType="solid">
        <fgColor rgb="FFE8EDF5"/>
        <bgColor rgb="FFFFF2CC"/>
      </patternFill>
    </fill>
    <fill>
      <patternFill patternType="solid">
        <fgColor rgb="FFFFF2CC"/>
        <bgColor rgb="FFE8EDF5"/>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5" fontId="8" fillId="0" borderId="1" xfId="0" applyFont="true" applyBorder="true" applyAlignment="true" applyProtection="false">
      <alignment horizontal="general" vertical="bottom" textRotation="0" wrapText="false" indent="0" shrinkToFit="false"/>
      <protection locked="true" hidden="false"/>
    </xf>
    <xf numFmtId="166" fontId="8" fillId="0" borderId="1" xfId="0" applyFont="true" applyBorder="true" applyAlignment="true" applyProtection="false">
      <alignment horizontal="general" vertical="bottom" textRotation="0" wrapText="false" indent="0" shrinkToFit="false"/>
      <protection locked="true" hidden="false"/>
    </xf>
    <xf numFmtId="166" fontId="6" fillId="2" borderId="1" xfId="0" applyFont="true" applyBorder="true" applyAlignment="true" applyProtection="false">
      <alignment horizontal="general" vertical="bottom" textRotation="0" wrapText="false" indent="0" shrinkToFit="false"/>
      <protection locked="true" hidden="false"/>
    </xf>
    <xf numFmtId="166" fontId="8" fillId="3" borderId="1"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true" applyProtection="false">
      <alignment horizontal="general" vertical="bottom" textRotation="0" wrapText="false" indent="0" shrinkToFit="false"/>
      <protection locked="true" hidden="false"/>
    </xf>
    <xf numFmtId="168" fontId="7" fillId="0" borderId="1" xfId="0" applyFont="true" applyBorder="true" applyAlignment="tru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tru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9" fontId="7" fillId="0" borderId="1" xfId="0" applyFont="true" applyBorder="true" applyAlignment="tru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xf numFmtId="165" fontId="6" fillId="2" borderId="1" xfId="0" applyFont="true" applyBorder="true" applyAlignment="true" applyProtection="false">
      <alignment horizontal="general" vertical="bottom" textRotation="0" wrapText="false" indent="0" shrinkToFit="false"/>
      <protection locked="true" hidden="false"/>
    </xf>
    <xf numFmtId="167" fontId="8" fillId="3" borderId="1" xfId="0" applyFont="true" applyBorder="true" applyAlignment="true" applyProtection="false">
      <alignment horizontal="general" vertical="bottom" textRotation="0" wrapText="false" indent="0" shrinkToFit="false"/>
      <protection locked="true" hidden="false"/>
    </xf>
    <xf numFmtId="165" fontId="8" fillId="3" borderId="1" xfId="0" applyFont="true" applyBorder="true" applyAlignment="tru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general" vertical="bottom" textRotation="0" wrapText="false" indent="0" shrinkToFit="false"/>
      <protection locked="true" hidden="false"/>
    </xf>
    <xf numFmtId="164" fontId="8" fillId="3" borderId="1" xfId="0" applyFont="true" applyBorder="true" applyAlignment="true" applyProtection="false">
      <alignment horizontal="general" vertical="bottom" textRotation="0" wrapText="false" indent="0" shrinkToFit="false"/>
      <protection locked="true" hidden="false"/>
    </xf>
    <xf numFmtId="164" fontId="5" fillId="0"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70" fontId="8"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9" fontId="6" fillId="2" borderId="1" xfId="0" applyFont="true" applyBorder="true" applyAlignment="true" applyProtection="false">
      <alignment horizontal="general" vertical="bottom" textRotation="0" wrapText="false" indent="0" shrinkToFit="false"/>
      <protection locked="true" hidden="false"/>
    </xf>
    <xf numFmtId="168" fontId="6" fillId="2" borderId="1" xfId="0" applyFont="true" applyBorder="true" applyAlignment="tru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general" vertical="bottom" textRotation="0" wrapText="false" indent="0" shrinkToFit="false"/>
      <protection locked="true" hidden="false"/>
    </xf>
    <xf numFmtId="169" fontId="10" fillId="0" borderId="1" xfId="0" applyFont="true" applyBorder="tru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5" fontId="10" fillId="0" borderId="1" xfId="0" applyFont="true" applyBorder="true" applyAlignment="true" applyProtection="false">
      <alignment horizontal="general" vertical="bottom" textRotation="0" wrapText="false" indent="0" shrinkToFit="false"/>
      <protection locked="true" hidden="false"/>
    </xf>
    <xf numFmtId="166" fontId="10" fillId="0" borderId="1" xfId="0" applyFont="true" applyBorder="true" applyAlignment="tru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CC"/>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E8EDF5"/>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30"/>
    <col collapsed="false" customWidth="true" hidden="false" outlineLevel="0" max="3" min="3" style="1" width="96"/>
  </cols>
  <sheetData>
    <row r="2" customFormat="false" ht="15.75" hidden="false" customHeight="true" outlineLevel="0" collapsed="false">
      <c r="B2" s="2" t="s">
        <v>0</v>
      </c>
    </row>
    <row r="3" customFormat="false" ht="15" hidden="false" customHeight="true" outlineLevel="0" collapsed="false">
      <c r="B3" s="3" t="s">
        <v>1</v>
      </c>
    </row>
    <row r="5" customFormat="false" ht="15" hidden="false" customHeight="true" outlineLevel="0" collapsed="false">
      <c r="B5" s="4" t="s">
        <v>2</v>
      </c>
      <c r="C5" s="5" t="s">
        <v>3</v>
      </c>
    </row>
    <row r="6" customFormat="false" ht="15" hidden="false" customHeight="true" outlineLevel="0" collapsed="false">
      <c r="B6" s="4" t="s">
        <v>4</v>
      </c>
      <c r="C6" s="5" t="s">
        <v>5</v>
      </c>
    </row>
    <row r="7" customFormat="false" ht="15" hidden="false" customHeight="true" outlineLevel="0" collapsed="false">
      <c r="B7" s="4" t="s">
        <v>6</v>
      </c>
      <c r="C7" s="5" t="s">
        <v>7</v>
      </c>
    </row>
    <row r="8" customFormat="false" ht="15" hidden="false" customHeight="true" outlineLevel="0" collapsed="false">
      <c r="B8" s="4" t="s">
        <v>8</v>
      </c>
      <c r="C8" s="5" t="s">
        <v>9</v>
      </c>
    </row>
    <row r="9" customFormat="false" ht="15" hidden="false" customHeight="true" outlineLevel="0" collapsed="false">
      <c r="B9" s="4" t="s">
        <v>10</v>
      </c>
      <c r="C9" s="5" t="s">
        <v>11</v>
      </c>
    </row>
    <row r="10" customFormat="false" ht="15" hidden="false" customHeight="true" outlineLevel="0" collapsed="false">
      <c r="B10" s="4" t="s">
        <v>12</v>
      </c>
      <c r="C10" s="5" t="s">
        <v>13</v>
      </c>
    </row>
    <row r="11" customFormat="false" ht="15" hidden="false" customHeight="true" outlineLevel="0" collapsed="false">
      <c r="B11" s="4" t="s">
        <v>14</v>
      </c>
      <c r="C11" s="5" t="s">
        <v>15</v>
      </c>
    </row>
    <row r="12" customFormat="false" ht="15" hidden="false" customHeight="true" outlineLevel="0" collapsed="false">
      <c r="B12" s="4"/>
      <c r="C12" s="5" t="s">
        <v>16</v>
      </c>
    </row>
    <row r="13" customFormat="false" ht="15" hidden="false" customHeight="true" outlineLevel="0" collapsed="false">
      <c r="B13" s="4" t="s">
        <v>17</v>
      </c>
      <c r="C13" s="5" t="s">
        <v>18</v>
      </c>
    </row>
    <row r="14" customFormat="false" ht="15" hidden="false" customHeight="true" outlineLevel="0" collapsed="false">
      <c r="B14" s="4"/>
      <c r="C14" s="5" t="s">
        <v>19</v>
      </c>
    </row>
    <row r="15" customFormat="false" ht="15" hidden="false" customHeight="true" outlineLevel="0" collapsed="false">
      <c r="B15" s="4" t="s">
        <v>20</v>
      </c>
      <c r="C15" s="5" t="s">
        <v>21</v>
      </c>
    </row>
    <row r="16" customFormat="false" ht="15" hidden="false" customHeight="true" outlineLevel="0" collapsed="false">
      <c r="B16" s="4"/>
      <c r="C16" s="5" t="s">
        <v>22</v>
      </c>
    </row>
    <row r="17" customFormat="false" ht="15" hidden="false" customHeight="true" outlineLevel="0" collapsed="false">
      <c r="B17" s="4" t="s">
        <v>23</v>
      </c>
      <c r="C17" s="5" t="s">
        <v>24</v>
      </c>
    </row>
    <row r="18" customFormat="false" ht="15" hidden="false" customHeight="true" outlineLevel="0" collapsed="false">
      <c r="B18" s="4" t="s">
        <v>25</v>
      </c>
      <c r="C18" s="5" t="s">
        <v>26</v>
      </c>
    </row>
    <row r="20" customFormat="false" ht="78" hidden="false" customHeight="true" outlineLevel="0" collapsed="false">
      <c r="B20" s="6" t="s">
        <v>27</v>
      </c>
      <c r="C20" s="7" t="s">
        <v>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9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52"/>
    <col collapsed="false" customWidth="true" hidden="false" outlineLevel="0" max="4" min="3" style="1" width="18"/>
    <col collapsed="false" customWidth="true" hidden="false" outlineLevel="0" max="5" min="5" style="1" width="46"/>
  </cols>
  <sheetData>
    <row r="2" customFormat="false" ht="15.75" hidden="false" customHeight="true" outlineLevel="0" collapsed="false">
      <c r="B2" s="2" t="s">
        <v>29</v>
      </c>
    </row>
    <row r="3" customFormat="false" ht="15" hidden="false" customHeight="true" outlineLevel="0" collapsed="false">
      <c r="B3" s="3" t="s">
        <v>30</v>
      </c>
    </row>
    <row r="6" customFormat="false" ht="15" hidden="false" customHeight="true" outlineLevel="0" collapsed="false">
      <c r="B6" s="8" t="s">
        <v>31</v>
      </c>
      <c r="C6" s="9"/>
      <c r="D6" s="9"/>
      <c r="E6" s="9"/>
      <c r="F6" s="9"/>
      <c r="G6" s="9"/>
    </row>
    <row r="7" customFormat="false" ht="15" hidden="false" customHeight="true" outlineLevel="0" collapsed="false">
      <c r="B7" s="5" t="s">
        <v>32</v>
      </c>
      <c r="C7" s="10" t="n">
        <v>104</v>
      </c>
    </row>
    <row r="8" customFormat="false" ht="15" hidden="false" customHeight="true" outlineLevel="0" collapsed="false">
      <c r="B8" s="5" t="s">
        <v>33</v>
      </c>
      <c r="C8" s="10" t="n">
        <v>109.5</v>
      </c>
    </row>
    <row r="9" customFormat="false" ht="15" hidden="false" customHeight="true" outlineLevel="0" collapsed="false">
      <c r="B9" s="5" t="s">
        <v>34</v>
      </c>
      <c r="C9" s="11" t="n">
        <v>36</v>
      </c>
    </row>
    <row r="11" customFormat="false" ht="15" hidden="false" customHeight="true" outlineLevel="0" collapsed="false">
      <c r="B11" s="8" t="s">
        <v>35</v>
      </c>
      <c r="C11" s="9"/>
      <c r="D11" s="9"/>
      <c r="E11" s="9"/>
      <c r="F11" s="9"/>
      <c r="G11" s="9"/>
    </row>
    <row r="12" customFormat="false" ht="15" hidden="false" customHeight="true" outlineLevel="0" collapsed="false">
      <c r="B12" s="5" t="s">
        <v>36</v>
      </c>
      <c r="C12" s="11" t="n">
        <v>58400</v>
      </c>
    </row>
    <row r="13" customFormat="false" ht="15" hidden="false" customHeight="true" outlineLevel="0" collapsed="false">
      <c r="B13" s="5" t="s">
        <v>37</v>
      </c>
      <c r="C13" s="11" t="n">
        <v>51400</v>
      </c>
    </row>
    <row r="14" customFormat="false" ht="15" hidden="false" customHeight="true" outlineLevel="0" collapsed="false">
      <c r="B14" s="5" t="s">
        <v>38</v>
      </c>
      <c r="C14" s="11" t="n">
        <v>49900</v>
      </c>
    </row>
    <row r="15" customFormat="false" ht="15" hidden="false" customHeight="true" outlineLevel="0" collapsed="false">
      <c r="B15" s="4" t="s">
        <v>39</v>
      </c>
      <c r="C15" s="12" t="n">
        <f aca="false">$C$12+$C$13+$C$14</f>
        <v>159700</v>
      </c>
    </row>
    <row r="16" customFormat="false" ht="15" hidden="false" customHeight="true" outlineLevel="0" collapsed="false">
      <c r="B16" s="5" t="s">
        <v>40</v>
      </c>
      <c r="C16" s="13" t="n">
        <v>50200</v>
      </c>
      <c r="D16" s="14" t="s">
        <v>41</v>
      </c>
    </row>
    <row r="17" customFormat="false" ht="15" hidden="false" customHeight="true" outlineLevel="0" collapsed="false">
      <c r="B17" s="5" t="s">
        <v>42</v>
      </c>
      <c r="C17" s="15" t="n">
        <v>55000</v>
      </c>
    </row>
    <row r="19" customFormat="false" ht="15" hidden="false" customHeight="true" outlineLevel="0" collapsed="false">
      <c r="B19" s="8" t="s">
        <v>43</v>
      </c>
      <c r="C19" s="9"/>
      <c r="D19" s="9"/>
      <c r="E19" s="9"/>
      <c r="F19" s="9"/>
      <c r="G19" s="9"/>
    </row>
    <row r="20" customFormat="false" ht="15" hidden="false" customHeight="true" outlineLevel="0" collapsed="false">
      <c r="B20" s="5" t="s">
        <v>44</v>
      </c>
      <c r="C20" s="16" t="n">
        <v>0.084</v>
      </c>
    </row>
    <row r="21" customFormat="false" ht="15" hidden="false" customHeight="true" outlineLevel="0" collapsed="false">
      <c r="B21" s="5" t="s">
        <v>45</v>
      </c>
      <c r="C21" s="16" t="n">
        <v>0.051</v>
      </c>
    </row>
    <row r="22" customFormat="false" ht="15" hidden="false" customHeight="true" outlineLevel="0" collapsed="false">
      <c r="B22" s="5" t="s">
        <v>46</v>
      </c>
      <c r="C22" s="16" t="n">
        <v>0.03</v>
      </c>
    </row>
    <row r="23" customFormat="false" ht="15" hidden="false" customHeight="true" outlineLevel="0" collapsed="false">
      <c r="B23" s="5" t="s">
        <v>47</v>
      </c>
      <c r="C23" s="17" t="n">
        <f aca="false">ROUND((1+$C$20)^(1/4)-1,4)</f>
        <v>0.0204</v>
      </c>
    </row>
    <row r="24" customFormat="false" ht="15" hidden="false" customHeight="true" outlineLevel="0" collapsed="false">
      <c r="B24" s="5" t="s">
        <v>48</v>
      </c>
      <c r="C24" s="17" t="n">
        <f aca="false">ROUND((1+$C$21)^(1/4)-1,4)</f>
        <v>0.0125</v>
      </c>
    </row>
    <row r="25" customFormat="false" ht="15" hidden="false" customHeight="true" outlineLevel="0" collapsed="false">
      <c r="B25" s="5" t="s">
        <v>49</v>
      </c>
      <c r="C25" s="17" t="n">
        <f aca="false">ROUND((1+$C$22)^(1/4)-1,4)</f>
        <v>0.0074</v>
      </c>
    </row>
    <row r="26" customFormat="false" ht="15" hidden="false" customHeight="true" outlineLevel="0" collapsed="false">
      <c r="B26" s="3" t="s">
        <v>50</v>
      </c>
    </row>
    <row r="27" customFormat="false" ht="15" hidden="false" customHeight="true" outlineLevel="0" collapsed="false">
      <c r="B27" s="18" t="s">
        <v>51</v>
      </c>
      <c r="C27" s="18" t="s">
        <v>52</v>
      </c>
      <c r="D27" s="18" t="s">
        <v>53</v>
      </c>
      <c r="E27" s="18" t="s">
        <v>54</v>
      </c>
    </row>
    <row r="28" customFormat="false" ht="15" hidden="false" customHeight="true" outlineLevel="0" collapsed="false">
      <c r="B28" s="19" t="s">
        <v>55</v>
      </c>
      <c r="C28" s="20" t="n">
        <f aca="false">ROUND($C$7*(1+$C$23)^0*(1+$C$24)^0,4)</f>
        <v>104</v>
      </c>
      <c r="D28" s="20" t="n">
        <f aca="false">ROUND($C$8*(1+$C$25)^0,4)</f>
        <v>109.5</v>
      </c>
      <c r="E28" s="19" t="str">
        <f aca="false">IF(C28&gt;D28,"yes","no")</f>
        <v>no</v>
      </c>
    </row>
    <row r="29" customFormat="false" ht="15" hidden="false" customHeight="true" outlineLevel="0" collapsed="false">
      <c r="B29" s="19" t="s">
        <v>56</v>
      </c>
      <c r="C29" s="20" t="n">
        <f aca="false">ROUND($C$7*(1+$C$23)^0*(1+$C$24)^0,4)</f>
        <v>104</v>
      </c>
      <c r="D29" s="20" t="n">
        <f aca="false">ROUND($C$8*(1+$C$25)^0,4)</f>
        <v>109.5</v>
      </c>
      <c r="E29" s="19" t="str">
        <f aca="false">IF(C29&gt;D29,"yes","no")</f>
        <v>no</v>
      </c>
    </row>
    <row r="30" customFormat="false" ht="15" hidden="false" customHeight="true" outlineLevel="0" collapsed="false">
      <c r="B30" s="19" t="s">
        <v>57</v>
      </c>
      <c r="C30" s="20" t="n">
        <f aca="false">ROUND($C$7*(1+$C$23)^0*(1+$C$24)^0,4)</f>
        <v>104</v>
      </c>
      <c r="D30" s="20" t="n">
        <f aca="false">ROUND($C$8*(1+$C$25)^0,4)</f>
        <v>109.5</v>
      </c>
      <c r="E30" s="19" t="str">
        <f aca="false">IF(C30&gt;D30,"yes","no")</f>
        <v>no</v>
      </c>
    </row>
    <row r="31" customFormat="false" ht="15" hidden="false" customHeight="true" outlineLevel="0" collapsed="false">
      <c r="B31" s="19" t="s">
        <v>58</v>
      </c>
      <c r="C31" s="20" t="n">
        <f aca="false">ROUND($C$7*(1+$C$23)^0*(1+$C$24)^0,4)</f>
        <v>104</v>
      </c>
      <c r="D31" s="20" t="n">
        <f aca="false">ROUND($C$8*(1+$C$25)^0,4)</f>
        <v>109.5</v>
      </c>
      <c r="E31" s="19" t="str">
        <f aca="false">IF(C31&gt;D31,"yes","no")</f>
        <v>no</v>
      </c>
    </row>
    <row r="32" customFormat="false" ht="15" hidden="false" customHeight="true" outlineLevel="0" collapsed="false">
      <c r="B32" s="19" t="s">
        <v>59</v>
      </c>
      <c r="C32" s="20" t="n">
        <f aca="false">ROUND($C$7*(1+$C$23)^1*(1+$C$24)^0,4)</f>
        <v>106.1216</v>
      </c>
      <c r="D32" s="20" t="n">
        <f aca="false">ROUND($C$8*(1+$C$25)^0,4)</f>
        <v>109.5</v>
      </c>
      <c r="E32" s="19" t="str">
        <f aca="false">IF(C32&gt;D32,"yes","no")</f>
        <v>no</v>
      </c>
    </row>
    <row r="33" customFormat="false" ht="15" hidden="false" customHeight="true" outlineLevel="0" collapsed="false">
      <c r="B33" s="19" t="s">
        <v>60</v>
      </c>
      <c r="C33" s="20" t="n">
        <f aca="false">ROUND($C$7*(1+$C$23)^2*(1+$C$24)^0,4)</f>
        <v>108.2865</v>
      </c>
      <c r="D33" s="20" t="n">
        <f aca="false">ROUND($C$8*(1+$C$25)^0,4)</f>
        <v>109.5</v>
      </c>
      <c r="E33" s="19" t="str">
        <f aca="false">IF(C33&gt;D33,"yes","no")</f>
        <v>no</v>
      </c>
    </row>
    <row r="34" customFormat="false" ht="15" hidden="false" customHeight="true" outlineLevel="0" collapsed="false">
      <c r="B34" s="19" t="s">
        <v>61</v>
      </c>
      <c r="C34" s="20" t="n">
        <f aca="false">ROUND($C$7*(1+$C$23)^3*(1+$C$24)^0,4)</f>
        <v>110.4955</v>
      </c>
      <c r="D34" s="20" t="n">
        <f aca="false">ROUND($C$8*(1+$C$25)^0,4)</f>
        <v>109.5</v>
      </c>
      <c r="E34" s="19" t="str">
        <f aca="false">IF(C34&gt;D34,"yes","no")</f>
        <v>yes</v>
      </c>
    </row>
    <row r="35" customFormat="false" ht="15" hidden="false" customHeight="true" outlineLevel="0" collapsed="false">
      <c r="B35" s="19" t="s">
        <v>62</v>
      </c>
      <c r="C35" s="20" t="n">
        <f aca="false">ROUND($C$7*(1+$C$23)^4*(1+$C$24)^0,4)</f>
        <v>112.7496</v>
      </c>
      <c r="D35" s="20" t="n">
        <f aca="false">ROUND($C$8*(1+$C$25)^0,4)</f>
        <v>109.5</v>
      </c>
      <c r="E35" s="19" t="str">
        <f aca="false">IF(C35&gt;D35,"yes","no")</f>
        <v>yes</v>
      </c>
    </row>
    <row r="36" customFormat="false" ht="15" hidden="false" customHeight="true" outlineLevel="0" collapsed="false">
      <c r="B36" s="19" t="s">
        <v>63</v>
      </c>
      <c r="C36" s="20" t="n">
        <f aca="false">ROUND($C$7*(1+$C$23)^4*(1+$C$24)^1,4)</f>
        <v>114.159</v>
      </c>
      <c r="D36" s="20" t="n">
        <f aca="false">ROUND($C$8*(1+$C$25)^1,4)</f>
        <v>110.3103</v>
      </c>
      <c r="E36" s="19" t="str">
        <f aca="false">IF(C36&gt;D36,"yes","no")</f>
        <v>yes</v>
      </c>
    </row>
    <row r="37" customFormat="false" ht="15" hidden="false" customHeight="true" outlineLevel="0" collapsed="false">
      <c r="B37" s="19" t="s">
        <v>64</v>
      </c>
      <c r="C37" s="20" t="n">
        <f aca="false">ROUND($C$7*(1+$C$23)^4*(1+$C$24)^2,4)</f>
        <v>115.586</v>
      </c>
      <c r="D37" s="20" t="n">
        <f aca="false">ROUND($C$8*(1+$C$25)^2,4)</f>
        <v>111.1266</v>
      </c>
      <c r="E37" s="19" t="str">
        <f aca="false">IF(C37&gt;D37,"yes","no")</f>
        <v>yes</v>
      </c>
    </row>
    <row r="38" customFormat="false" ht="15" hidden="false" customHeight="true" outlineLevel="0" collapsed="false">
      <c r="B38" s="19" t="s">
        <v>65</v>
      </c>
      <c r="C38" s="20" t="n">
        <f aca="false">ROUND($C$7*(1+$C$23)^4*(1+$C$24)^3,4)</f>
        <v>117.0308</v>
      </c>
      <c r="D38" s="20" t="n">
        <f aca="false">ROUND($C$8*(1+$C$25)^3,4)</f>
        <v>111.9489</v>
      </c>
      <c r="E38" s="19" t="str">
        <f aca="false">IF(C38&gt;D38,"yes","no")</f>
        <v>yes</v>
      </c>
    </row>
    <row r="39" customFormat="false" ht="15" hidden="false" customHeight="true" outlineLevel="0" collapsed="false">
      <c r="B39" s="19" t="s">
        <v>66</v>
      </c>
      <c r="C39" s="20" t="n">
        <f aca="false">ROUND($C$7*(1+$C$23)^4*(1+$C$24)^4,4)</f>
        <v>118.4937</v>
      </c>
      <c r="D39" s="20" t="n">
        <f aca="false">ROUND($C$8*(1+$C$25)^4,4)</f>
        <v>112.7774</v>
      </c>
      <c r="E39" s="19" t="str">
        <f aca="false">IF(C39&gt;D39,"yes","no")</f>
        <v>yes</v>
      </c>
    </row>
    <row r="40" customFormat="false" ht="15" hidden="false" customHeight="true" outlineLevel="0" collapsed="false">
      <c r="B40" s="4" t="s">
        <v>67</v>
      </c>
      <c r="C40" s="12" t="n">
        <f aca="false">MATCH("yes",E28:E39,0)</f>
        <v>7</v>
      </c>
    </row>
    <row r="41" customFormat="false" ht="15" hidden="false" customHeight="true" outlineLevel="0" collapsed="false">
      <c r="B41" s="4" t="s">
        <v>68</v>
      </c>
      <c r="C41" s="12" t="n">
        <f aca="false">($C$40-1)*3+1</f>
        <v>19</v>
      </c>
    </row>
    <row r="42" customFormat="false" ht="15" hidden="false" customHeight="true" outlineLevel="0" collapsed="false">
      <c r="B42" s="5" t="s">
        <v>69</v>
      </c>
      <c r="C42" s="20" t="n">
        <f aca="false">ROUND(AVERAGE(C28:C31),4)</f>
        <v>104</v>
      </c>
    </row>
    <row r="43" customFormat="false" ht="15" hidden="false" customHeight="true" outlineLevel="0" collapsed="false">
      <c r="B43" s="5" t="s">
        <v>70</v>
      </c>
      <c r="C43" s="20" t="n">
        <f aca="false">ROUND(AVERAGE(C32:C35),4)</f>
        <v>109.4133</v>
      </c>
    </row>
    <row r="44" customFormat="false" ht="15" hidden="false" customHeight="true" outlineLevel="0" collapsed="false">
      <c r="B44" s="5" t="s">
        <v>71</v>
      </c>
      <c r="C44" s="20" t="n">
        <f aca="false">ROUND(AVERAGE(C36:C39),4)</f>
        <v>116.3174</v>
      </c>
    </row>
    <row r="45" customFormat="false" ht="15" hidden="false" customHeight="true" outlineLevel="0" collapsed="false">
      <c r="B45" s="5" t="s">
        <v>72</v>
      </c>
      <c r="C45" s="20" t="n">
        <f aca="false">ROUND(AVERAGE(D36:D39),4)</f>
        <v>111.5408</v>
      </c>
    </row>
    <row r="46" customFormat="false" ht="15" hidden="false" customHeight="true" outlineLevel="0" collapsed="false">
      <c r="B46" s="5" t="s">
        <v>73</v>
      </c>
      <c r="C46" s="21" t="n">
        <f aca="false">ROUND($C$12*$C$42,2)</f>
        <v>6073600</v>
      </c>
    </row>
    <row r="47" customFormat="false" ht="15" hidden="false" customHeight="true" outlineLevel="0" collapsed="false">
      <c r="B47" s="5" t="s">
        <v>74</v>
      </c>
      <c r="C47" s="21" t="n">
        <f aca="false">ROUND($C$13*$C$43,2)</f>
        <v>5623843.62</v>
      </c>
    </row>
    <row r="48" customFormat="false" ht="15" hidden="false" customHeight="true" outlineLevel="0" collapsed="false">
      <c r="B48" s="5" t="s">
        <v>75</v>
      </c>
      <c r="C48" s="21" t="n">
        <f aca="false">ROUND($C$14*$C$44,2)</f>
        <v>5804238.26</v>
      </c>
    </row>
    <row r="49" customFormat="false" ht="15" hidden="false" customHeight="true" outlineLevel="0" collapsed="false">
      <c r="B49" s="4" t="s">
        <v>76</v>
      </c>
      <c r="C49" s="22" t="n">
        <f aca="false">ROUND($C$46+$C$47+$C$48,2)</f>
        <v>17501681.88</v>
      </c>
    </row>
    <row r="51" customFormat="false" ht="15" hidden="false" customHeight="true" outlineLevel="0" collapsed="false">
      <c r="B51" s="8" t="s">
        <v>77</v>
      </c>
      <c r="C51" s="9"/>
      <c r="D51" s="9"/>
      <c r="E51" s="9"/>
      <c r="F51" s="9"/>
      <c r="G51" s="9"/>
    </row>
    <row r="52" customFormat="false" ht="15" hidden="false" customHeight="true" outlineLevel="0" collapsed="false">
      <c r="B52" s="3" t="s">
        <v>78</v>
      </c>
    </row>
    <row r="53" customFormat="false" ht="15" hidden="false" customHeight="true" outlineLevel="0" collapsed="false">
      <c r="B53" s="5" t="s">
        <v>79</v>
      </c>
      <c r="C53" s="23" t="n">
        <v>0.064</v>
      </c>
    </row>
    <row r="54" customFormat="false" ht="15" hidden="false" customHeight="true" outlineLevel="0" collapsed="false">
      <c r="B54" s="5" t="s">
        <v>80</v>
      </c>
      <c r="C54" s="24" t="n">
        <v>18400</v>
      </c>
    </row>
    <row r="55" customFormat="false" ht="15" hidden="false" customHeight="true" outlineLevel="0" collapsed="false">
      <c r="B55" s="5" t="s">
        <v>81</v>
      </c>
      <c r="C55" s="25" t="n">
        <v>0.0042</v>
      </c>
    </row>
    <row r="56" customFormat="false" ht="15" hidden="false" customHeight="true" outlineLevel="0" collapsed="false">
      <c r="B56" s="5" t="s">
        <v>82</v>
      </c>
      <c r="C56" s="24" t="n">
        <v>890</v>
      </c>
    </row>
    <row r="57" customFormat="false" ht="15" hidden="false" customHeight="true" outlineLevel="0" collapsed="false">
      <c r="B57" s="5" t="s">
        <v>83</v>
      </c>
      <c r="C57" s="13" t="n">
        <v>43</v>
      </c>
    </row>
    <row r="58" customFormat="false" ht="15" hidden="false" customHeight="true" outlineLevel="0" collapsed="false">
      <c r="B58" s="5" t="s">
        <v>84</v>
      </c>
      <c r="C58" s="24" t="n">
        <v>14600</v>
      </c>
    </row>
    <row r="59" customFormat="false" ht="15" hidden="false" customHeight="true" outlineLevel="0" collapsed="false">
      <c r="B59" s="5" t="s">
        <v>85</v>
      </c>
      <c r="C59" s="26" t="s">
        <v>86</v>
      </c>
    </row>
    <row r="60" customFormat="false" ht="15" hidden="false" customHeight="true" outlineLevel="0" collapsed="false">
      <c r="B60" s="5" t="s">
        <v>87</v>
      </c>
      <c r="C60" s="23" t="n">
        <v>0.031</v>
      </c>
    </row>
    <row r="61" customFormat="false" ht="15" hidden="false" customHeight="true" outlineLevel="0" collapsed="false">
      <c r="B61" s="5" t="s">
        <v>88</v>
      </c>
      <c r="C61" s="23" t="n">
        <v>0.017</v>
      </c>
    </row>
    <row r="63" customFormat="false" ht="15" hidden="false" customHeight="true" outlineLevel="0" collapsed="false">
      <c r="B63" s="8" t="s">
        <v>89</v>
      </c>
      <c r="C63" s="9"/>
      <c r="D63" s="9"/>
      <c r="E63" s="9"/>
      <c r="F63" s="9"/>
      <c r="G63" s="9"/>
    </row>
    <row r="64" customFormat="false" ht="15" hidden="false" customHeight="true" outlineLevel="0" collapsed="false">
      <c r="B64" s="18" t="s">
        <v>90</v>
      </c>
      <c r="C64" s="18" t="s">
        <v>91</v>
      </c>
      <c r="D64" s="18" t="s">
        <v>92</v>
      </c>
      <c r="E64" s="18" t="s">
        <v>93</v>
      </c>
    </row>
    <row r="65" customFormat="false" ht="15" hidden="false" customHeight="true" outlineLevel="0" collapsed="false">
      <c r="B65" s="19" t="s">
        <v>94</v>
      </c>
      <c r="C65" s="11" t="n">
        <v>45</v>
      </c>
      <c r="D65" s="11" t="n">
        <v>60</v>
      </c>
      <c r="E65" s="27" t="s">
        <v>95</v>
      </c>
    </row>
    <row r="66" customFormat="false" ht="15" hidden="false" customHeight="true" outlineLevel="0" collapsed="false">
      <c r="B66" s="19" t="s">
        <v>96</v>
      </c>
      <c r="C66" s="16" t="n">
        <v>0.045</v>
      </c>
      <c r="D66" s="16" t="n">
        <v>0</v>
      </c>
      <c r="E66" s="27" t="s">
        <v>97</v>
      </c>
    </row>
    <row r="67" customFormat="false" ht="15" hidden="false" customHeight="true" outlineLevel="0" collapsed="false">
      <c r="B67" s="19" t="s">
        <v>98</v>
      </c>
      <c r="C67" s="16" t="n">
        <v>0.05</v>
      </c>
      <c r="D67" s="16" t="n">
        <v>0.1</v>
      </c>
      <c r="E67" s="27" t="s">
        <v>99</v>
      </c>
    </row>
    <row r="68" customFormat="false" ht="15" hidden="false" customHeight="true" outlineLevel="0" collapsed="false">
      <c r="B68" s="19" t="s">
        <v>100</v>
      </c>
      <c r="C68" s="11" t="n">
        <v>12</v>
      </c>
      <c r="D68" s="11" t="n">
        <v>24</v>
      </c>
      <c r="E68" s="27" t="s">
        <v>101</v>
      </c>
    </row>
    <row r="69" customFormat="false" ht="15" hidden="false" customHeight="true" outlineLevel="0" collapsed="false">
      <c r="B69" s="19" t="s">
        <v>102</v>
      </c>
      <c r="C69" s="16" t="n">
        <v>0.22</v>
      </c>
      <c r="D69" s="16" t="n">
        <v>0.12</v>
      </c>
      <c r="E69" s="27" t="s">
        <v>103</v>
      </c>
    </row>
    <row r="70" customFormat="false" ht="15" hidden="false" customHeight="true" outlineLevel="0" collapsed="false">
      <c r="B70" s="19" t="s">
        <v>104</v>
      </c>
      <c r="C70" s="11" t="n">
        <v>1</v>
      </c>
      <c r="D70" s="11" t="n">
        <v>0</v>
      </c>
      <c r="E70" s="27" t="s">
        <v>105</v>
      </c>
    </row>
    <row r="71" customFormat="false" ht="15" hidden="false" customHeight="true" outlineLevel="0" collapsed="false">
      <c r="B71" s="19" t="s">
        <v>106</v>
      </c>
      <c r="C71" s="11" t="n">
        <v>7</v>
      </c>
      <c r="D71" s="11" t="n">
        <v>4</v>
      </c>
      <c r="E71" s="27" t="s">
        <v>107</v>
      </c>
    </row>
    <row r="72" customFormat="false" ht="15" hidden="false" customHeight="true" outlineLevel="0" collapsed="false">
      <c r="B72" s="19" t="s">
        <v>108</v>
      </c>
      <c r="C72" s="11" t="n">
        <v>12</v>
      </c>
      <c r="D72" s="11" t="n">
        <v>6</v>
      </c>
      <c r="E72" s="27" t="s">
        <v>109</v>
      </c>
    </row>
    <row r="74" customFormat="false" ht="15" hidden="false" customHeight="true" outlineLevel="0" collapsed="false">
      <c r="B74" s="8" t="s">
        <v>110</v>
      </c>
      <c r="C74" s="9"/>
      <c r="D74" s="9"/>
      <c r="E74" s="9"/>
      <c r="F74" s="9"/>
      <c r="G74" s="9"/>
    </row>
    <row r="75" customFormat="false" ht="15" hidden="false" customHeight="true" outlineLevel="0" collapsed="false">
      <c r="B75" s="5" t="s">
        <v>111</v>
      </c>
      <c r="C75" s="16" t="n">
        <v>0.38</v>
      </c>
    </row>
    <row r="76" customFormat="false" ht="15" hidden="false" customHeight="true" outlineLevel="0" collapsed="false">
      <c r="B76" s="5" t="s">
        <v>112</v>
      </c>
      <c r="C76" s="16" t="n">
        <v>0.71</v>
      </c>
    </row>
    <row r="77" customFormat="false" ht="15" hidden="false" customHeight="true" outlineLevel="0" collapsed="false">
      <c r="B77" s="5" t="s">
        <v>113</v>
      </c>
      <c r="C77" s="11" t="n">
        <v>5200</v>
      </c>
    </row>
    <row r="78" customFormat="false" ht="15" hidden="false" customHeight="true" outlineLevel="0" collapsed="false">
      <c r="B78" s="5" t="s">
        <v>114</v>
      </c>
      <c r="C78" s="11" t="n">
        <v>3</v>
      </c>
    </row>
    <row r="79" customFormat="false" ht="15" hidden="false" customHeight="true" outlineLevel="0" collapsed="false">
      <c r="B79" s="5" t="s">
        <v>115</v>
      </c>
      <c r="C79" s="10" t="n">
        <v>34.75</v>
      </c>
    </row>
    <row r="80" customFormat="false" ht="15" hidden="false" customHeight="true" outlineLevel="0" collapsed="false">
      <c r="B80" s="5" t="s">
        <v>116</v>
      </c>
      <c r="C80" s="11" t="n">
        <v>6800</v>
      </c>
    </row>
    <row r="81" customFormat="false" ht="15" hidden="false" customHeight="true" outlineLevel="0" collapsed="false">
      <c r="B81" s="5" t="s">
        <v>117</v>
      </c>
      <c r="C81" s="10" t="n">
        <v>138</v>
      </c>
    </row>
    <row r="82" customFormat="false" ht="15" hidden="false" customHeight="true" outlineLevel="0" collapsed="false">
      <c r="B82" s="5" t="s">
        <v>118</v>
      </c>
      <c r="C82" s="11" t="n">
        <v>1850</v>
      </c>
    </row>
    <row r="83" customFormat="false" ht="15" hidden="false" customHeight="true" outlineLevel="0" collapsed="false">
      <c r="B83" s="5" t="s">
        <v>119</v>
      </c>
      <c r="C83" s="10" t="n">
        <v>1240</v>
      </c>
    </row>
    <row r="84" customFormat="false" ht="15" hidden="false" customHeight="true" outlineLevel="0" collapsed="false">
      <c r="B84" s="5" t="s">
        <v>120</v>
      </c>
      <c r="C84" s="11" t="n">
        <v>12</v>
      </c>
    </row>
    <row r="85" customFormat="false" ht="15" hidden="false" customHeight="true" outlineLevel="0" collapsed="false">
      <c r="B85" s="5" t="s">
        <v>121</v>
      </c>
      <c r="C85" s="10" t="n">
        <v>340000</v>
      </c>
    </row>
    <row r="86" customFormat="false" ht="15" hidden="false" customHeight="true" outlineLevel="0" collapsed="false">
      <c r="B86" s="5" t="s">
        <v>122</v>
      </c>
      <c r="C86" s="11" t="n">
        <v>36</v>
      </c>
    </row>
    <row r="87" customFormat="false" ht="15" hidden="false" customHeight="true" outlineLevel="0" collapsed="false">
      <c r="B87" s="5" t="s">
        <v>123</v>
      </c>
      <c r="C87" s="10" t="n">
        <v>415000</v>
      </c>
    </row>
    <row r="88" customFormat="false" ht="15" hidden="false" customHeight="true" outlineLevel="0" collapsed="false">
      <c r="B88" s="5" t="s">
        <v>124</v>
      </c>
      <c r="C88" s="11" t="n">
        <v>4100</v>
      </c>
    </row>
    <row r="89" customFormat="false" ht="15" hidden="false" customHeight="true" outlineLevel="0" collapsed="false">
      <c r="B89" s="5" t="s">
        <v>125</v>
      </c>
      <c r="C89" s="10" t="n">
        <v>96.2</v>
      </c>
    </row>
    <row r="90" customFormat="false" ht="15" hidden="false" customHeight="false" outlineLevel="0" collapsed="false">
      <c r="B90" s="28" t="s">
        <v>126</v>
      </c>
      <c r="C90" s="29" t="n">
        <v>7</v>
      </c>
      <c r="D90" s="14" t="s">
        <v>127</v>
      </c>
    </row>
    <row r="91" customFormat="false" ht="15" hidden="false" customHeight="false" outlineLevel="0" collapsed="false">
      <c r="B91" s="28" t="s">
        <v>128</v>
      </c>
      <c r="C91" s="29" t="n">
        <v>24</v>
      </c>
      <c r="D91" s="14" t="s">
        <v>129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40"/>
    <col collapsed="false" customWidth="true" hidden="false" outlineLevel="0" max="3" min="3" style="1" width="20"/>
    <col collapsed="false" customWidth="true" hidden="false" outlineLevel="0" max="4" min="4" style="1" width="46"/>
    <col collapsed="false" customWidth="true" hidden="false" outlineLevel="0" max="5" min="5" style="1" width="20"/>
  </cols>
  <sheetData>
    <row r="2" customFormat="false" ht="15.75" hidden="false" customHeight="true" outlineLevel="0" collapsed="false">
      <c r="B2" s="2" t="s">
        <v>130</v>
      </c>
    </row>
    <row r="3" customFormat="false" ht="15" hidden="false" customHeight="true" outlineLevel="0" collapsed="false">
      <c r="B3" s="3" t="s">
        <v>131</v>
      </c>
    </row>
    <row r="6" customFormat="false" ht="15" hidden="false" customHeight="true" outlineLevel="0" collapsed="false">
      <c r="B6" s="8" t="s">
        <v>132</v>
      </c>
      <c r="C6" s="9"/>
      <c r="D6" s="9"/>
      <c r="E6" s="9"/>
      <c r="F6" s="9"/>
      <c r="G6" s="9"/>
    </row>
    <row r="7" customFormat="false" ht="15" hidden="false" customHeight="true" outlineLevel="0" collapsed="false">
      <c r="B7" s="5" t="s">
        <v>133</v>
      </c>
      <c r="C7" s="30" t="n">
        <f aca="false">'Your Contract'!$D$65-'Your Contract'!$C$65</f>
        <v>15</v>
      </c>
    </row>
    <row r="8" customFormat="false" ht="15" hidden="false" customHeight="true" outlineLevel="0" collapsed="false">
      <c r="B8" s="4" t="s">
        <v>134</v>
      </c>
      <c r="C8" s="22" t="n">
        <f aca="false">ROUND('Your Contract'!$C$49*$C$7/365*'Your Contract'!$C$53,2)</f>
        <v>46031.82</v>
      </c>
      <c r="D8" s="3" t="s">
        <v>135</v>
      </c>
    </row>
    <row r="10" customFormat="false" ht="15" hidden="false" customHeight="true" outlineLevel="0" collapsed="false">
      <c r="B10" s="8" t="s">
        <v>136</v>
      </c>
      <c r="C10" s="9"/>
      <c r="D10" s="9"/>
      <c r="E10" s="9"/>
      <c r="F10" s="9"/>
      <c r="G10" s="9"/>
    </row>
    <row r="11" customFormat="false" ht="15" hidden="false" customHeight="true" outlineLevel="0" collapsed="false">
      <c r="B11" s="4" t="s">
        <v>137</v>
      </c>
      <c r="C11" s="22" t="n">
        <f aca="false">ROUND(('Your Contract'!$C$42-'Your Contract'!$C$7)*'Your Contract'!$C$12+('Your Contract'!$C$43-'Your Contract'!$C$7)*'Your Contract'!$C$13+('Your Contract'!$C$44-'Your Contract'!$C$7)*'Your Contract'!$C$14,2)</f>
        <v>892881.88</v>
      </c>
      <c r="D11" s="3" t="s">
        <v>138</v>
      </c>
    </row>
    <row r="13" customFormat="false" ht="15" hidden="false" customHeight="true" outlineLevel="0" collapsed="false">
      <c r="B13" s="8" t="s">
        <v>139</v>
      </c>
      <c r="C13" s="9"/>
      <c r="D13" s="9"/>
      <c r="E13" s="9"/>
      <c r="F13" s="9"/>
      <c r="G13" s="9"/>
    </row>
    <row r="14" customFormat="false" ht="15" hidden="false" customHeight="true" outlineLevel="0" collapsed="false">
      <c r="B14" s="5" t="s">
        <v>140</v>
      </c>
      <c r="C14" s="21" t="n">
        <f aca="false">IF('Your Contract'!$C$12&lt;'Your Contract'!$C$17,ROUND('Your Contract'!$C$12*'Your Contract'!$C$42*'Your Contract'!$C$66,2),0)</f>
        <v>0</v>
      </c>
    </row>
    <row r="15" customFormat="false" ht="15" hidden="false" customHeight="true" outlineLevel="0" collapsed="false">
      <c r="B15" s="5" t="s">
        <v>141</v>
      </c>
      <c r="C15" s="21" t="n">
        <f aca="false">IF('Your Contract'!$C$13&lt;'Your Contract'!$C$17,ROUND('Your Contract'!$C$13*'Your Contract'!$C$43*'Your Contract'!$C$66,2),0)</f>
        <v>253072.96</v>
      </c>
    </row>
    <row r="16" customFormat="false" ht="15" hidden="false" customHeight="true" outlineLevel="0" collapsed="false">
      <c r="B16" s="5" t="s">
        <v>142</v>
      </c>
      <c r="C16" s="21" t="n">
        <f aca="false">IF('Your Contract'!$C$14&lt;'Your Contract'!$C$17,ROUND('Your Contract'!$C$14*'Your Contract'!$C$44*'Your Contract'!$C$66,2),0)</f>
        <v>261190.72</v>
      </c>
    </row>
    <row r="17" customFormat="false" ht="15" hidden="false" customHeight="true" outlineLevel="0" collapsed="false">
      <c r="B17" s="4" t="s">
        <v>134</v>
      </c>
      <c r="C17" s="22" t="n">
        <f aca="false">ROUND($C$14+$C$15+$C$16,2)</f>
        <v>514263.68</v>
      </c>
      <c r="D17" s="3" t="s">
        <v>143</v>
      </c>
    </row>
    <row r="18" customFormat="false" ht="15" hidden="false" customHeight="false" outlineLevel="0" collapsed="false">
      <c r="B18" s="28" t="s">
        <v>144</v>
      </c>
      <c r="C18" s="31" t="n">
        <f aca="false">IF('Your Contract'!$C$16&lt;'Your Contract'!$C$17,ROUND('Your Contract'!$C$16*'Your Contract'!$C$43*'Your Contract'!$C$66,2),0)</f>
        <v>247164.64</v>
      </c>
      <c r="D18" s="14" t="s">
        <v>145</v>
      </c>
    </row>
    <row r="19" customFormat="false" ht="15" hidden="false" customHeight="true" outlineLevel="0" collapsed="false">
      <c r="B19" s="8" t="s">
        <v>146</v>
      </c>
      <c r="C19" s="9"/>
      <c r="D19" s="9"/>
      <c r="E19" s="9"/>
      <c r="F19" s="9"/>
      <c r="G19" s="9"/>
    </row>
    <row r="20" customFormat="false" ht="15" hidden="false" customHeight="true" outlineLevel="0" collapsed="false">
      <c r="B20" s="5" t="s">
        <v>147</v>
      </c>
      <c r="C20" s="21" t="n">
        <f aca="false">ROUND('Your Contract'!$C$78*'Your Contract'!$C$77*'Your Contract'!$C$42,2)</f>
        <v>1622400</v>
      </c>
    </row>
    <row r="21" customFormat="false" ht="15" hidden="false" customHeight="true" outlineLevel="0" collapsed="false">
      <c r="B21" s="5" t="s">
        <v>148</v>
      </c>
      <c r="C21" s="21" t="n">
        <f aca="false">ROUND($C$20*'Your Contract'!$C$67,2)</f>
        <v>81120</v>
      </c>
    </row>
    <row r="22" customFormat="false" ht="15" hidden="false" customHeight="true" outlineLevel="0" collapsed="false">
      <c r="B22" s="5" t="s">
        <v>149</v>
      </c>
      <c r="C22" s="21" t="n">
        <f aca="false">ROUND($C$20*'Your Contract'!$D$67,2)</f>
        <v>162240</v>
      </c>
    </row>
    <row r="23" customFormat="false" ht="15" hidden="false" customHeight="true" outlineLevel="0" collapsed="false">
      <c r="B23" s="4" t="s">
        <v>134</v>
      </c>
      <c r="C23" s="22" t="n">
        <f aca="false">ROUND($C$22-$C$21,2)</f>
        <v>81120</v>
      </c>
      <c r="D23" s="3" t="s">
        <v>150</v>
      </c>
    </row>
    <row r="25" customFormat="false" ht="15" hidden="false" customHeight="true" outlineLevel="0" collapsed="false">
      <c r="B25" s="8" t="s">
        <v>151</v>
      </c>
      <c r="C25" s="9"/>
      <c r="D25" s="9"/>
      <c r="E25" s="9"/>
      <c r="F25" s="9"/>
      <c r="G25" s="9"/>
    </row>
    <row r="26" customFormat="false" ht="15" hidden="false" customHeight="true" outlineLevel="0" collapsed="false">
      <c r="B26" s="5" t="s">
        <v>152</v>
      </c>
      <c r="C26" s="21" t="n">
        <f aca="false">ROUND('Your Contract'!$C$12*'Your Contract'!$C$55+'Your Contract'!$C$13*'Your Contract'!$C$55+'Your Contract'!$C$14*'Your Contract'!$C$55,2)</f>
        <v>670.74</v>
      </c>
    </row>
    <row r="27" customFormat="false" ht="15" hidden="false" customHeight="true" outlineLevel="0" collapsed="false">
      <c r="B27" s="5" t="s">
        <v>153</v>
      </c>
      <c r="C27" s="21" t="n">
        <f aca="false">ROUND($C$26*(1-'Your Contract'!$C$75)*'Your Contract'!$C$56,2)</f>
        <v>370114.33</v>
      </c>
    </row>
    <row r="28" customFormat="false" ht="15" hidden="false" customHeight="true" outlineLevel="0" collapsed="false">
      <c r="B28" s="5" t="s">
        <v>154</v>
      </c>
      <c r="C28" s="21" t="n">
        <f aca="false">ROUND($C$26*(1-'Your Contract'!$C$76)*'Your Contract'!$C$56,2)</f>
        <v>173117.99</v>
      </c>
    </row>
    <row r="29" customFormat="false" ht="15" hidden="false" customHeight="true" outlineLevel="0" collapsed="false">
      <c r="B29" s="4" t="s">
        <v>134</v>
      </c>
      <c r="C29" s="22" t="n">
        <f aca="false">ROUND($C$27-$C$28,2)</f>
        <v>196996.34</v>
      </c>
      <c r="D29" s="3" t="s">
        <v>155</v>
      </c>
    </row>
    <row r="31" customFormat="false" ht="15" hidden="false" customHeight="true" outlineLevel="0" collapsed="false">
      <c r="B31" s="8" t="s">
        <v>156</v>
      </c>
      <c r="C31" s="9"/>
      <c r="D31" s="9"/>
      <c r="E31" s="9"/>
      <c r="F31" s="9"/>
      <c r="G31" s="9"/>
    </row>
    <row r="32" customFormat="false" ht="15" hidden="false" customHeight="true" outlineLevel="0" collapsed="false">
      <c r="B32" s="5" t="s">
        <v>157</v>
      </c>
      <c r="C32" s="17" t="n">
        <f aca="false">ROUND('Your Contract'!$C$69-'Your Contract'!$D$69,4)</f>
        <v>0.1</v>
      </c>
    </row>
    <row r="33" customFormat="false" ht="15" hidden="false" customHeight="true" outlineLevel="0" collapsed="false">
      <c r="B33" s="4" t="s">
        <v>134</v>
      </c>
      <c r="C33" s="22" t="n">
        <f aca="false">ROUND('Your Contract'!$C$57*'Your Contract'!$C$58*$C$32*3,2)</f>
        <v>188340</v>
      </c>
      <c r="D33" s="3" t="s">
        <v>158</v>
      </c>
    </row>
    <row r="35" customFormat="false" ht="15" hidden="false" customHeight="true" outlineLevel="0" collapsed="false">
      <c r="B35" s="8" t="s">
        <v>159</v>
      </c>
      <c r="C35" s="9"/>
      <c r="D35" s="9"/>
      <c r="E35" s="9"/>
      <c r="F35" s="9"/>
      <c r="G35" s="9"/>
    </row>
    <row r="36" customFormat="false" ht="15" hidden="false" customHeight="true" outlineLevel="0" collapsed="false">
      <c r="B36" s="5" t="s">
        <v>160</v>
      </c>
      <c r="C36" s="17" t="n">
        <f aca="false">ROUND('Your Contract'!$C$60,4)</f>
        <v>0.031</v>
      </c>
    </row>
    <row r="37" customFormat="false" ht="15" hidden="false" customHeight="true" outlineLevel="0" collapsed="false">
      <c r="B37" s="5" t="s">
        <v>161</v>
      </c>
      <c r="C37" s="17" t="n">
        <f aca="false">ROUND((1+'Your Contract'!$C$60)*(1+'Your Contract'!$C$61)-1,4)</f>
        <v>0.0485</v>
      </c>
    </row>
    <row r="38" customFormat="false" ht="15" hidden="false" customHeight="true" outlineLevel="0" collapsed="false">
      <c r="B38" s="4" t="s">
        <v>134</v>
      </c>
      <c r="C38" s="22" t="n">
        <f aca="false">ROUND(('Your Contract'!$C$70-'Your Contract'!$D$70)*('Your Contract'!$C$47*$C$36+'Your Contract'!$C$48*$C$37),2)</f>
        <v>455844.71</v>
      </c>
      <c r="D38" s="3" t="s">
        <v>162</v>
      </c>
    </row>
    <row r="40" customFormat="false" ht="15" hidden="false" customHeight="true" outlineLevel="0" collapsed="false">
      <c r="B40" s="8" t="s">
        <v>163</v>
      </c>
      <c r="C40" s="9"/>
      <c r="D40" s="9"/>
      <c r="E40" s="9"/>
      <c r="F40" s="9"/>
      <c r="G40" s="9"/>
    </row>
    <row r="41" customFormat="false" ht="15" hidden="false" customHeight="true" outlineLevel="0" collapsed="false">
      <c r="B41" s="5" t="s">
        <v>164</v>
      </c>
      <c r="C41" s="21" t="n">
        <f aca="false">ROUND('Your Contract'!$C$80*(MIN('Your Contract'!$C$71,'Your Contract'!$C$90)-MIN('Your Contract'!$D$71,'Your Contract'!$C$90))/'Your Contract'!$C$90,2)</f>
        <v>2914.29</v>
      </c>
    </row>
    <row r="42" customFormat="false" ht="15" hidden="false" customHeight="true" outlineLevel="0" collapsed="false">
      <c r="B42" s="5" t="s">
        <v>165</v>
      </c>
      <c r="C42" s="20" t="n">
        <f aca="false">ROUND('Your Contract'!$C$81-'Your Contract'!$C$43,4)</f>
        <v>28.5867</v>
      </c>
    </row>
    <row r="43" customFormat="false" ht="15" hidden="false" customHeight="true" outlineLevel="0" collapsed="false">
      <c r="B43" s="4" t="s">
        <v>134</v>
      </c>
      <c r="C43" s="22" t="n">
        <f aca="false">ROUND($C$41*$C$42,2)</f>
        <v>83309.93</v>
      </c>
      <c r="D43" s="3" t="s">
        <v>166</v>
      </c>
    </row>
    <row r="45" customFormat="false" ht="15" hidden="false" customHeight="true" outlineLevel="0" collapsed="false">
      <c r="B45" s="8" t="s">
        <v>167</v>
      </c>
      <c r="C45" s="9"/>
      <c r="D45" s="9"/>
      <c r="E45" s="9"/>
      <c r="F45" s="9"/>
      <c r="G45" s="9"/>
    </row>
    <row r="46" customFormat="false" ht="15" hidden="false" customHeight="true" outlineLevel="0" collapsed="false">
      <c r="B46" s="3" t="s">
        <v>168</v>
      </c>
    </row>
    <row r="48" customFormat="false" ht="15" hidden="false" customHeight="true" outlineLevel="0" collapsed="false">
      <c r="B48" s="8" t="s">
        <v>169</v>
      </c>
      <c r="C48" s="9"/>
      <c r="D48" s="9"/>
      <c r="E48" s="9"/>
      <c r="F48" s="9"/>
      <c r="G48" s="9"/>
    </row>
    <row r="49" customFormat="false" ht="15" hidden="false" customHeight="true" outlineLevel="0" collapsed="false">
      <c r="B49" s="18" t="s">
        <v>90</v>
      </c>
      <c r="C49" s="18" t="s">
        <v>134</v>
      </c>
      <c r="D49" s="18" t="s">
        <v>170</v>
      </c>
      <c r="E49" s="18" t="s">
        <v>171</v>
      </c>
      <c r="G49" s="32" t="s">
        <v>172</v>
      </c>
    </row>
    <row r="50" customFormat="false" ht="15" hidden="false" customHeight="true" outlineLevel="0" collapsed="false">
      <c r="B50" s="19" t="s">
        <v>173</v>
      </c>
      <c r="C50" s="21" t="n">
        <f aca="false">$C$17</f>
        <v>514263.68</v>
      </c>
      <c r="D50" s="19" t="s">
        <v>174</v>
      </c>
      <c r="E50" s="20" t="n">
        <f aca="false">ROUND(C50/'Your Contract'!$C$15,4)</f>
        <v>3.2202</v>
      </c>
      <c r="G50" s="33" t="n">
        <f aca="false">C50+(60-ROW())*0.000000001</f>
        <v>514263.68000001</v>
      </c>
    </row>
    <row r="51" customFormat="false" ht="15" hidden="false" customHeight="true" outlineLevel="0" collapsed="false">
      <c r="B51" s="19" t="s">
        <v>175</v>
      </c>
      <c r="C51" s="21" t="n">
        <f aca="false">$C$38</f>
        <v>455844.71</v>
      </c>
      <c r="D51" s="19" t="s">
        <v>174</v>
      </c>
      <c r="E51" s="20" t="n">
        <f aca="false">ROUND(C51/'Your Contract'!$C$15,4)</f>
        <v>2.8544</v>
      </c>
      <c r="G51" s="33" t="n">
        <f aca="false">C51+(60-ROW())*0.000000001</f>
        <v>455844.710000009</v>
      </c>
    </row>
    <row r="52" customFormat="false" ht="15" hidden="false" customHeight="true" outlineLevel="0" collapsed="false">
      <c r="B52" s="19" t="s">
        <v>176</v>
      </c>
      <c r="C52" s="21" t="n">
        <f aca="false">$C$29</f>
        <v>196996.34</v>
      </c>
      <c r="D52" s="19" t="s">
        <v>174</v>
      </c>
      <c r="E52" s="20" t="n">
        <f aca="false">ROUND(C52/'Your Contract'!$C$15,4)</f>
        <v>1.2335</v>
      </c>
      <c r="G52" s="33" t="n">
        <f aca="false">C52+(60-ROW())*0.000000001</f>
        <v>196996.340000008</v>
      </c>
    </row>
    <row r="53" customFormat="false" ht="15" hidden="false" customHeight="true" outlineLevel="0" collapsed="false">
      <c r="B53" s="19" t="s">
        <v>177</v>
      </c>
      <c r="C53" s="21" t="n">
        <f aca="false">$C$33</f>
        <v>188340</v>
      </c>
      <c r="D53" s="19" t="s">
        <v>174</v>
      </c>
      <c r="E53" s="20" t="n">
        <f aca="false">ROUND(C53/'Your Contract'!$C$15,4)</f>
        <v>1.1793</v>
      </c>
      <c r="G53" s="33" t="n">
        <f aca="false">C53+(60-ROW())*0.000000001</f>
        <v>188340.000000007</v>
      </c>
    </row>
    <row r="54" customFormat="false" ht="15" hidden="false" customHeight="true" outlineLevel="0" collapsed="false">
      <c r="B54" s="19" t="s">
        <v>178</v>
      </c>
      <c r="C54" s="21" t="n">
        <f aca="false">$C$43</f>
        <v>83309.93</v>
      </c>
      <c r="D54" s="19" t="s">
        <v>174</v>
      </c>
      <c r="E54" s="20" t="n">
        <f aca="false">ROUND(C54/'Your Contract'!$C$15,4)</f>
        <v>0.5217</v>
      </c>
      <c r="G54" s="33" t="n">
        <f aca="false">C54+(60-ROW())*0.000000001</f>
        <v>83309.930000006</v>
      </c>
    </row>
    <row r="55" customFormat="false" ht="15" hidden="false" customHeight="true" outlineLevel="0" collapsed="false">
      <c r="B55" s="19" t="s">
        <v>179</v>
      </c>
      <c r="C55" s="21" t="n">
        <f aca="false">$C$23</f>
        <v>81120</v>
      </c>
      <c r="D55" s="19" t="s">
        <v>174</v>
      </c>
      <c r="E55" s="20" t="n">
        <f aca="false">ROUND(C55/'Your Contract'!$C$15,4)</f>
        <v>0.508</v>
      </c>
      <c r="G55" s="33" t="n">
        <f aca="false">C55+(60-ROW())*0.000000001</f>
        <v>81120.000000005</v>
      </c>
    </row>
    <row r="56" customFormat="false" ht="15" hidden="false" customHeight="true" outlineLevel="0" collapsed="false">
      <c r="B56" s="19" t="s">
        <v>180</v>
      </c>
      <c r="C56" s="21" t="n">
        <f aca="false">$C$8</f>
        <v>46031.82</v>
      </c>
      <c r="D56" s="19" t="s">
        <v>174</v>
      </c>
      <c r="E56" s="20" t="n">
        <f aca="false">ROUND(C56/'Your Contract'!$C$15,4)</f>
        <v>0.2882</v>
      </c>
      <c r="G56" s="33" t="n">
        <f aca="false">C56+(60-ROW())*0.000000001</f>
        <v>46031.820000004</v>
      </c>
    </row>
    <row r="57" customFormat="false" ht="15" hidden="false" customHeight="true" outlineLevel="0" collapsed="false">
      <c r="B57" s="4" t="s">
        <v>181</v>
      </c>
      <c r="C57" s="22" t="n">
        <f aca="false">ROUND(SUM(C50:C56),2)</f>
        <v>1565906.48</v>
      </c>
    </row>
    <row r="58" customFormat="false" ht="15" hidden="false" customHeight="true" outlineLevel="0" collapsed="false">
      <c r="B58" s="3" t="s">
        <v>182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48"/>
    <col collapsed="false" customWidth="true" hidden="false" outlineLevel="0" max="3" min="3" style="1" width="22"/>
    <col collapsed="false" customWidth="true" hidden="false" outlineLevel="0" max="4" min="4" style="1" width="60"/>
  </cols>
  <sheetData>
    <row r="2" customFormat="false" ht="15.75" hidden="false" customHeight="true" outlineLevel="0" collapsed="false">
      <c r="B2" s="2" t="s">
        <v>183</v>
      </c>
    </row>
    <row r="3" customFormat="false" ht="15" hidden="false" customHeight="true" outlineLevel="0" collapsed="false">
      <c r="B3" s="3" t="s">
        <v>184</v>
      </c>
    </row>
    <row r="6" customFormat="false" ht="15" hidden="false" customHeight="true" outlineLevel="0" collapsed="false">
      <c r="B6" s="8" t="s">
        <v>185</v>
      </c>
      <c r="C6" s="9"/>
      <c r="D6" s="9"/>
      <c r="E6" s="9"/>
      <c r="F6" s="9"/>
      <c r="G6" s="9"/>
    </row>
    <row r="7" customFormat="false" ht="15" hidden="false" customHeight="true" outlineLevel="0" collapsed="false">
      <c r="B7" s="4" t="s">
        <v>181</v>
      </c>
      <c r="C7" s="22" t="n">
        <f aca="false">'Clause Costs'!$C$57</f>
        <v>1565906.48</v>
      </c>
    </row>
    <row r="8" customFormat="false" ht="15" hidden="false" customHeight="true" outlineLevel="0" collapsed="false">
      <c r="B8" s="3" t="s">
        <v>186</v>
      </c>
    </row>
    <row r="10" customFormat="false" ht="15" hidden="false" customHeight="true" outlineLevel="0" collapsed="false">
      <c r="B10" s="8" t="s">
        <v>187</v>
      </c>
      <c r="C10" s="9"/>
      <c r="D10" s="9"/>
      <c r="E10" s="9"/>
      <c r="F10" s="9"/>
      <c r="G10" s="9"/>
    </row>
    <row r="11" customFormat="false" ht="15" hidden="false" customHeight="true" outlineLevel="0" collapsed="false">
      <c r="B11" s="5" t="s">
        <v>188</v>
      </c>
      <c r="C11" s="21" t="n">
        <f aca="false">ROUND('Your Contract'!$C$82*'Your Contract'!$C$83,2)</f>
        <v>2294000</v>
      </c>
    </row>
    <row r="12" customFormat="false" ht="15" hidden="false" customHeight="true" outlineLevel="0" collapsed="false">
      <c r="B12" s="5" t="s">
        <v>189</v>
      </c>
      <c r="C12" s="21" t="n">
        <f aca="false">ROUND('Your Contract'!$C$48/12*'Your Contract'!$C$84,2)</f>
        <v>5804238.26</v>
      </c>
    </row>
    <row r="13" customFormat="false" ht="15" hidden="false" customHeight="true" outlineLevel="0" collapsed="false">
      <c r="B13" s="5" t="s">
        <v>190</v>
      </c>
      <c r="C13" s="20" t="n">
        <f aca="false">ROUND($C$12/$C$11,4)</f>
        <v>2.5302</v>
      </c>
    </row>
    <row r="14" customFormat="false" ht="15" hidden="false" customHeight="true" outlineLevel="0" collapsed="false">
      <c r="B14" s="4" t="s">
        <v>191</v>
      </c>
      <c r="C14" s="22" t="n">
        <v>0</v>
      </c>
    </row>
    <row r="15" customFormat="false" ht="15" hidden="false" customHeight="true" outlineLevel="0" collapsed="false">
      <c r="B15" s="3" t="s">
        <v>192</v>
      </c>
    </row>
    <row r="17" customFormat="false" ht="15" hidden="false" customHeight="true" outlineLevel="0" collapsed="false">
      <c r="B17" s="8" t="s">
        <v>193</v>
      </c>
      <c r="C17" s="9"/>
      <c r="D17" s="9"/>
      <c r="E17" s="9"/>
      <c r="F17" s="9"/>
      <c r="G17" s="9"/>
    </row>
    <row r="18" customFormat="false" ht="15" hidden="false" customHeight="true" outlineLevel="0" collapsed="false">
      <c r="B18" s="5" t="s">
        <v>194</v>
      </c>
      <c r="C18" s="21" t="n">
        <f aca="false">ROUND('Your Contract'!$C$14*'Your Contract'!$C$72/12,2)</f>
        <v>49900</v>
      </c>
    </row>
    <row r="19" customFormat="false" ht="15" hidden="false" customHeight="true" outlineLevel="0" collapsed="false">
      <c r="B19" s="5" t="s">
        <v>195</v>
      </c>
      <c r="C19" s="20" t="n">
        <f aca="false">ROUND('Your Contract'!$C$44-'Your Contract'!$C$89,4)</f>
        <v>20.1174</v>
      </c>
    </row>
    <row r="20" customFormat="false" ht="15" hidden="false" customHeight="true" outlineLevel="0" collapsed="false">
      <c r="B20" s="5" t="s">
        <v>196</v>
      </c>
      <c r="C20" s="21" t="n">
        <f aca="false">ROUND($C$18*$C$19,2)</f>
        <v>1003858.26</v>
      </c>
    </row>
    <row r="21" customFormat="false" ht="15" hidden="false" customHeight="true" outlineLevel="0" collapsed="false">
      <c r="B21" s="5" t="s">
        <v>197</v>
      </c>
      <c r="C21" s="21" t="n">
        <f aca="false">ROUND('Your Contract'!$C$88*'Your Contract'!$C$44,2)</f>
        <v>476901.34</v>
      </c>
    </row>
    <row r="22" customFormat="false" ht="15" hidden="false" customHeight="true" outlineLevel="0" collapsed="false">
      <c r="B22" s="5" t="s">
        <v>198</v>
      </c>
      <c r="C22" s="21" t="n">
        <f aca="false">ROUND('Your Contract'!$C$85*MAX(0,'Your Contract'!$C$86-'Your Contract'!$C$91)/'Your Contract'!$C$86,2)</f>
        <v>113333.33</v>
      </c>
    </row>
    <row r="23" customFormat="false" ht="15" hidden="false" customHeight="true" outlineLevel="0" collapsed="false">
      <c r="B23" s="5" t="s">
        <v>199</v>
      </c>
      <c r="C23" s="21" t="n">
        <f aca="false">'Your Contract'!$C$87</f>
        <v>415000</v>
      </c>
    </row>
    <row r="24" customFormat="false" ht="15" hidden="false" customHeight="true" outlineLevel="0" collapsed="false">
      <c r="B24" s="4" t="s">
        <v>200</v>
      </c>
      <c r="C24" s="22" t="n">
        <f aca="false">ROUND($C$20+$C$21+$C$22+$C$23,2)</f>
        <v>2009092.93</v>
      </c>
    </row>
    <row r="25" customFormat="false" ht="15" hidden="false" customHeight="true" outlineLevel="0" collapsed="false">
      <c r="B25" s="5" t="s">
        <v>201</v>
      </c>
      <c r="C25" s="21" t="n">
        <f aca="false">ROUND(ROUND('Your Contract'!$C$14*'Your Contract'!$D$72/12,2)*$C$19+$C$21,2)</f>
        <v>978830.47</v>
      </c>
    </row>
    <row r="26" customFormat="false" ht="15" hidden="false" customHeight="true" outlineLevel="0" collapsed="false">
      <c r="B26" s="3" t="s">
        <v>202</v>
      </c>
    </row>
    <row r="28" customFormat="false" ht="15" hidden="false" customHeight="true" outlineLevel="0" collapsed="false">
      <c r="B28" s="8" t="s">
        <v>203</v>
      </c>
      <c r="C28" s="9"/>
      <c r="D28" s="9"/>
      <c r="E28" s="9"/>
      <c r="F28" s="9"/>
      <c r="G28" s="9"/>
    </row>
    <row r="29" customFormat="false" ht="15" hidden="false" customHeight="true" outlineLevel="0" collapsed="false">
      <c r="B29" s="5" t="s">
        <v>204</v>
      </c>
      <c r="C29" s="21" t="n">
        <f aca="false">$C$7+$C$11+$C$24</f>
        <v>5868999.41</v>
      </c>
    </row>
    <row r="30" customFormat="false" ht="15" hidden="false" customHeight="true" outlineLevel="0" collapsed="false">
      <c r="B30" s="3" t="s">
        <v>205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40"/>
    <col collapsed="false" customWidth="true" hidden="false" outlineLevel="0" max="4" min="3" style="1" width="22"/>
  </cols>
  <sheetData>
    <row r="2" customFormat="false" ht="15.75" hidden="false" customHeight="true" outlineLevel="0" collapsed="false">
      <c r="B2" s="2" t="s">
        <v>206</v>
      </c>
    </row>
    <row r="3" customFormat="false" ht="15" hidden="false" customHeight="true" outlineLevel="0" collapsed="false">
      <c r="B3" s="3" t="s">
        <v>207</v>
      </c>
    </row>
    <row r="6" customFormat="false" ht="15" hidden="false" customHeight="true" outlineLevel="0" collapsed="false">
      <c r="B6" s="8" t="s">
        <v>208</v>
      </c>
      <c r="C6" s="9"/>
      <c r="D6" s="9"/>
      <c r="E6" s="9"/>
      <c r="F6" s="9"/>
      <c r="G6" s="9"/>
    </row>
    <row r="7" customFormat="false" ht="15" hidden="false" customHeight="true" outlineLevel="0" collapsed="false">
      <c r="B7" s="5" t="s">
        <v>181</v>
      </c>
      <c r="C7" s="21" t="n">
        <f aca="false">'Clause Costs'!$C$57</f>
        <v>1565906.48</v>
      </c>
    </row>
    <row r="8" customFormat="false" ht="15" hidden="false" customHeight="true" outlineLevel="0" collapsed="false">
      <c r="B8" s="5" t="s">
        <v>39</v>
      </c>
      <c r="C8" s="30" t="n">
        <f aca="false">'Your Contract'!$C$15</f>
        <v>159700</v>
      </c>
    </row>
    <row r="9" customFormat="false" ht="15" hidden="false" customHeight="true" outlineLevel="0" collapsed="false">
      <c r="B9" s="4" t="s">
        <v>209</v>
      </c>
      <c r="C9" s="34" t="n">
        <f aca="false">ROUND($C$7/$C$8,4)</f>
        <v>9.8053</v>
      </c>
    </row>
    <row r="10" customFormat="false" ht="15" hidden="false" customHeight="true" outlineLevel="0" collapsed="false">
      <c r="B10" s="5" t="s">
        <v>210</v>
      </c>
      <c r="C10" s="21" t="n">
        <f aca="false">'Your Contract'!$C$7</f>
        <v>104</v>
      </c>
    </row>
    <row r="11" customFormat="false" ht="15" hidden="false" customHeight="true" outlineLevel="0" collapsed="false">
      <c r="B11" s="4" t="s">
        <v>211</v>
      </c>
      <c r="C11" s="34" t="n">
        <f aca="false">ROUND($C$10-$C$9,4)</f>
        <v>94.1947</v>
      </c>
    </row>
    <row r="12" customFormat="false" ht="15" hidden="false" customHeight="true" outlineLevel="0" collapsed="false">
      <c r="B12" s="3" t="s">
        <v>212</v>
      </c>
    </row>
    <row r="14" customFormat="false" ht="15" hidden="false" customHeight="true" outlineLevel="0" collapsed="false">
      <c r="B14" s="8" t="s">
        <v>213</v>
      </c>
      <c r="C14" s="9"/>
      <c r="D14" s="9"/>
      <c r="E14" s="9"/>
      <c r="F14" s="9"/>
      <c r="G14" s="9"/>
    </row>
    <row r="15" customFormat="false" ht="15" hidden="false" customHeight="true" outlineLevel="0" collapsed="false">
      <c r="B15" s="4" t="s">
        <v>214</v>
      </c>
      <c r="C15" s="35" t="n">
        <f aca="false">ROUND($C$9/$C$10,4)</f>
        <v>0.0943</v>
      </c>
    </row>
    <row r="16" customFormat="false" ht="15" hidden="false" customHeight="true" outlineLevel="0" collapsed="false">
      <c r="B16" s="5" t="s">
        <v>215</v>
      </c>
      <c r="C16" s="21" t="n">
        <f aca="false">'Your Contract'!$C$8</f>
        <v>109.5</v>
      </c>
    </row>
    <row r="17" customFormat="false" ht="15" hidden="false" customHeight="true" outlineLevel="0" collapsed="false">
      <c r="B17" s="5" t="s">
        <v>216</v>
      </c>
      <c r="C17" s="20" t="n">
        <f aca="false">ROUND($C$16-$C$10,4)</f>
        <v>5.5</v>
      </c>
    </row>
    <row r="18" customFormat="false" ht="15" hidden="false" customHeight="true" outlineLevel="0" collapsed="false">
      <c r="B18" s="4" t="s">
        <v>217</v>
      </c>
      <c r="C18" s="34" t="n">
        <f aca="false">ROUND($C$9/$C$17,4)</f>
        <v>1.7828</v>
      </c>
    </row>
    <row r="19" customFormat="false" ht="15" hidden="false" customHeight="true" outlineLevel="0" collapsed="false">
      <c r="B19" s="3" t="s">
        <v>218</v>
      </c>
    </row>
    <row r="21" customFormat="false" ht="15" hidden="false" customHeight="true" outlineLevel="0" collapsed="false">
      <c r="B21" s="8" t="s">
        <v>219</v>
      </c>
      <c r="C21" s="9"/>
      <c r="D21" s="9"/>
      <c r="E21" s="9"/>
      <c r="F21" s="9"/>
      <c r="G21" s="9"/>
    </row>
    <row r="22" customFormat="false" ht="15" hidden="false" customHeight="true" outlineLevel="0" collapsed="false">
      <c r="B22" s="18" t="s">
        <v>220</v>
      </c>
      <c r="C22" s="18" t="s">
        <v>181</v>
      </c>
      <c r="D22" s="18" t="s">
        <v>211</v>
      </c>
    </row>
    <row r="23" customFormat="false" ht="15" hidden="false" customHeight="true" outlineLevel="0" collapsed="false">
      <c r="B23" s="36" t="n">
        <v>0</v>
      </c>
      <c r="C23" s="21" t="n">
        <f aca="false">ROUND($C$7*B23,2)</f>
        <v>0</v>
      </c>
      <c r="D23" s="20" t="n">
        <f aca="false">ROUND($C$10-ROUND($C$7*B23,2)/$C$8,4)</f>
        <v>104</v>
      </c>
    </row>
    <row r="24" customFormat="false" ht="15" hidden="false" customHeight="true" outlineLevel="0" collapsed="false">
      <c r="B24" s="36" t="n">
        <v>0.25</v>
      </c>
      <c r="C24" s="21" t="n">
        <f aca="false">ROUND($C$7*B24,2)</f>
        <v>391476.62</v>
      </c>
      <c r="D24" s="20" t="n">
        <f aca="false">ROUND($C$10-ROUND($C$7*B24,2)/$C$8,4)</f>
        <v>101.5487</v>
      </c>
    </row>
    <row r="25" customFormat="false" ht="15" hidden="false" customHeight="true" outlineLevel="0" collapsed="false">
      <c r="B25" s="36" t="n">
        <v>0.5</v>
      </c>
      <c r="C25" s="21" t="n">
        <f aca="false">ROUND($C$7*B25,2)</f>
        <v>782953.24</v>
      </c>
      <c r="D25" s="20" t="n">
        <f aca="false">ROUND($C$10-ROUND($C$7*B25,2)/$C$8,4)</f>
        <v>99.0973</v>
      </c>
    </row>
    <row r="26" customFormat="false" ht="15" hidden="false" customHeight="true" outlineLevel="0" collapsed="false">
      <c r="B26" s="36" t="n">
        <v>0.75</v>
      </c>
      <c r="C26" s="21" t="n">
        <f aca="false">ROUND($C$7*B26,2)</f>
        <v>1174429.86</v>
      </c>
      <c r="D26" s="20" t="n">
        <f aca="false">ROUND($C$10-ROUND($C$7*B26,2)/$C$8,4)</f>
        <v>96.646</v>
      </c>
    </row>
    <row r="27" customFormat="false" ht="15" hidden="false" customHeight="true" outlineLevel="0" collapsed="false">
      <c r="B27" s="36" t="n">
        <v>1</v>
      </c>
      <c r="C27" s="21" t="n">
        <f aca="false">ROUND($C$7*B27,2)</f>
        <v>1565906.48</v>
      </c>
      <c r="D27" s="20" t="n">
        <f aca="false">ROUND($C$10-ROUND($C$7*B27,2)/$C$8,4)</f>
        <v>94.1947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20"/>
    <col collapsed="false" customWidth="true" hidden="false" outlineLevel="0" max="3" min="3" style="1" width="34"/>
    <col collapsed="false" customWidth="true" hidden="false" outlineLevel="0" max="4" min="4" style="1" width="18"/>
    <col collapsed="false" customWidth="true" hidden="false" outlineLevel="0" max="5" min="5" style="1" width="44"/>
    <col collapsed="false" customWidth="true" hidden="false" outlineLevel="0" max="6" min="6" style="1" width="22"/>
    <col collapsed="false" customWidth="true" hidden="false" outlineLevel="0" max="7" min="7" style="1" width="26"/>
  </cols>
  <sheetData>
    <row r="2" customFormat="false" ht="15.75" hidden="false" customHeight="true" outlineLevel="0" collapsed="false">
      <c r="B2" s="2" t="s">
        <v>221</v>
      </c>
    </row>
    <row r="3" customFormat="false" ht="15" hidden="false" customHeight="true" outlineLevel="0" collapsed="false">
      <c r="B3" s="3" t="s">
        <v>222</v>
      </c>
    </row>
    <row r="6" customFormat="false" ht="15" hidden="false" customHeight="true" outlineLevel="0" collapsed="false">
      <c r="B6" s="8" t="s">
        <v>223</v>
      </c>
      <c r="C6" s="9"/>
      <c r="D6" s="9"/>
      <c r="E6" s="9"/>
      <c r="F6" s="9"/>
      <c r="G6" s="9"/>
    </row>
    <row r="7" customFormat="false" ht="15" hidden="false" customHeight="true" outlineLevel="0" collapsed="false">
      <c r="B7" s="5" t="s">
        <v>224</v>
      </c>
      <c r="C7" s="24" t="n">
        <v>1000000</v>
      </c>
    </row>
    <row r="8" customFormat="false" ht="15" hidden="false" customHeight="true" outlineLevel="0" collapsed="false">
      <c r="B8" s="3" t="s">
        <v>225</v>
      </c>
    </row>
    <row r="10" customFormat="false" ht="15" hidden="false" customHeight="true" outlineLevel="0" collapsed="false">
      <c r="B10" s="8" t="s">
        <v>226</v>
      </c>
      <c r="C10" s="9"/>
      <c r="D10" s="9"/>
      <c r="E10" s="9"/>
      <c r="F10" s="9"/>
      <c r="G10" s="9"/>
    </row>
    <row r="11" customFormat="false" ht="15" hidden="false" customHeight="true" outlineLevel="0" collapsed="false">
      <c r="B11" s="18" t="s">
        <v>90</v>
      </c>
      <c r="C11" s="18" t="s">
        <v>134</v>
      </c>
      <c r="D11" s="18" t="s">
        <v>171</v>
      </c>
      <c r="E11" s="18" t="s">
        <v>227</v>
      </c>
      <c r="F11" s="18" t="s">
        <v>228</v>
      </c>
      <c r="G11" s="18" t="s">
        <v>229</v>
      </c>
    </row>
    <row r="12" customFormat="false" ht="15" hidden="false" customHeight="true" outlineLevel="0" collapsed="false">
      <c r="B12" s="19" t="str">
        <f aca="false">INDEX('Clause Costs'!$B$50:$B$56,MATCH(LARGE('Clause Costs'!$G$50:$G$56,1),'Clause Costs'!$G$50:$G$56,0))</f>
        <v>Volume band</v>
      </c>
      <c r="C12" s="21" t="n">
        <f aca="false">INDEX('Clause Costs'!$C$50:$C$56,MATCH(LARGE('Clause Costs'!$G$50:$G$56,1),'Clause Costs'!$G$50:$G$56,0))</f>
        <v>514263.68</v>
      </c>
      <c r="D12" s="20" t="n">
        <f aca="false">ROUND(C12/'Your Contract'!$C$15,4)</f>
        <v>3.2202</v>
      </c>
      <c r="E12" s="30" t="n">
        <v>1</v>
      </c>
      <c r="F12" s="21" t="n">
        <f aca="false">ROUND(SUM($C$12:C12),2)</f>
        <v>514263.68</v>
      </c>
      <c r="G12" s="19" t="str">
        <f aca="false">IF(F12&gt;=$C$7,"yes","no")</f>
        <v>no</v>
      </c>
    </row>
    <row r="13" customFormat="false" ht="15" hidden="false" customHeight="true" outlineLevel="0" collapsed="false">
      <c r="B13" s="19" t="str">
        <f aca="false">INDEX('Clause Costs'!$B$50:$B$56,MATCH(LARGE('Clause Costs'!$G$50:$G$56,2),'Clause Costs'!$G$50:$G$56,0))</f>
        <v>Currency</v>
      </c>
      <c r="C13" s="21" t="n">
        <f aca="false">INDEX('Clause Costs'!$C$50:$C$56,MATCH(LARGE('Clause Costs'!$G$50:$G$56,2),'Clause Costs'!$G$50:$G$56,0))</f>
        <v>455844.71</v>
      </c>
      <c r="D13" s="20" t="n">
        <f aca="false">ROUND(C13/'Your Contract'!$C$15,4)</f>
        <v>2.8544</v>
      </c>
      <c r="E13" s="30" t="n">
        <v>2</v>
      </c>
      <c r="F13" s="21" t="n">
        <f aca="false">ROUND(F12+C13,2)</f>
        <v>970108.39</v>
      </c>
      <c r="G13" s="19" t="str">
        <f aca="false">IF(F13&gt;=$C$7,"yes","no")</f>
        <v>no</v>
      </c>
    </row>
    <row r="14" customFormat="false" ht="15" hidden="false" customHeight="true" outlineLevel="0" collapsed="false">
      <c r="B14" s="19" t="str">
        <f aca="false">INDEX('Clause Costs'!$B$50:$B$56,MATCH(LARGE('Clause Costs'!$G$50:$G$56,3),'Clause Costs'!$G$50:$G$56,0))</f>
        <v>Warranty</v>
      </c>
      <c r="C14" s="21" t="n">
        <f aca="false">INDEX('Clause Costs'!$C$50:$C$56,MATCH(LARGE('Clause Costs'!$G$50:$G$56,3),'Clause Costs'!$G$50:$G$56,0))</f>
        <v>196996.34</v>
      </c>
      <c r="D14" s="20" t="n">
        <f aca="false">ROUND(C14/'Your Contract'!$C$15,4)</f>
        <v>1.2335</v>
      </c>
      <c r="E14" s="30" t="n">
        <v>3</v>
      </c>
      <c r="F14" s="21" t="n">
        <f aca="false">ROUND(F13+C14,2)</f>
        <v>1167104.73</v>
      </c>
      <c r="G14" s="19" t="str">
        <f aca="false">IF(F14&gt;=$C$7,"yes","no")</f>
        <v>yes</v>
      </c>
    </row>
    <row r="15" customFormat="false" ht="15" hidden="false" customHeight="true" outlineLevel="0" collapsed="false">
      <c r="B15" s="19" t="str">
        <f aca="false">INDEX('Clause Costs'!$B$50:$B$56,MATCH(LARGE('Clause Costs'!$G$50:$G$56,4),'Clause Costs'!$G$50:$G$56,0))</f>
        <v>Change control</v>
      </c>
      <c r="C15" s="21" t="n">
        <f aca="false">INDEX('Clause Costs'!$C$50:$C$56,MATCH(LARGE('Clause Costs'!$G$50:$G$56,4),'Clause Costs'!$G$50:$G$56,0))</f>
        <v>188340</v>
      </c>
      <c r="D15" s="20" t="n">
        <f aca="false">ROUND(C15/'Your Contract'!$C$15,4)</f>
        <v>1.1793</v>
      </c>
      <c r="E15" s="30" t="n">
        <v>4</v>
      </c>
      <c r="F15" s="21" t="n">
        <f aca="false">ROUND(F14+C15,2)</f>
        <v>1355444.73</v>
      </c>
      <c r="G15" s="19" t="str">
        <f aca="false">IF(F15&gt;=$C$7,"yes","no")</f>
        <v>yes</v>
      </c>
    </row>
    <row r="16" customFormat="false" ht="15" hidden="false" customHeight="true" outlineLevel="0" collapsed="false">
      <c r="B16" s="19" t="str">
        <f aca="false">INDEX('Clause Costs'!$B$50:$B$56,MATCH(LARGE('Clause Costs'!$G$50:$G$56,5),'Clause Costs'!$G$50:$G$56,0))</f>
        <v>Force majeure</v>
      </c>
      <c r="C16" s="21" t="n">
        <f aca="false">INDEX('Clause Costs'!$C$50:$C$56,MATCH(LARGE('Clause Costs'!$G$50:$G$56,5),'Clause Costs'!$G$50:$G$56,0))</f>
        <v>83309.93</v>
      </c>
      <c r="D16" s="20" t="n">
        <f aca="false">ROUND(C16/'Your Contract'!$C$15,4)</f>
        <v>0.5217</v>
      </c>
      <c r="E16" s="30" t="n">
        <v>5</v>
      </c>
      <c r="F16" s="21" t="n">
        <f aca="false">ROUND(F15+C16,2)</f>
        <v>1438754.66</v>
      </c>
      <c r="G16" s="19" t="str">
        <f aca="false">IF(F16&gt;=$C$7,"yes","no")</f>
        <v>yes</v>
      </c>
    </row>
    <row r="17" customFormat="false" ht="15" hidden="false" customHeight="true" outlineLevel="0" collapsed="false">
      <c r="B17" s="19" t="str">
        <f aca="false">INDEX('Clause Costs'!$B$50:$B$56,MATCH(LARGE('Clause Costs'!$G$50:$G$56,6),'Clause Costs'!$G$50:$G$56,0))</f>
        <v>Liquidated damages</v>
      </c>
      <c r="C17" s="21" t="n">
        <f aca="false">INDEX('Clause Costs'!$C$50:$C$56,MATCH(LARGE('Clause Costs'!$G$50:$G$56,6),'Clause Costs'!$G$50:$G$56,0))</f>
        <v>81120</v>
      </c>
      <c r="D17" s="20" t="n">
        <f aca="false">ROUND(C17/'Your Contract'!$C$15,4)</f>
        <v>0.508</v>
      </c>
      <c r="E17" s="30" t="n">
        <v>6</v>
      </c>
      <c r="F17" s="21" t="n">
        <f aca="false">ROUND(F16+C17,2)</f>
        <v>1519874.66</v>
      </c>
      <c r="G17" s="19" t="str">
        <f aca="false">IF(F17&gt;=$C$7,"yes","no")</f>
        <v>yes</v>
      </c>
    </row>
    <row r="18" customFormat="false" ht="15" hidden="false" customHeight="true" outlineLevel="0" collapsed="false">
      <c r="B18" s="19" t="str">
        <f aca="false">INDEX('Clause Costs'!$B$50:$B$56,MATCH(LARGE('Clause Costs'!$G$50:$G$56,7),'Clause Costs'!$G$50:$G$56,0))</f>
        <v>Payment terms</v>
      </c>
      <c r="C18" s="21" t="n">
        <f aca="false">INDEX('Clause Costs'!$C$50:$C$56,MATCH(LARGE('Clause Costs'!$G$50:$G$56,7),'Clause Costs'!$G$50:$G$56,0))</f>
        <v>46031.82</v>
      </c>
      <c r="D18" s="20" t="n">
        <f aca="false">ROUND(C18/'Your Contract'!$C$15,4)</f>
        <v>0.2882</v>
      </c>
      <c r="E18" s="30" t="n">
        <v>7</v>
      </c>
      <c r="F18" s="21" t="n">
        <f aca="false">ROUND(F17+C18,2)</f>
        <v>1565906.48</v>
      </c>
      <c r="G18" s="19" t="str">
        <f aca="false">IF(F18&gt;=$C$7,"yes","no")</f>
        <v>yes</v>
      </c>
    </row>
    <row r="19" customFormat="false" ht="15" hidden="false" customHeight="true" outlineLevel="0" collapsed="false">
      <c r="B19" s="4" t="s">
        <v>230</v>
      </c>
      <c r="C19" s="12" t="n">
        <f aca="false">MIN(COUNTIF(G12:G18,"no")+1,7)</f>
        <v>3</v>
      </c>
    </row>
    <row r="20" customFormat="false" ht="15" hidden="false" customHeight="true" outlineLevel="0" collapsed="false">
      <c r="B20" s="4" t="s">
        <v>231</v>
      </c>
      <c r="C20" s="22" t="n">
        <f aca="false">INDEX(F12:F18,$C$19)</f>
        <v>1167104.73</v>
      </c>
    </row>
    <row r="21" customFormat="false" ht="15" hidden="false" customHeight="true" outlineLevel="0" collapsed="false">
      <c r="B21" s="3" t="s">
        <v>232</v>
      </c>
    </row>
    <row r="23" customFormat="false" ht="15" hidden="false" customHeight="true" outlineLevel="0" collapsed="false">
      <c r="B23" s="8" t="s">
        <v>233</v>
      </c>
      <c r="C23" s="9"/>
      <c r="D23" s="9"/>
      <c r="E23" s="9"/>
      <c r="F23" s="9"/>
      <c r="G23" s="9"/>
    </row>
    <row r="24" customFormat="false" ht="15" hidden="false" customHeight="true" outlineLevel="0" collapsed="false">
      <c r="B24" s="18" t="s">
        <v>234</v>
      </c>
      <c r="C24" s="18" t="s">
        <v>90</v>
      </c>
      <c r="D24" s="18" t="s">
        <v>171</v>
      </c>
      <c r="E24" s="18" t="s">
        <v>235</v>
      </c>
    </row>
    <row r="25" customFormat="false" ht="15" hidden="false" customHeight="true" outlineLevel="0" collapsed="false">
      <c r="B25" s="19" t="str">
        <f aca="false">IF(E12&lt;=$C$19,"MUST HAVE","TRADABLE")</f>
        <v>MUST HAVE</v>
      </c>
      <c r="C25" s="19" t="str">
        <f aca="false">B12</f>
        <v>Volume band</v>
      </c>
      <c r="D25" s="20" t="n">
        <f aca="false">D12</f>
        <v>3.2202</v>
      </c>
      <c r="E25" s="19" t="str">
        <f aca="false">IF(E12&lt;=$C$19,"Open with this one.","Concede this for something above the line.")</f>
        <v>Open with this one.</v>
      </c>
    </row>
    <row r="26" customFormat="false" ht="15" hidden="false" customHeight="true" outlineLevel="0" collapsed="false">
      <c r="B26" s="19" t="str">
        <f aca="false">IF(E13&lt;=$C$19,"MUST HAVE","TRADABLE")</f>
        <v>MUST HAVE</v>
      </c>
      <c r="C26" s="19" t="str">
        <f aca="false">B13</f>
        <v>Currency</v>
      </c>
      <c r="D26" s="20" t="n">
        <f aca="false">D13</f>
        <v>2.8544</v>
      </c>
      <c r="E26" s="19" t="str">
        <f aca="false">IF(E13&lt;=$C$19,"Open with this one.","Concede this for something above the line.")</f>
        <v>Open with this one.</v>
      </c>
    </row>
    <row r="27" customFormat="false" ht="15" hidden="false" customHeight="true" outlineLevel="0" collapsed="false">
      <c r="B27" s="19" t="str">
        <f aca="false">IF(E14&lt;=$C$19,"MUST HAVE","TRADABLE")</f>
        <v>MUST HAVE</v>
      </c>
      <c r="C27" s="19" t="str">
        <f aca="false">B14</f>
        <v>Warranty</v>
      </c>
      <c r="D27" s="20" t="n">
        <f aca="false">D14</f>
        <v>1.2335</v>
      </c>
      <c r="E27" s="19" t="str">
        <f aca="false">IF(E14&lt;=$C$19,"Open with this one.","Concede this for something above the line.")</f>
        <v>Open with this one.</v>
      </c>
    </row>
    <row r="28" customFormat="false" ht="15" hidden="false" customHeight="true" outlineLevel="0" collapsed="false">
      <c r="B28" s="19" t="str">
        <f aca="false">IF(E15&lt;=$C$19,"MUST HAVE","TRADABLE")</f>
        <v>TRADABLE</v>
      </c>
      <c r="C28" s="19" t="str">
        <f aca="false">B15</f>
        <v>Change control</v>
      </c>
      <c r="D28" s="20" t="n">
        <f aca="false">D15</f>
        <v>1.1793</v>
      </c>
      <c r="E28" s="19" t="str">
        <f aca="false">IF(E15&lt;=$C$19,"Open with this one.","Concede this for something above the line.")</f>
        <v>Concede this for something above the line.</v>
      </c>
    </row>
    <row r="29" customFormat="false" ht="15" hidden="false" customHeight="true" outlineLevel="0" collapsed="false">
      <c r="B29" s="19" t="str">
        <f aca="false">IF(E16&lt;=$C$19,"MUST HAVE","TRADABLE")</f>
        <v>TRADABLE</v>
      </c>
      <c r="C29" s="19" t="str">
        <f aca="false">B16</f>
        <v>Force majeure</v>
      </c>
      <c r="D29" s="20" t="n">
        <f aca="false">D16</f>
        <v>0.5217</v>
      </c>
      <c r="E29" s="19" t="str">
        <f aca="false">IF(E16&lt;=$C$19,"Open with this one.","Concede this for something above the line.")</f>
        <v>Concede this for something above the line.</v>
      </c>
    </row>
    <row r="30" customFormat="false" ht="15" hidden="false" customHeight="true" outlineLevel="0" collapsed="false">
      <c r="B30" s="19" t="str">
        <f aca="false">IF(E17&lt;=$C$19,"MUST HAVE","TRADABLE")</f>
        <v>TRADABLE</v>
      </c>
      <c r="C30" s="19" t="str">
        <f aca="false">B17</f>
        <v>Liquidated damages</v>
      </c>
      <c r="D30" s="20" t="n">
        <f aca="false">D17</f>
        <v>0.508</v>
      </c>
      <c r="E30" s="19" t="str">
        <f aca="false">IF(E17&lt;=$C$19,"Open with this one.","Concede this for something above the line.")</f>
        <v>Concede this for something above the line.</v>
      </c>
    </row>
    <row r="31" customFormat="false" ht="15" hidden="false" customHeight="true" outlineLevel="0" collapsed="false">
      <c r="B31" s="19" t="str">
        <f aca="false">IF(E18&lt;=$C$19,"MUST HAVE","TRADABLE")</f>
        <v>TRADABLE</v>
      </c>
      <c r="C31" s="19" t="str">
        <f aca="false">B18</f>
        <v>Payment terms</v>
      </c>
      <c r="D31" s="20" t="n">
        <f aca="false">D18</f>
        <v>0.2882</v>
      </c>
      <c r="E31" s="19" t="str">
        <f aca="false">IF(E18&lt;=$C$19,"Open with this one.","Concede this for something above the line.")</f>
        <v>Concede this for something above the line.</v>
      </c>
    </row>
    <row r="33" customFormat="false" ht="15" hidden="false" customHeight="true" outlineLevel="0" collapsed="false">
      <c r="B33" s="8" t="s">
        <v>236</v>
      </c>
      <c r="C33" s="9"/>
      <c r="D33" s="9"/>
      <c r="E33" s="9"/>
      <c r="F33" s="9"/>
      <c r="G33" s="9"/>
    </row>
    <row r="34" customFormat="false" ht="15" hidden="false" customHeight="true" outlineLevel="0" collapsed="false">
      <c r="B34" s="4" t="s">
        <v>211</v>
      </c>
      <c r="C34" s="34" t="n">
        <f aca="false">'Equivalence Price'!$C$11</f>
        <v>94.1947</v>
      </c>
    </row>
    <row r="35" customFormat="false" ht="15" hidden="false" customHeight="true" outlineLevel="0" collapsed="false">
      <c r="B35" s="5" t="s">
        <v>210</v>
      </c>
      <c r="C35" s="21" t="n">
        <f aca="false">'Your Contract'!$C$7</f>
        <v>104</v>
      </c>
    </row>
    <row r="36" customFormat="false" ht="15" hidden="false" customHeight="true" outlineLevel="0" collapsed="false">
      <c r="B36" s="4" t="s">
        <v>237</v>
      </c>
      <c r="C36" s="22" t="n">
        <f aca="false">'Three Columns'!$C$24</f>
        <v>2009092.93</v>
      </c>
    </row>
    <row r="37" customFormat="false" ht="15" hidden="false" customHeight="true" outlineLevel="0" collapsed="false">
      <c r="B37" s="3" t="s">
        <v>238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52"/>
    <col collapsed="false" customWidth="true" hidden="false" outlineLevel="0" max="5" min="3" style="1" width="22"/>
    <col collapsed="false" customWidth="true" hidden="false" outlineLevel="0" max="6" min="6" style="1" width="14"/>
    <col collapsed="false" customWidth="true" hidden="false" outlineLevel="0" max="7" min="7" style="0" width="58"/>
  </cols>
  <sheetData>
    <row r="2" customFormat="false" ht="15.75" hidden="false" customHeight="true" outlineLevel="0" collapsed="false">
      <c r="B2" s="2" t="s">
        <v>239</v>
      </c>
    </row>
    <row r="3" customFormat="false" ht="15" hidden="false" customHeight="true" outlineLevel="0" collapsed="false">
      <c r="B3" s="3" t="s">
        <v>240</v>
      </c>
    </row>
    <row r="5" customFormat="false" ht="15" hidden="false" customHeight="true" outlineLevel="0" collapsed="false">
      <c r="B5" s="18" t="s">
        <v>241</v>
      </c>
      <c r="C5" s="18" t="s">
        <v>242</v>
      </c>
      <c r="D5" s="18" t="s">
        <v>243</v>
      </c>
      <c r="E5" s="18" t="s">
        <v>244</v>
      </c>
      <c r="F5" s="18" t="s">
        <v>245</v>
      </c>
    </row>
    <row r="6" customFormat="false" ht="15" hidden="false" customHeight="true" outlineLevel="0" collapsed="false">
      <c r="B6" s="19" t="s">
        <v>76</v>
      </c>
      <c r="C6" s="20" t="n">
        <f aca="false">'Your Contract'!$C$49</f>
        <v>17501681.88</v>
      </c>
      <c r="D6" s="37" t="n">
        <v>17501681.88</v>
      </c>
      <c r="E6" s="20" t="n">
        <f aca="false">ROUND(C6-D6,6)</f>
        <v>0</v>
      </c>
      <c r="F6" s="38" t="str">
        <f aca="false">IF(ABS(E6)&lt;=0.005,"PASS","FAIL")</f>
        <v>PASS</v>
      </c>
    </row>
    <row r="7" customFormat="false" ht="15" hidden="false" customHeight="true" outlineLevel="0" collapsed="false">
      <c r="B7" s="19" t="s">
        <v>246</v>
      </c>
      <c r="C7" s="20" t="n">
        <f aca="false">'Clause Costs'!$C$8</f>
        <v>46031.82</v>
      </c>
      <c r="D7" s="37" t="n">
        <v>46031.82</v>
      </c>
      <c r="E7" s="20" t="n">
        <f aca="false">ROUND(C7-D7,6)</f>
        <v>0</v>
      </c>
      <c r="F7" s="38" t="str">
        <f aca="false">IF(ABS(E7)&lt;=0.005,"PASS","FAIL")</f>
        <v>PASS</v>
      </c>
    </row>
    <row r="8" customFormat="false" ht="15" hidden="false" customHeight="true" outlineLevel="0" collapsed="false">
      <c r="B8" s="19" t="s">
        <v>247</v>
      </c>
      <c r="C8" s="20" t="n">
        <f aca="false">'Clause Costs'!$C$11</f>
        <v>892881.88</v>
      </c>
      <c r="D8" s="37" t="n">
        <v>892881.88</v>
      </c>
      <c r="E8" s="20" t="n">
        <f aca="false">ROUND(C8-D8,6)</f>
        <v>0</v>
      </c>
      <c r="F8" s="38" t="str">
        <f aca="false">IF(ABS(E8)&lt;=0.005,"PASS","FAIL")</f>
        <v>PASS</v>
      </c>
    </row>
    <row r="9" customFormat="false" ht="15" hidden="false" customHeight="true" outlineLevel="0" collapsed="false">
      <c r="B9" s="19" t="s">
        <v>248</v>
      </c>
      <c r="C9" s="20" t="n">
        <f aca="false">'Clause Costs'!$C$17</f>
        <v>514263.68</v>
      </c>
      <c r="D9" s="37" t="n">
        <v>514263.68</v>
      </c>
      <c r="E9" s="20" t="n">
        <f aca="false">ROUND(C9-D9,6)</f>
        <v>0</v>
      </c>
      <c r="F9" s="38" t="str">
        <f aca="false">IF(ABS(E9)&lt;=0.005,"PASS","FAIL")</f>
        <v>PASS</v>
      </c>
    </row>
    <row r="10" customFormat="false" ht="15" hidden="false" customHeight="true" outlineLevel="0" collapsed="false">
      <c r="B10" s="19" t="s">
        <v>249</v>
      </c>
      <c r="C10" s="20" t="n">
        <f aca="false">'Clause Costs'!$C$23</f>
        <v>81120</v>
      </c>
      <c r="D10" s="37" t="n">
        <v>81120</v>
      </c>
      <c r="E10" s="20" t="n">
        <f aca="false">ROUND(C10-D10,6)</f>
        <v>0</v>
      </c>
      <c r="F10" s="38" t="str">
        <f aca="false">IF(ABS(E10)&lt;=0.005,"PASS","FAIL")</f>
        <v>PASS</v>
      </c>
    </row>
    <row r="11" customFormat="false" ht="15" hidden="false" customHeight="true" outlineLevel="0" collapsed="false">
      <c r="B11" s="19" t="s">
        <v>250</v>
      </c>
      <c r="C11" s="20" t="n">
        <f aca="false">'Clause Costs'!$C$29</f>
        <v>196996.34</v>
      </c>
      <c r="D11" s="37" t="n">
        <v>196996.34</v>
      </c>
      <c r="E11" s="20" t="n">
        <f aca="false">ROUND(C11-D11,6)</f>
        <v>0</v>
      </c>
      <c r="F11" s="38" t="str">
        <f aca="false">IF(ABS(E11)&lt;=0.005,"PASS","FAIL")</f>
        <v>PASS</v>
      </c>
    </row>
    <row r="12" customFormat="false" ht="15" hidden="false" customHeight="true" outlineLevel="0" collapsed="false">
      <c r="B12" s="19" t="s">
        <v>251</v>
      </c>
      <c r="C12" s="20" t="n">
        <f aca="false">'Clause Costs'!$C$33</f>
        <v>188340</v>
      </c>
      <c r="D12" s="37" t="n">
        <v>188340</v>
      </c>
      <c r="E12" s="20" t="n">
        <f aca="false">ROUND(C12-D12,6)</f>
        <v>0</v>
      </c>
      <c r="F12" s="38" t="str">
        <f aca="false">IF(ABS(E12)&lt;=0.005,"PASS","FAIL")</f>
        <v>PASS</v>
      </c>
    </row>
    <row r="13" customFormat="false" ht="15" hidden="false" customHeight="true" outlineLevel="0" collapsed="false">
      <c r="B13" s="19" t="s">
        <v>252</v>
      </c>
      <c r="C13" s="20" t="n">
        <f aca="false">'Clause Costs'!$C$38</f>
        <v>455844.71</v>
      </c>
      <c r="D13" s="37" t="n">
        <v>455844.71</v>
      </c>
      <c r="E13" s="20" t="n">
        <f aca="false">ROUND(C13-D13,6)</f>
        <v>0</v>
      </c>
      <c r="F13" s="38" t="str">
        <f aca="false">IF(ABS(E13)&lt;=0.005,"PASS","FAIL")</f>
        <v>PASS</v>
      </c>
    </row>
    <row r="14" customFormat="false" ht="15" hidden="false" customHeight="true" outlineLevel="0" collapsed="false">
      <c r="B14" s="19" t="s">
        <v>253</v>
      </c>
      <c r="C14" s="20" t="n">
        <f aca="false">'Clause Costs'!$C$43</f>
        <v>83309.93</v>
      </c>
      <c r="D14" s="37" t="n">
        <v>83309.93</v>
      </c>
      <c r="E14" s="20" t="n">
        <f aca="false">ROUND(C14-D14,6)</f>
        <v>0</v>
      </c>
      <c r="F14" s="38" t="str">
        <f aca="false">IF(ABS(E14)&lt;=0.005,"PASS","FAIL")</f>
        <v>PASS</v>
      </c>
    </row>
    <row r="15" customFormat="false" ht="15" hidden="false" customHeight="true" outlineLevel="0" collapsed="false">
      <c r="B15" s="19" t="s">
        <v>181</v>
      </c>
      <c r="C15" s="20" t="n">
        <f aca="false">'Clause Costs'!$C$57</f>
        <v>1565906.48</v>
      </c>
      <c r="D15" s="37" t="n">
        <v>1565906.48</v>
      </c>
      <c r="E15" s="20" t="n">
        <f aca="false">ROUND(C15-D15,6)</f>
        <v>0</v>
      </c>
      <c r="F15" s="38" t="str">
        <f aca="false">IF(ABS(E15)&lt;=0.005,"PASS","FAIL")</f>
        <v>PASS</v>
      </c>
    </row>
    <row r="16" customFormat="false" ht="15" hidden="false" customHeight="true" outlineLevel="0" collapsed="false">
      <c r="B16" s="19" t="s">
        <v>209</v>
      </c>
      <c r="C16" s="20" t="n">
        <f aca="false">'Equivalence Price'!$C$9</f>
        <v>9.8053</v>
      </c>
      <c r="D16" s="37" t="n">
        <v>9.8053</v>
      </c>
      <c r="E16" s="20" t="n">
        <f aca="false">ROUND(C16-D16,6)</f>
        <v>0</v>
      </c>
      <c r="F16" s="38" t="str">
        <f aca="false">IF(ABS(E16)&lt;=0.005,"PASS","FAIL")</f>
        <v>PASS</v>
      </c>
    </row>
    <row r="17" customFormat="false" ht="15" hidden="false" customHeight="true" outlineLevel="0" collapsed="false">
      <c r="B17" s="19" t="s">
        <v>211</v>
      </c>
      <c r="C17" s="20" t="n">
        <f aca="false">'Equivalence Price'!$C$11</f>
        <v>94.1947</v>
      </c>
      <c r="D17" s="37" t="n">
        <v>94.1947</v>
      </c>
      <c r="E17" s="20" t="n">
        <f aca="false">ROUND(C17-D17,6)</f>
        <v>0</v>
      </c>
      <c r="F17" s="38" t="str">
        <f aca="false">IF(ABS(E17)&lt;=0.005,"PASS","FAIL")</f>
        <v>PASS</v>
      </c>
    </row>
    <row r="18" customFormat="false" ht="15" hidden="false" customHeight="true" outlineLevel="0" collapsed="false">
      <c r="B18" s="19" t="s">
        <v>254</v>
      </c>
      <c r="C18" s="20" t="n">
        <f aca="false">'Equivalence Price'!$C$15</f>
        <v>0.0943</v>
      </c>
      <c r="D18" s="37" t="n">
        <v>0.0943</v>
      </c>
      <c r="E18" s="20" t="n">
        <f aca="false">ROUND(C18-D18,6)</f>
        <v>0</v>
      </c>
      <c r="F18" s="38" t="str">
        <f aca="false">IF(ABS(E18)&lt;=0.005,"PASS","FAIL")</f>
        <v>PASS</v>
      </c>
    </row>
    <row r="19" customFormat="false" ht="15" hidden="false" customHeight="true" outlineLevel="0" collapsed="false">
      <c r="B19" s="19" t="s">
        <v>188</v>
      </c>
      <c r="C19" s="20" t="n">
        <f aca="false">'Three Columns'!$C$11</f>
        <v>2294000</v>
      </c>
      <c r="D19" s="37" t="n">
        <v>2294000</v>
      </c>
      <c r="E19" s="20" t="n">
        <f aca="false">ROUND(C19-D19,6)</f>
        <v>0</v>
      </c>
      <c r="F19" s="38" t="str">
        <f aca="false">IF(ABS(E19)&lt;=0.005,"PASS","FAIL")</f>
        <v>PASS</v>
      </c>
    </row>
    <row r="20" customFormat="false" ht="15" hidden="false" customHeight="true" outlineLevel="0" collapsed="false">
      <c r="B20" s="19" t="s">
        <v>190</v>
      </c>
      <c r="C20" s="20" t="n">
        <f aca="false">'Three Columns'!$C$13</f>
        <v>2.5302</v>
      </c>
      <c r="D20" s="37" t="n">
        <v>2.5302</v>
      </c>
      <c r="E20" s="20" t="n">
        <f aca="false">ROUND(C20-D20,6)</f>
        <v>0</v>
      </c>
      <c r="F20" s="38" t="str">
        <f aca="false">IF(ABS(E20)&lt;=0.005,"PASS","FAIL")</f>
        <v>PASS</v>
      </c>
    </row>
    <row r="21" customFormat="false" ht="15" hidden="false" customHeight="true" outlineLevel="0" collapsed="false">
      <c r="B21" s="19" t="s">
        <v>200</v>
      </c>
      <c r="C21" s="20" t="n">
        <f aca="false">'Three Columns'!$C$24</f>
        <v>2009092.93</v>
      </c>
      <c r="D21" s="37" t="n">
        <v>2009092.93</v>
      </c>
      <c r="E21" s="20" t="n">
        <f aca="false">ROUND(C21-D21,6)</f>
        <v>0</v>
      </c>
      <c r="F21" s="38" t="str">
        <f aca="false">IF(ABS(E21)&lt;=0.005,"PASS","FAIL")</f>
        <v>PASS</v>
      </c>
    </row>
    <row r="22" customFormat="false" ht="15" hidden="false" customHeight="true" outlineLevel="0" collapsed="false">
      <c r="B22" s="19" t="s">
        <v>255</v>
      </c>
      <c r="C22" s="20" t="n">
        <f aca="false">'Three Columns'!$C$25</f>
        <v>978830.47</v>
      </c>
      <c r="D22" s="37" t="n">
        <v>978830.47</v>
      </c>
      <c r="E22" s="20" t="n">
        <f aca="false">ROUND(C22-D22,6)</f>
        <v>0</v>
      </c>
      <c r="F22" s="38" t="str">
        <f aca="false">IF(ABS(E22)&lt;=0.005,"PASS","FAIL")</f>
        <v>PASS</v>
      </c>
    </row>
    <row r="23" customFormat="false" ht="15" hidden="false" customHeight="true" outlineLevel="0" collapsed="false">
      <c r="B23" s="19" t="s">
        <v>68</v>
      </c>
      <c r="C23" s="20" t="n">
        <f aca="false">'Your Contract'!$C$41</f>
        <v>19</v>
      </c>
      <c r="D23" s="37" t="n">
        <v>19</v>
      </c>
      <c r="E23" s="20" t="n">
        <f aca="false">ROUND(C23-D23,6)</f>
        <v>0</v>
      </c>
      <c r="F23" s="38" t="str">
        <f aca="false">IF(ABS(E23)&lt;=0.005,"PASS","FAIL")</f>
        <v>PASS</v>
      </c>
    </row>
    <row r="24" customFormat="false" ht="15" hidden="false" customHeight="true" outlineLevel="0" collapsed="false">
      <c r="B24" s="19" t="s">
        <v>71</v>
      </c>
      <c r="C24" s="20" t="n">
        <f aca="false">'Your Contract'!$C$44</f>
        <v>116.3174</v>
      </c>
      <c r="D24" s="37" t="n">
        <v>116.3174</v>
      </c>
      <c r="E24" s="20" t="n">
        <f aca="false">ROUND(C24-D24,6)</f>
        <v>0</v>
      </c>
      <c r="F24" s="38" t="str">
        <f aca="false">IF(ABS(E24)&lt;=0.005,"PASS","FAIL")</f>
        <v>PASS</v>
      </c>
    </row>
    <row r="25" customFormat="false" ht="15" hidden="false" customHeight="true" outlineLevel="0" collapsed="false">
      <c r="B25" s="19" t="s">
        <v>256</v>
      </c>
      <c r="C25" s="20" t="n">
        <f aca="false">Ledger!$D$12</f>
        <v>3.2202</v>
      </c>
      <c r="D25" s="37" t="n">
        <v>3.2202</v>
      </c>
      <c r="E25" s="20" t="n">
        <f aca="false">ROUND(C25-D25,6)</f>
        <v>0</v>
      </c>
      <c r="F25" s="38" t="str">
        <f aca="false">IF(ABS(E25)&lt;=0.005,"PASS","FAIL")</f>
        <v>PASS</v>
      </c>
    </row>
    <row r="26" customFormat="false" ht="15" hidden="false" customHeight="true" outlineLevel="0" collapsed="false">
      <c r="B26" s="19" t="s">
        <v>257</v>
      </c>
      <c r="C26" s="20" t="n">
        <f aca="false">Ledger!$D$18</f>
        <v>0.2882</v>
      </c>
      <c r="D26" s="37" t="n">
        <v>0.2882</v>
      </c>
      <c r="E26" s="20" t="n">
        <f aca="false">ROUND(C26-D26,6)</f>
        <v>0</v>
      </c>
      <c r="F26" s="38" t="str">
        <f aca="false">IF(ABS(E26)&lt;=0.005,"PASS","FAIL")</f>
        <v>PASS</v>
      </c>
    </row>
    <row r="27" customFormat="false" ht="15" hidden="false" customHeight="false" outlineLevel="0" collapsed="false">
      <c r="B27" s="19" t="s">
        <v>258</v>
      </c>
      <c r="C27" s="21" t="n">
        <f aca="false">'Clause Costs'!$C$18</f>
        <v>247164.64</v>
      </c>
      <c r="D27" s="39" t="n">
        <v>247164.64</v>
      </c>
      <c r="E27" s="20" t="n">
        <f aca="false">ROUND(C27-D27,6)</f>
        <v>0</v>
      </c>
      <c r="F27" s="38" t="str">
        <f aca="false">IF(ABS(E27)&lt;=0.005,"PASS","FAIL")</f>
        <v>PASS</v>
      </c>
      <c r="G27" s="14" t="s">
        <v>259</v>
      </c>
    </row>
    <row r="28" customFormat="false" ht="15" hidden="false" customHeight="true" outlineLevel="0" collapsed="false">
      <c r="B28" s="19" t="s">
        <v>260</v>
      </c>
      <c r="C28" s="21" t="n">
        <f aca="false">'Clause Costs'!$C$41</f>
        <v>2914.29</v>
      </c>
      <c r="D28" s="39" t="n">
        <v>2914.29</v>
      </c>
      <c r="E28" s="20" t="n">
        <f aca="false">ROUND(C28-D28,6)</f>
        <v>0</v>
      </c>
      <c r="F28" s="38" t="str">
        <f aca="false">IF(ABS(E28)&lt;=0.005,"PASS","FAIL")</f>
        <v>PASS</v>
      </c>
    </row>
    <row r="29" customFormat="false" ht="15" hidden="false" customHeight="false" outlineLevel="0" collapsed="false">
      <c r="B29" s="19" t="s">
        <v>261</v>
      </c>
      <c r="C29" s="30" t="n">
        <f aca="false">SUMPRODUCT(1/COUNTIF(Ledger!$B$12:$B$18,Ledger!$B$12:$B$18))</f>
        <v>7</v>
      </c>
      <c r="D29" s="40" t="n">
        <v>7</v>
      </c>
      <c r="E29" s="20" t="n">
        <f aca="false">ROUND(C29-D29,6)</f>
        <v>0</v>
      </c>
      <c r="F29" s="38" t="str">
        <f aca="false">IF(ABS(E29)&lt;=0.005,"PASS","FAIL")</f>
        <v>PASS</v>
      </c>
      <c r="G29" s="14" t="s">
        <v>262</v>
      </c>
    </row>
    <row r="30" customFormat="false" ht="15" hidden="false" customHeight="false" outlineLevel="0" collapsed="false">
      <c r="B30" s="19" t="s">
        <v>263</v>
      </c>
      <c r="C30" s="21" t="n">
        <f aca="false">'Three Columns'!$C$29</f>
        <v>5868999.41</v>
      </c>
      <c r="D30" s="39" t="n">
        <v>5868999.41</v>
      </c>
      <c r="E30" s="20" t="n">
        <f aca="false">ROUND(C30-D30,6)</f>
        <v>0</v>
      </c>
      <c r="F30" s="38" t="str">
        <f aca="false">IF(ABS(E30)&lt;=0.005,"PASS","FAIL")</f>
        <v>PASS</v>
      </c>
    </row>
    <row r="32" customFormat="false" ht="15" hidden="false" customHeight="false" outlineLevel="0" collapsed="false">
      <c r="B32" s="6" t="s">
        <v>264</v>
      </c>
      <c r="C32" s="41" t="str">
        <f aca="false">COUNTIF(F6:F30,"PASS")&amp;" of 25"</f>
        <v>25 of 25</v>
      </c>
    </row>
    <row r="33" customFormat="false" ht="15" hidden="false" customHeight="false" outlineLevel="0" collapsed="false">
      <c r="B33" s="6" t="s">
        <v>265</v>
      </c>
      <c r="C33" s="6" t="str">
        <f aca="false">IF(COUNTIF(F6:F30,"PASS")=25,"ALL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2026-09-13T07:46:20Z</dcterms:created>
  <dc:creator>openpyxl</dc:creator>
  <dc:description/>
  <dc:language>en-US</dc:language>
  <cp:lastModifiedBy/>
  <dcterms:modified xsi:type="dcterms:W3CDTF">2026-09-24T02:11:40Z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