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The Fund" sheetId="2" state="visible" r:id="rId4"/>
    <sheet name="2. The Grey Zone" sheetId="3" state="visible" r:id="rId5"/>
    <sheet name="3. Broken Deal" sheetId="4" state="visible" r:id="rId6"/>
    <sheet name="4. Fee Offsets" sheetId="5" state="visible" r:id="rId7"/>
    <sheet name="5. How Much to Test" sheetId="6" state="visible" r:id="rId8"/>
    <sheet name="6. 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<sst xmlns="http://schemas.openxmlformats.org/spreadsheetml/2006/main" count="170" uniqueCount="149">
  <si>
    <t xml:space="preserve">Fees, Expenses, and How Much to Test</t>
  </si>
  <si>
    <t xml:space="preserve">A companion to Appendix F, and to Chapters 10 and 13</t>
  </si>
  <si>
    <t xml:space="preserve">Chapter 10 says fees and expenses are the most heavily scrutinised area in private markets compliance, that the amounts can be large, that the stakes become enormous, and that testing this area is among the most valuable testing a compliance programme does. Every one of those statements is true. Not one of them is a number, and the chapter contains no figures at all.</t>
  </si>
  <si>
    <t xml:space="preserve">A compliance officer cannot act on an adjective. "The amounts can be large" does not tell you whether to escalate; "test periodically" does not tell you how many items to pull. This file supplies the arithmetic for both.</t>
  </si>
  <si>
    <t xml:space="preserve">What it finds</t>
  </si>
  <si>
    <t xml:space="preserve">The grey zone is worth about as much as a fee increase nobody disclosed. On a 500 million fund with 1.2 million a year of genuinely ambiguous costs, resolving a quarter of them in the firm's favour is worth 3 million over the fund's life — the same as raising the management fee from 2.00 to 2.06 per cent without telling anyone.</t>
  </si>
  <si>
    <t xml:space="preserve">The broken-deal allocation in Chapter 10's own illustration moves the flagship's share from 1.25 million to 2.50 million depending on which of four defensible methods is used. Half the cost of the deal turns on a choice no document compels. For an investor with a million committed to the flagship the choice is worth 625 if the flagship is two billion; 3,125, the figure Appendix F prints, is the most it can be, because it treats the 400 million ticket as the whole fund.</t>
  </si>
  <si>
    <t xml:space="preserve">Re-categorising two lines in a fee schedule as non-offsettable is worth 2 million — two per cent of every management fee the fund will ever pay.</t>
  </si>
  <si>
    <t xml:space="preserve">And the testing question has an exact answer. To be 95 per cent confident that no more than 5 per cent of expense allocations are wrong, test 59 items. Test 20, find nothing, and all you have established is that the error rate is probably under 14 per cent. The 59 items cost about four working days a year.</t>
  </si>
  <si>
    <t xml:space="preserve">The sheets</t>
  </si>
  <si>
    <t xml:space="preserve">1. The Fund — the fund, the fee, the expense base. Every input is here.</t>
  </si>
  <si>
    <t xml:space="preserve">2. The Grey Zone — what discretion over ambiguous costs is worth, expressed as a fee</t>
  </si>
  <si>
    <t xml:space="preserve">3. Broken Deal — Chapter 10's illustration, allocated four ways</t>
  </si>
  <si>
    <t xml:space="preserve">4. Fee Offsets — what a categorisation decision is worth</t>
  </si>
  <si>
    <t xml:space="preserve">5. How Much to Test — sample sizes, what a clean sample proves, and what it costs</t>
  </si>
  <si>
    <t xml:space="preserve">6. Checks — every figure in Appendix F, recomputed and compared</t>
  </si>
  <si>
    <t xml:space="preserve">Every figure is illustrative, as everything in the book is. The fund, the firm, the deal and the amounts are invented. What is not invented is the arithmetic, and sheet 5 in particular is a standard result you can apply to any population.</t>
  </si>
  <si>
    <t xml:space="preserve">Blue on a pale fill is an input. Black on grey is a formula — do not overtype it.</t>
  </si>
  <si>
    <t xml:space="preserve">Revised 24 September 2026. Sheet 3 divided the spread by the flagship's 400 million participation in the deal instead of the flagship's own commitments, which the book does not give. Sheet 1 now carries them as an ADDED input, two billion (the 400 million ticket is then 20 per cent of the fund); the investor's share of the choice is 625 per million committed, and the 3,125 the book prints is shown as its ceiling. Two checks added: sixteen in all.</t>
  </si>
  <si>
    <t xml:space="preserve">The fund, the fee, and the expense base</t>
  </si>
  <si>
    <t xml:space="preserve">Illustrative. Change any of it and every sheet moves.</t>
  </si>
  <si>
    <t xml:space="preserve">Fund commitments</t>
  </si>
  <si>
    <t xml:space="preserve">Management fee, per year</t>
  </si>
  <si>
    <t xml:space="preserve">Management fee in money</t>
  </si>
  <si>
    <t xml:space="preserve">a year</t>
  </si>
  <si>
    <t xml:space="preserve">Fund life (years)</t>
  </si>
  <si>
    <t xml:space="preserve">Management fees over the fund's life</t>
  </si>
  <si>
    <t xml:space="preserve">Fund-borne expenses, per year</t>
  </si>
  <si>
    <t xml:space="preserve">beyond the management fee</t>
  </si>
  <si>
    <t xml:space="preserve">of which genuinely grey-zone</t>
  </si>
  <si>
    <t xml:space="preserve">costs the documents do not clearly assign</t>
  </si>
  <si>
    <t xml:space="preserve">Grey zone as a share of fund expenses</t>
  </si>
  <si>
    <t xml:space="preserve">The broken deal of Chapter 10</t>
  </si>
  <si>
    <t xml:space="preserve">Cost of the deal that fell through</t>
  </si>
  <si>
    <t xml:space="preserve">Flagship fund's participation, had it closed</t>
  </si>
  <si>
    <t xml:space="preserve">Newer fund's participation</t>
  </si>
  <si>
    <t xml:space="preserve">Prospective co-investors' participation</t>
  </si>
  <si>
    <t xml:space="preserve">Total that would have participated</t>
  </si>
  <si>
    <t xml:space="preserve">Flagship fund's own commitments (ADDED: the book does not give them)</t>
  </si>
  <si>
    <t xml:space="preserve">ADDED: its 400m ticket is then 20 per cent of the fund, a common single-deal limit</t>
  </si>
  <si>
    <t xml:space="preserve">Portfolio-company fees received</t>
  </si>
  <si>
    <t xml:space="preserve">Monitoring fees</t>
  </si>
  <si>
    <t xml:space="preserve">Transaction fees</t>
  </si>
  <si>
    <t xml:space="preserve">Board fees</t>
  </si>
  <si>
    <t xml:space="preserve">Consulting fees</t>
  </si>
  <si>
    <t xml:space="preserve">Total</t>
  </si>
  <si>
    <t xml:space="preserve">What discretion over ambiguous costs is worth</t>
  </si>
  <si>
    <t xml:space="preserve">Chapter 10: "every dollar shifted to a fund is a dollar the firm keeps". Here is how many dollars.</t>
  </si>
  <si>
    <t xml:space="preserve">Share of the grey zone resolved the firm's way</t>
  </si>
  <si>
    <t xml:space="preserve">Per year</t>
  </si>
  <si>
    <t xml:space="preserve">Over the fund's life</t>
  </si>
  <si>
    <t xml:space="preserve">As a share of commitments</t>
  </si>
  <si>
    <t xml:space="preserve">The same as a fee of</t>
  </si>
  <si>
    <t xml:space="preserve">Reading</t>
  </si>
  <si>
    <t xml:space="preserve">The point, stated once</t>
  </si>
  <si>
    <t xml:space="preserve">A firm that leans on the grey zone is not committing a dramatic fraud. It is resolving ambiguous questions in its own favour, one at a time, each defensible on its own. But the aggregate is a fee increase, and it is one no investor agreed to and no document discloses. Expressed that way — as basis points on the fee, not as a list of small judgement calls — it becomes something an investment committee and a regulator can both understand, and something a compliance officer can escalate.</t>
  </si>
  <si>
    <t xml:space="preserve">What that means for the policy</t>
  </si>
  <si>
    <t xml:space="preserve">Chapter 10's remedy is a written expense allocation policy that fixes the judgement calls in advance. This sheet says why that is worth the effort: the policy is not administrative hygiene, it is the control on a sum of money comparable to the fee itself. A firm without one has, in effect, left its fee schedule partly open.</t>
  </si>
  <si>
    <t xml:space="preserve">Chapter 10's broken-deal illustration, allocated four ways</t>
  </si>
  <si>
    <t xml:space="preserve">Same cost, same facts, four methods a firm could defend. The answers are not close.</t>
  </si>
  <si>
    <t xml:space="preserve">Method</t>
  </si>
  <si>
    <t xml:space="preserve">Flagship</t>
  </si>
  <si>
    <t xml:space="preserve">Newer fund</t>
  </si>
  <si>
    <t xml:space="preserve">Co-investors</t>
  </si>
  <si>
    <t xml:space="preserve">The firm</t>
  </si>
  <si>
    <t xml:space="preserve">Note</t>
  </si>
  <si>
    <t xml:space="preserve">All to the flagship</t>
  </si>
  <si>
    <t xml:space="preserve">the path of least resistance</t>
  </si>
  <si>
    <t xml:space="preserve">Pro rata across the two funds</t>
  </si>
  <si>
    <t xml:space="preserve">ignores who else would have paid</t>
  </si>
  <si>
    <t xml:space="preserve">Pro rata including prospective co-investors</t>
  </si>
  <si>
    <t xml:space="preserve">often impossible: no vehicle to bill</t>
  </si>
  <si>
    <t xml:space="preserve">Pro rata, the firm absorbing the co-invest share</t>
  </si>
  <si>
    <t xml:space="preserve">the only one that costs the firm anything</t>
  </si>
  <si>
    <t xml:space="preserve">The flagship's share ranges from</t>
  </si>
  <si>
    <t xml:space="preserve">to</t>
  </si>
  <si>
    <t xml:space="preserve">Spread, on one deal</t>
  </si>
  <si>
    <t xml:space="preserve">of the cost, turning on a choice no document compels</t>
  </si>
  <si>
    <t xml:space="preserve">Per 1,000,000 committed to the flagship</t>
  </si>
  <si>
    <t xml:space="preserve">an investor's share of the choice, at the flagship's commitments (sheet 1, row 21)</t>
  </si>
  <si>
    <t xml:space="preserve">  ceiling: if this deal were the whole flagship</t>
  </si>
  <si>
    <t xml:space="preserve">the 3,125 Appendix F prints: it divides by the 400m ticket, not by the fund</t>
  </si>
  <si>
    <t xml:space="preserve">  if the flagship were the 500m fund of sheet 1</t>
  </si>
  <si>
    <t xml:space="preserve">though a 400m ticket would then be 80 per cent of it</t>
  </si>
  <si>
    <t xml:space="preserve">None of the four is obviously wrong, and that is precisely the difficulty. A firm choosing after the deal breaks will find that one of them suits it, and will be able to justify it. A firm that chose before knows which one applies and can show that it did not pick. The spread on this single deal — half its total cost — is the size of the discretion being exercised, and it is why the chapter is right that the method must be fixed in advance. The investor's share of that choice depends on the size of the fund it sits in: 625 per million committed if the flagship is two billion (row 12), and never more than the 3,125 Appendix F prints, which assumes this one deal is the flagship's whole portfolio (row 13).</t>
  </si>
  <si>
    <t xml:space="preserve">A question worth asking at the policy stage</t>
  </si>
  <si>
    <t xml:space="preserve">Only the fourth method costs the firm anything. If a policy has been drafted and the firm bears nothing under any scenario, that is not necessarily improper — but it is a fact worth noticing before it is noticed by someone else, because it is the first thing an examiner will observe about the policy.</t>
  </si>
  <si>
    <t xml:space="preserve">What a categorisation decision is worth</t>
  </si>
  <si>
    <t xml:space="preserve">Chapter 10: firms have erred "by categorizing fees to minimize the offset". This is the size of that decision.</t>
  </si>
  <si>
    <t xml:space="preserve">Fee received</t>
  </si>
  <si>
    <t xml:space="preserve">Amount</t>
  </si>
  <si>
    <t xml:space="preserve">Treated as offsettable?</t>
  </si>
  <si>
    <t xml:space="preserve">Offset</t>
  </si>
  <si>
    <t xml:space="preserve">yes</t>
  </si>
  <si>
    <t xml:space="preserve">Total received</t>
  </si>
  <si>
    <t xml:space="preserve">Total offset</t>
  </si>
  <si>
    <t xml:space="preserve">Kept by the firm</t>
  </si>
  <si>
    <t xml:space="preserve">As a share of all management fees</t>
  </si>
  <si>
    <t xml:space="preserve">of every management fee the fund will ever pay</t>
  </si>
  <si>
    <t xml:space="preserve">Net fees investors actually pay</t>
  </si>
  <si>
    <t xml:space="preserve">Try it</t>
  </si>
  <si>
    <t xml:space="preserve">Set 'consulting' and 'board' to no and watch the last two lines. Those two words are worth 2 million on this fund — two per cent of every management fee it will ever pay — and they are the kind of decision that gets made once, by someone who is not thinking about it very hard, and then applied for a decade. The compliance officer's job here is not to have an opinion about what is offsettable; it is to know what the documents say, confirm the practice matches, and be able to show the arithmetic when asked.</t>
  </si>
  <si>
    <t xml:space="preserve">How many items must you actually test?</t>
  </si>
  <si>
    <t xml:space="preserve">Chapter 13 says to test. It does not say how much. Attribute sampling answers it exactly.</t>
  </si>
  <si>
    <t xml:space="preserve">n = LN(1 - confidence) / LN(1 - error rate)</t>
  </si>
  <si>
    <t xml:space="preserve">The number of clean items needed before you can rule out an error rate, at a chosen confidence.</t>
  </si>
  <si>
    <t xml:space="preserve">Error rate you want to rule out</t>
  </si>
  <si>
    <t xml:space="preserve">90% confidence</t>
  </si>
  <si>
    <t xml:space="preserve">95% confidence</t>
  </si>
  <si>
    <t xml:space="preserve">99% confidence</t>
  </si>
  <si>
    <t xml:space="preserve">Run the other way: what a clean sample proves</t>
  </si>
  <si>
    <t xml:space="preserve">Items tested, all clean</t>
  </si>
  <si>
    <t xml:space="preserve">At 95% confidence, the error rate is below</t>
  </si>
  <si>
    <t xml:space="preserve">And what it costs</t>
  </si>
  <si>
    <t xml:space="preserve">Minutes to test one item</t>
  </si>
  <si>
    <t xml:space="preserve">Hours for the 95%/5% sample</t>
  </si>
  <si>
    <t xml:space="preserve">Working days, at 7.5 hours</t>
  </si>
  <si>
    <t xml:space="preserve">a year, for the highest-scrutiny area in the programme</t>
  </si>
  <si>
    <t xml:space="preserve">This is the sheet to take into a resourcing conversation. "We test expenses periodically" is not a defensible statement and cannot be resourced. "We test fifty-nine allocations a year, which lets us state with ninety-five per cent confidence that the error rate is below five per cent, and it costs four days" is both. The difference between those two sentences is roughly two and a half days of work a year.</t>
  </si>
  <si>
    <t xml:space="preserve">Two honest limits. First, this is attribute sampling: it tests whether items are right or wrong, not how wrong. A programme should also test by value, because one large mis-allocation matters more than several small ones. Second, it assumes a random sample. Testing the items that are easiest to pull, or the ones finance suggests, tells you about those items and nothing about the population.</t>
  </si>
  <si>
    <t xml:space="preserve">Every figure in Appendix F, recomputed here</t>
  </si>
  <si>
    <t xml:space="preserve">Change an input on sheet 1 and these stop matching.</t>
  </si>
  <si>
    <t xml:space="preserve">Figure</t>
  </si>
  <si>
    <t xml:space="preserve">Appendix F</t>
  </si>
  <si>
    <t xml:space="preserve">This file</t>
  </si>
  <si>
    <t xml:space="preserve">Status</t>
  </si>
  <si>
    <t xml:space="preserve">tol 1000</t>
  </si>
  <si>
    <t xml:space="preserve">Grey zone at 25%, over the fund's life</t>
  </si>
  <si>
    <t xml:space="preserve">  the same as a fee of</t>
  </si>
  <si>
    <t xml:space="preserve">tol 5e-05</t>
  </si>
  <si>
    <t xml:space="preserve">Broken deal: flagship, all to it</t>
  </si>
  <si>
    <t xml:space="preserve">Broken deal: flagship, full pro rata</t>
  </si>
  <si>
    <t xml:space="preserve">  the spread on one deal</t>
  </si>
  <si>
    <t xml:space="preserve">  as a share of the cost</t>
  </si>
  <si>
    <t xml:space="preserve">tol 0.005</t>
  </si>
  <si>
    <t xml:space="preserve">  per 1,000,000 committed: the ceiling Appendix F prints</t>
  </si>
  <si>
    <t xml:space="preserve">tol 5; corrected 24 Sep 2026: the book gives it as the value, it is the ceiling</t>
  </si>
  <si>
    <t xml:space="preserve">Test count: 95% confidence, 5% error rate</t>
  </si>
  <si>
    <t xml:space="preserve">tol 0</t>
  </si>
  <si>
    <t xml:space="preserve">Test count: 95% confidence, 1% error rate</t>
  </si>
  <si>
    <t xml:space="preserve">20 clean items rule out an error rate above</t>
  </si>
  <si>
    <t xml:space="preserve">tol 0.002</t>
  </si>
  <si>
    <t xml:space="preserve">Working days for the 95%/5% sample</t>
  </si>
  <si>
    <t xml:space="preserve">tol 0.1</t>
  </si>
  <si>
    <t xml:space="preserve">  per 1,000,000 committed, flagship of 2 billion (ADDED)</t>
  </si>
  <si>
    <t xml:space="preserve">tol 5; ADDED input on sheet 1, row 21</t>
  </si>
  <si>
    <t xml:space="preserve">The flagship's commitments cover its ticket in the deal</t>
  </si>
  <si>
    <t xml:space="preserve">1 = yes</t>
  </si>
  <si>
    <t xml:space="preserve">Checks passing</t>
  </si>
</sst>
</file>

<file path=xl/styles.xml><?xml version="1.0" encoding="utf-8"?>
<styleSheet xmlns="http://schemas.openxmlformats.org/spreadsheetml/2006/main">
  <numFmts count="9">
    <numFmt numFmtId="164" formatCode="General"/>
    <numFmt numFmtId="165" formatCode="#,##0,,\M"/>
    <numFmt numFmtId="166" formatCode="0.00%"/>
    <numFmt numFmtId="167" formatCode="#,##0.00,,\M"/>
    <numFmt numFmtId="168" formatCode="0"/>
    <numFmt numFmtId="169" formatCode="0.0%"/>
    <numFmt numFmtId="170" formatCode="0.000%"/>
    <numFmt numFmtId="171" formatCode="#,##0"/>
    <numFmt numFmtId="172" formatCode="0.0"/>
  </numFmts>
  <fonts count="14">
    <font>
      <sz val="11"/>
      <color theme="1"/>
      <name val="Calibri"/>
      <family val="2"/>
      <charset val="1"/>
    </font>
    <font>
      <sz val="10"/>
      <name val="Arial"/>
      <family val="0"/>
    </font>
    <font>
      <sz val="10"/>
      <name val="Arial"/>
      <family val="0"/>
    </font>
    <font>
      <sz val="10"/>
      <name val="Arial"/>
      <family val="0"/>
    </font>
    <font>
      <b val="true"/>
      <sz val="15"/>
      <color rgb="FF1F2733"/>
      <name val="Cambria"/>
      <family val="0"/>
      <charset val="1"/>
    </font>
    <font>
      <i val="true"/>
      <sz val="10"/>
      <color rgb="FF5A6470"/>
      <name val="Cambria"/>
      <family val="0"/>
      <charset val="1"/>
    </font>
    <font>
      <sz val="10.5"/>
      <color rgb="FF1F2733"/>
      <name val="Cambria"/>
      <family val="0"/>
      <charset val="1"/>
    </font>
    <font>
      <b val="true"/>
      <sz val="11.5"/>
      <color rgb="FF1F2733"/>
      <name val="Cambria"/>
      <family val="0"/>
      <charset val="1"/>
    </font>
    <font>
      <b val="true"/>
      <sz val="14"/>
      <color rgb="FF1F2733"/>
      <name val="Cambria"/>
      <family val="0"/>
      <charset val="1"/>
    </font>
    <font>
      <b val="true"/>
      <sz val="11"/>
      <color rgb="FF1B4E8C"/>
      <name val="Cambria"/>
      <family val="0"/>
      <charset val="1"/>
    </font>
    <font>
      <sz val="11"/>
      <color rgb="FF1F2733"/>
      <name val="Cambria"/>
      <family val="0"/>
      <charset val="1"/>
    </font>
    <font>
      <b val="true"/>
      <sz val="10.5"/>
      <color rgb="FF1F2733"/>
      <name val="Cambria"/>
      <family val="0"/>
      <charset val="1"/>
    </font>
    <font>
      <b val="true"/>
      <sz val="11"/>
      <color rgb="FF1F2733"/>
      <name val="Cambria"/>
      <family val="0"/>
      <charset val="1"/>
    </font>
    <font>
      <b val="true"/>
      <sz val="10"/>
      <color rgb="FFFFFFFF"/>
      <name val="Cambria"/>
      <family val="0"/>
      <charset val="1"/>
    </font>
  </fonts>
  <fills count="7">
    <fill>
      <patternFill patternType="none"/>
    </fill>
    <fill>
      <patternFill patternType="gray125"/>
    </fill>
    <fill>
      <patternFill patternType="solid">
        <fgColor rgb="FFFDF3DC"/>
        <bgColor rgb="FFFBF0E4"/>
      </patternFill>
    </fill>
    <fill>
      <patternFill patternType="solid">
        <fgColor rgb="FFF1F3F5"/>
        <bgColor rgb="FFFBF0E4"/>
      </patternFill>
    </fill>
    <fill>
      <patternFill patternType="solid">
        <fgColor rgb="FF1F2733"/>
        <bgColor rgb="FF333300"/>
      </patternFill>
    </fill>
    <fill>
      <patternFill patternType="solid">
        <fgColor rgb="FFFBF0E4"/>
        <bgColor rgb="FFFDF3DC"/>
      </patternFill>
    </fill>
    <fill>
      <patternFill patternType="solid">
        <fgColor rgb="FFE4F1E4"/>
        <bgColor rgb="FFF1F3F5"/>
      </patternFill>
    </fill>
  </fills>
  <borders count="2">
    <border diagonalUp="false" diagonalDown="false">
      <left/>
      <right/>
      <top/>
      <bottom/>
      <diagonal/>
    </border>
    <border diagonalUp="false" diagonalDown="false">
      <left style="thin">
        <color rgb="FFC9CFD6"/>
      </left>
      <right style="thin">
        <color rgb="FFC9CFD6"/>
      </right>
      <top style="thin">
        <color rgb="FFC9CFD6"/>
      </top>
      <bottom style="thin">
        <color rgb="FFC9CF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9" fillId="2" borderId="1" xfId="0" applyFont="true" applyBorder="true" applyAlignment="false" applyProtection="false">
      <alignment horizontal="general" vertical="bottom" textRotation="0" wrapText="false" indent="0" shrinkToFit="false"/>
      <protection locked="true" hidden="false"/>
    </xf>
    <xf numFmtId="164" fontId="10" fillId="3" borderId="1" xfId="0" applyFont="true" applyBorder="true" applyAlignment="false" applyProtection="false">
      <alignment horizontal="general" vertical="bottom" textRotation="0" wrapText="false" indent="0" shrinkToFit="false"/>
      <protection locked="true" hidden="false"/>
    </xf>
    <xf numFmtId="166" fontId="9" fillId="2" borderId="1" xfId="0" applyFont="true" applyBorder="true" applyAlignment="false" applyProtection="false">
      <alignment horizontal="general" vertical="bottom" textRotation="0" wrapText="false" indent="0" shrinkToFit="false"/>
      <protection locked="true" hidden="false"/>
    </xf>
    <xf numFmtId="167" fontId="10" fillId="3" borderId="1" xfId="0" applyFont="true" applyBorder="true" applyAlignment="false" applyProtection="false">
      <alignment horizontal="general" vertical="bottom" textRotation="0" wrapText="false" indent="0" shrinkToFit="false"/>
      <protection locked="true" hidden="false"/>
    </xf>
    <xf numFmtId="168" fontId="9" fillId="2" borderId="1" xfId="0" applyFont="true" applyBorder="true" applyAlignment="false" applyProtection="false">
      <alignment horizontal="general" vertical="bottom" textRotation="0" wrapText="false" indent="0" shrinkToFit="false"/>
      <protection locked="true" hidden="false"/>
    </xf>
    <xf numFmtId="167" fontId="9" fillId="2" borderId="1" xfId="0" applyFont="true" applyBorder="true" applyAlignment="false" applyProtection="false">
      <alignment horizontal="general" vertical="bottom" textRotation="0" wrapText="false" indent="0" shrinkToFit="false"/>
      <protection locked="true" hidden="false"/>
    </xf>
    <xf numFmtId="169" fontId="10" fillId="3" borderId="1" xfId="0" applyFont="true" applyBorder="true" applyAlignment="false" applyProtection="false">
      <alignment horizontal="general"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7" fontId="12" fillId="3" borderId="1" xfId="0" applyFont="true" applyBorder="true" applyAlignment="false" applyProtection="false">
      <alignment horizontal="general" vertical="bottom" textRotation="0" wrapText="false" indent="0" shrinkToFit="false"/>
      <protection locked="true" hidden="false"/>
    </xf>
    <xf numFmtId="164" fontId="13" fillId="4" borderId="1" xfId="0" applyFont="true" applyBorder="true" applyAlignment="true" applyProtection="false">
      <alignment horizontal="center" vertical="center" textRotation="0" wrapText="true" indent="0" shrinkToFit="false"/>
      <protection locked="true" hidden="false"/>
    </xf>
    <xf numFmtId="169" fontId="9" fillId="2" borderId="1" xfId="0" applyFont="true" applyBorder="true" applyAlignment="false" applyProtection="false">
      <alignment horizontal="general" vertical="bottom" textRotation="0" wrapText="false" indent="0" shrinkToFit="false"/>
      <protection locked="true" hidden="false"/>
    </xf>
    <xf numFmtId="166" fontId="10" fillId="3" borderId="1" xfId="0" applyFont="true" applyBorder="true" applyAlignment="false" applyProtection="false">
      <alignment horizontal="general" vertical="bottom" textRotation="0" wrapText="false" indent="0" shrinkToFit="false"/>
      <protection locked="true" hidden="false"/>
    </xf>
    <xf numFmtId="170" fontId="10" fillId="3"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7" fontId="12" fillId="5" borderId="1" xfId="0" applyFont="true" applyBorder="true" applyAlignment="false" applyProtection="false">
      <alignment horizontal="general" vertical="bottom" textRotation="0" wrapText="false" indent="0" shrinkToFit="false"/>
      <protection locked="true" hidden="false"/>
    </xf>
    <xf numFmtId="169" fontId="12" fillId="3" borderId="1" xfId="0" applyFont="true" applyBorder="true" applyAlignment="false" applyProtection="false">
      <alignment horizontal="general" vertical="bottom" textRotation="0" wrapText="false" indent="0" shrinkToFit="false"/>
      <protection locked="true" hidden="false"/>
    </xf>
    <xf numFmtId="171" fontId="12" fillId="3" borderId="1" xfId="0" applyFont="true" applyBorder="true" applyAlignment="false" applyProtection="false">
      <alignment horizontal="general" vertical="bottom" textRotation="0" wrapText="false" indent="0" shrinkToFit="false"/>
      <protection locked="true" hidden="false"/>
    </xf>
    <xf numFmtId="164" fontId="9" fillId="2" borderId="1" xfId="0" applyFont="true" applyBorder="true" applyAlignment="false" applyProtection="false">
      <alignment horizontal="general" vertical="bottom" textRotation="0" wrapText="false" indent="0" shrinkToFit="false"/>
      <protection locked="true" hidden="false"/>
    </xf>
    <xf numFmtId="168" fontId="10" fillId="3" borderId="1" xfId="0" applyFont="true" applyBorder="true" applyAlignment="false" applyProtection="false">
      <alignment horizontal="general" vertical="bottom" textRotation="0" wrapText="false" indent="0" shrinkToFit="false"/>
      <protection locked="true" hidden="false"/>
    </xf>
    <xf numFmtId="168" fontId="12" fillId="5" borderId="1" xfId="0" applyFont="true" applyBorder="true" applyAlignment="false" applyProtection="false">
      <alignment horizontal="general" vertical="bottom" textRotation="0" wrapText="false" indent="0" shrinkToFit="false"/>
      <protection locked="true" hidden="false"/>
    </xf>
    <xf numFmtId="169" fontId="12" fillId="5" borderId="1" xfId="0" applyFont="true" applyBorder="true" applyAlignment="false" applyProtection="false">
      <alignment horizontal="general" vertical="bottom" textRotation="0" wrapText="false" indent="0" shrinkToFit="false"/>
      <protection locked="true" hidden="false"/>
    </xf>
    <xf numFmtId="172" fontId="10" fillId="3" borderId="1" xfId="0" applyFont="true" applyBorder="true" applyAlignment="false" applyProtection="false">
      <alignment horizontal="general" vertical="bottom" textRotation="0" wrapText="false" indent="0" shrinkToFit="false"/>
      <protection locked="true" hidden="false"/>
    </xf>
    <xf numFmtId="172" fontId="12" fillId="5" borderId="1" xfId="0" applyFont="true" applyBorder="true" applyAlignment="false" applyProtection="false">
      <alignment horizontal="general" vertical="bottom" textRotation="0" wrapText="false" indent="0" shrinkToFit="false"/>
      <protection locked="true" hidden="false"/>
    </xf>
    <xf numFmtId="164" fontId="10" fillId="3" borderId="1" xfId="0" applyFont="true" applyBorder="true" applyAlignment="true" applyProtection="false">
      <alignment horizontal="center" vertical="bottom" textRotation="0" wrapText="false" indent="0" shrinkToFit="false"/>
      <protection locked="true" hidden="false"/>
    </xf>
    <xf numFmtId="171" fontId="10" fillId="3" borderId="1" xfId="0" applyFont="true" applyBorder="true" applyAlignment="false" applyProtection="false">
      <alignment horizontal="general" vertical="bottom" textRotation="0" wrapText="false" indent="0" shrinkToFit="false"/>
      <protection locked="true" hidden="false"/>
    </xf>
    <xf numFmtId="168" fontId="12" fillId="3" borderId="1" xfId="0" applyFont="true" applyBorder="true" applyAlignment="false" applyProtection="false">
      <alignment horizontal="general" vertical="bottom" textRotation="0" wrapText="false" indent="0" shrinkToFit="false"/>
      <protection locked="true" hidden="false"/>
    </xf>
    <xf numFmtId="164" fontId="10" fillId="6"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F3DC"/>
      <rgbColor rgb="FFF1F3F5"/>
      <rgbColor rgb="FF660066"/>
      <rgbColor rgb="FFFF8080"/>
      <rgbColor rgb="FF0066CC"/>
      <rgbColor rgb="FFC9CFD6"/>
      <rgbColor rgb="FF000080"/>
      <rgbColor rgb="FFFF00FF"/>
      <rgbColor rgb="FFFFFF00"/>
      <rgbColor rgb="FF00FFFF"/>
      <rgbColor rgb="FF800080"/>
      <rgbColor rgb="FF800000"/>
      <rgbColor rgb="FF008080"/>
      <rgbColor rgb="FF0000FF"/>
      <rgbColor rgb="FF00CCFF"/>
      <rgbColor rgb="FFCCFFFF"/>
      <rgbColor rgb="FFE4F1E4"/>
      <rgbColor rgb="FFFBF0E4"/>
      <rgbColor rgb="FF99CCFF"/>
      <rgbColor rgb="FFFF99CC"/>
      <rgbColor rgb="FFCC99FF"/>
      <rgbColor rgb="FFFFCC99"/>
      <rgbColor rgb="FF3366FF"/>
      <rgbColor rgb="FF33CCCC"/>
      <rgbColor rgb="FF99CC00"/>
      <rgbColor rgb="FFFFCC00"/>
      <rgbColor rgb="FFFF9900"/>
      <rgbColor rgb="FFFF6600"/>
      <rgbColor rgb="FF5A6470"/>
      <rgbColor rgb="FF969696"/>
      <rgbColor rgb="FF003366"/>
      <rgbColor rgb="FF339966"/>
      <rgbColor rgb="FF003300"/>
      <rgbColor rgb="FF333300"/>
      <rgbColor rgb="FF993300"/>
      <rgbColor rgb="FF993366"/>
      <rgbColor rgb="FF1B4E8C"/>
      <rgbColor rgb="FF1F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6"/>
  </cols>
  <sheetData>
    <row r="1" customFormat="false" ht="18.55" hidden="false" customHeight="false" outlineLevel="0" collapsed="false">
      <c r="A1" s="1" t="s">
        <v>0</v>
      </c>
    </row>
    <row r="2" customFormat="false" ht="15" hidden="false" customHeight="false" outlineLevel="0" collapsed="false">
      <c r="A2" s="2" t="s">
        <v>1</v>
      </c>
    </row>
    <row r="4" customFormat="false" ht="60" hidden="false" customHeight="true" outlineLevel="0" collapsed="false">
      <c r="A4" s="3" t="s">
        <v>2</v>
      </c>
    </row>
    <row r="6" customFormat="false" ht="45" hidden="false" customHeight="true" outlineLevel="0" collapsed="false">
      <c r="A6" s="3" t="s">
        <v>3</v>
      </c>
    </row>
    <row r="8" customFormat="false" ht="15" hidden="false" customHeight="false" outlineLevel="0" collapsed="false">
      <c r="A8" s="4" t="s">
        <v>4</v>
      </c>
    </row>
    <row r="9" customFormat="false" ht="60" hidden="false" customHeight="true" outlineLevel="0" collapsed="false">
      <c r="A9" s="3" t="s">
        <v>5</v>
      </c>
    </row>
    <row r="10" customFormat="false" ht="45" hidden="false" customHeight="true" outlineLevel="0" collapsed="false">
      <c r="A10" s="3" t="s">
        <v>6</v>
      </c>
    </row>
    <row r="11" customFormat="false" ht="30" hidden="false" customHeight="true" outlineLevel="0" collapsed="false">
      <c r="A11" s="3" t="s">
        <v>7</v>
      </c>
    </row>
    <row r="12" customFormat="false" ht="60" hidden="false" customHeight="true" outlineLevel="0" collapsed="false">
      <c r="A12" s="3" t="s">
        <v>8</v>
      </c>
    </row>
    <row r="14" customFormat="false" ht="15" hidden="false" customHeight="false" outlineLevel="0" collapsed="false">
      <c r="A14" s="4" t="s">
        <v>9</v>
      </c>
    </row>
    <row r="15" customFormat="false" ht="15" hidden="false" customHeight="true" outlineLevel="0" collapsed="false">
      <c r="A15" s="3" t="s">
        <v>10</v>
      </c>
    </row>
    <row r="16" customFormat="false" ht="15" hidden="false" customHeight="true" outlineLevel="0" collapsed="false">
      <c r="A16" s="3" t="s">
        <v>11</v>
      </c>
    </row>
    <row r="17" customFormat="false" ht="15" hidden="false" customHeight="true" outlineLevel="0" collapsed="false">
      <c r="A17" s="3" t="s">
        <v>12</v>
      </c>
    </row>
    <row r="18" customFormat="false" ht="15" hidden="false" customHeight="true" outlineLevel="0" collapsed="false">
      <c r="A18" s="3" t="s">
        <v>13</v>
      </c>
    </row>
    <row r="19" customFormat="false" ht="15" hidden="false" customHeight="true" outlineLevel="0" collapsed="false">
      <c r="A19" s="3" t="s">
        <v>14</v>
      </c>
    </row>
    <row r="20" customFormat="false" ht="15" hidden="false" customHeight="true" outlineLevel="0" collapsed="false">
      <c r="A20" s="3" t="s">
        <v>15</v>
      </c>
    </row>
    <row r="22" customFormat="false" ht="45" hidden="false" customHeight="true" outlineLevel="0" collapsed="false">
      <c r="A22" s="3" t="s">
        <v>16</v>
      </c>
    </row>
    <row r="24" customFormat="false" ht="15" hidden="false" customHeight="false" outlineLevel="0" collapsed="false">
      <c r="A24" s="2" t="s">
        <v>17</v>
      </c>
    </row>
    <row r="26" customFormat="false" ht="75" hidden="false" customHeight="true" outlineLevel="0" collapsed="false">
      <c r="A26" s="3" t="s">
        <v>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4" min="2" style="0" width="16"/>
    <col collapsed="false" customWidth="true" hidden="false" outlineLevel="0" max="5" min="5" style="0" width="48"/>
  </cols>
  <sheetData>
    <row r="1" customFormat="false" ht="17.35" hidden="false" customHeight="false" outlineLevel="0" collapsed="false">
      <c r="A1" s="5" t="s">
        <v>19</v>
      </c>
    </row>
    <row r="2" customFormat="false" ht="15" hidden="false" customHeight="false" outlineLevel="0" collapsed="false">
      <c r="A2" s="2" t="s">
        <v>20</v>
      </c>
    </row>
    <row r="5" customFormat="false" ht="15" hidden="false" customHeight="false" outlineLevel="0" collapsed="false">
      <c r="A5" s="6" t="s">
        <v>21</v>
      </c>
      <c r="B5" s="7" t="n">
        <v>500000000</v>
      </c>
      <c r="E5" s="8"/>
    </row>
    <row r="6" customFormat="false" ht="15" hidden="false" customHeight="false" outlineLevel="0" collapsed="false">
      <c r="A6" s="6" t="s">
        <v>22</v>
      </c>
      <c r="B6" s="9" t="n">
        <v>0.02</v>
      </c>
      <c r="E6" s="8"/>
    </row>
    <row r="7" customFormat="false" ht="15" hidden="false" customHeight="false" outlineLevel="0" collapsed="false">
      <c r="A7" s="6" t="s">
        <v>23</v>
      </c>
      <c r="B7" s="10" t="n">
        <f aca="false">B5*B6</f>
        <v>10000000</v>
      </c>
      <c r="E7" s="8" t="s">
        <v>24</v>
      </c>
    </row>
    <row r="8" customFormat="false" ht="15" hidden="false" customHeight="false" outlineLevel="0" collapsed="false">
      <c r="A8" s="6" t="s">
        <v>25</v>
      </c>
      <c r="B8" s="11" t="n">
        <v>10</v>
      </c>
      <c r="E8" s="8"/>
    </row>
    <row r="9" customFormat="false" ht="15" hidden="false" customHeight="false" outlineLevel="0" collapsed="false">
      <c r="A9" s="6" t="s">
        <v>26</v>
      </c>
      <c r="B9" s="10" t="n">
        <f aca="false">B7*B8</f>
        <v>100000000</v>
      </c>
      <c r="E9" s="8"/>
    </row>
    <row r="11" customFormat="false" ht="15" hidden="false" customHeight="false" outlineLevel="0" collapsed="false">
      <c r="A11" s="6" t="s">
        <v>27</v>
      </c>
      <c r="B11" s="12" t="n">
        <v>4000000</v>
      </c>
      <c r="E11" s="8" t="s">
        <v>28</v>
      </c>
    </row>
    <row r="12" customFormat="false" ht="15" hidden="false" customHeight="false" outlineLevel="0" collapsed="false">
      <c r="A12" s="6" t="s">
        <v>29</v>
      </c>
      <c r="B12" s="12" t="n">
        <v>1200000</v>
      </c>
      <c r="E12" s="8" t="s">
        <v>30</v>
      </c>
    </row>
    <row r="13" customFormat="false" ht="15" hidden="false" customHeight="false" outlineLevel="0" collapsed="false">
      <c r="A13" s="6" t="s">
        <v>31</v>
      </c>
      <c r="B13" s="13" t="n">
        <f aca="false">IFERROR(B12/B11,"")</f>
        <v>0.3</v>
      </c>
      <c r="E13" s="8"/>
    </row>
    <row r="15" customFormat="false" ht="15" hidden="false" customHeight="false" outlineLevel="0" collapsed="false">
      <c r="A15" s="4" t="s">
        <v>32</v>
      </c>
    </row>
    <row r="16" customFormat="false" ht="15" hidden="false" customHeight="false" outlineLevel="0" collapsed="false">
      <c r="A16" s="6" t="s">
        <v>33</v>
      </c>
      <c r="B16" s="12" t="n">
        <v>2500000</v>
      </c>
    </row>
    <row r="17" customFormat="false" ht="15" hidden="false" customHeight="false" outlineLevel="0" collapsed="false">
      <c r="A17" s="6" t="s">
        <v>34</v>
      </c>
      <c r="B17" s="7" t="n">
        <v>400000000</v>
      </c>
    </row>
    <row r="18" customFormat="false" ht="15" hidden="false" customHeight="false" outlineLevel="0" collapsed="false">
      <c r="A18" s="6" t="s">
        <v>35</v>
      </c>
      <c r="B18" s="7" t="n">
        <v>150000000</v>
      </c>
    </row>
    <row r="19" customFormat="false" ht="15" hidden="false" customHeight="false" outlineLevel="0" collapsed="false">
      <c r="A19" s="6" t="s">
        <v>36</v>
      </c>
      <c r="B19" s="7" t="n">
        <v>250000000</v>
      </c>
    </row>
    <row r="20" customFormat="false" ht="15" hidden="false" customHeight="false" outlineLevel="0" collapsed="false">
      <c r="A20" s="8" t="s">
        <v>37</v>
      </c>
      <c r="B20" s="14" t="n">
        <f aca="false">SUM(B17:B19)</f>
        <v>800000000</v>
      </c>
    </row>
    <row r="21" customFormat="false" ht="15" hidden="false" customHeight="false" outlineLevel="0" collapsed="false">
      <c r="A21" s="6" t="s">
        <v>38</v>
      </c>
      <c r="B21" s="7" t="n">
        <v>2000000000</v>
      </c>
      <c r="E21" s="8" t="s">
        <v>39</v>
      </c>
    </row>
    <row r="22" customFormat="false" ht="15" hidden="false" customHeight="false" outlineLevel="0" collapsed="false">
      <c r="A22" s="4" t="s">
        <v>40</v>
      </c>
    </row>
    <row r="23" customFormat="false" ht="15" hidden="false" customHeight="false" outlineLevel="0" collapsed="false">
      <c r="A23" s="6" t="s">
        <v>41</v>
      </c>
      <c r="B23" s="12" t="n">
        <v>3000000</v>
      </c>
    </row>
    <row r="24" customFormat="false" ht="15" hidden="false" customHeight="false" outlineLevel="0" collapsed="false">
      <c r="A24" s="6" t="s">
        <v>42</v>
      </c>
      <c r="B24" s="12" t="n">
        <v>2000000</v>
      </c>
    </row>
    <row r="25" customFormat="false" ht="15" hidden="false" customHeight="false" outlineLevel="0" collapsed="false">
      <c r="A25" s="6" t="s">
        <v>43</v>
      </c>
      <c r="B25" s="12" t="n">
        <v>400000</v>
      </c>
    </row>
    <row r="26" customFormat="false" ht="15" hidden="false" customHeight="false" outlineLevel="0" collapsed="false">
      <c r="A26" s="6" t="s">
        <v>44</v>
      </c>
      <c r="B26" s="12" t="n">
        <v>1600000</v>
      </c>
    </row>
    <row r="27" customFormat="false" ht="15" hidden="false" customHeight="false" outlineLevel="0" collapsed="false">
      <c r="A27" s="15" t="s">
        <v>45</v>
      </c>
      <c r="B27" s="16" t="n">
        <f aca="false">SUM(B23:B26)</f>
        <v>7000000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5" min="2" style="0" width="17"/>
    <col collapsed="false" customWidth="true" hidden="false" outlineLevel="0" max="6" min="6" style="0" width="44"/>
  </cols>
  <sheetData>
    <row r="1" customFormat="false" ht="17.35" hidden="false" customHeight="false" outlineLevel="0" collapsed="false">
      <c r="A1" s="5" t="s">
        <v>46</v>
      </c>
    </row>
    <row r="2" customFormat="false" ht="15" hidden="false" customHeight="false" outlineLevel="0" collapsed="false">
      <c r="A2" s="2" t="s">
        <v>47</v>
      </c>
    </row>
    <row r="4" customFormat="false" ht="30" hidden="false" customHeight="true" outlineLevel="0" collapsed="false">
      <c r="A4" s="17" t="s">
        <v>48</v>
      </c>
      <c r="B4" s="17" t="s">
        <v>49</v>
      </c>
      <c r="C4" s="17" t="s">
        <v>50</v>
      </c>
      <c r="D4" s="17" t="s">
        <v>51</v>
      </c>
      <c r="E4" s="17" t="s">
        <v>52</v>
      </c>
      <c r="F4" s="17" t="s">
        <v>53</v>
      </c>
    </row>
    <row r="5" customFormat="false" ht="15" hidden="false" customHeight="false" outlineLevel="0" collapsed="false">
      <c r="A5" s="18" t="n">
        <v>0</v>
      </c>
      <c r="B5" s="10" t="n">
        <f aca="false">'1. The Fund'!$B$12*A5</f>
        <v>0</v>
      </c>
      <c r="C5" s="10" t="n">
        <f aca="false">B5*'1. The Fund'!$B$8</f>
        <v>0</v>
      </c>
      <c r="D5" s="19" t="n">
        <f aca="false">IFERROR(C5/'1. The Fund'!$B$5,"")</f>
        <v>0</v>
      </c>
      <c r="E5" s="20" t="n">
        <f aca="false">IFERROR(('1. The Fund'!$B$7+B5)/'1. The Fund'!$B$5,"")</f>
        <v>0.02</v>
      </c>
      <c r="F5" s="8" t="str">
        <f aca="false">IF(A5=0,"the honest baseline","an undisclosed fee increase of this size")</f>
        <v>the honest baseline</v>
      </c>
    </row>
    <row r="6" customFormat="false" ht="15" hidden="false" customHeight="false" outlineLevel="0" collapsed="false">
      <c r="A6" s="18" t="n">
        <v>0.1</v>
      </c>
      <c r="B6" s="10" t="n">
        <f aca="false">'1. The Fund'!$B$12*A6</f>
        <v>120000</v>
      </c>
      <c r="C6" s="10" t="n">
        <f aca="false">B6*'1. The Fund'!$B$8</f>
        <v>1200000</v>
      </c>
      <c r="D6" s="19" t="n">
        <f aca="false">IFERROR(C6/'1. The Fund'!$B$5,"")</f>
        <v>0.0024</v>
      </c>
      <c r="E6" s="20" t="n">
        <f aca="false">IFERROR(('1. The Fund'!$B$7+B6)/'1. The Fund'!$B$5,"")</f>
        <v>0.02024</v>
      </c>
      <c r="F6" s="8" t="str">
        <f aca="false">IF(A6=0,"the honest baseline","an undisclosed fee increase of this size")</f>
        <v>an undisclosed fee increase of this size</v>
      </c>
    </row>
    <row r="7" customFormat="false" ht="15" hidden="false" customHeight="false" outlineLevel="0" collapsed="false">
      <c r="A7" s="18" t="n">
        <v>0.25</v>
      </c>
      <c r="B7" s="10" t="n">
        <f aca="false">'1. The Fund'!$B$12*A7</f>
        <v>300000</v>
      </c>
      <c r="C7" s="10" t="n">
        <f aca="false">B7*'1. The Fund'!$B$8</f>
        <v>3000000</v>
      </c>
      <c r="D7" s="19" t="n">
        <f aca="false">IFERROR(C7/'1. The Fund'!$B$5,"")</f>
        <v>0.006</v>
      </c>
      <c r="E7" s="20" t="n">
        <f aca="false">IFERROR(('1. The Fund'!$B$7+B7)/'1. The Fund'!$B$5,"")</f>
        <v>0.0206</v>
      </c>
      <c r="F7" s="8" t="str">
        <f aca="false">IF(A7=0,"the honest baseline","an undisclosed fee increase of this size")</f>
        <v>an undisclosed fee increase of this size</v>
      </c>
    </row>
    <row r="8" customFormat="false" ht="15" hidden="false" customHeight="false" outlineLevel="0" collapsed="false">
      <c r="A8" s="18" t="n">
        <v>0.5</v>
      </c>
      <c r="B8" s="10" t="n">
        <f aca="false">'1. The Fund'!$B$12*A8</f>
        <v>600000</v>
      </c>
      <c r="C8" s="10" t="n">
        <f aca="false">B8*'1. The Fund'!$B$8</f>
        <v>6000000</v>
      </c>
      <c r="D8" s="19" t="n">
        <f aca="false">IFERROR(C8/'1. The Fund'!$B$5,"")</f>
        <v>0.012</v>
      </c>
      <c r="E8" s="20" t="n">
        <f aca="false">IFERROR(('1. The Fund'!$B$7+B8)/'1. The Fund'!$B$5,"")</f>
        <v>0.0212</v>
      </c>
      <c r="F8" s="8" t="str">
        <f aca="false">IF(A8=0,"the honest baseline","an undisclosed fee increase of this size")</f>
        <v>an undisclosed fee increase of this size</v>
      </c>
    </row>
    <row r="9" customFormat="false" ht="15" hidden="false" customHeight="false" outlineLevel="0" collapsed="false">
      <c r="A9" s="18" t="n">
        <v>0.75</v>
      </c>
      <c r="B9" s="10" t="n">
        <f aca="false">'1. The Fund'!$B$12*A9</f>
        <v>900000</v>
      </c>
      <c r="C9" s="10" t="n">
        <f aca="false">B9*'1. The Fund'!$B$8</f>
        <v>9000000</v>
      </c>
      <c r="D9" s="19" t="n">
        <f aca="false">IFERROR(C9/'1. The Fund'!$B$5,"")</f>
        <v>0.018</v>
      </c>
      <c r="E9" s="20" t="n">
        <f aca="false">IFERROR(('1. The Fund'!$B$7+B9)/'1. The Fund'!$B$5,"")</f>
        <v>0.0218</v>
      </c>
      <c r="F9" s="8" t="str">
        <f aca="false">IF(A9=0,"the honest baseline","an undisclosed fee increase of this size")</f>
        <v>an undisclosed fee increase of this size</v>
      </c>
    </row>
    <row r="10" customFormat="false" ht="15" hidden="false" customHeight="false" outlineLevel="0" collapsed="false">
      <c r="A10" s="18" t="n">
        <v>1</v>
      </c>
      <c r="B10" s="10" t="n">
        <f aca="false">'1. The Fund'!$B$12*A10</f>
        <v>1200000</v>
      </c>
      <c r="C10" s="10" t="n">
        <f aca="false">B10*'1. The Fund'!$B$8</f>
        <v>12000000</v>
      </c>
      <c r="D10" s="19" t="n">
        <f aca="false">IFERROR(C10/'1. The Fund'!$B$5,"")</f>
        <v>0.024</v>
      </c>
      <c r="E10" s="20" t="n">
        <f aca="false">IFERROR(('1. The Fund'!$B$7+B10)/'1. The Fund'!$B$5,"")</f>
        <v>0.0224</v>
      </c>
      <c r="F10" s="8" t="str">
        <f aca="false">IF(A10=0,"the honest baseline","an undisclosed fee increase of this size")</f>
        <v>an undisclosed fee increase of this size</v>
      </c>
    </row>
    <row r="12" customFormat="false" ht="15" hidden="false" customHeight="false" outlineLevel="0" collapsed="false">
      <c r="A12" s="15" t="s">
        <v>54</v>
      </c>
    </row>
    <row r="13" customFormat="false" ht="51.75" hidden="false" customHeight="true" outlineLevel="0" collapsed="false">
      <c r="A13" s="21" t="s">
        <v>55</v>
      </c>
      <c r="B13" s="21"/>
      <c r="C13" s="21"/>
      <c r="D13" s="21"/>
      <c r="E13" s="21"/>
      <c r="F13" s="21"/>
    </row>
    <row r="17" customFormat="false" ht="15" hidden="false" customHeight="false" outlineLevel="0" collapsed="false">
      <c r="A17" s="15" t="s">
        <v>56</v>
      </c>
    </row>
    <row r="18" customFormat="false" ht="37.5" hidden="false" customHeight="true" outlineLevel="0" collapsed="false">
      <c r="A18" s="21" t="s">
        <v>57</v>
      </c>
      <c r="B18" s="21"/>
      <c r="C18" s="21"/>
      <c r="D18" s="21"/>
      <c r="E18" s="21"/>
      <c r="F18" s="21"/>
    </row>
  </sheetData>
  <mergeCells count="2">
    <mergeCell ref="A13:F13"/>
    <mergeCell ref="A18:F1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4"/>
    <col collapsed="false" customWidth="true" hidden="false" outlineLevel="0" max="6" min="2" style="0" width="15"/>
    <col collapsed="false" customWidth="true" hidden="false" outlineLevel="0" max="7" min="7" style="0" width="40"/>
  </cols>
  <sheetData>
    <row r="1" customFormat="false" ht="17.35" hidden="false" customHeight="false" outlineLevel="0" collapsed="false">
      <c r="A1" s="5" t="s">
        <v>58</v>
      </c>
    </row>
    <row r="2" customFormat="false" ht="15" hidden="false" customHeight="false" outlineLevel="0" collapsed="false">
      <c r="A2" s="2" t="s">
        <v>59</v>
      </c>
    </row>
    <row r="4" customFormat="false" ht="30" hidden="false" customHeight="true" outlineLevel="0" collapsed="false">
      <c r="A4" s="17" t="s">
        <v>60</v>
      </c>
      <c r="B4" s="17" t="s">
        <v>61</v>
      </c>
      <c r="C4" s="17" t="s">
        <v>62</v>
      </c>
      <c r="D4" s="17" t="s">
        <v>63</v>
      </c>
      <c r="E4" s="17" t="s">
        <v>64</v>
      </c>
      <c r="F4" s="17" t="s">
        <v>45</v>
      </c>
      <c r="G4" s="17" t="s">
        <v>65</v>
      </c>
    </row>
    <row r="5" customFormat="false" ht="15" hidden="false" customHeight="false" outlineLevel="0" collapsed="false">
      <c r="A5" s="8" t="s">
        <v>66</v>
      </c>
      <c r="B5" s="10" t="n">
        <f aca="false">'1. The Fund'!$B$16</f>
        <v>2500000</v>
      </c>
      <c r="C5" s="10" t="n">
        <f aca="false">0</f>
        <v>0</v>
      </c>
      <c r="D5" s="10" t="n">
        <f aca="false">0</f>
        <v>0</v>
      </c>
      <c r="E5" s="10" t="n">
        <f aca="false">0</f>
        <v>0</v>
      </c>
      <c r="F5" s="10" t="n">
        <f aca="false">B5+C5+D5+E5</f>
        <v>2500000</v>
      </c>
      <c r="G5" s="8" t="s">
        <v>67</v>
      </c>
    </row>
    <row r="6" customFormat="false" ht="15" hidden="false" customHeight="false" outlineLevel="0" collapsed="false">
      <c r="A6" s="8" t="s">
        <v>68</v>
      </c>
      <c r="B6" s="10" t="n">
        <f aca="false">'1. The Fund'!$B$16*'1. The Fund'!$B$17/('1. The Fund'!$B$17+'1. The Fund'!$B$18)</f>
        <v>1818181.81818182</v>
      </c>
      <c r="C6" s="10" t="n">
        <f aca="false">'1. The Fund'!$B$16*'1. The Fund'!$B$18/('1. The Fund'!$B$17+'1. The Fund'!$B$18)</f>
        <v>681818.181818182</v>
      </c>
      <c r="D6" s="10" t="n">
        <f aca="false">0</f>
        <v>0</v>
      </c>
      <c r="E6" s="10" t="n">
        <f aca="false">0</f>
        <v>0</v>
      </c>
      <c r="F6" s="10" t="n">
        <f aca="false">B6+C6+D6+E6</f>
        <v>2500000</v>
      </c>
      <c r="G6" s="8" t="s">
        <v>69</v>
      </c>
    </row>
    <row r="7" customFormat="false" ht="15" hidden="false" customHeight="false" outlineLevel="0" collapsed="false">
      <c r="A7" s="8" t="s">
        <v>70</v>
      </c>
      <c r="B7" s="10" t="n">
        <f aca="false">'1. The Fund'!$B$16*'1. The Fund'!$B$17/'1. The Fund'!$B$20</f>
        <v>1250000</v>
      </c>
      <c r="C7" s="10" t="n">
        <f aca="false">'1. The Fund'!$B$16*'1. The Fund'!$B$18/'1. The Fund'!$B$20</f>
        <v>468750</v>
      </c>
      <c r="D7" s="10" t="n">
        <f aca="false">'1. The Fund'!$B$16*'1. The Fund'!$B$19/'1. The Fund'!$B$20</f>
        <v>781250</v>
      </c>
      <c r="E7" s="10" t="n">
        <f aca="false">0</f>
        <v>0</v>
      </c>
      <c r="F7" s="10" t="n">
        <f aca="false">B7+C7+D7+E7</f>
        <v>2500000</v>
      </c>
      <c r="G7" s="8" t="s">
        <v>71</v>
      </c>
    </row>
    <row r="8" customFormat="false" ht="15" hidden="false" customHeight="false" outlineLevel="0" collapsed="false">
      <c r="A8" s="8" t="s">
        <v>72</v>
      </c>
      <c r="B8" s="10" t="n">
        <f aca="false">'1. The Fund'!$B$16*'1. The Fund'!$B$17/'1. The Fund'!$B$20</f>
        <v>1250000</v>
      </c>
      <c r="C8" s="10" t="n">
        <f aca="false">'1. The Fund'!$B$16*'1. The Fund'!$B$18/'1. The Fund'!$B$20</f>
        <v>468750</v>
      </c>
      <c r="D8" s="10" t="n">
        <f aca="false">0</f>
        <v>0</v>
      </c>
      <c r="E8" s="10" t="n">
        <f aca="false">'1. The Fund'!$B$16*'1. The Fund'!$B$19/'1. The Fund'!$B$20</f>
        <v>781250</v>
      </c>
      <c r="F8" s="10" t="n">
        <f aca="false">B8+C8+D8+E8</f>
        <v>2500000</v>
      </c>
      <c r="G8" s="8" t="s">
        <v>73</v>
      </c>
    </row>
    <row r="10" customFormat="false" ht="15" hidden="false" customHeight="false" outlineLevel="0" collapsed="false">
      <c r="A10" s="15" t="s">
        <v>74</v>
      </c>
      <c r="B10" s="16" t="n">
        <f aca="false">MIN(B5:B8)</f>
        <v>1250000</v>
      </c>
      <c r="C10" s="6" t="s">
        <v>75</v>
      </c>
      <c r="D10" s="16" t="n">
        <f aca="false">MAX(B5:B8)</f>
        <v>2500000</v>
      </c>
    </row>
    <row r="11" customFormat="false" ht="15" hidden="false" customHeight="false" outlineLevel="0" collapsed="false">
      <c r="A11" s="15" t="s">
        <v>76</v>
      </c>
      <c r="B11" s="22" t="n">
        <f aca="false">MAX(B5:B8)-MIN(B5:B8)</f>
        <v>1250000</v>
      </c>
      <c r="D11" s="23" t="n">
        <f aca="false">IFERROR((MAX(B5:B8)-MIN(B5:B8))/'1. The Fund'!$B$16,"")</f>
        <v>0.5</v>
      </c>
      <c r="G11" s="8" t="s">
        <v>77</v>
      </c>
    </row>
    <row r="12" customFormat="false" ht="15" hidden="false" customHeight="false" outlineLevel="0" collapsed="false">
      <c r="A12" s="15" t="s">
        <v>78</v>
      </c>
      <c r="B12" s="24" t="n">
        <f aca="false">IFERROR((MAX(B5:B8)-MIN(B5:B8))/'1. The Fund'!$B$21*1000000,"")</f>
        <v>625</v>
      </c>
      <c r="G12" s="8" t="s">
        <v>79</v>
      </c>
    </row>
    <row r="13" customFormat="false" ht="15" hidden="false" customHeight="false" outlineLevel="0" collapsed="false">
      <c r="A13" s="15" t="s">
        <v>80</v>
      </c>
      <c r="B13" s="24" t="n">
        <f aca="false">IFERROR((MAX(B5:B8)-MIN(B5:B8))/'1. The Fund'!$B$17*1000000,"")</f>
        <v>3125</v>
      </c>
      <c r="G13" s="8" t="s">
        <v>81</v>
      </c>
    </row>
    <row r="14" customFormat="false" ht="15" hidden="false" customHeight="false" outlineLevel="0" collapsed="false">
      <c r="A14" s="15" t="s">
        <v>82</v>
      </c>
      <c r="B14" s="24" t="n">
        <f aca="false">IFERROR((MAX(B5:B8)-MIN(B5:B8))/'1. The Fund'!$B$5*1000000,"")</f>
        <v>2500</v>
      </c>
      <c r="G14" s="8" t="s">
        <v>83</v>
      </c>
    </row>
    <row r="16" customFormat="false" ht="78" hidden="false" customHeight="true" outlineLevel="0" collapsed="false">
      <c r="A16" s="21" t="s">
        <v>84</v>
      </c>
      <c r="B16" s="21"/>
      <c r="C16" s="21"/>
      <c r="D16" s="21"/>
      <c r="E16" s="21"/>
      <c r="F16" s="21"/>
      <c r="G16" s="21"/>
    </row>
    <row r="19" customFormat="false" ht="15" hidden="false" customHeight="false" outlineLevel="0" collapsed="false">
      <c r="A19" s="15"/>
    </row>
    <row r="20" customFormat="false" ht="15" hidden="false" customHeight="false" outlineLevel="0" collapsed="false">
      <c r="A20" s="3"/>
    </row>
    <row r="21" customFormat="false" ht="15" hidden="false" customHeight="false" outlineLevel="0" collapsed="false">
      <c r="A21" s="15" t="s">
        <v>85</v>
      </c>
    </row>
    <row r="22" customFormat="false" ht="37.5" hidden="false" customHeight="true" outlineLevel="0" collapsed="false">
      <c r="A22" s="21" t="s">
        <v>86</v>
      </c>
      <c r="B22" s="21"/>
      <c r="C22" s="21"/>
      <c r="D22" s="21"/>
      <c r="E22" s="21"/>
      <c r="F22" s="21"/>
      <c r="G22" s="21"/>
    </row>
  </sheetData>
  <mergeCells count="2">
    <mergeCell ref="A16:G16"/>
    <mergeCell ref="A22:G2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5" min="2" style="0" width="16"/>
    <col collapsed="false" customWidth="true" hidden="false" outlineLevel="0" max="6" min="6" style="0" width="44"/>
  </cols>
  <sheetData>
    <row r="1" customFormat="false" ht="17.35" hidden="false" customHeight="false" outlineLevel="0" collapsed="false">
      <c r="A1" s="5" t="s">
        <v>87</v>
      </c>
    </row>
    <row r="2" customFormat="false" ht="15" hidden="false" customHeight="false" outlineLevel="0" collapsed="false">
      <c r="A2" s="2" t="s">
        <v>88</v>
      </c>
    </row>
    <row r="4" customFormat="false" ht="30" hidden="false" customHeight="true" outlineLevel="0" collapsed="false">
      <c r="A4" s="17" t="s">
        <v>89</v>
      </c>
      <c r="B4" s="17" t="s">
        <v>90</v>
      </c>
      <c r="C4" s="17" t="s">
        <v>91</v>
      </c>
      <c r="D4" s="17" t="s">
        <v>92</v>
      </c>
      <c r="E4" s="17"/>
      <c r="F4" s="17"/>
    </row>
    <row r="5" customFormat="false" ht="15" hidden="false" customHeight="false" outlineLevel="0" collapsed="false">
      <c r="A5" s="8" t="s">
        <v>41</v>
      </c>
      <c r="B5" s="10" t="n">
        <f aca="false">'1. The Fund'!B23</f>
        <v>3000000</v>
      </c>
      <c r="C5" s="25" t="s">
        <v>93</v>
      </c>
      <c r="D5" s="10" t="n">
        <f aca="false">IF(LOWER(C5)="yes",B5,0)</f>
        <v>3000000</v>
      </c>
    </row>
    <row r="6" customFormat="false" ht="15" hidden="false" customHeight="false" outlineLevel="0" collapsed="false">
      <c r="A6" s="8" t="s">
        <v>42</v>
      </c>
      <c r="B6" s="10" t="n">
        <f aca="false">'1. The Fund'!B24</f>
        <v>2000000</v>
      </c>
      <c r="C6" s="25" t="s">
        <v>93</v>
      </c>
      <c r="D6" s="10" t="n">
        <f aca="false">IF(LOWER(C6)="yes",B6,0)</f>
        <v>2000000</v>
      </c>
    </row>
    <row r="7" customFormat="false" ht="15" hidden="false" customHeight="false" outlineLevel="0" collapsed="false">
      <c r="A7" s="8" t="s">
        <v>43</v>
      </c>
      <c r="B7" s="10" t="n">
        <f aca="false">'1. The Fund'!B25</f>
        <v>400000</v>
      </c>
      <c r="C7" s="25" t="s">
        <v>93</v>
      </c>
      <c r="D7" s="10" t="n">
        <f aca="false">IF(LOWER(C7)="yes",B7,0)</f>
        <v>400000</v>
      </c>
    </row>
    <row r="8" customFormat="false" ht="15" hidden="false" customHeight="false" outlineLevel="0" collapsed="false">
      <c r="A8" s="8" t="s">
        <v>44</v>
      </c>
      <c r="B8" s="10" t="n">
        <f aca="false">'1. The Fund'!B26</f>
        <v>1600000</v>
      </c>
      <c r="C8" s="25" t="s">
        <v>93</v>
      </c>
      <c r="D8" s="10" t="n">
        <f aca="false">IF(LOWER(C8)="yes",B8,0)</f>
        <v>1600000</v>
      </c>
    </row>
    <row r="9" customFormat="false" ht="15" hidden="false" customHeight="false" outlineLevel="0" collapsed="false">
      <c r="A9" s="15" t="s">
        <v>94</v>
      </c>
      <c r="B9" s="16" t="n">
        <f aca="false">SUM(B5:B8)</f>
        <v>7000000</v>
      </c>
      <c r="C9" s="15" t="s">
        <v>95</v>
      </c>
      <c r="D9" s="22" t="n">
        <f aca="false">SUM(D5:D8)</f>
        <v>7000000</v>
      </c>
    </row>
    <row r="10" customFormat="false" ht="15" hidden="false" customHeight="false" outlineLevel="0" collapsed="false">
      <c r="A10" s="15" t="s">
        <v>96</v>
      </c>
      <c r="D10" s="22" t="n">
        <f aca="false">IFERROR(B9-D9,"")</f>
        <v>0</v>
      </c>
    </row>
    <row r="11" customFormat="false" ht="15" hidden="false" customHeight="false" outlineLevel="0" collapsed="false">
      <c r="A11" s="15" t="s">
        <v>97</v>
      </c>
      <c r="D11" s="13" t="n">
        <f aca="false">IFERROR((B9-D9)/'1. The Fund'!$B$9,"")</f>
        <v>0</v>
      </c>
      <c r="F11" s="8" t="s">
        <v>98</v>
      </c>
    </row>
    <row r="13" customFormat="false" ht="15" hidden="false" customHeight="false" outlineLevel="0" collapsed="false">
      <c r="A13" s="15" t="s">
        <v>99</v>
      </c>
      <c r="B13" s="16" t="n">
        <f aca="false">IFERROR('1. The Fund'!$B$9-D9,"")</f>
        <v>93000000</v>
      </c>
    </row>
    <row r="15" customFormat="false" ht="15" hidden="false" customHeight="false" outlineLevel="0" collapsed="false">
      <c r="A15" s="15" t="s">
        <v>100</v>
      </c>
    </row>
    <row r="16" customFormat="false" ht="55.5" hidden="false" customHeight="true" outlineLevel="0" collapsed="false">
      <c r="A16" s="21" t="s">
        <v>101</v>
      </c>
      <c r="B16" s="21"/>
      <c r="C16" s="21"/>
      <c r="D16" s="21"/>
      <c r="E16" s="21"/>
      <c r="F16" s="21"/>
    </row>
  </sheetData>
  <mergeCells count="1">
    <mergeCell ref="A16:F1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4"/>
    <col collapsed="false" customWidth="true" hidden="false" outlineLevel="0" max="8" min="2" style="0" width="15"/>
    <col collapsed="false" customWidth="true" hidden="false" outlineLevel="0" max="10" min="10" style="0" width="42"/>
  </cols>
  <sheetData>
    <row r="1" customFormat="false" ht="17.35" hidden="false" customHeight="false" outlineLevel="0" collapsed="false">
      <c r="A1" s="5" t="s">
        <v>102</v>
      </c>
    </row>
    <row r="2" customFormat="false" ht="15" hidden="false" customHeight="false" outlineLevel="0" collapsed="false">
      <c r="A2" s="2" t="s">
        <v>103</v>
      </c>
    </row>
    <row r="4" customFormat="false" ht="15" hidden="false" customHeight="false" outlineLevel="0" collapsed="false">
      <c r="A4" s="15" t="s">
        <v>104</v>
      </c>
    </row>
    <row r="5" customFormat="false" ht="15" hidden="false" customHeight="false" outlineLevel="0" collapsed="false">
      <c r="A5" s="2" t="s">
        <v>105</v>
      </c>
    </row>
    <row r="7" customFormat="false" ht="30" hidden="false" customHeight="true" outlineLevel="0" collapsed="false">
      <c r="A7" s="17" t="s">
        <v>106</v>
      </c>
      <c r="B7" s="17" t="s">
        <v>107</v>
      </c>
      <c r="C7" s="17" t="s">
        <v>108</v>
      </c>
      <c r="D7" s="17" t="s">
        <v>109</v>
      </c>
      <c r="E7" s="17"/>
      <c r="F7" s="17" t="s">
        <v>53</v>
      </c>
    </row>
    <row r="8" customFormat="false" ht="15" hidden="false" customHeight="false" outlineLevel="0" collapsed="false">
      <c r="A8" s="18" t="n">
        <v>0.01</v>
      </c>
      <c r="B8" s="26" t="n">
        <f aca="false">CEILING(LN(1-0.9)/LN(1-A8),1)</f>
        <v>230</v>
      </c>
      <c r="C8" s="26" t="n">
        <f aca="false">CEILING(LN(1-0.95)/LN(1-A8),1)</f>
        <v>299</v>
      </c>
      <c r="D8" s="26" t="n">
        <f aca="false">CEILING(LN(1-0.99)/LN(1-A8),1)</f>
        <v>459</v>
      </c>
      <c r="F8" s="8" t="str">
        <f aca="false">IF(A8=0.05,"the usual working standard","")</f>
        <v/>
      </c>
    </row>
    <row r="9" customFormat="false" ht="15" hidden="false" customHeight="false" outlineLevel="0" collapsed="false">
      <c r="A9" s="18" t="n">
        <v>0.02</v>
      </c>
      <c r="B9" s="26" t="n">
        <f aca="false">CEILING(LN(1-0.9)/LN(1-A9),1)</f>
        <v>114</v>
      </c>
      <c r="C9" s="26" t="n">
        <f aca="false">CEILING(LN(1-0.95)/LN(1-A9),1)</f>
        <v>149</v>
      </c>
      <c r="D9" s="26" t="n">
        <f aca="false">CEILING(LN(1-0.99)/LN(1-A9),1)</f>
        <v>228</v>
      </c>
      <c r="F9" s="8" t="str">
        <f aca="false">IF(A9=0.05,"the usual working standard","")</f>
        <v/>
      </c>
    </row>
    <row r="10" customFormat="false" ht="15" hidden="false" customHeight="false" outlineLevel="0" collapsed="false">
      <c r="A10" s="18" t="n">
        <v>0.05</v>
      </c>
      <c r="B10" s="26" t="n">
        <f aca="false">CEILING(LN(1-0.9)/LN(1-A10),1)</f>
        <v>45</v>
      </c>
      <c r="C10" s="27" t="n">
        <f aca="false">CEILING(LN(1-0.95)/LN(1-A10),1)</f>
        <v>59</v>
      </c>
      <c r="D10" s="26" t="n">
        <f aca="false">CEILING(LN(1-0.99)/LN(1-A10),1)</f>
        <v>90</v>
      </c>
      <c r="F10" s="8" t="str">
        <f aca="false">IF(A10=0.05,"the usual working standard","")</f>
        <v>the usual working standard</v>
      </c>
    </row>
    <row r="11" customFormat="false" ht="15" hidden="false" customHeight="false" outlineLevel="0" collapsed="false">
      <c r="A11" s="18" t="n">
        <v>0.1</v>
      </c>
      <c r="B11" s="26" t="n">
        <f aca="false">CEILING(LN(1-0.9)/LN(1-A11),1)</f>
        <v>22</v>
      </c>
      <c r="C11" s="26" t="n">
        <f aca="false">CEILING(LN(1-0.95)/LN(1-A11),1)</f>
        <v>29</v>
      </c>
      <c r="D11" s="26" t="n">
        <f aca="false">CEILING(LN(1-0.99)/LN(1-A11),1)</f>
        <v>44</v>
      </c>
      <c r="F11" s="8" t="str">
        <f aca="false">IF(A11=0.05,"the usual working standard","")</f>
        <v/>
      </c>
    </row>
    <row r="12" customFormat="false" ht="15" hidden="false" customHeight="false" outlineLevel="0" collapsed="false">
      <c r="A12" s="18" t="n">
        <v>0.2</v>
      </c>
      <c r="B12" s="26" t="n">
        <f aca="false">CEILING(LN(1-0.9)/LN(1-A12),1)</f>
        <v>11</v>
      </c>
      <c r="C12" s="26" t="n">
        <f aca="false">CEILING(LN(1-0.95)/LN(1-A12),1)</f>
        <v>14</v>
      </c>
      <c r="D12" s="26" t="n">
        <f aca="false">CEILING(LN(1-0.99)/LN(1-A12),1)</f>
        <v>21</v>
      </c>
      <c r="F12" s="8" t="str">
        <f aca="false">IF(A12=0.05,"the usual working standard","")</f>
        <v/>
      </c>
    </row>
    <row r="14" customFormat="false" ht="15" hidden="false" customHeight="false" outlineLevel="0" collapsed="false">
      <c r="A14" s="15" t="s">
        <v>110</v>
      </c>
    </row>
    <row r="15" customFormat="false" ht="30" hidden="false" customHeight="true" outlineLevel="0" collapsed="false">
      <c r="A15" s="17" t="s">
        <v>111</v>
      </c>
      <c r="B15" s="17" t="s">
        <v>112</v>
      </c>
      <c r="C15" s="17"/>
      <c r="D15" s="17"/>
      <c r="E15" s="17" t="s">
        <v>53</v>
      </c>
    </row>
    <row r="16" customFormat="false" ht="15" hidden="false" customHeight="false" outlineLevel="0" collapsed="false">
      <c r="A16" s="11" t="n">
        <v>10</v>
      </c>
      <c r="B16" s="13" t="n">
        <f aca="false">IFERROR(1-0.05^(1/A16),"")</f>
        <v>0.258865550893052</v>
      </c>
      <c r="E16" s="8" t="str">
        <f aca="false">IF(A16=20,"the informal habit — it proves much less than it feels like","")</f>
        <v/>
      </c>
    </row>
    <row r="17" customFormat="false" ht="15" hidden="false" customHeight="false" outlineLevel="0" collapsed="false">
      <c r="A17" s="11" t="n">
        <v>20</v>
      </c>
      <c r="B17" s="13" t="n">
        <f aca="false">IFERROR(1-0.05^(1/A17),"")</f>
        <v>0.139108340668265</v>
      </c>
      <c r="E17" s="8" t="str">
        <f aca="false">IF(A17=20,"the informal habit — it proves much less than it feels like","")</f>
        <v>the informal habit — it proves much less than it feels like</v>
      </c>
    </row>
    <row r="18" customFormat="false" ht="15" hidden="false" customHeight="false" outlineLevel="0" collapsed="false">
      <c r="A18" s="11" t="n">
        <v>30</v>
      </c>
      <c r="B18" s="13" t="n">
        <f aca="false">IFERROR(1-0.05^(1/A18),"")</f>
        <v>0.0950338528553042</v>
      </c>
      <c r="E18" s="8" t="str">
        <f aca="false">IF(A18=20,"the informal habit — it proves much less than it feels like","")</f>
        <v/>
      </c>
    </row>
    <row r="19" customFormat="false" ht="15" hidden="false" customHeight="false" outlineLevel="0" collapsed="false">
      <c r="A19" s="11" t="n">
        <v>59</v>
      </c>
      <c r="B19" s="28" t="n">
        <f aca="false">IFERROR(1-0.05^(1/A19),"")</f>
        <v>0.049507609888227</v>
      </c>
      <c r="E19" s="8" t="str">
        <f aca="false">IF(A19=20,"the informal habit — it proves much less than it feels like","")</f>
        <v/>
      </c>
    </row>
    <row r="20" customFormat="false" ht="15" hidden="false" customHeight="false" outlineLevel="0" collapsed="false">
      <c r="A20" s="11" t="n">
        <v>100</v>
      </c>
      <c r="B20" s="13" t="n">
        <f aca="false">IFERROR(1-0.05^(1/A20),"")</f>
        <v>0.0295130496070399</v>
      </c>
      <c r="E20" s="8" t="str">
        <f aca="false">IF(A20=20,"the informal habit — it proves much less than it feels like","")</f>
        <v/>
      </c>
    </row>
    <row r="21" customFormat="false" ht="15" hidden="false" customHeight="false" outlineLevel="0" collapsed="false">
      <c r="A21" s="11" t="n">
        <v>150</v>
      </c>
      <c r="B21" s="13" t="n">
        <f aca="false">IFERROR(1-0.05^(1/A21),"")</f>
        <v>0.0197734381645085</v>
      </c>
      <c r="E21" s="8" t="str">
        <f aca="false">IF(A21=20,"the informal habit — it proves much less than it feels like","")</f>
        <v/>
      </c>
    </row>
    <row r="23" customFormat="false" ht="15" hidden="false" customHeight="false" outlineLevel="0" collapsed="false">
      <c r="A23" s="15" t="s">
        <v>113</v>
      </c>
    </row>
    <row r="24" customFormat="false" ht="15" hidden="false" customHeight="false" outlineLevel="0" collapsed="false">
      <c r="A24" s="6" t="s">
        <v>114</v>
      </c>
      <c r="B24" s="11" t="n">
        <v>30</v>
      </c>
    </row>
    <row r="25" customFormat="false" ht="15" hidden="false" customHeight="false" outlineLevel="0" collapsed="false">
      <c r="A25" s="6" t="s">
        <v>115</v>
      </c>
      <c r="B25" s="29" t="n">
        <f aca="false">IFERROR(C10*B24/60,"")</f>
        <v>29.5</v>
      </c>
    </row>
    <row r="26" customFormat="false" ht="15" hidden="false" customHeight="false" outlineLevel="0" collapsed="false">
      <c r="A26" s="6" t="s">
        <v>116</v>
      </c>
      <c r="B26" s="30" t="n">
        <f aca="false">IFERROR(B25/7.5,"")</f>
        <v>3.93333333333333</v>
      </c>
      <c r="J26" s="8" t="s">
        <v>117</v>
      </c>
    </row>
    <row r="28" customFormat="false" ht="48" hidden="false" customHeight="true" outlineLevel="0" collapsed="false">
      <c r="A28" s="21" t="s">
        <v>118</v>
      </c>
      <c r="B28" s="21"/>
      <c r="C28" s="21"/>
      <c r="D28" s="21"/>
      <c r="E28" s="21"/>
      <c r="F28" s="21"/>
      <c r="G28" s="21"/>
      <c r="H28" s="21"/>
      <c r="I28" s="21"/>
    </row>
    <row r="32" customFormat="false" ht="43.5" hidden="false" customHeight="true" outlineLevel="0" collapsed="false">
      <c r="A32" s="21" t="s">
        <v>119</v>
      </c>
      <c r="B32" s="21"/>
      <c r="C32" s="21"/>
      <c r="D32" s="21"/>
      <c r="E32" s="21"/>
      <c r="F32" s="21"/>
      <c r="G32" s="21"/>
      <c r="H32" s="21"/>
      <c r="I32" s="21"/>
    </row>
  </sheetData>
  <mergeCells count="2">
    <mergeCell ref="A28:I28"/>
    <mergeCell ref="A32:I3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4" min="2" style="0" width="17"/>
    <col collapsed="false" customWidth="true" hidden="false" outlineLevel="0" max="5" min="5" style="0" width="22"/>
  </cols>
  <sheetData>
    <row r="1" customFormat="false" ht="17.35" hidden="false" customHeight="false" outlineLevel="0" collapsed="false">
      <c r="A1" s="5" t="s">
        <v>120</v>
      </c>
    </row>
    <row r="2" customFormat="false" ht="15" hidden="false" customHeight="false" outlineLevel="0" collapsed="false">
      <c r="A2" s="2" t="s">
        <v>121</v>
      </c>
    </row>
    <row r="4" customFormat="false" ht="30" hidden="false" customHeight="true" outlineLevel="0" collapsed="false">
      <c r="A4" s="17" t="s">
        <v>122</v>
      </c>
      <c r="B4" s="17" t="s">
        <v>123</v>
      </c>
      <c r="C4" s="17" t="s">
        <v>124</v>
      </c>
      <c r="D4" s="17" t="s">
        <v>125</v>
      </c>
      <c r="E4" s="17" t="s">
        <v>65</v>
      </c>
    </row>
    <row r="5" customFormat="false" ht="15" hidden="false" customHeight="false" outlineLevel="0" collapsed="false">
      <c r="A5" s="8" t="s">
        <v>22</v>
      </c>
      <c r="B5" s="10" t="n">
        <v>10000000</v>
      </c>
      <c r="C5" s="10" t="n">
        <f aca="false">'1. The Fund'!B7</f>
        <v>10000000</v>
      </c>
      <c r="D5" s="31" t="str">
        <f aca="false">IF(C5="","",IF(ABS(C5-B5)&lt;=1000,"OK","CHECK"))</f>
        <v>OK</v>
      </c>
      <c r="E5" s="8" t="s">
        <v>126</v>
      </c>
    </row>
    <row r="6" customFormat="false" ht="15" hidden="false" customHeight="false" outlineLevel="0" collapsed="false">
      <c r="A6" s="8" t="s">
        <v>26</v>
      </c>
      <c r="B6" s="10" t="n">
        <v>100000000</v>
      </c>
      <c r="C6" s="10" t="n">
        <f aca="false">'1. The Fund'!B9</f>
        <v>100000000</v>
      </c>
      <c r="D6" s="31" t="str">
        <f aca="false">IF(C6="","",IF(ABS(C6-B6)&lt;=1000,"OK","CHECK"))</f>
        <v>OK</v>
      </c>
      <c r="E6" s="8" t="s">
        <v>126</v>
      </c>
    </row>
    <row r="7" customFormat="false" ht="15" hidden="false" customHeight="false" outlineLevel="0" collapsed="false">
      <c r="A7" s="8" t="s">
        <v>127</v>
      </c>
      <c r="B7" s="10" t="n">
        <v>3000000</v>
      </c>
      <c r="C7" s="10" t="n">
        <f aca="false">'2. The Grey Zone'!C7</f>
        <v>3000000</v>
      </c>
      <c r="D7" s="31" t="str">
        <f aca="false">IF(C7="","",IF(ABS(C7-B7)&lt;=1000,"OK","CHECK"))</f>
        <v>OK</v>
      </c>
      <c r="E7" s="8" t="s">
        <v>126</v>
      </c>
    </row>
    <row r="8" customFormat="false" ht="15" hidden="false" customHeight="false" outlineLevel="0" collapsed="false">
      <c r="A8" s="8" t="s">
        <v>128</v>
      </c>
      <c r="B8" s="20" t="n">
        <v>0.0206</v>
      </c>
      <c r="C8" s="20" t="n">
        <f aca="false">'2. The Grey Zone'!E7</f>
        <v>0.0206</v>
      </c>
      <c r="D8" s="31" t="str">
        <f aca="false">IF(C8="","",IF(ABS(C8-B8)&lt;=0.00005,"OK","CHECK"))</f>
        <v>OK</v>
      </c>
      <c r="E8" s="8" t="s">
        <v>129</v>
      </c>
    </row>
    <row r="9" customFormat="false" ht="15" hidden="false" customHeight="false" outlineLevel="0" collapsed="false">
      <c r="A9" s="8" t="s">
        <v>130</v>
      </c>
      <c r="B9" s="10" t="n">
        <v>2500000</v>
      </c>
      <c r="C9" s="10" t="n">
        <f aca="false">'3. Broken Deal'!B5</f>
        <v>2500000</v>
      </c>
      <c r="D9" s="31" t="str">
        <f aca="false">IF(C9="","",IF(ABS(C9-B9)&lt;=1000,"OK","CHECK"))</f>
        <v>OK</v>
      </c>
      <c r="E9" s="8" t="s">
        <v>126</v>
      </c>
    </row>
    <row r="10" customFormat="false" ht="15" hidden="false" customHeight="false" outlineLevel="0" collapsed="false">
      <c r="A10" s="8" t="s">
        <v>131</v>
      </c>
      <c r="B10" s="10" t="n">
        <v>1250000</v>
      </c>
      <c r="C10" s="10" t="n">
        <f aca="false">'3. Broken Deal'!B7</f>
        <v>1250000</v>
      </c>
      <c r="D10" s="31" t="str">
        <f aca="false">IF(C10="","",IF(ABS(C10-B10)&lt;=1000,"OK","CHECK"))</f>
        <v>OK</v>
      </c>
      <c r="E10" s="8" t="s">
        <v>126</v>
      </c>
    </row>
    <row r="11" customFormat="false" ht="15" hidden="false" customHeight="false" outlineLevel="0" collapsed="false">
      <c r="A11" s="8" t="s">
        <v>132</v>
      </c>
      <c r="B11" s="10" t="n">
        <v>1250000</v>
      </c>
      <c r="C11" s="10" t="n">
        <f aca="false">'3. Broken Deal'!B11</f>
        <v>1250000</v>
      </c>
      <c r="D11" s="31" t="str">
        <f aca="false">IF(C11="","",IF(ABS(C11-B11)&lt;=1000,"OK","CHECK"))</f>
        <v>OK</v>
      </c>
      <c r="E11" s="8" t="s">
        <v>126</v>
      </c>
    </row>
    <row r="12" customFormat="false" ht="15" hidden="false" customHeight="false" outlineLevel="0" collapsed="false">
      <c r="A12" s="8" t="s">
        <v>133</v>
      </c>
      <c r="B12" s="13" t="n">
        <v>0.5</v>
      </c>
      <c r="C12" s="13" t="n">
        <f aca="false">'3. Broken Deal'!D11</f>
        <v>0.5</v>
      </c>
      <c r="D12" s="31" t="str">
        <f aca="false">IF(C12="","",IF(ABS(C12-B12)&lt;=0.005,"OK","CHECK"))</f>
        <v>OK</v>
      </c>
      <c r="E12" s="8" t="s">
        <v>134</v>
      </c>
    </row>
    <row r="13" customFormat="false" ht="15" hidden="false" customHeight="false" outlineLevel="0" collapsed="false">
      <c r="A13" s="8" t="s">
        <v>135</v>
      </c>
      <c r="B13" s="32" t="n">
        <v>3125</v>
      </c>
      <c r="C13" s="32" t="n">
        <f aca="false">'3. Broken Deal'!B13</f>
        <v>3125</v>
      </c>
      <c r="D13" s="31" t="str">
        <f aca="false">IF(C13="","",IF(ABS(C13-B13)&lt;=5,"OK","CHECK"))</f>
        <v>OK</v>
      </c>
      <c r="E13" s="8" t="s">
        <v>136</v>
      </c>
    </row>
    <row r="14" customFormat="false" ht="15" hidden="false" customHeight="false" outlineLevel="0" collapsed="false">
      <c r="A14" s="8" t="s">
        <v>40</v>
      </c>
      <c r="B14" s="10" t="n">
        <v>7000000</v>
      </c>
      <c r="C14" s="10" t="n">
        <f aca="false">'1. The Fund'!B27</f>
        <v>7000000</v>
      </c>
      <c r="D14" s="31" t="str">
        <f aca="false">IF(C14="","",IF(ABS(C14-B14)&lt;=1000,"OK","CHECK"))</f>
        <v>OK</v>
      </c>
      <c r="E14" s="8" t="s">
        <v>126</v>
      </c>
    </row>
    <row r="15" customFormat="false" ht="15" hidden="false" customHeight="false" outlineLevel="0" collapsed="false">
      <c r="A15" s="8" t="s">
        <v>137</v>
      </c>
      <c r="B15" s="26" t="n">
        <v>59</v>
      </c>
      <c r="C15" s="26" t="n">
        <f aca="false">'5. How Much to Test'!C10</f>
        <v>59</v>
      </c>
      <c r="D15" s="31" t="str">
        <f aca="false">IF(C15="","",IF(ABS(C15-B15)&lt;=0,"OK","CHECK"))</f>
        <v>OK</v>
      </c>
      <c r="E15" s="8" t="s">
        <v>138</v>
      </c>
    </row>
    <row r="16" customFormat="false" ht="15" hidden="false" customHeight="false" outlineLevel="0" collapsed="false">
      <c r="A16" s="8" t="s">
        <v>139</v>
      </c>
      <c r="B16" s="26" t="n">
        <v>299</v>
      </c>
      <c r="C16" s="26" t="n">
        <f aca="false">'5. How Much to Test'!C8</f>
        <v>299</v>
      </c>
      <c r="D16" s="31" t="str">
        <f aca="false">IF(C16="","",IF(ABS(C16-B16)&lt;=0,"OK","CHECK"))</f>
        <v>OK</v>
      </c>
      <c r="E16" s="8" t="s">
        <v>138</v>
      </c>
    </row>
    <row r="17" customFormat="false" ht="15" hidden="false" customHeight="false" outlineLevel="0" collapsed="false">
      <c r="A17" s="8" t="s">
        <v>140</v>
      </c>
      <c r="B17" s="13" t="n">
        <v>0.139</v>
      </c>
      <c r="C17" s="13" t="n">
        <f aca="false">'5. How Much to Test'!B17</f>
        <v>0.139108340668265</v>
      </c>
      <c r="D17" s="31" t="str">
        <f aca="false">IF(C17="","",IF(ABS(C17-B17)&lt;=0.002,"OK","CHECK"))</f>
        <v>OK</v>
      </c>
      <c r="E17" s="8" t="s">
        <v>141</v>
      </c>
    </row>
    <row r="18" customFormat="false" ht="15" hidden="false" customHeight="false" outlineLevel="0" collapsed="false">
      <c r="A18" s="8" t="s">
        <v>142</v>
      </c>
      <c r="B18" s="29" t="n">
        <v>3.9</v>
      </c>
      <c r="C18" s="29" t="n">
        <f aca="false">'5. How Much to Test'!B26</f>
        <v>3.93333333333333</v>
      </c>
      <c r="D18" s="31" t="str">
        <f aca="false">IF(C18="","",IF(ABS(C18-B18)&lt;=0.1,"OK","CHECK"))</f>
        <v>OK</v>
      </c>
      <c r="E18" s="8" t="s">
        <v>143</v>
      </c>
    </row>
    <row r="19" customFormat="false" ht="15" hidden="false" customHeight="false" outlineLevel="0" collapsed="false">
      <c r="A19" s="8" t="s">
        <v>144</v>
      </c>
      <c r="B19" s="32" t="n">
        <v>625</v>
      </c>
      <c r="C19" s="32" t="n">
        <f aca="false">'3. Broken Deal'!B12</f>
        <v>625</v>
      </c>
      <c r="D19" s="31" t="str">
        <f aca="false">IF(C19="","",IF(ABS(C19-B19)&lt;=5,"OK","CHECK"))</f>
        <v>OK</v>
      </c>
      <c r="E19" s="8" t="s">
        <v>145</v>
      </c>
    </row>
    <row r="20" customFormat="false" ht="15" hidden="false" customHeight="false" outlineLevel="0" collapsed="false">
      <c r="A20" s="8" t="s">
        <v>146</v>
      </c>
      <c r="B20" s="26" t="n">
        <v>1</v>
      </c>
      <c r="C20" s="26" t="n">
        <f aca="false">IF('1. The Fund'!B21&gt;='1. The Fund'!B17,1,0)</f>
        <v>1</v>
      </c>
      <c r="D20" s="31" t="str">
        <f aca="false">IF(C20="","",IF(ABS(C20-B20)&lt;=0,"OK","CHECK"))</f>
        <v>OK</v>
      </c>
      <c r="E20" s="8" t="s">
        <v>147</v>
      </c>
    </row>
    <row r="22" customFormat="false" ht="15" hidden="false" customHeight="false" outlineLevel="0" collapsed="false">
      <c r="A22" s="15" t="s">
        <v>148</v>
      </c>
      <c r="B22" s="33" t="n">
        <f aca="false">COUNTIF(D5:D20,"OK")</f>
        <v>16</v>
      </c>
      <c r="C22" s="33" t="n">
        <f aca="false">COUNTA(D5:D20)</f>
        <v>16</v>
      </c>
      <c r="D22" s="34" t="str">
        <f aca="false">IF(B22=C22,"ALL PASS","SOME FAIL")</f>
        <v>ALL PASS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2026-08-22T07:33:06Z</dcterms:created>
  <dc:creator>openpyxl</dc:creator>
  <dc:description/>
  <dc:language>en-US</dc:language>
  <cp:lastModifiedBy/>
  <dcterms:modified xsi:type="dcterms:W3CDTF">2026-09-24T00:39:18Z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