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Read me" sheetId="1" state="visible" r:id="rId3"/>
    <sheet name="Your loan" sheetId="2" state="visible" r:id="rId4"/>
    <sheet name="Controls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<sst xmlns="http://schemas.openxmlformats.org/spreadsheetml/2006/main" count="79" uniqueCount="69">
  <si>
    <t xml:space="preserve">Refinancing_Gap.xlsx: term default is not maturity default</t>
  </si>
  <si>
    <t xml:space="preserve">Debt yield, loan-to-value and coverage tested together, with the binding constraint named; the income that would close the gap; the discount at which a maturity default becomes a loss; and the same loan run interest-only.</t>
  </si>
  <si>
    <t xml:space="preserve">Revised 24 September 2026. The fees behind the break-even sale price were constants buried in one formula; they are inputs now. Added: the income needed to refinance, the interest-only comparison and the two maturity endings of Chapter 23.</t>
  </si>
  <si>
    <t xml:space="preserve">The refinancing gap: a loan at maturity (Chapter 23)</t>
  </si>
  <si>
    <t xml:space="preserve">Overwrite every blue cell with a loan of your own. The example is Fenwick Business Park, and is meant to go. The blank set has an empty copy.</t>
  </si>
  <si>
    <t xml:space="preserve">Balance at maturity</t>
  </si>
  <si>
    <t xml:space="preserve">Not the original balance if the loan amortizes.</t>
  </si>
  <si>
    <t xml:space="preserve">Net cash flow</t>
  </si>
  <si>
    <t xml:space="preserve">After reserves and leasing costs: the basis of the coverage ratio.</t>
  </si>
  <si>
    <t xml:space="preserve">Market capitalization rate</t>
  </si>
  <si>
    <t xml:space="preserve">Required debt yield</t>
  </si>
  <si>
    <t xml:space="preserve">Maximum loan-to-value</t>
  </si>
  <si>
    <t xml:space="preserve">Minimum coverage ratio</t>
  </si>
  <si>
    <t xml:space="preserve">Refinancing rate</t>
  </si>
  <si>
    <t xml:space="preserve">Amortization of the new loan, years</t>
  </si>
  <si>
    <t xml:space="preserve">Special servicing fee, a year</t>
  </si>
  <si>
    <t xml:space="preserve">Months to a forced sale</t>
  </si>
  <si>
    <t xml:space="preserve">Legal and property protection, on the balance</t>
  </si>
  <si>
    <t xml:space="preserve">  share incurred on a loan that still pays its interest</t>
  </si>
  <si>
    <t xml:space="preserve">Chapter 23: two fifths.</t>
  </si>
  <si>
    <t xml:space="preserve">Liquidation fee, on proceeds</t>
  </si>
  <si>
    <t xml:space="preserve">Original balance, to compare an interest-only loan</t>
  </si>
  <si>
    <t xml:space="preserve">Value growth a year during an extension</t>
  </si>
  <si>
    <t xml:space="preserve">Years of extension</t>
  </si>
  <si>
    <t xml:space="preserve">Forced-sale discount to value</t>
  </si>
  <si>
    <t xml:space="preserve">Value</t>
  </si>
  <si>
    <t xml:space="preserve">Maximum loan on debt yield</t>
  </si>
  <si>
    <t xml:space="preserve">Maximum loan on loan-to-value</t>
  </si>
  <si>
    <t xml:space="preserve">Maximum loan on coverage</t>
  </si>
  <si>
    <t xml:space="preserve">Loan the market will write</t>
  </si>
  <si>
    <t xml:space="preserve">Binding constraint</t>
  </si>
  <si>
    <t xml:space="preserve">Refinancing gap</t>
  </si>
  <si>
    <t xml:space="preserve">  share of the balance</t>
  </si>
  <si>
    <t xml:space="preserve">Loan-to-value today</t>
  </si>
  <si>
    <t xml:space="preserve">Net cash flow needed to refinance in full</t>
  </si>
  <si>
    <t xml:space="preserve">  rise needed</t>
  </si>
  <si>
    <t xml:space="preserve">Value above the debt</t>
  </si>
  <si>
    <t xml:space="preserve">Sale price below which the trust loses its first dollar</t>
  </si>
  <si>
    <t xml:space="preserve">  discount to value</t>
  </si>
  <si>
    <t xml:space="preserve">The same loan interest-only: gap</t>
  </si>
  <si>
    <t xml:space="preserve">  share of its balance</t>
  </si>
  <si>
    <t xml:space="preserve">  times the amortizing gap</t>
  </si>
  <si>
    <t xml:space="preserve">Amortization taken off before maturity</t>
  </si>
  <si>
    <t xml:space="preserve">Extension, then sale: value</t>
  </si>
  <si>
    <t xml:space="preserve">  loss severity</t>
  </si>
  <si>
    <t xml:space="preserve">Forced sale: value</t>
  </si>
  <si>
    <t xml:space="preserve">Controls</t>
  </si>
  <si>
    <t xml:space="preserve">Each row recomputes a figure the book prints, from the live formulas, and compares it with the printed value. A corrected figure is compared with its corrected value; the note says what the book prints.</t>
  </si>
  <si>
    <t xml:space="preserve">Figure</t>
  </si>
  <si>
    <t xml:space="preserve">This file</t>
  </si>
  <si>
    <t xml:space="preserve">Expected</t>
  </si>
  <si>
    <t xml:space="preserve">Difference</t>
  </si>
  <si>
    <t xml:space="preserve">Status</t>
  </si>
  <si>
    <t xml:space="preserve">Note</t>
  </si>
  <si>
    <t xml:space="preserve">Tolerance</t>
  </si>
  <si>
    <t xml:space="preserve">Maximum on debt yield</t>
  </si>
  <si>
    <t xml:space="preserve">Maximum on loan-to-value</t>
  </si>
  <si>
    <t xml:space="preserve">Maximum on coverage</t>
  </si>
  <si>
    <t xml:space="preserve">Loan-to-value</t>
  </si>
  <si>
    <t xml:space="preserve">Net cash flow needed</t>
  </si>
  <si>
    <t xml:space="preserve">Break-even sale price</t>
  </si>
  <si>
    <t xml:space="preserve">Interest-only gap</t>
  </si>
  <si>
    <t xml:space="preserve">  share of balance</t>
  </si>
  <si>
    <t xml:space="preserve">Amortization taken off</t>
  </si>
  <si>
    <t xml:space="preserve">Extension: value</t>
  </si>
  <si>
    <t xml:space="preserve">Extension: severity</t>
  </si>
  <si>
    <t xml:space="preserve">Forced sale: severity</t>
  </si>
  <si>
    <t xml:space="preserve">Failures</t>
  </si>
  <si>
    <t xml:space="preserve">All controls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</si>
</sst>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#,##0"/>
    <numFmt numFmtId="166" formatCode="0.00%"/>
    <numFmt numFmtId="167" formatCode="0.0%"/>
    <numFmt numFmtId="168" formatCode="0.00"/>
    <numFmt numFmtId="169" formatCode="0"/>
    <numFmt numFmtId="170" formatCode="0%"/>
    <numFmt numFmtId="171" formatCode="0.0"/>
  </numFmts>
  <fonts count="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name val="Arial"/>
      <family val="0"/>
      <charset val="1"/>
    </font>
    <font>
      <sz val="10"/>
      <name val="Arial"/>
      <family val="0"/>
      <charset val="1"/>
    </font>
    <font>
      <sz val="9"/>
      <color rgb="FF666666"/>
      <name val="Arial"/>
      <family val="0"/>
      <charset val="1"/>
    </font>
    <font>
      <sz val="10"/>
      <color rgb="FF0000CC"/>
      <name val="Arial"/>
      <family val="0"/>
      <charset val="1"/>
    </font>
    <font>
      <b val="true"/>
      <sz val="10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EEEEEE"/>
      </patternFill>
    </fill>
    <fill>
      <patternFill patternType="solid">
        <fgColor rgb="FFEEEEEE"/>
        <bgColor rgb="FFFFF2CC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EEEEEE"/>
      <rgbColor rgb="FFFF0000"/>
      <rgbColor rgb="FF00FF00"/>
      <rgbColor rgb="FF0000CC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118"/>
  </cols>
  <sheetData>
    <row r="1" customFormat="false" ht="16.15" hidden="false" customHeight="false" outlineLevel="0" collapsed="false">
      <c r="A1" s="1" t="s">
        <v>0</v>
      </c>
    </row>
    <row r="3" customFormat="false" ht="27.75" hidden="false" customHeight="true" outlineLevel="0" collapsed="false">
      <c r="A3" s="2" t="s">
        <v>1</v>
      </c>
    </row>
    <row r="4" customFormat="false" ht="27.75" hidden="false" customHeight="true" outlineLevel="0" collapsed="false">
      <c r="A4" s="2" t="s">
        <v>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4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58"/>
    <col collapsed="false" customWidth="true" hidden="false" outlineLevel="0" max="2" min="2" style="0" width="16"/>
    <col collapsed="false" customWidth="true" hidden="false" outlineLevel="0" max="4" min="4" style="0" width="60"/>
  </cols>
  <sheetData>
    <row r="1" customFormat="false" ht="16.15" hidden="false" customHeight="false" outlineLevel="0" collapsed="false">
      <c r="A1" s="1" t="s">
        <v>3</v>
      </c>
    </row>
    <row r="2" customFormat="false" ht="15" hidden="false" customHeight="false" outlineLevel="0" collapsed="false">
      <c r="A2" s="3" t="s">
        <v>4</v>
      </c>
    </row>
    <row r="5" customFormat="false" ht="15" hidden="false" customHeight="false" outlineLevel="0" collapsed="false">
      <c r="A5" s="4" t="s">
        <v>5</v>
      </c>
      <c r="B5" s="5" t="n">
        <v>39849083.9121062</v>
      </c>
      <c r="C5" s="3" t="s">
        <v>6</v>
      </c>
    </row>
    <row r="6" customFormat="false" ht="15" hidden="false" customHeight="false" outlineLevel="0" collapsed="false">
      <c r="A6" s="4" t="s">
        <v>7</v>
      </c>
      <c r="B6" s="5" t="n">
        <v>4316311.7557378</v>
      </c>
      <c r="C6" s="3" t="s">
        <v>8</v>
      </c>
    </row>
    <row r="7" customFormat="false" ht="15" hidden="false" customHeight="false" outlineLevel="0" collapsed="false">
      <c r="A7" s="4" t="s">
        <v>9</v>
      </c>
      <c r="B7" s="6" t="n">
        <v>0.0725</v>
      </c>
    </row>
    <row r="8" customFormat="false" ht="15" hidden="false" customHeight="false" outlineLevel="0" collapsed="false">
      <c r="A8" s="4" t="s">
        <v>10</v>
      </c>
      <c r="B8" s="7" t="n">
        <v>0.095</v>
      </c>
    </row>
    <row r="9" customFormat="false" ht="15" hidden="false" customHeight="false" outlineLevel="0" collapsed="false">
      <c r="A9" s="4" t="s">
        <v>11</v>
      </c>
      <c r="B9" s="8" t="n">
        <v>0.65</v>
      </c>
    </row>
    <row r="10" customFormat="false" ht="15" hidden="false" customHeight="false" outlineLevel="0" collapsed="false">
      <c r="A10" s="4" t="s">
        <v>12</v>
      </c>
      <c r="B10" s="9" t="n">
        <v>1.25</v>
      </c>
    </row>
    <row r="11" customFormat="false" ht="15" hidden="false" customHeight="false" outlineLevel="0" collapsed="false">
      <c r="A11" s="4" t="s">
        <v>13</v>
      </c>
      <c r="B11" s="7" t="n">
        <v>0.0715</v>
      </c>
    </row>
    <row r="12" customFormat="false" ht="15" hidden="false" customHeight="false" outlineLevel="0" collapsed="false">
      <c r="A12" s="4" t="s">
        <v>14</v>
      </c>
      <c r="B12" s="10" t="n">
        <v>30</v>
      </c>
    </row>
    <row r="13" customFormat="false" ht="15" hidden="false" customHeight="false" outlineLevel="0" collapsed="false">
      <c r="A13" s="4" t="s">
        <v>15</v>
      </c>
      <c r="B13" s="7" t="n">
        <v>0.0025</v>
      </c>
    </row>
    <row r="14" customFormat="false" ht="15" hidden="false" customHeight="false" outlineLevel="0" collapsed="false">
      <c r="A14" s="4" t="s">
        <v>16</v>
      </c>
      <c r="B14" s="10" t="n">
        <v>6</v>
      </c>
    </row>
    <row r="15" customFormat="false" ht="15" hidden="false" customHeight="false" outlineLevel="0" collapsed="false">
      <c r="A15" s="4" t="s">
        <v>17</v>
      </c>
      <c r="B15" s="7" t="n">
        <v>0.0155</v>
      </c>
    </row>
    <row r="16" customFormat="false" ht="15" hidden="false" customHeight="false" outlineLevel="0" collapsed="false">
      <c r="A16" s="4" t="s">
        <v>18</v>
      </c>
      <c r="B16" s="11" t="n">
        <v>0.4</v>
      </c>
      <c r="C16" s="3" t="s">
        <v>19</v>
      </c>
    </row>
    <row r="17" customFormat="false" ht="15" hidden="false" customHeight="false" outlineLevel="0" collapsed="false">
      <c r="A17" s="4" t="s">
        <v>20</v>
      </c>
      <c r="B17" s="7" t="n">
        <v>0.01</v>
      </c>
    </row>
    <row r="18" customFormat="false" ht="15" hidden="false" customHeight="false" outlineLevel="0" collapsed="false">
      <c r="A18" s="4" t="s">
        <v>21</v>
      </c>
      <c r="B18" s="12" t="n">
        <v>44000000</v>
      </c>
    </row>
    <row r="19" customFormat="false" ht="15" hidden="false" customHeight="false" outlineLevel="0" collapsed="false">
      <c r="A19" s="4" t="s">
        <v>22</v>
      </c>
      <c r="B19" s="8" t="n">
        <v>0.02</v>
      </c>
    </row>
    <row r="20" customFormat="false" ht="15" hidden="false" customHeight="false" outlineLevel="0" collapsed="false">
      <c r="A20" s="4" t="s">
        <v>23</v>
      </c>
      <c r="B20" s="10" t="n">
        <v>2</v>
      </c>
    </row>
    <row r="21" customFormat="false" ht="15" hidden="false" customHeight="false" outlineLevel="0" collapsed="false">
      <c r="A21" s="4" t="s">
        <v>24</v>
      </c>
      <c r="B21" s="11" t="n">
        <v>0.25</v>
      </c>
    </row>
    <row r="24" customFormat="false" ht="15" hidden="false" customHeight="false" outlineLevel="0" collapsed="false">
      <c r="A24" s="4" t="s">
        <v>25</v>
      </c>
      <c r="B24" s="13" t="n">
        <f aca="false">B6/B7</f>
        <v>59535334.5619008</v>
      </c>
    </row>
    <row r="25" customFormat="false" ht="15" hidden="false" customHeight="false" outlineLevel="0" collapsed="false">
      <c r="A25" s="4" t="s">
        <v>26</v>
      </c>
      <c r="B25" s="13" t="n">
        <f aca="false">B6/B8</f>
        <v>45434860.5867137</v>
      </c>
    </row>
    <row r="26" customFormat="false" ht="15" hidden="false" customHeight="false" outlineLevel="0" collapsed="false">
      <c r="A26" s="4" t="s">
        <v>27</v>
      </c>
      <c r="B26" s="13" t="n">
        <f aca="false">B24*B9</f>
        <v>38697967.4652355</v>
      </c>
    </row>
    <row r="27" customFormat="false" ht="15" hidden="false" customHeight="false" outlineLevel="0" collapsed="false">
      <c r="A27" s="4" t="s">
        <v>28</v>
      </c>
      <c r="B27" s="13" t="n">
        <f aca="false">B6/(B10*((B11/12)/(1-(1+B11/12)^(-B12*12))*12))</f>
        <v>42604565.9796338</v>
      </c>
    </row>
    <row r="28" customFormat="false" ht="15" hidden="false" customHeight="false" outlineLevel="0" collapsed="false">
      <c r="A28" s="14" t="s">
        <v>29</v>
      </c>
      <c r="B28" s="15" t="n">
        <f aca="false">MIN(B25:B27)</f>
        <v>38697967.4652355</v>
      </c>
    </row>
    <row r="29" customFormat="false" ht="15" hidden="false" customHeight="false" outlineLevel="0" collapsed="false">
      <c r="A29" s="4" t="s">
        <v>30</v>
      </c>
      <c r="B29" s="4" t="str">
        <f aca="false">IF(B28=B25,"Debt yield",IF(B28=B26,"Loan-to-value","Coverage"))</f>
        <v>Loan-to-value</v>
      </c>
    </row>
    <row r="30" customFormat="false" ht="15" hidden="false" customHeight="false" outlineLevel="0" collapsed="false">
      <c r="A30" s="14" t="s">
        <v>31</v>
      </c>
      <c r="B30" s="15" t="n">
        <f aca="false">MAX(0,B5-B28)</f>
        <v>1151116.44687067</v>
      </c>
    </row>
    <row r="31" customFormat="false" ht="15" hidden="false" customHeight="false" outlineLevel="0" collapsed="false">
      <c r="A31" s="4" t="s">
        <v>32</v>
      </c>
      <c r="B31" s="16" t="n">
        <f aca="false">B30/B5</f>
        <v>0.0288868986150259</v>
      </c>
    </row>
    <row r="32" customFormat="false" ht="15" hidden="false" customHeight="false" outlineLevel="0" collapsed="false">
      <c r="A32" s="4" t="s">
        <v>33</v>
      </c>
      <c r="B32" s="17" t="n">
        <f aca="false">B5/B24</f>
        <v>0.669335012649905</v>
      </c>
    </row>
    <row r="33" customFormat="false" ht="15" hidden="false" customHeight="false" outlineLevel="0" collapsed="false">
      <c r="A33" s="4" t="s">
        <v>34</v>
      </c>
      <c r="B33" s="13" t="n">
        <f aca="false">B5/MIN(1/B8,B9/B7,1/(B10*((B11/12)/(1-(1+B11/12)^(-B12*12))*12)))</f>
        <v>4444705.51327338</v>
      </c>
    </row>
    <row r="34" customFormat="false" ht="15" hidden="false" customHeight="false" outlineLevel="0" collapsed="false">
      <c r="A34" s="4" t="s">
        <v>35</v>
      </c>
      <c r="B34" s="16" t="n">
        <f aca="false">B33/B6-1</f>
        <v>0.0297461733075459</v>
      </c>
    </row>
    <row r="35" customFormat="false" ht="15" hidden="false" customHeight="false" outlineLevel="0" collapsed="false">
      <c r="A35" s="4" t="s">
        <v>36</v>
      </c>
      <c r="B35" s="13" t="n">
        <f aca="false">B24-B5</f>
        <v>19686250.6497946</v>
      </c>
    </row>
    <row r="36" customFormat="false" ht="15" hidden="false" customHeight="false" outlineLevel="0" collapsed="false">
      <c r="A36" s="4" t="s">
        <v>37</v>
      </c>
      <c r="B36" s="13" t="n">
        <f aca="false">(B5+B5*B13*B14/12+B5*B15*B16)/(1-B17)</f>
        <v>40551474.3305569</v>
      </c>
    </row>
    <row r="37" customFormat="false" ht="15" hidden="false" customHeight="false" outlineLevel="0" collapsed="false">
      <c r="A37" s="14" t="s">
        <v>38</v>
      </c>
      <c r="B37" s="18" t="n">
        <f aca="false">1-B36/B24</f>
        <v>0.318867112632175</v>
      </c>
    </row>
    <row r="38" customFormat="false" ht="15" hidden="false" customHeight="false" outlineLevel="0" collapsed="false">
      <c r="A38" s="4" t="s">
        <v>39</v>
      </c>
      <c r="B38" s="13" t="n">
        <f aca="false">MAX(0,B18-B28)</f>
        <v>5302032.53476451</v>
      </c>
    </row>
    <row r="39" customFormat="false" ht="15" hidden="false" customHeight="false" outlineLevel="0" collapsed="false">
      <c r="A39" s="4" t="s">
        <v>40</v>
      </c>
      <c r="B39" s="16" t="n">
        <f aca="false">B38/B18</f>
        <v>0.120500739426466</v>
      </c>
    </row>
    <row r="40" customFormat="false" ht="15" hidden="false" customHeight="false" outlineLevel="0" collapsed="false">
      <c r="A40" s="4" t="s">
        <v>41</v>
      </c>
      <c r="B40" s="19" t="n">
        <f aca="false">IF(B30=0,"",B38/B30)</f>
        <v>4.60599146956694</v>
      </c>
    </row>
    <row r="41" customFormat="false" ht="15" hidden="false" customHeight="false" outlineLevel="0" collapsed="false">
      <c r="A41" s="4" t="s">
        <v>42</v>
      </c>
      <c r="B41" s="13" t="n">
        <f aca="false">B18-B5</f>
        <v>4150916.08789384</v>
      </c>
    </row>
    <row r="42" customFormat="false" ht="15" hidden="false" customHeight="false" outlineLevel="0" collapsed="false">
      <c r="A42" s="4" t="s">
        <v>43</v>
      </c>
      <c r="B42" s="13" t="n">
        <f aca="false">B24*(1+B19)^B20</f>
        <v>61940562.0782015</v>
      </c>
    </row>
    <row r="43" customFormat="false" ht="15" hidden="false" customHeight="false" outlineLevel="0" collapsed="false">
      <c r="A43" s="4" t="s">
        <v>44</v>
      </c>
      <c r="B43" s="16" t="n">
        <f aca="false">MAX(0,B5-(B42-B42*B17-B5*B13*B20-B5*B15*B16))/B5</f>
        <v>0</v>
      </c>
    </row>
    <row r="44" customFormat="false" ht="15" hidden="false" customHeight="false" outlineLevel="0" collapsed="false">
      <c r="A44" s="4" t="s">
        <v>45</v>
      </c>
      <c r="B44" s="13" t="n">
        <f aca="false">B24*(1-B21)</f>
        <v>44651500.9214256</v>
      </c>
    </row>
    <row r="45" customFormat="false" ht="15" hidden="false" customHeight="false" outlineLevel="0" collapsed="false">
      <c r="A45" s="4" t="s">
        <v>44</v>
      </c>
      <c r="B45" s="16" t="n">
        <f aca="false">MAX(0,B5-(B44-B44*B17-B5*B13*B14/12-B5*B15*B16))/B5</f>
        <v>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2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60"/>
    <col collapsed="false" customWidth="true" hidden="false" outlineLevel="0" max="3" min="2" style="0" width="16"/>
    <col collapsed="false" customWidth="true" hidden="false" outlineLevel="0" max="4" min="4" style="0" width="12"/>
    <col collapsed="false" customWidth="true" hidden="false" outlineLevel="0" max="5" min="5" style="0" width="9"/>
    <col collapsed="false" customWidth="true" hidden="false" outlineLevel="0" max="6" min="6" style="0" width="52"/>
    <col collapsed="false" customWidth="true" hidden="false" outlineLevel="0" max="7" min="7" style="0" width="10"/>
  </cols>
  <sheetData>
    <row r="1" customFormat="false" ht="16.15" hidden="false" customHeight="false" outlineLevel="0" collapsed="false">
      <c r="A1" s="1" t="s">
        <v>46</v>
      </c>
    </row>
    <row r="2" customFormat="false" ht="15" hidden="false" customHeight="false" outlineLevel="0" collapsed="false">
      <c r="A2" s="3" t="s">
        <v>47</v>
      </c>
    </row>
    <row r="4" customFormat="false" ht="15" hidden="false" customHeight="false" outlineLevel="0" collapsed="false">
      <c r="A4" s="20" t="s">
        <v>48</v>
      </c>
      <c r="B4" s="20" t="s">
        <v>49</v>
      </c>
      <c r="C4" s="20" t="s">
        <v>50</v>
      </c>
      <c r="D4" s="20" t="s">
        <v>51</v>
      </c>
      <c r="E4" s="20" t="s">
        <v>52</v>
      </c>
      <c r="F4" s="20" t="s">
        <v>53</v>
      </c>
      <c r="G4" s="20" t="s">
        <v>54</v>
      </c>
    </row>
    <row r="5" customFormat="false" ht="15" hidden="false" customHeight="false" outlineLevel="0" collapsed="false">
      <c r="A5" s="2" t="s">
        <v>25</v>
      </c>
      <c r="B5" s="13" t="n">
        <f aca="false">'Your loan'!B24</f>
        <v>59535334.5619008</v>
      </c>
      <c r="C5" s="12" t="n">
        <v>59540000</v>
      </c>
      <c r="D5" s="13" t="n">
        <f aca="false">IF(ISNUMBER(B5),B5-C5,"")</f>
        <v>-4665.4380992502</v>
      </c>
      <c r="E5" s="14" t="str">
        <f aca="false">IF(ISNUMBER(B5),IF(ABS(B5-C5)&lt;=G5,"OK","CHECK"),IF(B5=C5,"OK","CHECK"))</f>
        <v>OK</v>
      </c>
      <c r="F5" s="21"/>
      <c r="G5" s="3" t="n">
        <v>5000.005</v>
      </c>
    </row>
    <row r="6" customFormat="false" ht="15" hidden="false" customHeight="false" outlineLevel="0" collapsed="false">
      <c r="A6" s="2" t="s">
        <v>55</v>
      </c>
      <c r="B6" s="13" t="n">
        <f aca="false">'Your loan'!B25</f>
        <v>45434860.5867137</v>
      </c>
      <c r="C6" s="12" t="n">
        <v>45430000</v>
      </c>
      <c r="D6" s="13" t="n">
        <f aca="false">IF(ISNUMBER(B6),B6-C6,"")</f>
        <v>4860.58671372384</v>
      </c>
      <c r="E6" s="14" t="str">
        <f aca="false">IF(ISNUMBER(B6),IF(ABS(B6-C6)&lt;=G6,"OK","CHECK"),IF(B6=C6,"OK","CHECK"))</f>
        <v>OK</v>
      </c>
      <c r="F6" s="21"/>
      <c r="G6" s="3" t="n">
        <v>5000.005</v>
      </c>
    </row>
    <row r="7" customFormat="false" ht="15" hidden="false" customHeight="false" outlineLevel="0" collapsed="false">
      <c r="A7" s="2" t="s">
        <v>56</v>
      </c>
      <c r="B7" s="13" t="n">
        <f aca="false">'Your loan'!B26</f>
        <v>38697967.4652355</v>
      </c>
      <c r="C7" s="12" t="n">
        <v>38700000</v>
      </c>
      <c r="D7" s="13" t="n">
        <f aca="false">IF(ISNUMBER(B7),B7-C7,"")</f>
        <v>-2032.53476451337</v>
      </c>
      <c r="E7" s="14" t="str">
        <f aca="false">IF(ISNUMBER(B7),IF(ABS(B7-C7)&lt;=G7,"OK","CHECK"),IF(B7=C7,"OK","CHECK"))</f>
        <v>OK</v>
      </c>
      <c r="F7" s="21"/>
      <c r="G7" s="3" t="n">
        <v>5000.005</v>
      </c>
    </row>
    <row r="8" customFormat="false" ht="15" hidden="false" customHeight="false" outlineLevel="0" collapsed="false">
      <c r="A8" s="2" t="s">
        <v>57</v>
      </c>
      <c r="B8" s="13" t="n">
        <f aca="false">'Your loan'!B27</f>
        <v>42604565.9796338</v>
      </c>
      <c r="C8" s="12" t="n">
        <v>42600000</v>
      </c>
      <c r="D8" s="13" t="n">
        <f aca="false">IF(ISNUMBER(B8),B8-C8,"")</f>
        <v>4565.97963377833</v>
      </c>
      <c r="E8" s="14" t="str">
        <f aca="false">IF(ISNUMBER(B8),IF(ABS(B8-C8)&lt;=G8,"OK","CHECK"),IF(B8=C8,"OK","CHECK"))</f>
        <v>OK</v>
      </c>
      <c r="F8" s="21"/>
      <c r="G8" s="3" t="n">
        <v>5000.005</v>
      </c>
    </row>
    <row r="9" customFormat="false" ht="15" hidden="false" customHeight="false" outlineLevel="0" collapsed="false">
      <c r="A9" s="2" t="s">
        <v>30</v>
      </c>
      <c r="B9" s="4" t="str">
        <f aca="false">'Your loan'!B29</f>
        <v>Loan-to-value</v>
      </c>
      <c r="C9" s="22" t="s">
        <v>58</v>
      </c>
      <c r="D9" s="4"/>
      <c r="E9" s="14" t="str">
        <f aca="false">IF(B9=C9,"OK","CHECK")</f>
        <v>OK</v>
      </c>
      <c r="F9" s="21"/>
      <c r="G9" s="3"/>
    </row>
    <row r="10" customFormat="false" ht="15" hidden="false" customHeight="false" outlineLevel="0" collapsed="false">
      <c r="A10" s="2" t="s">
        <v>31</v>
      </c>
      <c r="B10" s="13" t="n">
        <f aca="false">'Your loan'!B30</f>
        <v>1151116.44687067</v>
      </c>
      <c r="C10" s="12" t="n">
        <v>1150000</v>
      </c>
      <c r="D10" s="13" t="n">
        <f aca="false">IF(ISNUMBER(B10),B10-C10,"")</f>
        <v>1116.44687066972</v>
      </c>
      <c r="E10" s="14" t="str">
        <f aca="false">IF(ISNUMBER(B10),IF(ABS(B10-C10)&lt;=G10,"OK","CHECK"),IF(B10=C10,"OK","CHECK"))</f>
        <v>OK</v>
      </c>
      <c r="F10" s="21"/>
      <c r="G10" s="3" t="n">
        <v>5000.005</v>
      </c>
    </row>
    <row r="11" customFormat="false" ht="15" hidden="false" customHeight="false" outlineLevel="0" collapsed="false">
      <c r="A11" s="2" t="s">
        <v>32</v>
      </c>
      <c r="B11" s="16" t="n">
        <f aca="false">'Your loan'!B31</f>
        <v>0.0288868986150259</v>
      </c>
      <c r="C11" s="7" t="n">
        <v>0.0289</v>
      </c>
      <c r="D11" s="16" t="n">
        <f aca="false">IF(ISNUMBER(B11),B11-C11,"")</f>
        <v>-1.31013849741096E-005</v>
      </c>
      <c r="E11" s="14" t="str">
        <f aca="false">IF(ISNUMBER(B11),IF(ABS(B11-C11)&lt;=G11,"OK","CHECK"),IF(B11=C11,"OK","CHECK"))</f>
        <v>OK</v>
      </c>
      <c r="F11" s="21"/>
      <c r="G11" s="3" t="n">
        <v>5.0000051E-005</v>
      </c>
    </row>
    <row r="12" customFormat="false" ht="15" hidden="false" customHeight="false" outlineLevel="0" collapsed="false">
      <c r="A12" s="2" t="s">
        <v>33</v>
      </c>
      <c r="B12" s="17" t="n">
        <f aca="false">'Your loan'!B32</f>
        <v>0.669335012649905</v>
      </c>
      <c r="C12" s="8" t="n">
        <v>0.669</v>
      </c>
      <c r="D12" s="17" t="n">
        <f aca="false">IF(ISNUMBER(B12),B12-C12,"")</f>
        <v>0.000335012649904876</v>
      </c>
      <c r="E12" s="14" t="str">
        <f aca="false">IF(ISNUMBER(B12),IF(ABS(B12-C12)&lt;=G12,"OK","CHECK"),IF(B12=C12,"OK","CHECK"))</f>
        <v>OK</v>
      </c>
      <c r="F12" s="21"/>
      <c r="G12" s="3" t="n">
        <v>0.000500000501</v>
      </c>
    </row>
    <row r="13" customFormat="false" ht="15" hidden="false" customHeight="false" outlineLevel="0" collapsed="false">
      <c r="A13" s="2" t="s">
        <v>59</v>
      </c>
      <c r="B13" s="13" t="n">
        <f aca="false">'Your loan'!B33</f>
        <v>4444705.51327338</v>
      </c>
      <c r="C13" s="12" t="n">
        <v>4445000</v>
      </c>
      <c r="D13" s="13" t="n">
        <f aca="false">IF(ISNUMBER(B13),B13-C13,"")</f>
        <v>-294.486726621166</v>
      </c>
      <c r="E13" s="14" t="str">
        <f aca="false">IF(ISNUMBER(B13),IF(ABS(B13-C13)&lt;=G13,"OK","CHECK"),IF(B13=C13,"OK","CHECK"))</f>
        <v>OK</v>
      </c>
      <c r="F13" s="21"/>
      <c r="G13" s="3" t="n">
        <v>500.000500000001</v>
      </c>
    </row>
    <row r="14" customFormat="false" ht="15" hidden="false" customHeight="false" outlineLevel="0" collapsed="false">
      <c r="A14" s="2" t="s">
        <v>35</v>
      </c>
      <c r="B14" s="16" t="n">
        <f aca="false">'Your loan'!B34</f>
        <v>0.0297461733075459</v>
      </c>
      <c r="C14" s="7" t="n">
        <v>0.0297</v>
      </c>
      <c r="D14" s="16" t="n">
        <f aca="false">IF(ISNUMBER(B14),B14-C14,"")</f>
        <v>4.61733075459193E-005</v>
      </c>
      <c r="E14" s="14" t="str">
        <f aca="false">IF(ISNUMBER(B14),IF(ABS(B14-C14)&lt;=G14,"OK","CHECK"),IF(B14=C14,"OK","CHECK"))</f>
        <v>OK</v>
      </c>
      <c r="F14" s="21"/>
      <c r="G14" s="3" t="n">
        <v>5.0000051E-005</v>
      </c>
    </row>
    <row r="15" customFormat="false" ht="15" hidden="false" customHeight="false" outlineLevel="0" collapsed="false">
      <c r="A15" s="2" t="s">
        <v>36</v>
      </c>
      <c r="B15" s="13" t="n">
        <f aca="false">'Your loan'!B35</f>
        <v>19686250.6497946</v>
      </c>
      <c r="C15" s="12" t="n">
        <v>19690000</v>
      </c>
      <c r="D15" s="13" t="n">
        <f aca="false">IF(ISNUMBER(B15),B15-C15,"")</f>
        <v>-3749.35020540655</v>
      </c>
      <c r="E15" s="14" t="str">
        <f aca="false">IF(ISNUMBER(B15),IF(ABS(B15-C15)&lt;=G15,"OK","CHECK"),IF(B15=C15,"OK","CHECK"))</f>
        <v>OK</v>
      </c>
      <c r="F15" s="21"/>
      <c r="G15" s="3" t="n">
        <v>5000.005</v>
      </c>
    </row>
    <row r="16" customFormat="false" ht="15" hidden="false" customHeight="false" outlineLevel="0" collapsed="false">
      <c r="A16" s="2" t="s">
        <v>60</v>
      </c>
      <c r="B16" s="13" t="n">
        <f aca="false">'Your loan'!B36</f>
        <v>40551474.3305569</v>
      </c>
      <c r="C16" s="12" t="n">
        <v>40550000</v>
      </c>
      <c r="D16" s="13" t="n">
        <f aca="false">IF(ISNUMBER(B16),B16-C16,"")</f>
        <v>1474.33055691421</v>
      </c>
      <c r="E16" s="14" t="str">
        <f aca="false">IF(ISNUMBER(B16),IF(ABS(B16-C16)&lt;=G16,"OK","CHECK"),IF(B16=C16,"OK","CHECK"))</f>
        <v>OK</v>
      </c>
      <c r="F16" s="21"/>
      <c r="G16" s="3" t="n">
        <v>5000.005</v>
      </c>
    </row>
    <row r="17" customFormat="false" ht="15" hidden="false" customHeight="false" outlineLevel="0" collapsed="false">
      <c r="A17" s="2" t="s">
        <v>38</v>
      </c>
      <c r="B17" s="16" t="n">
        <f aca="false">'Your loan'!B37</f>
        <v>0.318867112632175</v>
      </c>
      <c r="C17" s="7" t="n">
        <v>0.3189</v>
      </c>
      <c r="D17" s="16" t="n">
        <f aca="false">IF(ISNUMBER(B17),B17-C17,"")</f>
        <v>-3.28873678248631E-005</v>
      </c>
      <c r="E17" s="14" t="str">
        <f aca="false">IF(ISNUMBER(B17),IF(ABS(B17-C17)&lt;=G17,"OK","CHECK"),IF(B17=C17,"OK","CHECK"))</f>
        <v>OK</v>
      </c>
      <c r="F17" s="21"/>
      <c r="G17" s="3" t="n">
        <v>5.0000051E-005</v>
      </c>
    </row>
    <row r="18" customFormat="false" ht="15" hidden="false" customHeight="false" outlineLevel="0" collapsed="false">
      <c r="A18" s="2" t="s">
        <v>61</v>
      </c>
      <c r="B18" s="13" t="n">
        <f aca="false">'Your loan'!B38</f>
        <v>5302032.53476451</v>
      </c>
      <c r="C18" s="12" t="n">
        <v>5300000</v>
      </c>
      <c r="D18" s="13" t="n">
        <f aca="false">IF(ISNUMBER(B18),B18-C18,"")</f>
        <v>2032.53476451337</v>
      </c>
      <c r="E18" s="14" t="str">
        <f aca="false">IF(ISNUMBER(B18),IF(ABS(B18-C18)&lt;=G18,"OK","CHECK"),IF(B18=C18,"OK","CHECK"))</f>
        <v>OK</v>
      </c>
      <c r="F18" s="21"/>
      <c r="G18" s="3" t="n">
        <v>5000.005</v>
      </c>
    </row>
    <row r="19" customFormat="false" ht="15" hidden="false" customHeight="false" outlineLevel="0" collapsed="false">
      <c r="A19" s="2" t="s">
        <v>62</v>
      </c>
      <c r="B19" s="16" t="n">
        <f aca="false">'Your loan'!B39</f>
        <v>0.120500739426466</v>
      </c>
      <c r="C19" s="7" t="n">
        <v>0.1205</v>
      </c>
      <c r="D19" s="16" t="n">
        <f aca="false">IF(ISNUMBER(B19),B19-C19,"")</f>
        <v>7.39426466223048E-007</v>
      </c>
      <c r="E19" s="14" t="str">
        <f aca="false">IF(ISNUMBER(B19),IF(ABS(B19-C19)&lt;=G19,"OK","CHECK"),IF(B19=C19,"OK","CHECK"))</f>
        <v>OK</v>
      </c>
      <c r="F19" s="21"/>
      <c r="G19" s="3" t="n">
        <v>5.0000051E-005</v>
      </c>
    </row>
    <row r="20" customFormat="false" ht="15" hidden="false" customHeight="false" outlineLevel="0" collapsed="false">
      <c r="A20" s="2" t="s">
        <v>63</v>
      </c>
      <c r="B20" s="13" t="n">
        <f aca="false">'Your loan'!B41</f>
        <v>4150916.08789384</v>
      </c>
      <c r="C20" s="12" t="n">
        <v>4150000</v>
      </c>
      <c r="D20" s="13" t="n">
        <f aca="false">IF(ISNUMBER(B20),B20-C20,"")</f>
        <v>916.087893843651</v>
      </c>
      <c r="E20" s="14" t="str">
        <f aca="false">IF(ISNUMBER(B20),IF(ABS(B20-C20)&lt;=G20,"OK","CHECK"),IF(B20=C20,"OK","CHECK"))</f>
        <v>OK</v>
      </c>
      <c r="F20" s="21"/>
      <c r="G20" s="3" t="n">
        <v>5000.005</v>
      </c>
    </row>
    <row r="21" customFormat="false" ht="15" hidden="false" customHeight="false" outlineLevel="0" collapsed="false">
      <c r="A21" s="2" t="s">
        <v>64</v>
      </c>
      <c r="B21" s="13" t="n">
        <f aca="false">'Your loan'!B42</f>
        <v>61940562.0782015</v>
      </c>
      <c r="C21" s="12" t="n">
        <v>61940000</v>
      </c>
      <c r="D21" s="13" t="n">
        <f aca="false">IF(ISNUMBER(B21),B21-C21,"")</f>
        <v>562.078201539815</v>
      </c>
      <c r="E21" s="14" t="str">
        <f aca="false">IF(ISNUMBER(B21),IF(ABS(B21-C21)&lt;=G21,"OK","CHECK"),IF(B21=C21,"OK","CHECK"))</f>
        <v>OK</v>
      </c>
      <c r="F21" s="21"/>
      <c r="G21" s="3" t="n">
        <v>5000.005</v>
      </c>
    </row>
    <row r="22" customFormat="false" ht="15" hidden="false" customHeight="false" outlineLevel="0" collapsed="false">
      <c r="A22" s="2" t="s">
        <v>65</v>
      </c>
      <c r="B22" s="16" t="n">
        <f aca="false">'Your loan'!B43</f>
        <v>0</v>
      </c>
      <c r="C22" s="7" t="n">
        <v>0</v>
      </c>
      <c r="D22" s="16" t="n">
        <f aca="false">IF(ISNUMBER(B22),B22-C22,"")</f>
        <v>0</v>
      </c>
      <c r="E22" s="14" t="str">
        <f aca="false">IF(ISNUMBER(B22),IF(ABS(B22-C22)&lt;=G22,"OK","CHECK"),IF(B22=C22,"OK","CHECK"))</f>
        <v>OK</v>
      </c>
      <c r="F22" s="21"/>
      <c r="G22" s="3" t="n">
        <v>5.0000051E-005</v>
      </c>
    </row>
    <row r="23" customFormat="false" ht="15" hidden="false" customHeight="false" outlineLevel="0" collapsed="false">
      <c r="A23" s="2" t="s">
        <v>45</v>
      </c>
      <c r="B23" s="13" t="n">
        <f aca="false">'Your loan'!B44</f>
        <v>44651500.9214256</v>
      </c>
      <c r="C23" s="12" t="n">
        <v>44650000</v>
      </c>
      <c r="D23" s="13" t="n">
        <f aca="false">IF(ISNUMBER(B23),B23-C23,"")</f>
        <v>1500.92142556608</v>
      </c>
      <c r="E23" s="14" t="str">
        <f aca="false">IF(ISNUMBER(B23),IF(ABS(B23-C23)&lt;=G23,"OK","CHECK"),IF(B23=C23,"OK","CHECK"))</f>
        <v>OK</v>
      </c>
      <c r="F23" s="21"/>
      <c r="G23" s="3" t="n">
        <v>5000.005</v>
      </c>
    </row>
    <row r="24" customFormat="false" ht="15" hidden="false" customHeight="false" outlineLevel="0" collapsed="false">
      <c r="A24" s="2" t="s">
        <v>66</v>
      </c>
      <c r="B24" s="16" t="n">
        <f aca="false">'Your loan'!B45</f>
        <v>0</v>
      </c>
      <c r="C24" s="7" t="n">
        <v>0</v>
      </c>
      <c r="D24" s="16" t="n">
        <f aca="false">IF(ISNUMBER(B24),B24-C24,"")</f>
        <v>0</v>
      </c>
      <c r="E24" s="14" t="str">
        <f aca="false">IF(ISNUMBER(B24),IF(ABS(B24-C24)&lt;=G24,"OK","CHECK"),IF(B24=C24,"OK","CHECK"))</f>
        <v>OK</v>
      </c>
      <c r="F24" s="21"/>
      <c r="G24" s="3" t="n">
        <v>5.0000051E-005</v>
      </c>
    </row>
    <row r="26" customFormat="false" ht="15" hidden="false" customHeight="false" outlineLevel="0" collapsed="false">
      <c r="A26" s="14" t="s">
        <v>67</v>
      </c>
      <c r="B26" s="14" t="n">
        <f aca="false">COUNTIF(E5:E24,"CHECK")</f>
        <v>0</v>
      </c>
    </row>
    <row r="27" customFormat="false" ht="15" hidden="false" customHeight="false" outlineLevel="0" collapsed="false">
      <c r="A27" s="14" t="s">
        <v>68</v>
      </c>
      <c r="E27" s="14" t="str">
        <f aca="false">IF(COUNTIF(E5:E24,"OK")=20,"ALL OK",COUNTIF(E5:E24,"OK")&amp;" / 20 OK")</f>
        <v>ALL OK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2026-09-23T22:50:24Z</dcterms:created>
  <dc:creator>openpyxl</dc:creator>
  <dc:description/>
  <dc:language>en-US</dc:language>
  <cp:lastModifiedBy/>
  <dcterms:modified xsi:type="dcterms:W3CDTF">2026-09-23T22:50:24Z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