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Bridge" sheetId="2" state="visible" r:id="rId4"/>
    <sheet name="Control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<sst xmlns="http://schemas.openxmlformats.org/spreadsheetml/2006/main" count="116" uniqueCount="101">
  <si>
    <t xml:space="preserve">Loss_Severity_Bridge.xlsx: where the severity number comes from</t>
  </si>
  <si>
    <t xml:space="preserve">The walk from an appraisal severity of 25.90 percent to a realized severity of 37.24 percent on Marlowe Tower, line by line, with and without the appraisal reduction; the monthly arithmetic of duration; the break-even appreciation rate that decides whether waiting is worth anything; and the same break-even at other appraisals.</t>
  </si>
  <si>
    <t xml:space="preserve">Revised 24 September 2026. Added: the without-reduction column (40.29 percent, 8.48 percent a year), the monthly cost of duration, and the depth table. The depth table shows what Chapter 15's generalization leaves out: with an appraisal reduction in place the break-even hardly depends on how far the loan is under water.</t>
  </si>
  <si>
    <t xml:space="preserve">Marlowe Tower: from appraisal severity to realized severity (Chapters 12 to 16)</t>
  </si>
  <si>
    <t xml:space="preserve">Blue cells are inputs; a yellow fill marks the ones that carry the answer.</t>
  </si>
  <si>
    <t xml:space="preserve">Loan balance</t>
  </si>
  <si>
    <t xml:space="preserve">Sale proceeds</t>
  </si>
  <si>
    <t xml:space="preserve">Loan coupon</t>
  </si>
  <si>
    <t xml:space="preserve">Months in special servicing</t>
  </si>
  <si>
    <t xml:space="preserve">Months before the appraisal reduction</t>
  </si>
  <si>
    <t xml:space="preserve">New appraisal</t>
  </si>
  <si>
    <t xml:space="preserve">Appraisal reduction: share of the new appraisal counted</t>
  </si>
  <si>
    <t xml:space="preserve">Liquidation fee, on proceeds</t>
  </si>
  <si>
    <t xml:space="preserve">Special servicing fee, a year</t>
  </si>
  <si>
    <t xml:space="preserve">Legal and property protection, on the balance</t>
  </si>
  <si>
    <t xml:space="preserve">Top-of-pool fees, a year</t>
  </si>
  <si>
    <t xml:space="preserve">With the appraisal reduction</t>
  </si>
  <si>
    <t xml:space="preserve">Without it</t>
  </si>
  <si>
    <t xml:space="preserve">Appraisal reduction amount</t>
  </si>
  <si>
    <t xml:space="preserve">0</t>
  </si>
  <si>
    <t xml:space="preserve">Interest advanced, repaid off the top</t>
  </si>
  <si>
    <t xml:space="preserve">Liquidation fee</t>
  </si>
  <si>
    <t xml:space="preserve">Special servicing fee</t>
  </si>
  <si>
    <t xml:space="preserve">Legal and property protection</t>
  </si>
  <si>
    <t xml:space="preserve">Net proceeds to the trust</t>
  </si>
  <si>
    <t xml:space="preserve">Realized loss</t>
  </si>
  <si>
    <t xml:space="preserve">Realized severity</t>
  </si>
  <si>
    <t xml:space="preserve">Appraisal severity</t>
  </si>
  <si>
    <t xml:space="preserve">Gap, points</t>
  </si>
  <si>
    <t xml:space="preserve">  of which advance repayment</t>
  </si>
  <si>
    <t xml:space="preserve">  of which fees and expenses</t>
  </si>
  <si>
    <t xml:space="preserve">Advance repayment, share of the gap</t>
  </si>
  <si>
    <t xml:space="preserve">Cost of one more year of waiting</t>
  </si>
  <si>
    <t xml:space="preserve">Break-even appreciation, on the new appraisal</t>
  </si>
  <si>
    <t xml:space="preserve">  the same, on the eventual sale price (hindsight)</t>
  </si>
  <si>
    <t xml:space="preserve">Monthly interest advance before the reduction</t>
  </si>
  <si>
    <t xml:space="preserve">Monthly interest advance after the reduction</t>
  </si>
  <si>
    <t xml:space="preserve">Monthly special servicing fee</t>
  </si>
  <si>
    <t xml:space="preserve">Monthly addition to the eventual loss, after the reduction</t>
  </si>
  <si>
    <t xml:space="preserve">A year longer in special servicing adds, points of severity</t>
  </si>
  <si>
    <t xml:space="preserve">Interest advanced before the appraisal</t>
  </si>
  <si>
    <t xml:space="preserve">Monthly shortfall the reduction creates, at the net coupon</t>
  </si>
  <si>
    <t xml:space="preserve">Severity the reduction hands back to the bottom classes</t>
  </si>
  <si>
    <t xml:space="preserve">  in dollars: advanced interest it saves</t>
  </si>
  <si>
    <t xml:space="preserve">  what it withholds from them in coupon, to the sale</t>
  </si>
  <si>
    <t xml:space="preserve">Break-even the reduction saves, points a year</t>
  </si>
  <si>
    <t xml:space="preserve">Hindsight: dividing by the sale price instead, basis points a year</t>
  </si>
  <si>
    <t xml:space="preserve">Advances without a reduction, share of the balance</t>
  </si>
  <si>
    <t xml:space="preserve">Depth of the default and the price of waiting (Chapter 15): the same loan at other appraisals</t>
  </si>
  <si>
    <t xml:space="preserve">Appraisal reduction</t>
  </si>
  <si>
    <t xml:space="preserve">Advancing balance over value</t>
  </si>
  <si>
    <t xml:space="preserve">Break-even with the reduction</t>
  </si>
  <si>
    <t xml:space="preserve">Break-even without it</t>
  </si>
  <si>
    <t xml:space="preserve">Coupon x ratio, plus fee x balance over value</t>
  </si>
  <si>
    <t xml:space="preserve">With the reduction: lowest and highest break-even across the table</t>
  </si>
  <si>
    <t xml:space="preserve">Without it: lowest and highest</t>
  </si>
  <si>
    <t xml:space="preserve">Highest ratio of advancing balance to value, with the reduction</t>
  </si>
  <si>
    <t xml:space="preserve">Chapter 15 says the ratio rises above one as the loan sinks, so the deeper the default the dearer the wait. That is true only before an appraisal reduction. Once the reduction is in place the advancing</t>
  </si>
  <si>
    <t xml:space="preserve">balance is at most ninety percent of the new appraisal, the ratio stays below 0.9, and the break-even barely moves with the depth of the default: 5.8 to 6.0 percent here, against 6.7 to 16.1 without it.</t>
  </si>
  <si>
    <t xml:space="preserve">Controls</t>
  </si>
  <si>
    <t xml:space="preserve">Each row recomputes a figure the book prints, from the live formulas, and compares it with the printed value. A corrected figure is compared with its corrected value; the note says what the book prints.</t>
  </si>
  <si>
    <t xml:space="preserve">Figure</t>
  </si>
  <si>
    <t xml:space="preserve">This file</t>
  </si>
  <si>
    <t xml:space="preserve">Expected</t>
  </si>
  <si>
    <t xml:space="preserve">Difference</t>
  </si>
  <si>
    <t xml:space="preserve">Status</t>
  </si>
  <si>
    <t xml:space="preserve">Note</t>
  </si>
  <si>
    <t xml:space="preserve">Tolerance</t>
  </si>
  <si>
    <t xml:space="preserve">Interest advanced, with the reduction</t>
  </si>
  <si>
    <t xml:space="preserve">Interest advanced, without it</t>
  </si>
  <si>
    <t xml:space="preserve">  share of the balance, without it</t>
  </si>
  <si>
    <t xml:space="preserve">11.6 percent</t>
  </si>
  <si>
    <t xml:space="preserve">Monthly advance before the reduction</t>
  </si>
  <si>
    <t xml:space="preserve">Gap</t>
  </si>
  <si>
    <t xml:space="preserve">  advance repayment</t>
  </si>
  <si>
    <t xml:space="preserve">  fees and expenses</t>
  </si>
  <si>
    <t xml:space="preserve">"three quarters"</t>
  </si>
  <si>
    <t xml:space="preserve">Realized severity without the reduction</t>
  </si>
  <si>
    <t xml:space="preserve">Severity the reduction hands back</t>
  </si>
  <si>
    <t xml:space="preserve">Cost of one year of waiting</t>
  </si>
  <si>
    <t xml:space="preserve">Cost of one year, without the reduction</t>
  </si>
  <si>
    <t xml:space="preserve">Break-even appreciation</t>
  </si>
  <si>
    <t xml:space="preserve">Break-even without the reduction</t>
  </si>
  <si>
    <t xml:space="preserve">Break-even the reduction saves</t>
  </si>
  <si>
    <t xml:space="preserve">Hindsight bias of the sale-price denominator, basis points</t>
  </si>
  <si>
    <t xml:space="preserve">Monthly advance after the reduction</t>
  </si>
  <si>
    <t xml:space="preserve">Monthly addition to the loss</t>
  </si>
  <si>
    <t xml:space="preserve">A year longer adds, points of severity</t>
  </si>
  <si>
    <t xml:space="preserve">Monthly shortfall from the reduction</t>
  </si>
  <si>
    <t xml:space="preserve">Depth: break-even with the reduction, appraisal of 60 million</t>
  </si>
  <si>
    <t xml:space="preserve">New: the depth table</t>
  </si>
  <si>
    <t xml:space="preserve">Depth: with the reduction, appraisal of 25 million</t>
  </si>
  <si>
    <t xml:space="preserve">New</t>
  </si>
  <si>
    <t xml:space="preserve">Depth: without the reduction, 60 million</t>
  </si>
  <si>
    <t xml:space="preserve">Depth: without the reduction, 25 million</t>
  </si>
  <si>
    <t xml:space="preserve">Depth: the ratio never reaches 0.9 with the reduction</t>
  </si>
  <si>
    <t xml:space="preserve">Yes</t>
  </si>
  <si>
    <t xml:space="preserve">Holds for any inputs</t>
  </si>
  <si>
    <t xml:space="preserve">The generalization of Chapter 15 reproduces the break-even</t>
  </si>
  <si>
    <t xml:space="preserve">Failures</t>
  </si>
  <si>
    <t xml:space="preserve">All controls</t>
  </si>
</sst>
</file>

<file path=xl/styles.xml><?xml version="1.0" encoding="utf-8"?>
<styleSheet xmlns="http://schemas.openxmlformats.org/spreadsheetml/2006/main">
  <numFmts count="9">
    <numFmt numFmtId="164" formatCode="General"/>
    <numFmt numFmtId="165" formatCode="#,##0"/>
    <numFmt numFmtId="166" formatCode="0.00%"/>
    <numFmt numFmtId="167" formatCode="0"/>
    <numFmt numFmtId="168" formatCode="0%"/>
    <numFmt numFmtId="169" formatCode="0.000%"/>
    <numFmt numFmtId="170" formatCode="0.0%"/>
    <numFmt numFmtId="171" formatCode="0.000"/>
    <numFmt numFmtId="172" formatCode="0.000000"/>
  </numFmts>
  <fonts count="9">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sz val="9"/>
      <color rgb="FF666666"/>
      <name val="Arial"/>
      <family val="0"/>
      <charset val="1"/>
    </font>
    <font>
      <sz val="10"/>
      <color rgb="FF0000CC"/>
      <name val="Arial"/>
      <family val="0"/>
      <charset val="1"/>
    </font>
    <font>
      <b val="true"/>
      <sz val="10"/>
      <name val="Arial"/>
      <family val="0"/>
      <charset val="1"/>
    </font>
  </fonts>
  <fills count="4">
    <fill>
      <patternFill patternType="none"/>
    </fill>
    <fill>
      <patternFill patternType="gray125"/>
    </fill>
    <fill>
      <patternFill patternType="solid">
        <fgColor rgb="FFFFF2CC"/>
        <bgColor rgb="FFEEEEEE"/>
      </patternFill>
    </fill>
    <fill>
      <patternFill patternType="solid">
        <fgColor rgb="FFEEEEEE"/>
        <bgColor rgb="FFFFF2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2"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tru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2" fontId="5"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EEEEE"/>
      <rgbColor rgb="FFFF0000"/>
      <rgbColor rgb="FF00FF00"/>
      <rgbColor rgb="FF0000CC"/>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8"/>
  </cols>
  <sheetData>
    <row r="1" customFormat="false" ht="16.15" hidden="false" customHeight="false" outlineLevel="0" collapsed="false">
      <c r="A1" s="1" t="s">
        <v>0</v>
      </c>
    </row>
    <row r="3" customFormat="false" ht="42" hidden="false" customHeight="true" outlineLevel="0" collapsed="false">
      <c r="A3" s="2" t="s">
        <v>1</v>
      </c>
    </row>
    <row r="4" customFormat="false" ht="42" hidden="false" customHeight="true" outlineLevel="0" collapsed="false">
      <c r="A4" s="2" t="s">
        <v>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5" min="2" style="0" width="18"/>
    <col collapsed="false" customWidth="true" hidden="false" outlineLevel="0" max="6" min="6" style="0" width="22"/>
  </cols>
  <sheetData>
    <row r="1" customFormat="false" ht="16.15" hidden="false" customHeight="false" outlineLevel="0" collapsed="false">
      <c r="A1" s="1" t="s">
        <v>3</v>
      </c>
    </row>
    <row r="2" customFormat="false" ht="15" hidden="false" customHeight="false" outlineLevel="0" collapsed="false">
      <c r="A2" s="3" t="s">
        <v>4</v>
      </c>
    </row>
    <row r="4" customFormat="false" ht="15" hidden="false" customHeight="false" outlineLevel="0" collapsed="false">
      <c r="A4" s="4" t="s">
        <v>5</v>
      </c>
      <c r="B4" s="5" t="n">
        <v>61000000</v>
      </c>
    </row>
    <row r="5" customFormat="false" ht="15" hidden="false" customHeight="false" outlineLevel="0" collapsed="false">
      <c r="A5" s="4" t="s">
        <v>6</v>
      </c>
      <c r="B5" s="6" t="n">
        <v>45200000</v>
      </c>
    </row>
    <row r="6" customFormat="false" ht="15" hidden="false" customHeight="false" outlineLevel="0" collapsed="false">
      <c r="A6" s="4" t="s">
        <v>7</v>
      </c>
      <c r="B6" s="7" t="n">
        <v>0.0635</v>
      </c>
    </row>
    <row r="7" customFormat="false" ht="15" hidden="false" customHeight="false" outlineLevel="0" collapsed="false">
      <c r="A7" s="4" t="s">
        <v>8</v>
      </c>
      <c r="B7" s="8" t="n">
        <v>22</v>
      </c>
    </row>
    <row r="8" customFormat="false" ht="15" hidden="false" customHeight="false" outlineLevel="0" collapsed="false">
      <c r="A8" s="4" t="s">
        <v>9</v>
      </c>
      <c r="B8" s="9" t="n">
        <v>4</v>
      </c>
    </row>
    <row r="9" customFormat="false" ht="15" hidden="false" customHeight="false" outlineLevel="0" collapsed="false">
      <c r="A9" s="4" t="s">
        <v>10</v>
      </c>
      <c r="B9" s="6" t="n">
        <v>47500000</v>
      </c>
    </row>
    <row r="10" customFormat="false" ht="15" hidden="false" customHeight="false" outlineLevel="0" collapsed="false">
      <c r="A10" s="4" t="s">
        <v>11</v>
      </c>
      <c r="B10" s="10" t="n">
        <v>0.9</v>
      </c>
    </row>
    <row r="11" customFormat="false" ht="15" hidden="false" customHeight="false" outlineLevel="0" collapsed="false">
      <c r="A11" s="4" t="s">
        <v>12</v>
      </c>
      <c r="B11" s="7" t="n">
        <v>0.01</v>
      </c>
    </row>
    <row r="12" customFormat="false" ht="15" hidden="false" customHeight="false" outlineLevel="0" collapsed="false">
      <c r="A12" s="4" t="s">
        <v>13</v>
      </c>
      <c r="B12" s="7" t="n">
        <v>0.0025</v>
      </c>
    </row>
    <row r="13" customFormat="false" ht="15" hidden="false" customHeight="false" outlineLevel="0" collapsed="false">
      <c r="A13" s="4" t="s">
        <v>14</v>
      </c>
      <c r="B13" s="7" t="n">
        <v>0.0155</v>
      </c>
    </row>
    <row r="14" customFormat="false" ht="15" hidden="false" customHeight="false" outlineLevel="0" collapsed="false">
      <c r="A14" s="4" t="s">
        <v>15</v>
      </c>
      <c r="B14" s="11" t="n">
        <v>0.00045</v>
      </c>
    </row>
    <row r="16" customFormat="false" ht="23.85" hidden="false" customHeight="false" outlineLevel="0" collapsed="false">
      <c r="A16" s="12"/>
      <c r="B16" s="12" t="s">
        <v>16</v>
      </c>
      <c r="C16" s="12" t="s">
        <v>17</v>
      </c>
    </row>
    <row r="17" customFormat="false" ht="15" hidden="false" customHeight="false" outlineLevel="0" collapsed="false">
      <c r="A17" s="4" t="s">
        <v>18</v>
      </c>
      <c r="B17" s="13" t="n">
        <f aca="false">MAX(0,B4+B4*B6*B8/12-B10*B9)</f>
        <v>19541166.6666667</v>
      </c>
      <c r="C17" s="13" t="s">
        <v>19</v>
      </c>
    </row>
    <row r="18" customFormat="false" ht="15" hidden="false" customHeight="false" outlineLevel="0" collapsed="false">
      <c r="A18" s="4" t="s">
        <v>20</v>
      </c>
      <c r="B18" s="13" t="n">
        <f aca="false">B4*B6*B8/12+(B4-B17)*B6*(B7-B8)/12</f>
        <v>5240120.54166667</v>
      </c>
      <c r="C18" s="13" t="n">
        <f aca="false">B4*B6*B7/12</f>
        <v>7101416.66666667</v>
      </c>
    </row>
    <row r="19" customFormat="false" ht="15" hidden="false" customHeight="false" outlineLevel="0" collapsed="false">
      <c r="A19" s="4" t="s">
        <v>21</v>
      </c>
      <c r="B19" s="13" t="n">
        <f aca="false">$B$5*$B$11</f>
        <v>452000</v>
      </c>
      <c r="C19" s="13" t="n">
        <f aca="false">$B$5*$B$11</f>
        <v>452000</v>
      </c>
    </row>
    <row r="20" customFormat="false" ht="15" hidden="false" customHeight="false" outlineLevel="0" collapsed="false">
      <c r="A20" s="4" t="s">
        <v>22</v>
      </c>
      <c r="B20" s="13" t="n">
        <f aca="false">$B$4*$B$12*$B$7/12</f>
        <v>279583.333333333</v>
      </c>
      <c r="C20" s="13" t="n">
        <f aca="false">$B$4*$B$12*$B$7/12</f>
        <v>279583.333333333</v>
      </c>
    </row>
    <row r="21" customFormat="false" ht="15" hidden="false" customHeight="false" outlineLevel="0" collapsed="false">
      <c r="A21" s="4" t="s">
        <v>23</v>
      </c>
      <c r="B21" s="13" t="n">
        <f aca="false">$B$4*$B$13</f>
        <v>945500</v>
      </c>
      <c r="C21" s="13" t="n">
        <f aca="false">$B$4*$B$13</f>
        <v>945500</v>
      </c>
    </row>
    <row r="22" customFormat="false" ht="15" hidden="false" customHeight="false" outlineLevel="0" collapsed="false">
      <c r="A22" s="4" t="s">
        <v>24</v>
      </c>
      <c r="B22" s="13" t="n">
        <f aca="false">$B$5-B19-B20-B21-B18</f>
        <v>38282796.125</v>
      </c>
      <c r="C22" s="13" t="n">
        <f aca="false">$B$5-C19-C20-C21-C18</f>
        <v>36421500</v>
      </c>
    </row>
    <row r="23" customFormat="false" ht="15" hidden="false" customHeight="false" outlineLevel="0" collapsed="false">
      <c r="A23" s="4" t="s">
        <v>25</v>
      </c>
      <c r="B23" s="13" t="n">
        <f aca="false">$B$4-B22</f>
        <v>22717203.875</v>
      </c>
      <c r="C23" s="13" t="n">
        <f aca="false">$B$4-C22</f>
        <v>24578500</v>
      </c>
    </row>
    <row r="24" customFormat="false" ht="15" hidden="false" customHeight="false" outlineLevel="0" collapsed="false">
      <c r="A24" s="14" t="s">
        <v>26</v>
      </c>
      <c r="B24" s="15" t="n">
        <f aca="false">B23/$B$4</f>
        <v>0.372413178278689</v>
      </c>
      <c r="C24" s="15" t="n">
        <f aca="false">C23/$B$4</f>
        <v>0.402926229508197</v>
      </c>
    </row>
    <row r="25" customFormat="false" ht="15" hidden="false" customHeight="false" outlineLevel="0" collapsed="false">
      <c r="A25" s="4" t="s">
        <v>27</v>
      </c>
      <c r="B25" s="16" t="n">
        <f aca="false">($B$4-$B$5)/$B$4</f>
        <v>0.259016393442623</v>
      </c>
      <c r="C25" s="16" t="n">
        <f aca="false">($B$4-$B$5)/$B$4</f>
        <v>0.259016393442623</v>
      </c>
    </row>
    <row r="26" customFormat="false" ht="15" hidden="false" customHeight="false" outlineLevel="0" collapsed="false">
      <c r="A26" s="4" t="s">
        <v>28</v>
      </c>
      <c r="B26" s="16" t="n">
        <f aca="false">B24-B25</f>
        <v>0.113396784836066</v>
      </c>
      <c r="C26" s="16" t="n">
        <f aca="false">C24-C25</f>
        <v>0.143909836065574</v>
      </c>
    </row>
    <row r="27" customFormat="false" ht="15" hidden="false" customHeight="false" outlineLevel="0" collapsed="false">
      <c r="A27" s="4" t="s">
        <v>29</v>
      </c>
      <c r="B27" s="16" t="n">
        <f aca="false">B18/$B$4</f>
        <v>0.0859036154371585</v>
      </c>
      <c r="C27" s="16" t="n">
        <f aca="false">C18/$B$4</f>
        <v>0.116416666666667</v>
      </c>
    </row>
    <row r="28" customFormat="false" ht="15" hidden="false" customHeight="false" outlineLevel="0" collapsed="false">
      <c r="A28" s="4" t="s">
        <v>30</v>
      </c>
      <c r="B28" s="16" t="n">
        <f aca="false">(B19+B20+B21)/$B$4</f>
        <v>0.0274931693989071</v>
      </c>
      <c r="C28" s="16" t="n">
        <f aca="false">(C19+C20+C21)/$B$4</f>
        <v>0.0274931693989071</v>
      </c>
    </row>
    <row r="29" customFormat="false" ht="15" hidden="false" customHeight="false" outlineLevel="0" collapsed="false">
      <c r="A29" s="4" t="s">
        <v>31</v>
      </c>
      <c r="B29" s="17" t="n">
        <f aca="false">B27/B26</f>
        <v>0.757548951333557</v>
      </c>
      <c r="C29" s="17" t="n">
        <f aca="false">C27/C26</f>
        <v>0.808955592261396</v>
      </c>
    </row>
    <row r="31" customFormat="false" ht="15" hidden="false" customHeight="false" outlineLevel="0" collapsed="false">
      <c r="A31" s="4" t="s">
        <v>32</v>
      </c>
      <c r="B31" s="13" t="n">
        <f aca="false">(B4-B17)*B6+B4*B12</f>
        <v>2785135.91666667</v>
      </c>
      <c r="C31" s="13" t="n">
        <f aca="false">B4*B6+B4*B12</f>
        <v>4026000</v>
      </c>
    </row>
    <row r="32" customFormat="false" ht="15" hidden="false" customHeight="false" outlineLevel="0" collapsed="false">
      <c r="A32" s="14" t="s">
        <v>33</v>
      </c>
      <c r="B32" s="15" t="n">
        <f aca="false">B31/$B$9</f>
        <v>0.0586344403508772</v>
      </c>
      <c r="C32" s="15" t="n">
        <f aca="false">C31/$B$9</f>
        <v>0.0847578947368421</v>
      </c>
    </row>
    <row r="33" customFormat="false" ht="15" hidden="false" customHeight="false" outlineLevel="0" collapsed="false">
      <c r="A33" s="4" t="s">
        <v>34</v>
      </c>
      <c r="B33" s="16" t="n">
        <f aca="false">B31/$B$5</f>
        <v>0.0616180512536873</v>
      </c>
      <c r="C33" s="16" t="n">
        <f aca="false">C31/$B$5</f>
        <v>0.089070796460177</v>
      </c>
    </row>
    <row r="35" customFormat="false" ht="15" hidden="false" customHeight="false" outlineLevel="0" collapsed="false">
      <c r="A35" s="4" t="s">
        <v>35</v>
      </c>
      <c r="B35" s="13" t="n">
        <f aca="false">B4*B6/12</f>
        <v>322791.666666667</v>
      </c>
    </row>
    <row r="36" customFormat="false" ht="15" hidden="false" customHeight="false" outlineLevel="0" collapsed="false">
      <c r="A36" s="4" t="s">
        <v>36</v>
      </c>
      <c r="B36" s="13" t="n">
        <f aca="false">(B4-B17)*B6/12</f>
        <v>219386.326388889</v>
      </c>
    </row>
    <row r="37" customFormat="false" ht="15" hidden="false" customHeight="false" outlineLevel="0" collapsed="false">
      <c r="A37" s="4" t="s">
        <v>37</v>
      </c>
      <c r="B37" s="13" t="n">
        <f aca="false">B4*B12/12</f>
        <v>12708.3333333333</v>
      </c>
    </row>
    <row r="38" customFormat="false" ht="15" hidden="false" customHeight="false" outlineLevel="0" collapsed="false">
      <c r="A38" s="4" t="s">
        <v>38</v>
      </c>
      <c r="B38" s="13" t="n">
        <f aca="false">B36+B37</f>
        <v>232094.659722222</v>
      </c>
    </row>
    <row r="39" customFormat="false" ht="15" hidden="false" customHeight="false" outlineLevel="0" collapsed="false">
      <c r="A39" s="4" t="s">
        <v>39</v>
      </c>
      <c r="B39" s="16" t="n">
        <f aca="false">B38*12/B4</f>
        <v>0.0456579658469945</v>
      </c>
    </row>
    <row r="40" customFormat="false" ht="15" hidden="false" customHeight="false" outlineLevel="0" collapsed="false">
      <c r="A40" s="4" t="s">
        <v>40</v>
      </c>
      <c r="B40" s="13" t="n">
        <f aca="false">B4*B6*B8/12</f>
        <v>1291166.66666667</v>
      </c>
    </row>
    <row r="41" customFormat="false" ht="15" hidden="false" customHeight="false" outlineLevel="0" collapsed="false">
      <c r="A41" s="4" t="s">
        <v>41</v>
      </c>
      <c r="B41" s="13" t="n">
        <f aca="false">B17*(B6-B14)/12</f>
        <v>102672.546527778</v>
      </c>
    </row>
    <row r="42" customFormat="false" ht="15" hidden="false" customHeight="false" outlineLevel="0" collapsed="false">
      <c r="A42" s="4" t="s">
        <v>42</v>
      </c>
      <c r="B42" s="16" t="n">
        <f aca="false">C24-B24</f>
        <v>0.0305130512295082</v>
      </c>
    </row>
    <row r="43" customFormat="false" ht="15" hidden="false" customHeight="false" outlineLevel="0" collapsed="false">
      <c r="A43" s="4" t="s">
        <v>43</v>
      </c>
      <c r="B43" s="13" t="n">
        <f aca="false">C18-B18</f>
        <v>1861296.125</v>
      </c>
    </row>
    <row r="44" customFormat="false" ht="15" hidden="false" customHeight="false" outlineLevel="0" collapsed="false">
      <c r="A44" s="4" t="s">
        <v>44</v>
      </c>
      <c r="B44" s="13" t="n">
        <f aca="false">B41*(B7-B8)</f>
        <v>1848105.8375</v>
      </c>
    </row>
    <row r="45" customFormat="false" ht="15" hidden="false" customHeight="false" outlineLevel="0" collapsed="false">
      <c r="A45" s="4" t="s">
        <v>45</v>
      </c>
      <c r="B45" s="16" t="n">
        <f aca="false">C32-B32</f>
        <v>0.0261234543859649</v>
      </c>
    </row>
    <row r="46" customFormat="false" ht="15" hidden="false" customHeight="false" outlineLevel="0" collapsed="false">
      <c r="A46" s="4" t="s">
        <v>46</v>
      </c>
      <c r="B46" s="18" t="n">
        <f aca="false">(B33-B32)*10000</f>
        <v>29.8361090281012</v>
      </c>
    </row>
    <row r="47" customFormat="false" ht="15" hidden="false" customHeight="false" outlineLevel="0" collapsed="false">
      <c r="A47" s="4" t="s">
        <v>47</v>
      </c>
      <c r="B47" s="17" t="n">
        <f aca="false">C18/B4</f>
        <v>0.116416666666667</v>
      </c>
    </row>
    <row r="49" customFormat="false" ht="15" hidden="false" customHeight="false" outlineLevel="0" collapsed="false">
      <c r="A49" s="14" t="s">
        <v>48</v>
      </c>
    </row>
    <row r="50" customFormat="false" ht="23.85" hidden="false" customHeight="false" outlineLevel="0" collapsed="false">
      <c r="A50" s="12" t="s">
        <v>10</v>
      </c>
      <c r="B50" s="12" t="s">
        <v>49</v>
      </c>
      <c r="C50" s="12" t="s">
        <v>50</v>
      </c>
      <c r="D50" s="12" t="s">
        <v>51</v>
      </c>
      <c r="E50" s="12" t="s">
        <v>52</v>
      </c>
      <c r="F50" s="12" t="s">
        <v>53</v>
      </c>
    </row>
    <row r="51" customFormat="false" ht="15" hidden="false" customHeight="false" outlineLevel="0" collapsed="false">
      <c r="A51" s="5" t="n">
        <v>60000000</v>
      </c>
      <c r="B51" s="13" t="n">
        <f aca="false">MAX(0,$B$4+$B$4*$B$6*$B$8/12-$B$10*A51)</f>
        <v>8291166.66666666</v>
      </c>
      <c r="C51" s="19" t="n">
        <f aca="false">($B$4-B51)/A51</f>
        <v>0.878480555555556</v>
      </c>
      <c r="D51" s="16" t="n">
        <f aca="false">(($B$4-B51)*$B$6+$B$4*$B$12)/A51</f>
        <v>0.0583251819444445</v>
      </c>
      <c r="E51" s="16" t="n">
        <f aca="false">($B$4*$B$6+$B$4*$B$12)/A51</f>
        <v>0.0671</v>
      </c>
      <c r="F51" s="16" t="n">
        <f aca="false">$B$6*C51+$B$12*$B$4/A51</f>
        <v>0.0583251819444444</v>
      </c>
    </row>
    <row r="52" customFormat="false" ht="15" hidden="false" customHeight="false" outlineLevel="0" collapsed="false">
      <c r="A52" s="5" t="n">
        <v>55000000</v>
      </c>
      <c r="B52" s="13" t="n">
        <f aca="false">MAX(0,$B$4+$B$4*$B$6*$B$8/12-$B$10*A52)</f>
        <v>12791166.6666667</v>
      </c>
      <c r="C52" s="19" t="n">
        <f aca="false">($B$4-B52)/A52</f>
        <v>0.876524242424242</v>
      </c>
      <c r="D52" s="16" t="n">
        <f aca="false">(($B$4-B52)*$B$6+$B$4*$B$12)/A52</f>
        <v>0.0584320166666667</v>
      </c>
      <c r="E52" s="16" t="n">
        <f aca="false">($B$4*$B$6+$B$4*$B$12)/A52</f>
        <v>0.0732</v>
      </c>
      <c r="F52" s="16" t="n">
        <f aca="false">$B$6*C52+$B$12*$B$4/A52</f>
        <v>0.0584320166666667</v>
      </c>
    </row>
    <row r="53" customFormat="false" ht="15" hidden="false" customHeight="false" outlineLevel="0" collapsed="false">
      <c r="A53" s="5" t="n">
        <v>47500000</v>
      </c>
      <c r="B53" s="13" t="n">
        <f aca="false">MAX(0,$B$4+$B$4*$B$6*$B$8/12-$B$10*A53)</f>
        <v>19541166.6666667</v>
      </c>
      <c r="C53" s="19" t="n">
        <f aca="false">($B$4-B53)/A53</f>
        <v>0.872817543859649</v>
      </c>
      <c r="D53" s="16" t="n">
        <f aca="false">(($B$4-B53)*$B$6+$B$4*$B$12)/A53</f>
        <v>0.0586344403508772</v>
      </c>
      <c r="E53" s="16" t="n">
        <f aca="false">($B$4*$B$6+$B$4*$B$12)/A53</f>
        <v>0.0847578947368421</v>
      </c>
      <c r="F53" s="16" t="n">
        <f aca="false">$B$6*C53+$B$12*$B$4/A53</f>
        <v>0.0586344403508772</v>
      </c>
    </row>
    <row r="54" customFormat="false" ht="15" hidden="false" customHeight="false" outlineLevel="0" collapsed="false">
      <c r="A54" s="5" t="n">
        <v>40000000</v>
      </c>
      <c r="B54" s="13" t="n">
        <f aca="false">MAX(0,$B$4+$B$4*$B$6*$B$8/12-$B$10*A54)</f>
        <v>26291166.6666667</v>
      </c>
      <c r="C54" s="19" t="n">
        <f aca="false">($B$4-B54)/A54</f>
        <v>0.867720833333333</v>
      </c>
      <c r="D54" s="16" t="n">
        <f aca="false">(($B$4-B54)*$B$6+$B$4*$B$12)/A54</f>
        <v>0.0589127729166667</v>
      </c>
      <c r="E54" s="16" t="n">
        <f aca="false">($B$4*$B$6+$B$4*$B$12)/A54</f>
        <v>0.10065</v>
      </c>
      <c r="F54" s="16" t="n">
        <f aca="false">$B$6*C54+$B$12*$B$4/A54</f>
        <v>0.0589127729166667</v>
      </c>
    </row>
    <row r="55" customFormat="false" ht="15" hidden="false" customHeight="false" outlineLevel="0" collapsed="false">
      <c r="A55" s="5" t="n">
        <v>35000000</v>
      </c>
      <c r="B55" s="13" t="n">
        <f aca="false">MAX(0,$B$4+$B$4*$B$6*$B$8/12-$B$10*A55)</f>
        <v>30791166.6666667</v>
      </c>
      <c r="C55" s="19" t="n">
        <f aca="false">($B$4-B55)/A55</f>
        <v>0.863109523809524</v>
      </c>
      <c r="D55" s="16" t="n">
        <f aca="false">(($B$4-B55)*$B$6+$B$4*$B$12)/A55</f>
        <v>0.0591645976190476</v>
      </c>
      <c r="E55" s="16" t="n">
        <f aca="false">($B$4*$B$6+$B$4*$B$12)/A55</f>
        <v>0.115028571428571</v>
      </c>
      <c r="F55" s="16" t="n">
        <f aca="false">$B$6*C55+$B$12*$B$4/A55</f>
        <v>0.0591645976190476</v>
      </c>
    </row>
    <row r="56" customFormat="false" ht="15" hidden="false" customHeight="false" outlineLevel="0" collapsed="false">
      <c r="A56" s="5" t="n">
        <v>30000000</v>
      </c>
      <c r="B56" s="13" t="n">
        <f aca="false">MAX(0,$B$4+$B$4*$B$6*$B$8/12-$B$10*A56)</f>
        <v>35291166.6666667</v>
      </c>
      <c r="C56" s="19" t="n">
        <f aca="false">($B$4-B56)/A56</f>
        <v>0.856961111111111</v>
      </c>
      <c r="D56" s="16" t="n">
        <f aca="false">(($B$4-B56)*$B$6+$B$4*$B$12)/A56</f>
        <v>0.0595003638888889</v>
      </c>
      <c r="E56" s="16" t="n">
        <f aca="false">($B$4*$B$6+$B$4*$B$12)/A56</f>
        <v>0.1342</v>
      </c>
      <c r="F56" s="16" t="n">
        <f aca="false">$B$6*C56+$B$12*$B$4/A56</f>
        <v>0.0595003638888889</v>
      </c>
    </row>
    <row r="57" customFormat="false" ht="15" hidden="false" customHeight="false" outlineLevel="0" collapsed="false">
      <c r="A57" s="5" t="n">
        <v>25000000</v>
      </c>
      <c r="B57" s="13" t="n">
        <f aca="false">MAX(0,$B$4+$B$4*$B$6*$B$8/12-$B$10*A57)</f>
        <v>39791166.6666667</v>
      </c>
      <c r="C57" s="19" t="n">
        <f aca="false">($B$4-B57)/A57</f>
        <v>0.848353333333333</v>
      </c>
      <c r="D57" s="16" t="n">
        <f aca="false">(($B$4-B57)*$B$6+$B$4*$B$12)/A57</f>
        <v>0.0599704366666667</v>
      </c>
      <c r="E57" s="16" t="n">
        <f aca="false">($B$4*$B$6+$B$4*$B$12)/A57</f>
        <v>0.16104</v>
      </c>
      <c r="F57" s="16" t="n">
        <f aca="false">$B$6*C57+$B$12*$B$4/A57</f>
        <v>0.0599704366666667</v>
      </c>
    </row>
    <row r="59" customFormat="false" ht="15" hidden="false" customHeight="false" outlineLevel="0" collapsed="false">
      <c r="A59" s="4" t="s">
        <v>54</v>
      </c>
      <c r="B59" s="16" t="n">
        <f aca="false">MIN(D51:D57)</f>
        <v>0.0583251819444445</v>
      </c>
    </row>
    <row r="60" customFormat="false" ht="15" hidden="false" customHeight="false" outlineLevel="0" collapsed="false">
      <c r="A60" s="4"/>
      <c r="B60" s="16" t="n">
        <f aca="false">MAX(D51:D57)</f>
        <v>0.0599704366666667</v>
      </c>
    </row>
    <row r="61" customFormat="false" ht="15" hidden="false" customHeight="false" outlineLevel="0" collapsed="false">
      <c r="A61" s="4" t="s">
        <v>55</v>
      </c>
      <c r="B61" s="16" t="n">
        <f aca="false">MIN(E51:E57)</f>
        <v>0.0671</v>
      </c>
    </row>
    <row r="62" customFormat="false" ht="15" hidden="false" customHeight="false" outlineLevel="0" collapsed="false">
      <c r="A62" s="4"/>
      <c r="B62" s="16" t="n">
        <f aca="false">MAX(E51:E57)</f>
        <v>0.16104</v>
      </c>
    </row>
    <row r="63" customFormat="false" ht="15" hidden="false" customHeight="false" outlineLevel="0" collapsed="false">
      <c r="A63" s="4" t="s">
        <v>56</v>
      </c>
      <c r="B63" s="19" t="n">
        <f aca="false">MAX(C51:C57)</f>
        <v>0.878480555555556</v>
      </c>
    </row>
    <row r="65" customFormat="false" ht="15" hidden="false" customHeight="false" outlineLevel="0" collapsed="false">
      <c r="A65" s="3" t="s">
        <v>57</v>
      </c>
    </row>
    <row r="66" customFormat="false" ht="15" hidden="false" customHeight="false" outlineLevel="0" collapsed="false">
      <c r="A66" s="3" t="s">
        <v>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3" min="2" style="0" width="16"/>
    <col collapsed="false" customWidth="true" hidden="false" outlineLevel="0" max="4" min="4" style="0" width="12"/>
    <col collapsed="false" customWidth="true" hidden="false" outlineLevel="0" max="5" min="5" style="0" width="9"/>
    <col collapsed="false" customWidth="true" hidden="false" outlineLevel="0" max="6" min="6" style="0" width="52"/>
    <col collapsed="false" customWidth="true" hidden="false" outlineLevel="0" max="7" min="7" style="0" width="10"/>
  </cols>
  <sheetData>
    <row r="1" customFormat="false" ht="16.15" hidden="false" customHeight="false" outlineLevel="0" collapsed="false">
      <c r="A1" s="1" t="s">
        <v>59</v>
      </c>
    </row>
    <row r="2" customFormat="false" ht="15" hidden="false" customHeight="false" outlineLevel="0" collapsed="false">
      <c r="A2" s="3" t="s">
        <v>60</v>
      </c>
    </row>
    <row r="4" customFormat="false" ht="15" hidden="false" customHeight="false" outlineLevel="0" collapsed="false">
      <c r="A4" s="12" t="s">
        <v>61</v>
      </c>
      <c r="B4" s="12" t="s">
        <v>62</v>
      </c>
      <c r="C4" s="12" t="s">
        <v>63</v>
      </c>
      <c r="D4" s="12" t="s">
        <v>64</v>
      </c>
      <c r="E4" s="12" t="s">
        <v>65</v>
      </c>
      <c r="F4" s="12" t="s">
        <v>66</v>
      </c>
      <c r="G4" s="12" t="s">
        <v>67</v>
      </c>
    </row>
    <row r="5" customFormat="false" ht="15" hidden="false" customHeight="false" outlineLevel="0" collapsed="false">
      <c r="A5" s="2" t="s">
        <v>18</v>
      </c>
      <c r="B5" s="13" t="n">
        <f aca="false">Bridge!B17</f>
        <v>19541166.6666667</v>
      </c>
      <c r="C5" s="5" t="n">
        <v>19540000</v>
      </c>
      <c r="D5" s="13" t="n">
        <f aca="false">IF(ISNUMBER(B5),B5-C5,"")</f>
        <v>1166.66666666418</v>
      </c>
      <c r="E5" s="14" t="str">
        <f aca="false">IF(ISNUMBER(B5),IF(ABS(B5-C5)&lt;=G5,"OK","CHECK"),IF(B5=C5,"OK","CHECK"))</f>
        <v>OK</v>
      </c>
      <c r="F5" s="20"/>
      <c r="G5" s="3" t="n">
        <v>5000.005</v>
      </c>
    </row>
    <row r="6" customFormat="false" ht="15" hidden="false" customHeight="false" outlineLevel="0" collapsed="false">
      <c r="A6" s="2" t="s">
        <v>40</v>
      </c>
      <c r="B6" s="13" t="n">
        <f aca="false">Bridge!B40</f>
        <v>1291166.66666667</v>
      </c>
      <c r="C6" s="5" t="n">
        <v>1290000</v>
      </c>
      <c r="D6" s="13" t="n">
        <f aca="false">IF(ISNUMBER(B6),B6-C6,"")</f>
        <v>1166.66666666674</v>
      </c>
      <c r="E6" s="14" t="str">
        <f aca="false">IF(ISNUMBER(B6),IF(ABS(B6-C6)&lt;=G6,"OK","CHECK"),IF(B6=C6,"OK","CHECK"))</f>
        <v>OK</v>
      </c>
      <c r="F6" s="20"/>
      <c r="G6" s="3" t="n">
        <v>5000.005</v>
      </c>
    </row>
    <row r="7" customFormat="false" ht="15" hidden="false" customHeight="false" outlineLevel="0" collapsed="false">
      <c r="A7" s="2" t="s">
        <v>68</v>
      </c>
      <c r="B7" s="13" t="n">
        <f aca="false">Bridge!B18</f>
        <v>5240120.54166667</v>
      </c>
      <c r="C7" s="5" t="n">
        <v>5240000</v>
      </c>
      <c r="D7" s="13" t="n">
        <f aca="false">IF(ISNUMBER(B7),B7-C7,"")</f>
        <v>120.541666666977</v>
      </c>
      <c r="E7" s="14" t="str">
        <f aca="false">IF(ISNUMBER(B7),IF(ABS(B7-C7)&lt;=G7,"OK","CHECK"),IF(B7=C7,"OK","CHECK"))</f>
        <v>OK</v>
      </c>
      <c r="F7" s="20"/>
      <c r="G7" s="3" t="n">
        <v>5000.005</v>
      </c>
    </row>
    <row r="8" customFormat="false" ht="15" hidden="false" customHeight="false" outlineLevel="0" collapsed="false">
      <c r="A8" s="2" t="s">
        <v>69</v>
      </c>
      <c r="B8" s="13" t="n">
        <f aca="false">Bridge!C18</f>
        <v>7101416.66666667</v>
      </c>
      <c r="C8" s="5" t="n">
        <v>7100000</v>
      </c>
      <c r="D8" s="13" t="n">
        <f aca="false">IF(ISNUMBER(B8),B8-C8,"")</f>
        <v>1416.66666666698</v>
      </c>
      <c r="E8" s="14" t="str">
        <f aca="false">IF(ISNUMBER(B8),IF(ABS(B8-C8)&lt;=G8,"OK","CHECK"),IF(B8=C8,"OK","CHECK"))</f>
        <v>OK</v>
      </c>
      <c r="F8" s="20"/>
      <c r="G8" s="3" t="n">
        <v>5000.005</v>
      </c>
    </row>
    <row r="9" customFormat="false" ht="15" hidden="false" customHeight="false" outlineLevel="0" collapsed="false">
      <c r="A9" s="2" t="s">
        <v>70</v>
      </c>
      <c r="B9" s="17" t="n">
        <f aca="false">Bridge!B47</f>
        <v>0.116416666666667</v>
      </c>
      <c r="C9" s="21" t="n">
        <v>0.116</v>
      </c>
      <c r="D9" s="17" t="n">
        <f aca="false">IF(ISNUMBER(B9),B9-C9,"")</f>
        <v>0.000416666666666662</v>
      </c>
      <c r="E9" s="14" t="str">
        <f aca="false">IF(ISNUMBER(B9),IF(ABS(B9-C9)&lt;=G9,"OK","CHECK"),IF(B9=C9,"OK","CHECK"))</f>
        <v>OK</v>
      </c>
      <c r="F9" s="20" t="s">
        <v>71</v>
      </c>
      <c r="G9" s="3" t="n">
        <v>0.000500000501</v>
      </c>
    </row>
    <row r="10" customFormat="false" ht="15" hidden="false" customHeight="false" outlineLevel="0" collapsed="false">
      <c r="A10" s="2" t="s">
        <v>72</v>
      </c>
      <c r="B10" s="13" t="n">
        <f aca="false">Bridge!B35</f>
        <v>322791.666666667</v>
      </c>
      <c r="C10" s="5" t="n">
        <v>322792</v>
      </c>
      <c r="D10" s="13" t="n">
        <f aca="false">IF(ISNUMBER(B10),B10-C10,"")</f>
        <v>-0.333333333313931</v>
      </c>
      <c r="E10" s="14" t="str">
        <f aca="false">IF(ISNUMBER(B10),IF(ABS(B10-C10)&lt;=G10,"OK","CHECK"),IF(B10=C10,"OK","CHECK"))</f>
        <v>OK</v>
      </c>
      <c r="F10" s="20"/>
      <c r="G10" s="3" t="n">
        <v>0.500000500001</v>
      </c>
    </row>
    <row r="11" customFormat="false" ht="15" hidden="false" customHeight="false" outlineLevel="0" collapsed="false">
      <c r="A11" s="2" t="s">
        <v>21</v>
      </c>
      <c r="B11" s="13" t="n">
        <f aca="false">Bridge!B19</f>
        <v>452000</v>
      </c>
      <c r="C11" s="5" t="n">
        <v>452000</v>
      </c>
      <c r="D11" s="13" t="n">
        <f aca="false">IF(ISNUMBER(B11),B11-C11,"")</f>
        <v>0</v>
      </c>
      <c r="E11" s="14" t="str">
        <f aca="false">IF(ISNUMBER(B11),IF(ABS(B11-C11)&lt;=G11,"OK","CHECK"),IF(B11=C11,"OK","CHECK"))</f>
        <v>OK</v>
      </c>
      <c r="F11" s="20"/>
      <c r="G11" s="3" t="n">
        <v>0.500000500001</v>
      </c>
    </row>
    <row r="12" customFormat="false" ht="15" hidden="false" customHeight="false" outlineLevel="0" collapsed="false">
      <c r="A12" s="2" t="s">
        <v>22</v>
      </c>
      <c r="B12" s="13" t="n">
        <f aca="false">Bridge!B20</f>
        <v>279583.333333333</v>
      </c>
      <c r="C12" s="5" t="n">
        <v>279583</v>
      </c>
      <c r="D12" s="13" t="n">
        <f aca="false">IF(ISNUMBER(B12),B12-C12,"")</f>
        <v>0.333333333313931</v>
      </c>
      <c r="E12" s="14" t="str">
        <f aca="false">IF(ISNUMBER(B12),IF(ABS(B12-C12)&lt;=G12,"OK","CHECK"),IF(B12=C12,"OK","CHECK"))</f>
        <v>OK</v>
      </c>
      <c r="F12" s="20"/>
      <c r="G12" s="3" t="n">
        <v>0.500000500001</v>
      </c>
    </row>
    <row r="13" customFormat="false" ht="15" hidden="false" customHeight="false" outlineLevel="0" collapsed="false">
      <c r="A13" s="2" t="s">
        <v>23</v>
      </c>
      <c r="B13" s="13" t="n">
        <f aca="false">Bridge!B21</f>
        <v>945500</v>
      </c>
      <c r="C13" s="5" t="n">
        <v>945500</v>
      </c>
      <c r="D13" s="13" t="n">
        <f aca="false">IF(ISNUMBER(B13),B13-C13,"")</f>
        <v>0</v>
      </c>
      <c r="E13" s="14" t="str">
        <f aca="false">IF(ISNUMBER(B13),IF(ABS(B13-C13)&lt;=G13,"OK","CHECK"),IF(B13=C13,"OK","CHECK"))</f>
        <v>OK</v>
      </c>
      <c r="F13" s="20"/>
      <c r="G13" s="3" t="n">
        <v>0.500000500001</v>
      </c>
    </row>
    <row r="14" customFormat="false" ht="15" hidden="false" customHeight="false" outlineLevel="0" collapsed="false">
      <c r="A14" s="2" t="s">
        <v>24</v>
      </c>
      <c r="B14" s="13" t="n">
        <f aca="false">Bridge!B22</f>
        <v>38282796.125</v>
      </c>
      <c r="C14" s="5" t="n">
        <v>38280000</v>
      </c>
      <c r="D14" s="13" t="n">
        <f aca="false">IF(ISNUMBER(B14),B14-C14,"")</f>
        <v>2796.125</v>
      </c>
      <c r="E14" s="14" t="str">
        <f aca="false">IF(ISNUMBER(B14),IF(ABS(B14-C14)&lt;=G14,"OK","CHECK"),IF(B14=C14,"OK","CHECK"))</f>
        <v>OK</v>
      </c>
      <c r="F14" s="20"/>
      <c r="G14" s="3" t="n">
        <v>5000.005</v>
      </c>
    </row>
    <row r="15" customFormat="false" ht="15" hidden="false" customHeight="false" outlineLevel="0" collapsed="false">
      <c r="A15" s="2" t="s">
        <v>25</v>
      </c>
      <c r="B15" s="13" t="n">
        <f aca="false">Bridge!B23</f>
        <v>22717203.875</v>
      </c>
      <c r="C15" s="5" t="n">
        <v>22720000</v>
      </c>
      <c r="D15" s="13" t="n">
        <f aca="false">IF(ISNUMBER(B15),B15-C15,"")</f>
        <v>-2796.125</v>
      </c>
      <c r="E15" s="14" t="str">
        <f aca="false">IF(ISNUMBER(B15),IF(ABS(B15-C15)&lt;=G15,"OK","CHECK"),IF(B15=C15,"OK","CHECK"))</f>
        <v>OK</v>
      </c>
      <c r="F15" s="20"/>
      <c r="G15" s="3" t="n">
        <v>5000.005</v>
      </c>
    </row>
    <row r="16" customFormat="false" ht="15" hidden="false" customHeight="false" outlineLevel="0" collapsed="false">
      <c r="A16" s="2" t="s">
        <v>26</v>
      </c>
      <c r="B16" s="16" t="n">
        <f aca="false">Bridge!B24</f>
        <v>0.372413178278689</v>
      </c>
      <c r="C16" s="7" t="n">
        <v>0.3724</v>
      </c>
      <c r="D16" s="16" t="n">
        <f aca="false">IF(ISNUMBER(B16),B16-C16,"")</f>
        <v>1.31782786885193E-005</v>
      </c>
      <c r="E16" s="14" t="str">
        <f aca="false">IF(ISNUMBER(B16),IF(ABS(B16-C16)&lt;=G16,"OK","CHECK"),IF(B16=C16,"OK","CHECK"))</f>
        <v>OK</v>
      </c>
      <c r="F16" s="20"/>
      <c r="G16" s="3" t="n">
        <v>5.0000051E-005</v>
      </c>
    </row>
    <row r="17" customFormat="false" ht="15" hidden="false" customHeight="false" outlineLevel="0" collapsed="false">
      <c r="A17" s="2" t="s">
        <v>27</v>
      </c>
      <c r="B17" s="16" t="n">
        <f aca="false">Bridge!B25</f>
        <v>0.259016393442623</v>
      </c>
      <c r="C17" s="7" t="n">
        <v>0.259</v>
      </c>
      <c r="D17" s="16" t="n">
        <f aca="false">IF(ISNUMBER(B17),B17-C17,"")</f>
        <v>1.63934426229417E-005</v>
      </c>
      <c r="E17" s="14" t="str">
        <f aca="false">IF(ISNUMBER(B17),IF(ABS(B17-C17)&lt;=G17,"OK","CHECK"),IF(B17=C17,"OK","CHECK"))</f>
        <v>OK</v>
      </c>
      <c r="F17" s="20"/>
      <c r="G17" s="3" t="n">
        <v>5.0000051E-005</v>
      </c>
    </row>
    <row r="18" customFormat="false" ht="15" hidden="false" customHeight="false" outlineLevel="0" collapsed="false">
      <c r="A18" s="2" t="s">
        <v>73</v>
      </c>
      <c r="B18" s="16" t="n">
        <f aca="false">Bridge!B26</f>
        <v>0.113396784836066</v>
      </c>
      <c r="C18" s="7" t="n">
        <v>0.1134</v>
      </c>
      <c r="D18" s="16" t="n">
        <f aca="false">IF(ISNUMBER(B18),B18-C18,"")</f>
        <v>-3.21516393442245E-006</v>
      </c>
      <c r="E18" s="14" t="str">
        <f aca="false">IF(ISNUMBER(B18),IF(ABS(B18-C18)&lt;=G18,"OK","CHECK"),IF(B18=C18,"OK","CHECK"))</f>
        <v>OK</v>
      </c>
      <c r="F18" s="20"/>
      <c r="G18" s="3" t="n">
        <v>5.0000051E-005</v>
      </c>
    </row>
    <row r="19" customFormat="false" ht="15" hidden="false" customHeight="false" outlineLevel="0" collapsed="false">
      <c r="A19" s="2" t="s">
        <v>74</v>
      </c>
      <c r="B19" s="16" t="n">
        <f aca="false">Bridge!B27</f>
        <v>0.0859036154371585</v>
      </c>
      <c r="C19" s="7" t="n">
        <v>0.0859</v>
      </c>
      <c r="D19" s="16" t="n">
        <f aca="false">IF(ISNUMBER(B19),B19-C19,"")</f>
        <v>3.61543715847457E-006</v>
      </c>
      <c r="E19" s="14" t="str">
        <f aca="false">IF(ISNUMBER(B19),IF(ABS(B19-C19)&lt;=G19,"OK","CHECK"),IF(B19=C19,"OK","CHECK"))</f>
        <v>OK</v>
      </c>
      <c r="F19" s="20"/>
      <c r="G19" s="3" t="n">
        <v>5.0000051E-005</v>
      </c>
    </row>
    <row r="20" customFormat="false" ht="15" hidden="false" customHeight="false" outlineLevel="0" collapsed="false">
      <c r="A20" s="2" t="s">
        <v>75</v>
      </c>
      <c r="B20" s="16" t="n">
        <f aca="false">Bridge!B28</f>
        <v>0.0274931693989071</v>
      </c>
      <c r="C20" s="7" t="n">
        <v>0.0275</v>
      </c>
      <c r="D20" s="16" t="n">
        <f aca="false">IF(ISNUMBER(B20),B20-C20,"")</f>
        <v>-6.83060109289702E-006</v>
      </c>
      <c r="E20" s="14" t="str">
        <f aca="false">IF(ISNUMBER(B20),IF(ABS(B20-C20)&lt;=G20,"OK","CHECK"),IF(B20=C20,"OK","CHECK"))</f>
        <v>OK</v>
      </c>
      <c r="F20" s="20"/>
      <c r="G20" s="3" t="n">
        <v>5.0000051E-005</v>
      </c>
    </row>
    <row r="21" customFormat="false" ht="15" hidden="false" customHeight="false" outlineLevel="0" collapsed="false">
      <c r="A21" s="2" t="s">
        <v>31</v>
      </c>
      <c r="B21" s="17" t="n">
        <f aca="false">Bridge!B29</f>
        <v>0.757548951333557</v>
      </c>
      <c r="C21" s="21" t="n">
        <v>0.75</v>
      </c>
      <c r="D21" s="17" t="n">
        <f aca="false">IF(ISNUMBER(B21),B21-C21,"")</f>
        <v>0.00754895133355704</v>
      </c>
      <c r="E21" s="14" t="str">
        <f aca="false">IF(ISNUMBER(B21),IF(ABS(B21-C21)&lt;=G21,"OK","CHECK"),IF(B21=C21,"OK","CHECK"))</f>
        <v>OK</v>
      </c>
      <c r="F21" s="20" t="s">
        <v>76</v>
      </c>
      <c r="G21" s="3" t="n">
        <v>0.010000010001</v>
      </c>
    </row>
    <row r="22" customFormat="false" ht="15" hidden="false" customHeight="false" outlineLevel="0" collapsed="false">
      <c r="A22" s="2" t="s">
        <v>77</v>
      </c>
      <c r="B22" s="16" t="n">
        <f aca="false">Bridge!C24</f>
        <v>0.402926229508197</v>
      </c>
      <c r="C22" s="7" t="n">
        <v>0.4029</v>
      </c>
      <c r="D22" s="16" t="n">
        <f aca="false">IF(ISNUMBER(B22),B22-C22,"")</f>
        <v>2.62295081967512E-005</v>
      </c>
      <c r="E22" s="14" t="str">
        <f aca="false">IF(ISNUMBER(B22),IF(ABS(B22-C22)&lt;=G22,"OK","CHECK"),IF(B22=C22,"OK","CHECK"))</f>
        <v>OK</v>
      </c>
      <c r="F22" s="20"/>
      <c r="G22" s="3" t="n">
        <v>5.0000051E-005</v>
      </c>
    </row>
    <row r="23" customFormat="false" ht="15" hidden="false" customHeight="false" outlineLevel="0" collapsed="false">
      <c r="A23" s="2" t="s">
        <v>78</v>
      </c>
      <c r="B23" s="16" t="n">
        <f aca="false">Bridge!B42</f>
        <v>0.0305130512295082</v>
      </c>
      <c r="C23" s="7" t="n">
        <v>0.0305</v>
      </c>
      <c r="D23" s="16" t="n">
        <f aca="false">IF(ISNUMBER(B23),B23-C23,"")</f>
        <v>1.30512295082041E-005</v>
      </c>
      <c r="E23" s="14" t="str">
        <f aca="false">IF(ISNUMBER(B23),IF(ABS(B23-C23)&lt;=G23,"OK","CHECK"),IF(B23=C23,"OK","CHECK"))</f>
        <v>OK</v>
      </c>
      <c r="F23" s="20"/>
      <c r="G23" s="3" t="n">
        <v>5.0000051E-005</v>
      </c>
    </row>
    <row r="24" customFormat="false" ht="15" hidden="false" customHeight="false" outlineLevel="0" collapsed="false">
      <c r="A24" s="2" t="s">
        <v>79</v>
      </c>
      <c r="B24" s="13" t="n">
        <f aca="false">Bridge!B31</f>
        <v>2785135.91666667</v>
      </c>
      <c r="C24" s="5" t="n">
        <v>2790000</v>
      </c>
      <c r="D24" s="13" t="n">
        <f aca="false">IF(ISNUMBER(B24),B24-C24,"")</f>
        <v>-4864.08333333302</v>
      </c>
      <c r="E24" s="14" t="str">
        <f aca="false">IF(ISNUMBER(B24),IF(ABS(B24-C24)&lt;=G24,"OK","CHECK"),IF(B24=C24,"OK","CHECK"))</f>
        <v>OK</v>
      </c>
      <c r="F24" s="20"/>
      <c r="G24" s="3" t="n">
        <v>5000.005</v>
      </c>
    </row>
    <row r="25" customFormat="false" ht="15" hidden="false" customHeight="false" outlineLevel="0" collapsed="false">
      <c r="A25" s="2" t="s">
        <v>80</v>
      </c>
      <c r="B25" s="13" t="n">
        <f aca="false">Bridge!C31</f>
        <v>4026000</v>
      </c>
      <c r="C25" s="5" t="n">
        <v>4030000</v>
      </c>
      <c r="D25" s="13" t="n">
        <f aca="false">IF(ISNUMBER(B25),B25-C25,"")</f>
        <v>-4000</v>
      </c>
      <c r="E25" s="14" t="str">
        <f aca="false">IF(ISNUMBER(B25),IF(ABS(B25-C25)&lt;=G25,"OK","CHECK"),IF(B25=C25,"OK","CHECK"))</f>
        <v>OK</v>
      </c>
      <c r="F25" s="20"/>
      <c r="G25" s="3" t="n">
        <v>5000.005</v>
      </c>
    </row>
    <row r="26" customFormat="false" ht="15" hidden="false" customHeight="false" outlineLevel="0" collapsed="false">
      <c r="A26" s="2" t="s">
        <v>81</v>
      </c>
      <c r="B26" s="16" t="n">
        <f aca="false">Bridge!B32</f>
        <v>0.0586344403508772</v>
      </c>
      <c r="C26" s="7" t="n">
        <v>0.0586</v>
      </c>
      <c r="D26" s="16" t="n">
        <f aca="false">IF(ISNUMBER(B26),B26-C26,"")</f>
        <v>3.4440350877199E-005</v>
      </c>
      <c r="E26" s="14" t="str">
        <f aca="false">IF(ISNUMBER(B26),IF(ABS(B26-C26)&lt;=G26,"OK","CHECK"),IF(B26=C26,"OK","CHECK"))</f>
        <v>OK</v>
      </c>
      <c r="F26" s="20"/>
      <c r="G26" s="3" t="n">
        <v>5.0000051E-005</v>
      </c>
    </row>
    <row r="27" customFormat="false" ht="15" hidden="false" customHeight="false" outlineLevel="0" collapsed="false">
      <c r="A27" s="2" t="s">
        <v>82</v>
      </c>
      <c r="B27" s="16" t="n">
        <f aca="false">Bridge!C32</f>
        <v>0.0847578947368421</v>
      </c>
      <c r="C27" s="7" t="n">
        <v>0.0848</v>
      </c>
      <c r="D27" s="16" t="n">
        <f aca="false">IF(ISNUMBER(B27),B27-C27,"")</f>
        <v>-4.21052631578989E-005</v>
      </c>
      <c r="E27" s="14" t="str">
        <f aca="false">IF(ISNUMBER(B27),IF(ABS(B27-C27)&lt;=G27,"OK","CHECK"),IF(B27=C27,"OK","CHECK"))</f>
        <v>OK</v>
      </c>
      <c r="F27" s="20"/>
      <c r="G27" s="3" t="n">
        <v>5.0000051E-005</v>
      </c>
    </row>
    <row r="28" customFormat="false" ht="15" hidden="false" customHeight="false" outlineLevel="0" collapsed="false">
      <c r="A28" s="2" t="s">
        <v>83</v>
      </c>
      <c r="B28" s="16" t="n">
        <f aca="false">Bridge!B45</f>
        <v>0.0261234543859649</v>
      </c>
      <c r="C28" s="7" t="n">
        <v>0.0261</v>
      </c>
      <c r="D28" s="16" t="n">
        <f aca="false">IF(ISNUMBER(B28),B28-C28,"")</f>
        <v>2.34543859649015E-005</v>
      </c>
      <c r="E28" s="14" t="str">
        <f aca="false">IF(ISNUMBER(B28),IF(ABS(B28-C28)&lt;=G28,"OK","CHECK"),IF(B28=C28,"OK","CHECK"))</f>
        <v>OK</v>
      </c>
      <c r="F28" s="20"/>
      <c r="G28" s="3" t="n">
        <v>5.0000051E-005</v>
      </c>
    </row>
    <row r="29" customFormat="false" ht="15" hidden="false" customHeight="false" outlineLevel="0" collapsed="false">
      <c r="A29" s="2" t="s">
        <v>84</v>
      </c>
      <c r="B29" s="18" t="n">
        <f aca="false">Bridge!B46</f>
        <v>29.8361090281012</v>
      </c>
      <c r="C29" s="9" t="n">
        <v>30</v>
      </c>
      <c r="D29" s="18" t="n">
        <f aca="false">IF(ISNUMBER(B29),B29-C29,"")</f>
        <v>-0.16389097189877</v>
      </c>
      <c r="E29" s="14" t="str">
        <f aca="false">IF(ISNUMBER(B29),IF(ABS(B29-C29)&lt;=G29,"OK","CHECK"),IF(B29=C29,"OK","CHECK"))</f>
        <v>OK</v>
      </c>
      <c r="F29" s="20"/>
      <c r="G29" s="3" t="n">
        <v>0.500000500001</v>
      </c>
    </row>
    <row r="30" customFormat="false" ht="15" hidden="false" customHeight="false" outlineLevel="0" collapsed="false">
      <c r="A30" s="2" t="s">
        <v>85</v>
      </c>
      <c r="B30" s="13" t="n">
        <f aca="false">Bridge!B36</f>
        <v>219386.326388889</v>
      </c>
      <c r="C30" s="5" t="n">
        <v>219386</v>
      </c>
      <c r="D30" s="13" t="n">
        <f aca="false">IF(ISNUMBER(B30),B30-C30,"")</f>
        <v>0.326388888905058</v>
      </c>
      <c r="E30" s="14" t="str">
        <f aca="false">IF(ISNUMBER(B30),IF(ABS(B30-C30)&lt;=G30,"OK","CHECK"),IF(B30=C30,"OK","CHECK"))</f>
        <v>OK</v>
      </c>
      <c r="F30" s="20"/>
      <c r="G30" s="3" t="n">
        <v>0.500000500001</v>
      </c>
    </row>
    <row r="31" customFormat="false" ht="15" hidden="false" customHeight="false" outlineLevel="0" collapsed="false">
      <c r="A31" s="2" t="s">
        <v>37</v>
      </c>
      <c r="B31" s="13" t="n">
        <f aca="false">Bridge!B37</f>
        <v>12708.3333333333</v>
      </c>
      <c r="C31" s="5" t="n">
        <v>12708</v>
      </c>
      <c r="D31" s="13" t="n">
        <f aca="false">IF(ISNUMBER(B31),B31-C31,"")</f>
        <v>0.33333333333394</v>
      </c>
      <c r="E31" s="14" t="str">
        <f aca="false">IF(ISNUMBER(B31),IF(ABS(B31-C31)&lt;=G31,"OK","CHECK"),IF(B31=C31,"OK","CHECK"))</f>
        <v>OK</v>
      </c>
      <c r="F31" s="20"/>
      <c r="G31" s="3" t="n">
        <v>0.500000500001</v>
      </c>
    </row>
    <row r="32" customFormat="false" ht="15" hidden="false" customHeight="false" outlineLevel="0" collapsed="false">
      <c r="A32" s="2" t="s">
        <v>86</v>
      </c>
      <c r="B32" s="13" t="n">
        <f aca="false">Bridge!B38</f>
        <v>232094.659722222</v>
      </c>
      <c r="C32" s="5" t="n">
        <v>232095</v>
      </c>
      <c r="D32" s="13" t="n">
        <f aca="false">IF(ISNUMBER(B32),B32-C32,"")</f>
        <v>-0.340277777751908</v>
      </c>
      <c r="E32" s="14" t="str">
        <f aca="false">IF(ISNUMBER(B32),IF(ABS(B32-C32)&lt;=G32,"OK","CHECK"),IF(B32=C32,"OK","CHECK"))</f>
        <v>OK</v>
      </c>
      <c r="F32" s="20"/>
      <c r="G32" s="3" t="n">
        <v>0.500000500001</v>
      </c>
    </row>
    <row r="33" customFormat="false" ht="15" hidden="false" customHeight="false" outlineLevel="0" collapsed="false">
      <c r="A33" s="2" t="s">
        <v>87</v>
      </c>
      <c r="B33" s="16" t="n">
        <f aca="false">Bridge!B39</f>
        <v>0.0456579658469945</v>
      </c>
      <c r="C33" s="7" t="n">
        <v>0.0457</v>
      </c>
      <c r="D33" s="16" t="n">
        <f aca="false">IF(ISNUMBER(B33),B33-C33,"")</f>
        <v>-4.20341530054588E-005</v>
      </c>
      <c r="E33" s="14" t="str">
        <f aca="false">IF(ISNUMBER(B33),IF(ABS(B33-C33)&lt;=G33,"OK","CHECK"),IF(B33=C33,"OK","CHECK"))</f>
        <v>OK</v>
      </c>
      <c r="F33" s="20"/>
      <c r="G33" s="3" t="n">
        <v>5.0000051E-005</v>
      </c>
    </row>
    <row r="34" customFormat="false" ht="15" hidden="false" customHeight="false" outlineLevel="0" collapsed="false">
      <c r="A34" s="2" t="s">
        <v>88</v>
      </c>
      <c r="B34" s="13" t="n">
        <f aca="false">Bridge!B41</f>
        <v>102672.546527778</v>
      </c>
      <c r="C34" s="5" t="n">
        <v>102673</v>
      </c>
      <c r="D34" s="13" t="n">
        <f aca="false">IF(ISNUMBER(B34),B34-C34,"")</f>
        <v>-0.453472222245182</v>
      </c>
      <c r="E34" s="14" t="str">
        <f aca="false">IF(ISNUMBER(B34),IF(ABS(B34-C34)&lt;=G34,"OK","CHECK"),IF(B34=C34,"OK","CHECK"))</f>
        <v>OK</v>
      </c>
      <c r="F34" s="20"/>
      <c r="G34" s="3" t="n">
        <v>0.500000500001</v>
      </c>
    </row>
    <row r="35" customFormat="false" ht="15" hidden="false" customHeight="false" outlineLevel="0" collapsed="false">
      <c r="A35" s="2" t="s">
        <v>89</v>
      </c>
      <c r="B35" s="16" t="n">
        <f aca="false">Bridge!D51</f>
        <v>0.0583251819444445</v>
      </c>
      <c r="C35" s="7" t="n">
        <v>0.0583</v>
      </c>
      <c r="D35" s="16" t="n">
        <f aca="false">IF(ISNUMBER(B35),B35-C35,"")</f>
        <v>2.51819444444523E-005</v>
      </c>
      <c r="E35" s="14" t="str">
        <f aca="false">IF(ISNUMBER(B35),IF(ABS(B35-C35)&lt;=G35,"OK","CHECK"),IF(B35=C35,"OK","CHECK"))</f>
        <v>OK</v>
      </c>
      <c r="F35" s="20" t="s">
        <v>90</v>
      </c>
      <c r="G35" s="3" t="n">
        <v>5.0000051E-005</v>
      </c>
    </row>
    <row r="36" customFormat="false" ht="15" hidden="false" customHeight="false" outlineLevel="0" collapsed="false">
      <c r="A36" s="2" t="s">
        <v>91</v>
      </c>
      <c r="B36" s="16" t="n">
        <f aca="false">Bridge!D57</f>
        <v>0.0599704366666667</v>
      </c>
      <c r="C36" s="7" t="n">
        <v>0.06</v>
      </c>
      <c r="D36" s="16" t="n">
        <f aca="false">IF(ISNUMBER(B36),B36-C36,"")</f>
        <v>-2.95633333333295E-005</v>
      </c>
      <c r="E36" s="14" t="str">
        <f aca="false">IF(ISNUMBER(B36),IF(ABS(B36-C36)&lt;=G36,"OK","CHECK"),IF(B36=C36,"OK","CHECK"))</f>
        <v>OK</v>
      </c>
      <c r="F36" s="20" t="s">
        <v>92</v>
      </c>
      <c r="G36" s="3" t="n">
        <v>5.0000051E-005</v>
      </c>
    </row>
    <row r="37" customFormat="false" ht="15" hidden="false" customHeight="false" outlineLevel="0" collapsed="false">
      <c r="A37" s="2" t="s">
        <v>93</v>
      </c>
      <c r="B37" s="16" t="n">
        <f aca="false">Bridge!E51</f>
        <v>0.0671</v>
      </c>
      <c r="C37" s="7" t="n">
        <v>0.0671</v>
      </c>
      <c r="D37" s="16" t="n">
        <f aca="false">IF(ISNUMBER(B37),B37-C37,"")</f>
        <v>0</v>
      </c>
      <c r="E37" s="14" t="str">
        <f aca="false">IF(ISNUMBER(B37),IF(ABS(B37-C37)&lt;=G37,"OK","CHECK"),IF(B37=C37,"OK","CHECK"))</f>
        <v>OK</v>
      </c>
      <c r="F37" s="20" t="s">
        <v>92</v>
      </c>
      <c r="G37" s="3" t="n">
        <v>5.0000051E-005</v>
      </c>
    </row>
    <row r="38" customFormat="false" ht="15" hidden="false" customHeight="false" outlineLevel="0" collapsed="false">
      <c r="A38" s="2" t="s">
        <v>94</v>
      </c>
      <c r="B38" s="16" t="n">
        <f aca="false">Bridge!E57</f>
        <v>0.16104</v>
      </c>
      <c r="C38" s="7" t="n">
        <v>0.161</v>
      </c>
      <c r="D38" s="16" t="n">
        <f aca="false">IF(ISNUMBER(B38),B38-C38,"")</f>
        <v>3.99999999999845E-005</v>
      </c>
      <c r="E38" s="14" t="str">
        <f aca="false">IF(ISNUMBER(B38),IF(ABS(B38-C38)&lt;=G38,"OK","CHECK"),IF(B38=C38,"OK","CHECK"))</f>
        <v>OK</v>
      </c>
      <c r="F38" s="20" t="s">
        <v>92</v>
      </c>
      <c r="G38" s="3" t="n">
        <v>5.0000051E-005</v>
      </c>
    </row>
    <row r="39" customFormat="false" ht="15" hidden="false" customHeight="false" outlineLevel="0" collapsed="false">
      <c r="A39" s="2" t="s">
        <v>95</v>
      </c>
      <c r="B39" s="4" t="str">
        <f aca="false">IF(Bridge!B63&lt;Bridge!B10,"Yes","No")</f>
        <v>Yes</v>
      </c>
      <c r="C39" s="22" t="s">
        <v>96</v>
      </c>
      <c r="D39" s="4"/>
      <c r="E39" s="14" t="str">
        <f aca="false">IF(B39=C39,"OK","CHECK")</f>
        <v>OK</v>
      </c>
      <c r="F39" s="20" t="s">
        <v>97</v>
      </c>
      <c r="G39" s="3"/>
    </row>
    <row r="40" customFormat="false" ht="15" hidden="false" customHeight="false" outlineLevel="0" collapsed="false">
      <c r="A40" s="2" t="s">
        <v>98</v>
      </c>
      <c r="B40" s="23" t="n">
        <f aca="false">MAX(Bridge!D51:D57)-MAX(Bridge!F51:F57)+MIN(Bridge!D51:D57)-MIN(Bridge!F51:F57)</f>
        <v>0</v>
      </c>
      <c r="C40" s="24" t="n">
        <v>0</v>
      </c>
      <c r="D40" s="23" t="n">
        <f aca="false">IF(ISNUMBER(B40),B40-C40,"")</f>
        <v>0</v>
      </c>
      <c r="E40" s="14" t="str">
        <f aca="false">IF(ISNUMBER(B40),IF(ABS(B40-C40)&lt;=G40,"OK","CHECK"),IF(B40=C40,"OK","CHECK"))</f>
        <v>OK</v>
      </c>
      <c r="F40" s="20" t="s">
        <v>97</v>
      </c>
      <c r="G40" s="3" t="n">
        <v>2.000001E-012</v>
      </c>
    </row>
    <row r="42" customFormat="false" ht="15" hidden="false" customHeight="false" outlineLevel="0" collapsed="false">
      <c r="A42" s="14" t="s">
        <v>99</v>
      </c>
      <c r="B42" s="14" t="n">
        <f aca="false">COUNTIF(E5:E40,"CHECK")</f>
        <v>0</v>
      </c>
    </row>
    <row r="43" customFormat="false" ht="15" hidden="false" customHeight="false" outlineLevel="0" collapsed="false">
      <c r="A43" s="14" t="s">
        <v>100</v>
      </c>
      <c r="E43" s="14" t="str">
        <f aca="false">IF(COUNTIF(E5:E40,"OK")=36,"ALL OK",COUNTIF(E5:E40,"OK")&amp;" / 36 OK")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2026-09-23T22:50:23Z</dcterms:created>
  <dc:creator>openpyxl</dc:creator>
  <dc:description/>
  <dc:language>en-US</dc:language>
  <cp:lastModifiedBy/>
  <dcterms:modified xsi:type="dcterms:W3CDTF">2026-09-23T22:50:23Z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