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Loan tape" sheetId="2" state="visible" r:id="rId4"/>
    <sheet name="Capital structure" sheetId="3" state="visible" r:id="rId5"/>
    <sheet name="Liquidations" sheetId="4" state="visible" r:id="rId6"/>
    <sheet name="Reconciliation" sheetId="5" state="visible" r:id="rId7"/>
    <sheet name="Stress" sheetId="6" state="visible" r:id="rId8"/>
    <sheet name="Surveillance" sheetId="7" state="visible" r:id="rId9"/>
    <sheet name="Control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<sst xmlns="http://schemas.openxmlformats.org/spreadsheetml/2006/main" count="452" uniqueCount="382">
  <si>
    <t xml:space="preserve">Deal_Model.xlsx: Meridian 2026-C1 from the tape to the last dollar</t>
  </si>
  <si>
    <t xml:space="preserve">The whole transaction. The twenty-loan tape; the fourteen-class capital structure with credit support computed from the stack; the three loans that fail, each taken through the liquidation bridge; the ten-year cash reconciliation, in which every dollar that enters the trust leaves by one door; the five stress scenarios; and the surveillance pass of Chapter 25.</t>
  </si>
  <si>
    <t xml:space="preserve">Blue cells are inputs; black cells are formulas. A yellow fill marks an assumption that carries the answer. The Controls sheet recomputes the figures the book prints from these formulas.</t>
  </si>
  <si>
    <t xml:space="preserve">Revised 24 September 2026. The first file carried the tape and the capital structure only, with the realized loss typed in. The liquidations, the reconciliation the book says closes to the cent, the stress scenarios and the surveillance pass are now in the file as formulas, and the realized loss comes out of them.</t>
  </si>
  <si>
    <t xml:space="preserve">Dating: the balances printed in Chapter 17 are those after 36 months of payments, so the loans transfer at the start of year 4; sold 22, 17 and 14 months later, they are written down in months 58, 53 and 50, which is year 5. The book says year 6. The reconciliation already counted them to year 5; the B-piece return did not (see B_Piece_Return.xlsx).</t>
  </si>
  <si>
    <t xml:space="preserve">Meridian 2026-C1: the loan tape</t>
  </si>
  <si>
    <t xml:space="preserve">Blue cells are inputs; black cells are formulas. Up to twenty loans. Debt service on an interest-only-then-amortizing loan is the amortizing one, as the lender tests it.</t>
  </si>
  <si>
    <t xml:space="preserve">Loan</t>
  </si>
  <si>
    <t xml:space="preserve">Property type</t>
  </si>
  <si>
    <t xml:space="preserve">Balance</t>
  </si>
  <si>
    <t xml:space="preserve">Coupon</t>
  </si>
  <si>
    <t xml:space="preserve">LTV</t>
  </si>
  <si>
    <t xml:space="preserve">DSCR</t>
  </si>
  <si>
    <t xml:space="preserve">Term, years</t>
  </si>
  <si>
    <t xml:space="preserve">Amortization, years (0 = IO)</t>
  </si>
  <si>
    <t xml:space="preserve">Interest-only years first</t>
  </si>
  <si>
    <t xml:space="preserve">Debt service</t>
  </si>
  <si>
    <t xml:space="preserve">Net cash flow</t>
  </si>
  <si>
    <t xml:space="preserve">Appraisal</t>
  </si>
  <si>
    <t xml:space="preserve">Harborline Center</t>
  </si>
  <si>
    <t xml:space="preserve">Office</t>
  </si>
  <si>
    <t xml:space="preserve">Cedar Ridge Apartments</t>
  </si>
  <si>
    <t xml:space="preserve">Multifamily</t>
  </si>
  <si>
    <t xml:space="preserve">Northgate Logistics Park</t>
  </si>
  <si>
    <t xml:space="preserve">Industrial</t>
  </si>
  <si>
    <t xml:space="preserve">The Willoughby Hotel</t>
  </si>
  <si>
    <t xml:space="preserve">Hotel</t>
  </si>
  <si>
    <t xml:space="preserve">Stonebridge Commons</t>
  </si>
  <si>
    <t xml:space="preserve">Retail</t>
  </si>
  <si>
    <t xml:space="preserve">Marlowe Tower</t>
  </si>
  <si>
    <t xml:space="preserve">Ashcroft Flex</t>
  </si>
  <si>
    <t xml:space="preserve">Palmetto Storage Portfolio</t>
  </si>
  <si>
    <t xml:space="preserve">Self-storage</t>
  </si>
  <si>
    <t xml:space="preserve">Riverbend Industrial</t>
  </si>
  <si>
    <t xml:space="preserve">Grand Union Retail</t>
  </si>
  <si>
    <t xml:space="preserve">Aspen Court Apartments</t>
  </si>
  <si>
    <t xml:space="preserve">Fenwick Business Park</t>
  </si>
  <si>
    <t xml:space="preserve">Lakeshore Suites</t>
  </si>
  <si>
    <t xml:space="preserve">Tanner Mills Mixed-Use</t>
  </si>
  <si>
    <t xml:space="preserve">Mixed-use</t>
  </si>
  <si>
    <t xml:space="preserve">Kingsway Distribution</t>
  </si>
  <si>
    <t xml:space="preserve">Beaumont Plaza</t>
  </si>
  <si>
    <t xml:space="preserve">Silverton Apartments</t>
  </si>
  <si>
    <t xml:space="preserve">Oakfield Corporate Center</t>
  </si>
  <si>
    <t xml:space="preserve">Verona Storage</t>
  </si>
  <si>
    <t xml:space="preserve">Pinecrest Retail Strip</t>
  </si>
  <si>
    <t xml:space="preserve">Pool</t>
  </si>
  <si>
    <t xml:space="preserve">Master servicing fee, a year</t>
  </si>
  <si>
    <t xml:space="preserve">Trustee and certificate administrator fee, a year</t>
  </si>
  <si>
    <t xml:space="preserve">Market capitalization rate, on net cash flow</t>
  </si>
  <si>
    <t xml:space="preserve">Square feet of the largest loan's building</t>
  </si>
  <si>
    <t xml:space="preserve">Net pool coupon, after top-of-pool fees</t>
  </si>
  <si>
    <t xml:space="preserve">Top-of-pool fees, a year</t>
  </si>
  <si>
    <t xml:space="preserve">Pool loan-to-value: pool balance over the sum of appraisals</t>
  </si>
  <si>
    <t xml:space="preserve">Capitalization rate implied by the tape: income over appraisals</t>
  </si>
  <si>
    <t xml:space="preserve">Value of the pool's income at the market rate</t>
  </si>
  <si>
    <t xml:space="preserve">Appraisals against that value, difference</t>
  </si>
  <si>
    <t xml:space="preserve">Market rate less implied rate, basis points</t>
  </si>
  <si>
    <t xml:space="preserve">Pool loan-to-value at the market rate</t>
  </si>
  <si>
    <t xml:space="preserve">Top five loans, share of the pool</t>
  </si>
  <si>
    <t xml:space="preserve">Top ten loans, share of the pool</t>
  </si>
  <si>
    <t xml:space="preserve">Largest loan, share of the pool</t>
  </si>
  <si>
    <t xml:space="preserve">Severity above which the largest loan alone wipes the bottom class</t>
  </si>
  <si>
    <t xml:space="preserve">Office, share of the pool</t>
  </si>
  <si>
    <t xml:space="preserve">Industrial, share of the pool</t>
  </si>
  <si>
    <t xml:space="preserve">Retail, share of the pool</t>
  </si>
  <si>
    <t xml:space="preserve">Net cash flow of the largest loan, from the tape</t>
  </si>
  <si>
    <t xml:space="preserve">  per square foot</t>
  </si>
  <si>
    <t xml:space="preserve">Income understated if interest-only-then-amortizing loans were tested on the interest-only payment</t>
  </si>
  <si>
    <t xml:space="preserve">Capital structure, credit support and the write-down</t>
  </si>
  <si>
    <t xml:space="preserve">Credit support is computed from the stack. The senior block is cut in time, not in credit: its classes share one credit support and absorb a loss together, pro rata.</t>
  </si>
  <si>
    <t xml:space="preserve">Class</t>
  </si>
  <si>
    <t xml:space="preserve">Rating</t>
  </si>
  <si>
    <t xml:space="preserve">Size</t>
  </si>
  <si>
    <t xml:space="preserve">Senior block</t>
  </si>
  <si>
    <t xml:space="preserve">Below this class</t>
  </si>
  <si>
    <t xml:space="preserve">Credit support</t>
  </si>
  <si>
    <t xml:space="preserve">Loss written down</t>
  </si>
  <si>
    <t xml:space="preserve">Remaining</t>
  </si>
  <si>
    <t xml:space="preserve">Percent lost</t>
  </si>
  <si>
    <t xml:space="preserve">Support, dollars</t>
  </si>
  <si>
    <t xml:space="preserve">A-1</t>
  </si>
  <si>
    <t xml:space="preserve">AAA</t>
  </si>
  <si>
    <t xml:space="preserve">Yes</t>
  </si>
  <si>
    <t xml:space="preserve">A-2</t>
  </si>
  <si>
    <t xml:space="preserve">A-3</t>
  </si>
  <si>
    <t xml:space="preserve">A-SB</t>
  </si>
  <si>
    <t xml:space="preserve">A-4</t>
  </si>
  <si>
    <t xml:space="preserve">A-5</t>
  </si>
  <si>
    <t xml:space="preserve">A-S</t>
  </si>
  <si>
    <t xml:space="preserve">B</t>
  </si>
  <si>
    <t xml:space="preserve">AA-</t>
  </si>
  <si>
    <t xml:space="preserve">C</t>
  </si>
  <si>
    <t xml:space="preserve">A-</t>
  </si>
  <si>
    <t xml:space="preserve">D</t>
  </si>
  <si>
    <t xml:space="preserve">BBB</t>
  </si>
  <si>
    <t xml:space="preserve">E</t>
  </si>
  <si>
    <t xml:space="preserve">BBB-</t>
  </si>
  <si>
    <t xml:space="preserve">F</t>
  </si>
  <si>
    <t xml:space="preserve">BB</t>
  </si>
  <si>
    <t xml:space="preserve">G</t>
  </si>
  <si>
    <t xml:space="preserve">B-</t>
  </si>
  <si>
    <t xml:space="preserve">H</t>
  </si>
  <si>
    <t xml:space="preserve">NR</t>
  </si>
  <si>
    <t xml:space="preserve">Realized loss, from the Liquidations sheet</t>
  </si>
  <si>
    <t xml:space="preserve">Written down, total</t>
  </si>
  <si>
    <t xml:space="preserve">The first-loss block starts at class</t>
  </si>
  <si>
    <t xml:space="preserve">Face of the first-loss block</t>
  </si>
  <si>
    <t xml:space="preserve">  share of the pool</t>
  </si>
  <si>
    <t xml:space="preserve">Face of the block remaining after the write-down</t>
  </si>
  <si>
    <t xml:space="preserve">Most senior class written down</t>
  </si>
  <si>
    <t xml:space="preserve">Headroom left to the top class of the block</t>
  </si>
  <si>
    <t xml:space="preserve">Senior credit support over the realized loss, times</t>
  </si>
  <si>
    <t xml:space="preserve">Net pool coupon, from the loan tape</t>
  </si>
  <si>
    <t xml:space="preserve">Monthly coupon of the bottom class</t>
  </si>
  <si>
    <t xml:space="preserve">Monthly coupon of the class above it</t>
  </si>
  <si>
    <t xml:space="preserve">The iso-loss curve: cumulative default rate that breaches each class, by severity (Chapter 6)</t>
  </si>
  <si>
    <t xml:space="preserve">Loss severity</t>
  </si>
  <si>
    <t xml:space="preserve">E (lowest investment grade)</t>
  </si>
  <si>
    <t xml:space="preserve">G (lowest rated)</t>
  </si>
  <si>
    <t xml:space="preserve">The loans that fail: the liquidation bridge, loan by loan (Chapters 13, 16, 17)</t>
  </si>
  <si>
    <t xml:space="preserve">The balance at transfer is the tape balance after the payments made before the transfer. Month 36 is the start of year 4.</t>
  </si>
  <si>
    <t xml:space="preserve">Special servicing fee, a year, on the balance</t>
  </si>
  <si>
    <t xml:space="preserve">Liquidation fee, on proceeds</t>
  </si>
  <si>
    <t xml:space="preserve">Legal and property protection, on the balance</t>
  </si>
  <si>
    <t xml:space="preserve">Appraisal reduction: share of the new appraisal counted</t>
  </si>
  <si>
    <t xml:space="preserve">Months from transfer to the new appraisal</t>
  </si>
  <si>
    <t xml:space="preserve">Month of the transfer, counted from closing</t>
  </si>
  <si>
    <t xml:space="preserve">Top-of-pool fees, from the loan tape</t>
  </si>
  <si>
    <t xml:space="preserve">Loan (as named on the tape)</t>
  </si>
  <si>
    <t xml:space="preserve">Months in special servicing</t>
  </si>
  <si>
    <t xml:space="preserve">New appraisal</t>
  </si>
  <si>
    <t xml:space="preserve">Sale price</t>
  </si>
  <si>
    <t xml:space="preserve">Tape balance</t>
  </si>
  <si>
    <t xml:space="preserve">Amortization, years</t>
  </si>
  <si>
    <t xml:space="preserve">IO years</t>
  </si>
  <si>
    <t xml:space="preserve">Balance at transfer</t>
  </si>
  <si>
    <t xml:space="preserve">Repaid before transfer</t>
  </si>
  <si>
    <t xml:space="preserve">Interest advanced before the appraisal</t>
  </si>
  <si>
    <t xml:space="preserve">Appraisal reduction</t>
  </si>
  <si>
    <t xml:space="preserve">Interest advanced, total</t>
  </si>
  <si>
    <t xml:space="preserve">Liquidation fee</t>
  </si>
  <si>
    <t xml:space="preserve">Special servicing fee</t>
  </si>
  <si>
    <t xml:space="preserve">Legal and protection</t>
  </si>
  <si>
    <t xml:space="preserve">Net proceeds to the trust</t>
  </si>
  <si>
    <t xml:space="preserve">Realized loss</t>
  </si>
  <si>
    <t xml:space="preserve">Realized severity</t>
  </si>
  <si>
    <t xml:space="preserve">Appraisal severity</t>
  </si>
  <si>
    <t xml:space="preserve">Gap</t>
  </si>
  <si>
    <t xml:space="preserve">Liquidation month</t>
  </si>
  <si>
    <t xml:space="preserve">Liquidation year</t>
  </si>
  <si>
    <t xml:space="preserve">Monthly shortfall (reduction x net coupon)</t>
  </si>
  <si>
    <t xml:space="preserve">Advanced interest a year after the reduction</t>
  </si>
  <si>
    <t xml:space="preserve">Principal an advance would have carried</t>
  </si>
  <si>
    <t xml:space="preserve">Severity uplift if principal were advanced</t>
  </si>
  <si>
    <t xml:space="preserve">Total</t>
  </si>
  <si>
    <t xml:space="preserve">Realized loss, share of the original pool</t>
  </si>
  <si>
    <t xml:space="preserve">Year in which the last loss is written</t>
  </si>
  <si>
    <t xml:space="preserve">Year of the transfer</t>
  </si>
  <si>
    <t xml:space="preserve">Months in special servicing, longest</t>
  </si>
  <si>
    <t xml:space="preserve">Month 36 is the start of year 4, so the tape balances above are those after three years of payments. Liquidations 14, 17 and 22 months later fall in months 50, 53 and 58: year 5. The book says year 6.</t>
  </si>
  <si>
    <t xml:space="preserve">The cash reconciliation: every dollar in leaves by one door (Chapter 8)</t>
  </si>
  <si>
    <t xml:space="preserve">Ten years. Performing loans are carried to year ten, including the three with shorter stated terms; no prepayments. Defaulted loans pay until the transfer, then sit in special servicing until they are sold.</t>
  </si>
  <si>
    <t xml:space="preserve">Contractual balance at the end of year</t>
  </si>
  <si>
    <t xml:space="preserve">Balance on which top-of-pool fees run, year</t>
  </si>
  <si>
    <t xml:space="preserve">Interest collected, year</t>
  </si>
  <si>
    <t xml:space="preserve">Scheduled amortization, year</t>
  </si>
  <si>
    <t xml:space="preserve">Defaulted</t>
  </si>
  <si>
    <t xml:space="preserve">Transfer year</t>
  </si>
  <si>
    <t xml:space="preserve">Last year outstanding</t>
  </si>
  <si>
    <t xml:space="preserve">Balloon</t>
  </si>
  <si>
    <t xml:space="preserve">Interest, total</t>
  </si>
  <si>
    <t xml:space="preserve">Amortization, total</t>
  </si>
  <si>
    <t xml:space="preserve">Fee base, total</t>
  </si>
  <si>
    <t xml:space="preserve">Sources</t>
  </si>
  <si>
    <t xml:space="preserve">Interest, performing loans</t>
  </si>
  <si>
    <t xml:space="preserve">Interest, defaulted loans before default</t>
  </si>
  <si>
    <t xml:space="preserve">Interest advanced by the master servicer</t>
  </si>
  <si>
    <t xml:space="preserve">Scheduled amortization</t>
  </si>
  <si>
    <t xml:space="preserve">Balloon principal at maturity</t>
  </si>
  <si>
    <t xml:space="preserve">Liquidation proceeds</t>
  </si>
  <si>
    <t xml:space="preserve">Total sources</t>
  </si>
  <si>
    <t xml:space="preserve">Uses</t>
  </si>
  <si>
    <t xml:space="preserve">Master servicing and trustee fees</t>
  </si>
  <si>
    <t xml:space="preserve">Special servicing fees</t>
  </si>
  <si>
    <t xml:space="preserve">Liquidation fees</t>
  </si>
  <si>
    <t xml:space="preserve">Legal and property protection</t>
  </si>
  <si>
    <t xml:space="preserve">Repayment of advances</t>
  </si>
  <si>
    <t xml:space="preserve">Interest to certificates</t>
  </si>
  <si>
    <t xml:space="preserve">Principal to certificates</t>
  </si>
  <si>
    <t xml:space="preserve">Total uses</t>
  </si>
  <si>
    <t xml:space="preserve">Sources less uses</t>
  </si>
  <si>
    <t xml:space="preserve">Certificates issued</t>
  </si>
  <si>
    <t xml:space="preserve">Realized loss: certificates issued less principal distributed</t>
  </si>
  <si>
    <t xml:space="preserve">Realized loss, from the liquidation bridges</t>
  </si>
  <si>
    <t xml:space="preserve">Share of certificate interest that was advanced, not collected</t>
  </si>
  <si>
    <t xml:space="preserve">Five stress scenarios, class by class (Chapter 27)</t>
  </si>
  <si>
    <t xml:space="preserve">Each scenario sets a cumulative default rate and a severity by property type; the pool loss falls out of the balance in each type.</t>
  </si>
  <si>
    <t xml:space="preserve">Base case</t>
  </si>
  <si>
    <t xml:space="preserve">Office repricing</t>
  </si>
  <si>
    <t xml:space="preserve">Rate shock at maturity</t>
  </si>
  <si>
    <t xml:space="preserve">Broad recession</t>
  </si>
  <si>
    <t xml:space="preserve">Severe</t>
  </si>
  <si>
    <t xml:space="preserve">Default rate</t>
  </si>
  <si>
    <t xml:space="preserve">Severity</t>
  </si>
  <si>
    <t xml:space="preserve">Loss</t>
  </si>
  <si>
    <t xml:space="preserve">Scenario</t>
  </si>
  <si>
    <t xml:space="preserve">Pool loss</t>
  </si>
  <si>
    <t xml:space="preserve">Share of the pool</t>
  </si>
  <si>
    <t xml:space="preserve">Headroom of the lowest investment-grade class</t>
  </si>
  <si>
    <t xml:space="preserve">Margin under the senior block</t>
  </si>
  <si>
    <t xml:space="preserve">Resolution year</t>
  </si>
  <si>
    <t xml:space="preserve">First-loss block return</t>
  </si>
  <si>
    <t xml:space="preserve">Price of the first-loss block, cents on the dollar (from B_Piece_Return.xlsx)</t>
  </si>
  <si>
    <t xml:space="preserve">Years of coupon lost to the appraisal reduction before the write-down</t>
  </si>
  <si>
    <t xml:space="preserve">Loss reaching the block</t>
  </si>
  <si>
    <t xml:space="preserve">Year 0</t>
  </si>
  <si>
    <t xml:space="preserve">Year 1</t>
  </si>
  <si>
    <t xml:space="preserve">Year 2</t>
  </si>
  <si>
    <t xml:space="preserve">Year 3</t>
  </si>
  <si>
    <t xml:space="preserve">Year 4</t>
  </si>
  <si>
    <t xml:space="preserve">Year 5</t>
  </si>
  <si>
    <t xml:space="preserve">Year 6</t>
  </si>
  <si>
    <t xml:space="preserve">Year 7</t>
  </si>
  <si>
    <t xml:space="preserve">Year 8</t>
  </si>
  <si>
    <t xml:space="preserve">Year 9</t>
  </si>
  <si>
    <t xml:space="preserve">Year 10</t>
  </si>
  <si>
    <t xml:space="preserve">Base case: share of the bottom class taken</t>
  </si>
  <si>
    <t xml:space="preserve">Broad recession: loss reaching the lowest investment-grade class</t>
  </si>
  <si>
    <t xml:space="preserve">  share of that class</t>
  </si>
  <si>
    <t xml:space="preserve">Broad recession: headroom left to the class above it</t>
  </si>
  <si>
    <t xml:space="preserve">Severe: margin left under the senior block</t>
  </si>
  <si>
    <t xml:space="preserve">Rate shock against the base case: defaults up, loss down?</t>
  </si>
  <si>
    <t xml:space="preserve">The surveillance pass, four months after the transfers (Chapter 25)</t>
  </si>
  <si>
    <t xml:space="preserve">Every ratio on the pool outstanding at that date, not on the pool issued.</t>
  </si>
  <si>
    <t xml:space="preserve">Year-end at which the pool is measured</t>
  </si>
  <si>
    <t xml:space="preserve">Pool balance outstanding</t>
  </si>
  <si>
    <t xml:space="preserve">Specially serviced balance</t>
  </si>
  <si>
    <t xml:space="preserve">  share of the pool outstanding</t>
  </si>
  <si>
    <t xml:space="preserve">Cumulative appraisal reductions</t>
  </si>
  <si>
    <t xml:space="preserve">Loss-adjusted support, top class of the first-loss block</t>
  </si>
  <si>
    <t xml:space="preserve">Loss-adjusted support, lowest investment-grade class (E)</t>
  </si>
  <si>
    <t xml:space="preserve">Control distance: reductions over the bottom class</t>
  </si>
  <si>
    <t xml:space="preserve">Advanced interest accruing, a year</t>
  </si>
  <si>
    <t xml:space="preserve">Special servicing fees, a year</t>
  </si>
  <si>
    <t xml:space="preserve">Implied capitalization rate, surviving loans</t>
  </si>
  <si>
    <t xml:space="preserve">Number of surviving loans</t>
  </si>
  <si>
    <t xml:space="preserve">Combined monthly shortfall against the bottom class's coupon, times</t>
  </si>
  <si>
    <t xml:space="preserve">Controls</t>
  </si>
  <si>
    <t xml:space="preserve">Each row recomputes a figure the book prints, from the live formulas, and compares it with the printed value. A corrected figure is compared with its corrected value; the note says what the book prints.</t>
  </si>
  <si>
    <t xml:space="preserve">Figure</t>
  </si>
  <si>
    <t xml:space="preserve">This file</t>
  </si>
  <si>
    <t xml:space="preserve">Expected</t>
  </si>
  <si>
    <t xml:space="preserve">Difference</t>
  </si>
  <si>
    <t xml:space="preserve">Status</t>
  </si>
  <si>
    <t xml:space="preserve">Note</t>
  </si>
  <si>
    <t xml:space="preserve">Tolerance</t>
  </si>
  <si>
    <t xml:space="preserve">Pool balance</t>
  </si>
  <si>
    <t xml:space="preserve">$1,000.0 million</t>
  </si>
  <si>
    <t xml:space="preserve">Weighted average coupon</t>
  </si>
  <si>
    <t xml:space="preserve">Net pool coupon</t>
  </si>
  <si>
    <t xml:space="preserve">Weighted average loan-to-value (tape column)</t>
  </si>
  <si>
    <t xml:space="preserve">Pool loan-to-value (pool over appraisals)</t>
  </si>
  <si>
    <t xml:space="preserve">Weighted average coverage ratio</t>
  </si>
  <si>
    <t xml:space="preserve">Weighted average term, years</t>
  </si>
  <si>
    <t xml:space="preserve">Pool net cash flow</t>
  </si>
  <si>
    <t xml:space="preserve">$107.02 million</t>
  </si>
  <si>
    <t xml:space="preserve">Sum of appraisals</t>
  </si>
  <si>
    <t xml:space="preserve">Value at a 6.40 per cent market rate</t>
  </si>
  <si>
    <t xml:space="preserve">Appraisals against income value</t>
  </si>
  <si>
    <t xml:space="preserve">0.15 percent</t>
  </si>
  <si>
    <t xml:space="preserve">Implied capitalization rate</t>
  </si>
  <si>
    <t xml:space="preserve">Market less implied, basis points</t>
  </si>
  <si>
    <t xml:space="preserve">59.8 percent</t>
  </si>
  <si>
    <t xml:space="preserve">Top five loans</t>
  </si>
  <si>
    <t xml:space="preserve">Top ten loans</t>
  </si>
  <si>
    <t xml:space="preserve">Largest loan share</t>
  </si>
  <si>
    <t xml:space="preserve">Office share</t>
  </si>
  <si>
    <t xml:space="preserve">Industrial share</t>
  </si>
  <si>
    <t xml:space="preserve">Retail share</t>
  </si>
  <si>
    <t xml:space="preserve">Severity at which the largest loan wipes class H</t>
  </si>
  <si>
    <t xml:space="preserve">Harborline Center net cash flow</t>
  </si>
  <si>
    <t xml:space="preserve">Income understated on the interest-only test, about</t>
  </si>
  <si>
    <t xml:space="preserve">"about a percent"</t>
  </si>
  <si>
    <t xml:space="preserve">Top-of-pool fees a year</t>
  </si>
  <si>
    <t xml:space="preserve">Credit support, senior block (A-1)</t>
  </si>
  <si>
    <t xml:space="preserve">Credit support, A-2 (same as A-1)</t>
  </si>
  <si>
    <t xml:space="preserve">Credit support, A-S</t>
  </si>
  <si>
    <t xml:space="preserve">Credit support, E</t>
  </si>
  <si>
    <t xml:space="preserve">Credit support, F</t>
  </si>
  <si>
    <t xml:space="preserve">Credit support, G</t>
  </si>
  <si>
    <t xml:space="preserve">First-loss block face</t>
  </si>
  <si>
    <t xml:space="preserve">Iso-loss: senior block at 55 per cent severity</t>
  </si>
  <si>
    <t xml:space="preserve">Iso-loss: E at 55 per cent</t>
  </si>
  <si>
    <t xml:space="preserve">Iso-loss: G at 55 per cent</t>
  </si>
  <si>
    <t xml:space="preserve">Iso-loss: senior block at 25 per cent</t>
  </si>
  <si>
    <t xml:space="preserve">Iso-loss: G at 65 per cent</t>
  </si>
  <si>
    <t xml:space="preserve">Class H monthly coupon</t>
  </si>
  <si>
    <t xml:space="preserve">Oakfield balance at transfer</t>
  </si>
  <si>
    <t xml:space="preserve">Beaumont balance at transfer</t>
  </si>
  <si>
    <t xml:space="preserve">Oakfield repaid before transfer</t>
  </si>
  <si>
    <t xml:space="preserve">Beaumont repaid before transfer</t>
  </si>
  <si>
    <t xml:space="preserve">Marlowe Tower realized loss</t>
  </si>
  <si>
    <t xml:space="preserve">Oakfield realized loss</t>
  </si>
  <si>
    <t xml:space="preserve">Beaumont realized loss</t>
  </si>
  <si>
    <t xml:space="preserve">Marlowe realized severity</t>
  </si>
  <si>
    <t xml:space="preserve">Oakfield realized severity</t>
  </si>
  <si>
    <t xml:space="preserve">Beaumont realized severity</t>
  </si>
  <si>
    <t xml:space="preserve">Oakfield appraisal severity</t>
  </si>
  <si>
    <t xml:space="preserve">Beaumont appraisal severity</t>
  </si>
  <si>
    <t xml:space="preserve">Total realized loss</t>
  </si>
  <si>
    <t xml:space="preserve">  share of the original pool</t>
  </si>
  <si>
    <t xml:space="preserve">Year the losses are written (corrected)</t>
  </si>
  <si>
    <t xml:space="preserve">The book prints year 6. Transfer in month 36, liquidations in months 58, 53, 50.</t>
  </si>
  <si>
    <t xml:space="preserve">Written down, class H</t>
  </si>
  <si>
    <t xml:space="preserve">Written down, class G</t>
  </si>
  <si>
    <t xml:space="preserve">Class G, percent lost</t>
  </si>
  <si>
    <t xml:space="preserve">Written down, class F</t>
  </si>
  <si>
    <t xml:space="preserve">Class F headroom</t>
  </si>
  <si>
    <t xml:space="preserve">First-loss face remaining</t>
  </si>
  <si>
    <t xml:space="preserve">Senior cushion over the loss, times</t>
  </si>
  <si>
    <t xml:space="preserve">"roughly 6.7 times"</t>
  </si>
  <si>
    <t xml:space="preserve">Principal advances not modeled, two amortizing loans</t>
  </si>
  <si>
    <t xml:space="preserve">Chapter 12</t>
  </si>
  <si>
    <t xml:space="preserve">  severity uplift, Oakfield</t>
  </si>
  <si>
    <t xml:space="preserve">+0.90 points</t>
  </si>
  <si>
    <t xml:space="preserve">  severity uplift, Beaumont</t>
  </si>
  <si>
    <t xml:space="preserve">+0.46 points</t>
  </si>
  <si>
    <t xml:space="preserve">Reconciliation: interest, performing loans</t>
  </si>
  <si>
    <t xml:space="preserve">Reconciliation: interest, defaulted loans before default</t>
  </si>
  <si>
    <t xml:space="preserve">Reconciliation: interest advanced</t>
  </si>
  <si>
    <t xml:space="preserve">Reconciliation: scheduled amortization</t>
  </si>
  <si>
    <t xml:space="preserve">Reconciliation: balloon principal</t>
  </si>
  <si>
    <t xml:space="preserve">Reconciliation: liquidation proceeds</t>
  </si>
  <si>
    <t xml:space="preserve">Reconciliation: master servicing and trustee fees</t>
  </si>
  <si>
    <t xml:space="preserve">Reconciliation: special servicing fees</t>
  </si>
  <si>
    <t xml:space="preserve">Reconciliation: liquidation fees</t>
  </si>
  <si>
    <t xml:space="preserve">Reconciliation: legal and protection</t>
  </si>
  <si>
    <t xml:space="preserve">Reconciliation: interest to certificates</t>
  </si>
  <si>
    <t xml:space="preserve">Reconciliation: principal to certificates</t>
  </si>
  <si>
    <t xml:space="preserve">Reconciliation: total sources</t>
  </si>
  <si>
    <t xml:space="preserve">The book prints 1,543.09 for sources, the sum of its rounded lines, and says why</t>
  </si>
  <si>
    <t xml:space="preserve">Reconciliation: sources less uses</t>
  </si>
  <si>
    <t xml:space="preserve">closes to the cent</t>
  </si>
  <si>
    <t xml:space="preserve">Reconciliation: implied loss equals the bridges</t>
  </si>
  <si>
    <t xml:space="preserve">Share of certificate interest advanced</t>
  </si>
  <si>
    <t xml:space="preserve">1.59 percent</t>
  </si>
  <si>
    <t xml:space="preserve">Stress, Base case: pool loss</t>
  </si>
  <si>
    <t xml:space="preserve">Stress, Base case: first class written down</t>
  </si>
  <si>
    <t xml:space="preserve">Stress, Base case: first-loss return</t>
  </si>
  <si>
    <t xml:space="preserve">Stress, Office repricing: pool loss</t>
  </si>
  <si>
    <t xml:space="preserve">Stress, Office repricing: first class written down</t>
  </si>
  <si>
    <t xml:space="preserve">Stress, Office repricing: first-loss return</t>
  </si>
  <si>
    <t xml:space="preserve">Stress, Rate shock at maturity: pool loss</t>
  </si>
  <si>
    <t xml:space="preserve">Stress, Rate shock at maturity: first class written down</t>
  </si>
  <si>
    <t xml:space="preserve">Stress, Rate shock at maturity: first-loss return</t>
  </si>
  <si>
    <t xml:space="preserve">Stress, Broad recession: pool loss</t>
  </si>
  <si>
    <t xml:space="preserve">Stress, Broad recession: first class written down</t>
  </si>
  <si>
    <t xml:space="preserve">Stress, Broad recession: first-loss return</t>
  </si>
  <si>
    <t xml:space="preserve">Stress, Severe: pool loss</t>
  </si>
  <si>
    <t xml:space="preserve">Stress, Severe: first class written down</t>
  </si>
  <si>
    <t xml:space="preserve">Stress, Severe: first-loss return</t>
  </si>
  <si>
    <t xml:space="preserve">Stress, base case loss in dollars</t>
  </si>
  <si>
    <t xml:space="preserve">Base case: share of class H taken</t>
  </si>
  <si>
    <t xml:space="preserve">Recession: class E written down</t>
  </si>
  <si>
    <t xml:space="preserve">Recession: share of class E</t>
  </si>
  <si>
    <t xml:space="preserve">Recession: class D headroom</t>
  </si>
  <si>
    <t xml:space="preserve">Severe: margin under the senior block</t>
  </si>
  <si>
    <t xml:space="preserve">Rate shock: more defaults, less loss</t>
  </si>
  <si>
    <t xml:space="preserve">Surveillance: pool outstanding</t>
  </si>
  <si>
    <t xml:space="preserve">Surveillance: specially serviced share</t>
  </si>
  <si>
    <t xml:space="preserve">Surveillance: reductions, share of pool</t>
  </si>
  <si>
    <t xml:space="preserve">Surveillance: loss-adjusted support, F</t>
  </si>
  <si>
    <t xml:space="preserve">Surveillance: loss-adjusted support, E</t>
  </si>
  <si>
    <t xml:space="preserve">Surveillance: control distance</t>
  </si>
  <si>
    <t xml:space="preserve">Surveillance: advanced interest a year</t>
  </si>
  <si>
    <t xml:space="preserve">Surveillance: implied cap rate, 17 surviving loans</t>
  </si>
  <si>
    <t xml:space="preserve">Surveillance: surviving loans</t>
  </si>
  <si>
    <t xml:space="preserve">Special servicing fees a year on $120.9 million</t>
  </si>
  <si>
    <t xml:space="preserve">Chapter 13</t>
  </si>
  <si>
    <t xml:space="preserve">Failures</t>
  </si>
  <si>
    <t xml:space="preserve">All controls</t>
  </si>
</sst>
</file>

<file path=xl/styles.xml><?xml version="1.0" encoding="utf-8"?>
<styleSheet xmlns="http://schemas.openxmlformats.org/spreadsheetml/2006/main">
  <numFmts count="12">
    <numFmt numFmtId="164" formatCode="General"/>
    <numFmt numFmtId="165" formatCode="#,##0"/>
    <numFmt numFmtId="166" formatCode="0.00%"/>
    <numFmt numFmtId="167" formatCode="0.0%"/>
    <numFmt numFmtId="168" formatCode="0.00"/>
    <numFmt numFmtId="169" formatCode="0"/>
    <numFmt numFmtId="170" formatCode="#,##0;\-#,##0;&quot;&quot;"/>
    <numFmt numFmtId="171" formatCode="0.000"/>
    <numFmt numFmtId="172" formatCode="0.000%"/>
    <numFmt numFmtId="173" formatCode="0.0"/>
    <numFmt numFmtId="174" formatCode="0%"/>
    <numFmt numFmtId="175" formatCode="#,##0.000000"/>
  </numFmts>
  <fonts count="10">
    <font>
      <sz val="11"/>
      <color theme="1"/>
      <name val="Calibri"/>
      <family val="2"/>
      <charset val="1"/>
    </font>
    <font>
      <sz val="10"/>
      <name val="Arial"/>
      <family val="0"/>
    </font>
    <font>
      <sz val="10"/>
      <name val="Arial"/>
      <family val="0"/>
    </font>
    <font>
      <sz val="10"/>
      <name val="Arial"/>
      <family val="0"/>
    </font>
    <font>
      <b val="true"/>
      <sz val="13"/>
      <name val="Arial"/>
      <family val="0"/>
      <charset val="1"/>
    </font>
    <font>
      <sz val="10"/>
      <name val="Arial"/>
      <family val="0"/>
      <charset val="1"/>
    </font>
    <font>
      <sz val="9"/>
      <color rgb="FF666666"/>
      <name val="Arial"/>
      <family val="0"/>
      <charset val="1"/>
    </font>
    <font>
      <b val="true"/>
      <sz val="10"/>
      <name val="Arial"/>
      <family val="0"/>
      <charset val="1"/>
    </font>
    <font>
      <sz val="10"/>
      <color rgb="FF0000CC"/>
      <name val="Arial"/>
      <family val="0"/>
      <charset val="1"/>
    </font>
    <font>
      <b val="true"/>
      <sz val="10"/>
      <color rgb="FF0000CC"/>
      <name val="Arial"/>
      <family val="0"/>
      <charset val="1"/>
    </font>
  </fonts>
  <fills count="4">
    <fill>
      <patternFill patternType="none"/>
    </fill>
    <fill>
      <patternFill patternType="gray125"/>
    </fill>
    <fill>
      <patternFill patternType="solid">
        <fgColor rgb="FFEEEEEE"/>
        <bgColor rgb="FFFFF2CC"/>
      </patternFill>
    </fill>
    <fill>
      <patternFill patternType="solid">
        <fgColor rgb="FFFFF2CC"/>
        <bgColor rgb="FFEEEEEE"/>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70"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72" fontId="8" fillId="0" borderId="0" xfId="0" applyFont="true" applyBorder="false" applyAlignment="false" applyProtection="false">
      <alignment horizontal="general" vertical="bottom" textRotation="0" wrapText="false" indent="0" shrinkToFit="false"/>
      <protection locked="true" hidden="false"/>
    </xf>
    <xf numFmtId="166" fontId="8" fillId="3"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73" fontId="5"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7" fontId="5"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74" fontId="8" fillId="0" borderId="0" xfId="0" applyFont="true" applyBorder="false" applyAlignment="false" applyProtection="false">
      <alignment horizontal="general" vertical="bottom" textRotation="0" wrapText="false" indent="0" shrinkToFit="false"/>
      <protection locked="true" hidden="false"/>
    </xf>
    <xf numFmtId="169" fontId="8" fillId="3" borderId="0" xfId="0" applyFont="true" applyBorder="false" applyAlignment="false" applyProtection="false">
      <alignment horizontal="general" vertical="bottom" textRotation="0" wrapText="false" indent="0" shrinkToFit="false"/>
      <protection locked="true" hidden="false"/>
    </xf>
    <xf numFmtId="172" fontId="5" fillId="0" borderId="0" xfId="0" applyFont="true" applyBorder="false" applyAlignment="false" applyProtection="false">
      <alignment horizontal="general" vertical="bottom" textRotation="0" wrapText="false" indent="0" shrinkToFit="false"/>
      <protection locked="true" hidden="false"/>
    </xf>
    <xf numFmtId="165" fontId="8" fillId="3" borderId="0" xfId="0" applyFont="true" applyBorder="false" applyAlignment="false" applyProtection="false">
      <alignment horizontal="general" vertical="bottom" textRotation="0" wrapText="false" indent="0" shrinkToFit="false"/>
      <protection locked="true" hidden="false"/>
    </xf>
    <xf numFmtId="169" fontId="5"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8" fontId="8" fillId="3"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73" fontId="8" fillId="0" borderId="0" xfId="0" applyFont="true" applyBorder="false" applyAlignment="false" applyProtection="false">
      <alignment horizontal="general" vertical="bottom" textRotation="0" wrapText="false" indent="0" shrinkToFit="false"/>
      <protection locked="true" hidden="false"/>
    </xf>
    <xf numFmtId="175" fontId="5" fillId="0" borderId="0" xfId="0" applyFont="true" applyBorder="false" applyAlignment="false" applyProtection="false">
      <alignment horizontal="general" vertical="bottom" textRotation="0" wrapText="false" indent="0" shrinkToFit="false"/>
      <protection locked="true" hidden="false"/>
    </xf>
    <xf numFmtId="175"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EEEEE"/>
      <rgbColor rgb="FFFF0000"/>
      <rgbColor rgb="FF00FF00"/>
      <rgbColor rgb="FF0000CC"/>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8"/>
  </cols>
  <sheetData>
    <row r="1" customFormat="false" ht="16.15" hidden="false" customHeight="false" outlineLevel="0" collapsed="false">
      <c r="A1" s="1" t="s">
        <v>0</v>
      </c>
    </row>
    <row r="3" customFormat="false" ht="55.5" hidden="false" customHeight="true" outlineLevel="0" collapsed="false">
      <c r="A3" s="2" t="s">
        <v>1</v>
      </c>
    </row>
    <row r="4" customFormat="false" ht="27.75" hidden="false" customHeight="true" outlineLevel="0" collapsed="false">
      <c r="A4" s="2" t="s">
        <v>2</v>
      </c>
    </row>
    <row r="5" customFormat="false" ht="42" hidden="false" customHeight="true" outlineLevel="0" collapsed="false">
      <c r="A5" s="2" t="s">
        <v>3</v>
      </c>
    </row>
    <row r="6" customFormat="false" ht="42" hidden="false" customHeight="true" outlineLevel="0" collapsed="false">
      <c r="A6" s="2" t="s">
        <v>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12" min="2" style="0" width="13"/>
  </cols>
  <sheetData>
    <row r="1" customFormat="false" ht="16.15" hidden="false" customHeight="false" outlineLevel="0" collapsed="false">
      <c r="A1" s="1" t="s">
        <v>5</v>
      </c>
    </row>
    <row r="2" customFormat="false" ht="15" hidden="false" customHeight="false" outlineLevel="0" collapsed="false">
      <c r="A2" s="3" t="s">
        <v>6</v>
      </c>
    </row>
    <row r="4" customFormat="false" ht="23.85" hidden="false" customHeight="false" outlineLevel="0" collapsed="false">
      <c r="A4" s="4" t="s">
        <v>7</v>
      </c>
      <c r="B4" s="4" t="s">
        <v>8</v>
      </c>
      <c r="C4" s="4" t="s">
        <v>9</v>
      </c>
      <c r="D4" s="4" t="s">
        <v>10</v>
      </c>
      <c r="E4" s="4" t="s">
        <v>11</v>
      </c>
      <c r="F4" s="4" t="s">
        <v>12</v>
      </c>
      <c r="G4" s="4" t="s">
        <v>13</v>
      </c>
      <c r="H4" s="4" t="s">
        <v>14</v>
      </c>
      <c r="I4" s="4" t="s">
        <v>15</v>
      </c>
      <c r="J4" s="4" t="s">
        <v>16</v>
      </c>
      <c r="K4" s="4" t="s">
        <v>17</v>
      </c>
      <c r="L4" s="4" t="s">
        <v>18</v>
      </c>
    </row>
    <row r="5" customFormat="false" ht="15" hidden="false" customHeight="false" outlineLevel="0" collapsed="false">
      <c r="A5" s="5" t="s">
        <v>19</v>
      </c>
      <c r="B5" s="5" t="s">
        <v>20</v>
      </c>
      <c r="C5" s="6" t="n">
        <v>92000000</v>
      </c>
      <c r="D5" s="7" t="n">
        <v>0.0615</v>
      </c>
      <c r="E5" s="8" t="n">
        <v>0.61</v>
      </c>
      <c r="F5" s="9" t="n">
        <v>1.48</v>
      </c>
      <c r="G5" s="10" t="n">
        <v>10</v>
      </c>
      <c r="H5" s="10" t="n">
        <v>0</v>
      </c>
      <c r="I5" s="10" t="n">
        <v>0</v>
      </c>
      <c r="J5" s="11" t="n">
        <f aca="false">IF($C5="",0,IF($H5=0,$C5*$D5,$C5*($D5/12)/(1-(1+$D5/12)^(-$H5*12))*12))</f>
        <v>5658000</v>
      </c>
      <c r="K5" s="11" t="n">
        <f aca="false">IF($C5="",0,J5*$F5)</f>
        <v>8373840</v>
      </c>
      <c r="L5" s="11" t="n">
        <f aca="false">IF($C5="",0,$C5/$E5)</f>
        <v>150819672.131148</v>
      </c>
    </row>
    <row r="6" customFormat="false" ht="15" hidden="false" customHeight="false" outlineLevel="0" collapsed="false">
      <c r="A6" s="5" t="s">
        <v>21</v>
      </c>
      <c r="B6" s="5" t="s">
        <v>22</v>
      </c>
      <c r="C6" s="6" t="n">
        <v>78500000</v>
      </c>
      <c r="D6" s="7" t="n">
        <v>0.0585</v>
      </c>
      <c r="E6" s="8" t="n">
        <v>0.64</v>
      </c>
      <c r="F6" s="9" t="n">
        <v>1.35</v>
      </c>
      <c r="G6" s="10" t="n">
        <v>10</v>
      </c>
      <c r="H6" s="10" t="n">
        <v>0</v>
      </c>
      <c r="I6" s="10" t="n">
        <v>0</v>
      </c>
      <c r="J6" s="11" t="n">
        <f aca="false">IF($C6="",0,IF($H6=0,$C6*$D6,$C6*($D6/12)/(1-(1+$D6/12)^(-$H6*12))*12))</f>
        <v>4592250</v>
      </c>
      <c r="K6" s="11" t="n">
        <f aca="false">IF($C6="",0,J6*$F6)</f>
        <v>6199537.5</v>
      </c>
      <c r="L6" s="11" t="n">
        <f aca="false">IF($C6="",0,$C6/$E6)</f>
        <v>122656250</v>
      </c>
    </row>
    <row r="7" customFormat="false" ht="15" hidden="false" customHeight="false" outlineLevel="0" collapsed="false">
      <c r="A7" s="5" t="s">
        <v>23</v>
      </c>
      <c r="B7" s="5" t="s">
        <v>24</v>
      </c>
      <c r="C7" s="6" t="n">
        <v>74000000</v>
      </c>
      <c r="D7" s="7" t="n">
        <v>0.0605</v>
      </c>
      <c r="E7" s="8" t="n">
        <v>0.55</v>
      </c>
      <c r="F7" s="9" t="n">
        <v>1.82</v>
      </c>
      <c r="G7" s="10" t="n">
        <v>10</v>
      </c>
      <c r="H7" s="10" t="n">
        <v>0</v>
      </c>
      <c r="I7" s="10" t="n">
        <v>0</v>
      </c>
      <c r="J7" s="11" t="n">
        <f aca="false">IF($C7="",0,IF($H7=0,$C7*$D7,$C7*($D7/12)/(1-(1+$D7/12)^(-$H7*12))*12))</f>
        <v>4477000</v>
      </c>
      <c r="K7" s="11" t="n">
        <f aca="false">IF($C7="",0,J7*$F7)</f>
        <v>8148140</v>
      </c>
      <c r="L7" s="11" t="n">
        <f aca="false">IF($C7="",0,$C7/$E7)</f>
        <v>134545454.545455</v>
      </c>
    </row>
    <row r="8" customFormat="false" ht="15" hidden="false" customHeight="false" outlineLevel="0" collapsed="false">
      <c r="A8" s="5" t="s">
        <v>25</v>
      </c>
      <c r="B8" s="5" t="s">
        <v>26</v>
      </c>
      <c r="C8" s="6" t="n">
        <v>68000000</v>
      </c>
      <c r="D8" s="7" t="n">
        <v>0.0705</v>
      </c>
      <c r="E8" s="8" t="n">
        <v>0.58</v>
      </c>
      <c r="F8" s="9" t="n">
        <v>1.95</v>
      </c>
      <c r="G8" s="10" t="n">
        <v>5</v>
      </c>
      <c r="H8" s="10" t="n">
        <v>30</v>
      </c>
      <c r="I8" s="10" t="n">
        <v>0</v>
      </c>
      <c r="J8" s="11" t="n">
        <f aca="false">IF($C8="",0,IF($H8=0,$C8*$D8,$C8*($D8/12)/(1-(1+$D8/12)^(-$H8*12))*12))</f>
        <v>5456297.09303079</v>
      </c>
      <c r="K8" s="11" t="n">
        <f aca="false">IF($C8="",0,J8*$F8)</f>
        <v>10639779.33141</v>
      </c>
      <c r="L8" s="11" t="n">
        <f aca="false">IF($C8="",0,$C8/$E8)</f>
        <v>117241379.310345</v>
      </c>
    </row>
    <row r="9" customFormat="false" ht="15" hidden="false" customHeight="false" outlineLevel="0" collapsed="false">
      <c r="A9" s="5" t="s">
        <v>27</v>
      </c>
      <c r="B9" s="5" t="s">
        <v>28</v>
      </c>
      <c r="C9" s="6" t="n">
        <v>63500000</v>
      </c>
      <c r="D9" s="7" t="n">
        <v>0.0645</v>
      </c>
      <c r="E9" s="8" t="n">
        <v>0.595</v>
      </c>
      <c r="F9" s="9" t="n">
        <v>1.61</v>
      </c>
      <c r="G9" s="10" t="n">
        <v>10</v>
      </c>
      <c r="H9" s="10" t="n">
        <v>30</v>
      </c>
      <c r="I9" s="10" t="n">
        <v>3</v>
      </c>
      <c r="J9" s="11" t="n">
        <f aca="false">IF($C9="",0,IF($H9=0,$C9*$D9,$C9*($D9/12)/(1-(1+$D9/12)^(-$H9*12))*12))</f>
        <v>4791329.21606774</v>
      </c>
      <c r="K9" s="11" t="n">
        <f aca="false">IF($C9="",0,J9*$F9)</f>
        <v>7714040.03786906</v>
      </c>
      <c r="L9" s="11" t="n">
        <f aca="false">IF($C9="",0,$C9/$E9)</f>
        <v>106722689.07563</v>
      </c>
    </row>
    <row r="10" customFormat="false" ht="15" hidden="false" customHeight="false" outlineLevel="0" collapsed="false">
      <c r="A10" s="5" t="s">
        <v>29</v>
      </c>
      <c r="B10" s="5" t="s">
        <v>20</v>
      </c>
      <c r="C10" s="6" t="n">
        <v>61000000</v>
      </c>
      <c r="D10" s="7" t="n">
        <v>0.0635</v>
      </c>
      <c r="E10" s="8" t="n">
        <v>0.635</v>
      </c>
      <c r="F10" s="9" t="n">
        <v>1.42</v>
      </c>
      <c r="G10" s="10" t="n">
        <v>10</v>
      </c>
      <c r="H10" s="10" t="n">
        <v>0</v>
      </c>
      <c r="I10" s="10" t="n">
        <v>0</v>
      </c>
      <c r="J10" s="11" t="n">
        <f aca="false">IF($C10="",0,IF($H10=0,$C10*$D10,$C10*($D10/12)/(1-(1+$D10/12)^(-$H10*12))*12))</f>
        <v>3873500</v>
      </c>
      <c r="K10" s="11" t="n">
        <f aca="false">IF($C10="",0,J10*$F10)</f>
        <v>5500370</v>
      </c>
      <c r="L10" s="11" t="n">
        <f aca="false">IF($C10="",0,$C10/$E10)</f>
        <v>96062992.1259843</v>
      </c>
    </row>
    <row r="11" customFormat="false" ht="15" hidden="false" customHeight="false" outlineLevel="0" collapsed="false">
      <c r="A11" s="5" t="s">
        <v>30</v>
      </c>
      <c r="B11" s="5" t="s">
        <v>24</v>
      </c>
      <c r="C11" s="6" t="n">
        <v>61000000</v>
      </c>
      <c r="D11" s="7" t="n">
        <v>0.0615</v>
      </c>
      <c r="E11" s="8" t="n">
        <v>0.575</v>
      </c>
      <c r="F11" s="9" t="n">
        <v>1.66</v>
      </c>
      <c r="G11" s="10" t="n">
        <v>10</v>
      </c>
      <c r="H11" s="10" t="n">
        <v>0</v>
      </c>
      <c r="I11" s="10" t="n">
        <v>0</v>
      </c>
      <c r="J11" s="11" t="n">
        <f aca="false">IF($C11="",0,IF($H11=0,$C11*$D11,$C11*($D11/12)/(1-(1+$D11/12)^(-$H11*12))*12))</f>
        <v>3751500</v>
      </c>
      <c r="K11" s="11" t="n">
        <f aca="false">IF($C11="",0,J11*$F11)</f>
        <v>6227490</v>
      </c>
      <c r="L11" s="11" t="n">
        <f aca="false">IF($C11="",0,$C11/$E11)</f>
        <v>106086956.521739</v>
      </c>
    </row>
    <row r="12" customFormat="false" ht="15" hidden="false" customHeight="false" outlineLevel="0" collapsed="false">
      <c r="A12" s="5" t="s">
        <v>31</v>
      </c>
      <c r="B12" s="5" t="s">
        <v>32</v>
      </c>
      <c r="C12" s="6" t="n">
        <v>55000000</v>
      </c>
      <c r="D12" s="7" t="n">
        <v>0.062</v>
      </c>
      <c r="E12" s="8" t="n">
        <v>0.57</v>
      </c>
      <c r="F12" s="9" t="n">
        <v>1.74</v>
      </c>
      <c r="G12" s="10" t="n">
        <v>10</v>
      </c>
      <c r="H12" s="10" t="n">
        <v>0</v>
      </c>
      <c r="I12" s="10" t="n">
        <v>0</v>
      </c>
      <c r="J12" s="11" t="n">
        <f aca="false">IF($C12="",0,IF($H12=0,$C12*$D12,$C12*($D12/12)/(1-(1+$D12/12)^(-$H12*12))*12))</f>
        <v>3410000</v>
      </c>
      <c r="K12" s="11" t="n">
        <f aca="false">IF($C12="",0,J12*$F12)</f>
        <v>5933400</v>
      </c>
      <c r="L12" s="11" t="n">
        <f aca="false">IF($C12="",0,$C12/$E12)</f>
        <v>96491228.0701755</v>
      </c>
    </row>
    <row r="13" customFormat="false" ht="15" hidden="false" customHeight="false" outlineLevel="0" collapsed="false">
      <c r="A13" s="5" t="s">
        <v>33</v>
      </c>
      <c r="B13" s="5" t="s">
        <v>24</v>
      </c>
      <c r="C13" s="6" t="n">
        <v>52000000</v>
      </c>
      <c r="D13" s="7" t="n">
        <v>0.06</v>
      </c>
      <c r="E13" s="8" t="n">
        <v>0.54</v>
      </c>
      <c r="F13" s="9" t="n">
        <v>1.88</v>
      </c>
      <c r="G13" s="10" t="n">
        <v>10</v>
      </c>
      <c r="H13" s="10" t="n">
        <v>0</v>
      </c>
      <c r="I13" s="10" t="n">
        <v>0</v>
      </c>
      <c r="J13" s="11" t="n">
        <f aca="false">IF($C13="",0,IF($H13=0,$C13*$D13,$C13*($D13/12)/(1-(1+$D13/12)^(-$H13*12))*12))</f>
        <v>3120000</v>
      </c>
      <c r="K13" s="11" t="n">
        <f aca="false">IF($C13="",0,J13*$F13)</f>
        <v>5865600</v>
      </c>
      <c r="L13" s="11" t="n">
        <f aca="false">IF($C13="",0,$C13/$E13)</f>
        <v>96296296.2962963</v>
      </c>
    </row>
    <row r="14" customFormat="false" ht="15" hidden="false" customHeight="false" outlineLevel="0" collapsed="false">
      <c r="A14" s="5" t="s">
        <v>34</v>
      </c>
      <c r="B14" s="5" t="s">
        <v>28</v>
      </c>
      <c r="C14" s="6" t="n">
        <v>48500000</v>
      </c>
      <c r="D14" s="7" t="n">
        <v>0.0655</v>
      </c>
      <c r="E14" s="8" t="n">
        <v>0.62</v>
      </c>
      <c r="F14" s="9" t="n">
        <v>1.52</v>
      </c>
      <c r="G14" s="10" t="n">
        <v>10</v>
      </c>
      <c r="H14" s="10" t="n">
        <v>30</v>
      </c>
      <c r="I14" s="10" t="n">
        <v>0</v>
      </c>
      <c r="J14" s="11" t="n">
        <f aca="false">IF($C14="",0,IF($H14=0,$C14*$D14,$C14*($D14/12)/(1-(1+$D14/12)^(-$H14*12))*12))</f>
        <v>3697794.35832801</v>
      </c>
      <c r="K14" s="11" t="n">
        <f aca="false">IF($C14="",0,J14*$F14)</f>
        <v>5620647.42465858</v>
      </c>
      <c r="L14" s="11" t="n">
        <f aca="false">IF($C14="",0,$C14/$E14)</f>
        <v>78225806.4516129</v>
      </c>
    </row>
    <row r="15" customFormat="false" ht="15" hidden="false" customHeight="false" outlineLevel="0" collapsed="false">
      <c r="A15" s="5" t="s">
        <v>35</v>
      </c>
      <c r="B15" s="5" t="s">
        <v>22</v>
      </c>
      <c r="C15" s="6" t="n">
        <v>46000000</v>
      </c>
      <c r="D15" s="7" t="n">
        <v>0.0595</v>
      </c>
      <c r="E15" s="8" t="n">
        <v>0.65</v>
      </c>
      <c r="F15" s="9" t="n">
        <v>1.31</v>
      </c>
      <c r="G15" s="10" t="n">
        <v>10</v>
      </c>
      <c r="H15" s="10" t="n">
        <v>0</v>
      </c>
      <c r="I15" s="10" t="n">
        <v>0</v>
      </c>
      <c r="J15" s="11" t="n">
        <f aca="false">IF($C15="",0,IF($H15=0,$C15*$D15,$C15*($D15/12)/(1-(1+$D15/12)^(-$H15*12))*12))</f>
        <v>2737000</v>
      </c>
      <c r="K15" s="11" t="n">
        <f aca="false">IF($C15="",0,J15*$F15)</f>
        <v>3585470</v>
      </c>
      <c r="L15" s="11" t="n">
        <f aca="false">IF($C15="",0,$C15/$E15)</f>
        <v>70769230.7692308</v>
      </c>
    </row>
    <row r="16" customFormat="false" ht="15" hidden="false" customHeight="false" outlineLevel="0" collapsed="false">
      <c r="A16" s="5" t="s">
        <v>36</v>
      </c>
      <c r="B16" s="5" t="s">
        <v>20</v>
      </c>
      <c r="C16" s="6" t="n">
        <v>44000000</v>
      </c>
      <c r="D16" s="7" t="n">
        <v>0.066</v>
      </c>
      <c r="E16" s="8" t="n">
        <v>0.66</v>
      </c>
      <c r="F16" s="9" t="n">
        <v>1.28</v>
      </c>
      <c r="G16" s="10" t="n">
        <v>7</v>
      </c>
      <c r="H16" s="10" t="n">
        <v>30</v>
      </c>
      <c r="I16" s="10" t="n">
        <v>0</v>
      </c>
      <c r="J16" s="11" t="n">
        <f aca="false">IF($C16="",0,IF($H16=0,$C16*$D16,$C16*($D16/12)/(1-(1+$D16/12)^(-$H16*12))*12))</f>
        <v>3372118.55917016</v>
      </c>
      <c r="K16" s="11" t="n">
        <f aca="false">IF($C16="",0,J16*$F16)</f>
        <v>4316311.7557378</v>
      </c>
      <c r="L16" s="11" t="n">
        <f aca="false">IF($C16="",0,$C16/$E16)</f>
        <v>66666666.6666667</v>
      </c>
    </row>
    <row r="17" customFormat="false" ht="15" hidden="false" customHeight="false" outlineLevel="0" collapsed="false">
      <c r="A17" s="5" t="s">
        <v>37</v>
      </c>
      <c r="B17" s="5" t="s">
        <v>26</v>
      </c>
      <c r="C17" s="6" t="n">
        <v>41000000</v>
      </c>
      <c r="D17" s="7" t="n">
        <v>0.0725</v>
      </c>
      <c r="E17" s="8" t="n">
        <v>0.6</v>
      </c>
      <c r="F17" s="9" t="n">
        <v>1.86</v>
      </c>
      <c r="G17" s="10" t="n">
        <v>5</v>
      </c>
      <c r="H17" s="10" t="n">
        <v>25</v>
      </c>
      <c r="I17" s="10" t="n">
        <v>0</v>
      </c>
      <c r="J17" s="11" t="n">
        <f aca="false">IF($C17="",0,IF($H17=0,$C17*$D17,$C17*($D17/12)/(1-(1+$D17/12)^(-$H17*12))*12))</f>
        <v>3556209.77135804</v>
      </c>
      <c r="K17" s="11" t="n">
        <f aca="false">IF($C17="",0,J17*$F17)</f>
        <v>6614550.17472596</v>
      </c>
      <c r="L17" s="11" t="n">
        <f aca="false">IF($C17="",0,$C17/$E17)</f>
        <v>68333333.3333333</v>
      </c>
    </row>
    <row r="18" customFormat="false" ht="15" hidden="false" customHeight="false" outlineLevel="0" collapsed="false">
      <c r="A18" s="5" t="s">
        <v>38</v>
      </c>
      <c r="B18" s="5" t="s">
        <v>39</v>
      </c>
      <c r="C18" s="6" t="n">
        <v>38500000</v>
      </c>
      <c r="D18" s="7" t="n">
        <v>0.063</v>
      </c>
      <c r="E18" s="8" t="n">
        <v>0.585</v>
      </c>
      <c r="F18" s="9" t="n">
        <v>1.55</v>
      </c>
      <c r="G18" s="10" t="n">
        <v>10</v>
      </c>
      <c r="H18" s="10" t="n">
        <v>0</v>
      </c>
      <c r="I18" s="10" t="n">
        <v>0</v>
      </c>
      <c r="J18" s="11" t="n">
        <f aca="false">IF($C18="",0,IF($H18=0,$C18*$D18,$C18*($D18/12)/(1-(1+$D18/12)^(-$H18*12))*12))</f>
        <v>2425500</v>
      </c>
      <c r="K18" s="11" t="n">
        <f aca="false">IF($C18="",0,J18*$F18)</f>
        <v>3759525</v>
      </c>
      <c r="L18" s="11" t="n">
        <f aca="false">IF($C18="",0,$C18/$E18)</f>
        <v>65811965.8119658</v>
      </c>
    </row>
    <row r="19" customFormat="false" ht="15" hidden="false" customHeight="false" outlineLevel="0" collapsed="false">
      <c r="A19" s="5" t="s">
        <v>40</v>
      </c>
      <c r="B19" s="5" t="s">
        <v>24</v>
      </c>
      <c r="C19" s="6" t="n">
        <v>36000000</v>
      </c>
      <c r="D19" s="7" t="n">
        <v>0.061</v>
      </c>
      <c r="E19" s="8" t="n">
        <v>0.53</v>
      </c>
      <c r="F19" s="9" t="n">
        <v>1.9</v>
      </c>
      <c r="G19" s="10" t="n">
        <v>10</v>
      </c>
      <c r="H19" s="10" t="n">
        <v>0</v>
      </c>
      <c r="I19" s="10" t="n">
        <v>0</v>
      </c>
      <c r="J19" s="11" t="n">
        <f aca="false">IF($C19="",0,IF($H19=0,$C19*$D19,$C19*($D19/12)/(1-(1+$D19/12)^(-$H19*12))*12))</f>
        <v>2196000</v>
      </c>
      <c r="K19" s="11" t="n">
        <f aca="false">IF($C19="",0,J19*$F19)</f>
        <v>4172400</v>
      </c>
      <c r="L19" s="11" t="n">
        <f aca="false">IF($C19="",0,$C19/$E19)</f>
        <v>67924528.3018868</v>
      </c>
    </row>
    <row r="20" customFormat="false" ht="15" hidden="false" customHeight="false" outlineLevel="0" collapsed="false">
      <c r="A20" s="5" t="s">
        <v>41</v>
      </c>
      <c r="B20" s="5" t="s">
        <v>28</v>
      </c>
      <c r="C20" s="6" t="n">
        <v>33000000</v>
      </c>
      <c r="D20" s="7" t="n">
        <v>0.067</v>
      </c>
      <c r="E20" s="8" t="n">
        <v>0.645</v>
      </c>
      <c r="F20" s="9" t="n">
        <v>1.44</v>
      </c>
      <c r="G20" s="10" t="n">
        <v>10</v>
      </c>
      <c r="H20" s="10" t="n">
        <v>30</v>
      </c>
      <c r="I20" s="10" t="n">
        <v>0</v>
      </c>
      <c r="J20" s="11" t="n">
        <f aca="false">IF($C20="",0,IF($H20=0,$C20*$D20,$C20*($D20/12)/(1-(1+$D20/12)^(-$H20*12))*12))</f>
        <v>2555300.7930388</v>
      </c>
      <c r="K20" s="11" t="n">
        <f aca="false">IF($C20="",0,J20*$F20)</f>
        <v>3679633.14197587</v>
      </c>
      <c r="L20" s="11" t="n">
        <f aca="false">IF($C20="",0,$C20/$E20)</f>
        <v>51162790.6976744</v>
      </c>
    </row>
    <row r="21" customFormat="false" ht="15" hidden="false" customHeight="false" outlineLevel="0" collapsed="false">
      <c r="A21" s="5" t="s">
        <v>42</v>
      </c>
      <c r="B21" s="5" t="s">
        <v>22</v>
      </c>
      <c r="C21" s="6" t="n">
        <v>31500000</v>
      </c>
      <c r="D21" s="7" t="n">
        <v>0.0605</v>
      </c>
      <c r="E21" s="8" t="n">
        <v>0.63</v>
      </c>
      <c r="F21" s="9" t="n">
        <v>1.38</v>
      </c>
      <c r="G21" s="10" t="n">
        <v>10</v>
      </c>
      <c r="H21" s="10" t="n">
        <v>0</v>
      </c>
      <c r="I21" s="10" t="n">
        <v>0</v>
      </c>
      <c r="J21" s="11" t="n">
        <f aca="false">IF($C21="",0,IF($H21=0,$C21*$D21,$C21*($D21/12)/(1-(1+$D21/12)^(-$H21*12))*12))</f>
        <v>1905750</v>
      </c>
      <c r="K21" s="11" t="n">
        <f aca="false">IF($C21="",0,J21*$F21)</f>
        <v>2629935</v>
      </c>
      <c r="L21" s="11" t="n">
        <f aca="false">IF($C21="",0,$C21/$E21)</f>
        <v>50000000</v>
      </c>
    </row>
    <row r="22" customFormat="false" ht="15" hidden="false" customHeight="false" outlineLevel="0" collapsed="false">
      <c r="A22" s="5" t="s">
        <v>43</v>
      </c>
      <c r="B22" s="5" t="s">
        <v>20</v>
      </c>
      <c r="C22" s="6" t="n">
        <v>29000000</v>
      </c>
      <c r="D22" s="7" t="n">
        <v>0.0685</v>
      </c>
      <c r="E22" s="8" t="n">
        <v>0.68</v>
      </c>
      <c r="F22" s="9" t="n">
        <v>1.22</v>
      </c>
      <c r="G22" s="10" t="n">
        <v>5</v>
      </c>
      <c r="H22" s="10" t="n">
        <v>30</v>
      </c>
      <c r="I22" s="10" t="n">
        <v>0</v>
      </c>
      <c r="J22" s="11" t="n">
        <f aca="false">IF($C22="",0,IF($H22=0,$C22*$D22,$C22*($D22/12)/(1-(1+$D22/12)^(-$H22*12))*12))</f>
        <v>2280302.06242682</v>
      </c>
      <c r="K22" s="11" t="n">
        <f aca="false">IF($C22="",0,J22*$F22)</f>
        <v>2781968.51616071</v>
      </c>
      <c r="L22" s="11" t="n">
        <f aca="false">IF($C22="",0,$C22/$E22)</f>
        <v>42647058.8235294</v>
      </c>
    </row>
    <row r="23" customFormat="false" ht="15" hidden="false" customHeight="false" outlineLevel="0" collapsed="false">
      <c r="A23" s="5" t="s">
        <v>44</v>
      </c>
      <c r="B23" s="5" t="s">
        <v>32</v>
      </c>
      <c r="C23" s="6" t="n">
        <v>25500000</v>
      </c>
      <c r="D23" s="7" t="n">
        <v>0.0625</v>
      </c>
      <c r="E23" s="8" t="n">
        <v>0.56</v>
      </c>
      <c r="F23" s="9" t="n">
        <v>1.7</v>
      </c>
      <c r="G23" s="10" t="n">
        <v>10</v>
      </c>
      <c r="H23" s="10" t="n">
        <v>0</v>
      </c>
      <c r="I23" s="10" t="n">
        <v>0</v>
      </c>
      <c r="J23" s="11" t="n">
        <f aca="false">IF($C23="",0,IF($H23=0,$C23*$D23,$C23*($D23/12)/(1-(1+$D23/12)^(-$H23*12))*12))</f>
        <v>1593750</v>
      </c>
      <c r="K23" s="11" t="n">
        <f aca="false">IF($C23="",0,J23*$F23)</f>
        <v>2709375</v>
      </c>
      <c r="L23" s="11" t="n">
        <f aca="false">IF($C23="",0,$C23/$E23)</f>
        <v>45535714.2857143</v>
      </c>
    </row>
    <row r="24" customFormat="false" ht="15" hidden="false" customHeight="false" outlineLevel="0" collapsed="false">
      <c r="A24" s="5" t="s">
        <v>45</v>
      </c>
      <c r="B24" s="5" t="s">
        <v>28</v>
      </c>
      <c r="C24" s="6" t="n">
        <v>22000000</v>
      </c>
      <c r="D24" s="7" t="n">
        <v>0.0675</v>
      </c>
      <c r="E24" s="8" t="n">
        <v>0.615</v>
      </c>
      <c r="F24" s="9" t="n">
        <v>1.49</v>
      </c>
      <c r="G24" s="10" t="n">
        <v>10</v>
      </c>
      <c r="H24" s="10" t="n">
        <v>30</v>
      </c>
      <c r="I24" s="10" t="n">
        <v>0</v>
      </c>
      <c r="J24" s="11" t="n">
        <f aca="false">IF($C24="",0,IF($H24=0,$C24*$D24,$C24*($D24/12)/(1-(1+$D24/12)^(-$H24*12))*12))</f>
        <v>1712298.97494009</v>
      </c>
      <c r="K24" s="11" t="n">
        <f aca="false">IF($C24="",0,J24*$F24)</f>
        <v>2551325.47266073</v>
      </c>
      <c r="L24" s="11" t="n">
        <f aca="false">IF($C24="",0,$C24/$E24)</f>
        <v>35772357.7235772</v>
      </c>
    </row>
    <row r="26" customFormat="false" ht="15" hidden="false" customHeight="false" outlineLevel="0" collapsed="false">
      <c r="A26" s="12" t="s">
        <v>46</v>
      </c>
      <c r="C26" s="13" t="n">
        <f aca="false">SUM(C5:C24)</f>
        <v>1000000000</v>
      </c>
      <c r="D26" s="14" t="n">
        <f aca="false">IF($C$26=0,"",SUMPRODUCT($C$5:$C$24,D5:D24)/$C$26)</f>
        <v>0.06336575</v>
      </c>
      <c r="E26" s="14" t="n">
        <f aca="false">IF($C$26=0,"",SUMPRODUCT($C$5:$C$24,E5:E24)/$C$26)</f>
        <v>0.601395</v>
      </c>
      <c r="F26" s="15" t="n">
        <f aca="false">IF($C$26=0,"",SUMPRODUCT($C$5:$C$24,F5:F24)/$C$26)</f>
        <v>1.590125</v>
      </c>
      <c r="G26" s="16" t="n">
        <f aca="false">IF($C$26=0,"",SUMPRODUCT($C$5:$C$24,G5:G24)/$C$26)</f>
        <v>9.178</v>
      </c>
      <c r="J26" s="13" t="n">
        <f aca="false">SUM(J5:J24)</f>
        <v>67161900.8283604</v>
      </c>
      <c r="K26" s="13" t="n">
        <f aca="false">SUM(K5:K24)</f>
        <v>107023338.355199</v>
      </c>
      <c r="L26" s="13" t="n">
        <f aca="false">SUM(L5:L24)</f>
        <v>1669772370.94196</v>
      </c>
    </row>
    <row r="28" customFormat="false" ht="15" hidden="false" customHeight="false" outlineLevel="0" collapsed="false">
      <c r="A28" s="17" t="s">
        <v>47</v>
      </c>
      <c r="B28" s="18" t="n">
        <v>0.0003</v>
      </c>
    </row>
    <row r="29" customFormat="false" ht="15" hidden="false" customHeight="false" outlineLevel="0" collapsed="false">
      <c r="A29" s="17" t="s">
        <v>48</v>
      </c>
      <c r="B29" s="18" t="n">
        <v>0.00015</v>
      </c>
    </row>
    <row r="30" customFormat="false" ht="15" hidden="false" customHeight="false" outlineLevel="0" collapsed="false">
      <c r="A30" s="17" t="s">
        <v>49</v>
      </c>
      <c r="B30" s="19" t="n">
        <v>0.064</v>
      </c>
    </row>
    <row r="31" customFormat="false" ht="15" hidden="false" customHeight="false" outlineLevel="0" collapsed="false">
      <c r="A31" s="17" t="s">
        <v>50</v>
      </c>
      <c r="B31" s="6" t="n">
        <v>340000</v>
      </c>
    </row>
    <row r="33" customFormat="false" ht="15" hidden="false" customHeight="false" outlineLevel="0" collapsed="false">
      <c r="A33" s="17" t="s">
        <v>51</v>
      </c>
      <c r="B33" s="20" t="n">
        <f aca="false">D26-B28-B29</f>
        <v>0.06291575</v>
      </c>
    </row>
    <row r="34" customFormat="false" ht="15" hidden="false" customHeight="false" outlineLevel="0" collapsed="false">
      <c r="A34" s="17" t="s">
        <v>52</v>
      </c>
      <c r="B34" s="21" t="n">
        <f aca="false">C26*(B28+B29)</f>
        <v>450000</v>
      </c>
    </row>
    <row r="35" customFormat="false" ht="15" hidden="false" customHeight="false" outlineLevel="0" collapsed="false">
      <c r="A35" s="17" t="s">
        <v>53</v>
      </c>
      <c r="B35" s="20" t="n">
        <f aca="false">C26/L26</f>
        <v>0.598884025992042</v>
      </c>
    </row>
    <row r="36" customFormat="false" ht="15" hidden="false" customHeight="false" outlineLevel="0" collapsed="false">
      <c r="A36" s="17" t="s">
        <v>54</v>
      </c>
      <c r="B36" s="14" t="n">
        <f aca="false">K26/L26</f>
        <v>0.0640945677492699</v>
      </c>
    </row>
    <row r="37" customFormat="false" ht="15" hidden="false" customHeight="false" outlineLevel="0" collapsed="false">
      <c r="A37" s="17" t="s">
        <v>55</v>
      </c>
      <c r="B37" s="13" t="n">
        <f aca="false">K26/B30</f>
        <v>1672239661.79998</v>
      </c>
    </row>
    <row r="38" customFormat="false" ht="15" hidden="false" customHeight="false" outlineLevel="0" collapsed="false">
      <c r="A38" s="17" t="s">
        <v>56</v>
      </c>
      <c r="B38" s="20" t="n">
        <f aca="false">ABS(L26-B37)/B37</f>
        <v>0.00147544093970416</v>
      </c>
    </row>
    <row r="39" customFormat="false" ht="15" hidden="false" customHeight="false" outlineLevel="0" collapsed="false">
      <c r="A39" s="17" t="s">
        <v>57</v>
      </c>
      <c r="B39" s="22" t="n">
        <f aca="false">(B30-B36)*10000</f>
        <v>-0.945677492699137</v>
      </c>
    </row>
    <row r="40" customFormat="false" ht="15" hidden="false" customHeight="false" outlineLevel="0" collapsed="false">
      <c r="A40" s="17" t="s">
        <v>58</v>
      </c>
      <c r="B40" s="23" t="n">
        <f aca="false">C26/B37</f>
        <v>0.598000407981958</v>
      </c>
    </row>
    <row r="41" customFormat="false" ht="15" hidden="false" customHeight="false" outlineLevel="0" collapsed="false">
      <c r="A41" s="17" t="s">
        <v>59</v>
      </c>
      <c r="B41" s="24" t="n">
        <f aca="false">SUMPRODUCT(LARGE(C5:C24,{1,2,3,4,5}))/C26</f>
        <v>0.376</v>
      </c>
    </row>
    <row r="42" customFormat="false" ht="15" hidden="false" customHeight="false" outlineLevel="0" collapsed="false">
      <c r="A42" s="17" t="s">
        <v>60</v>
      </c>
      <c r="B42" s="24" t="n">
        <f aca="false">SUMPRODUCT(LARGE(C5:C24,{1,2,3,4,5,6,7,8,9,10}))/C26</f>
        <v>0.6535</v>
      </c>
    </row>
    <row r="43" customFormat="false" ht="15" hidden="false" customHeight="false" outlineLevel="0" collapsed="false">
      <c r="A43" s="17" t="s">
        <v>61</v>
      </c>
      <c r="B43" s="24" t="n">
        <f aca="false">MAX(C5:C24)/C26</f>
        <v>0.092</v>
      </c>
    </row>
    <row r="44" customFormat="false" ht="15" hidden="false" customHeight="false" outlineLevel="0" collapsed="false">
      <c r="A44" s="17" t="s">
        <v>62</v>
      </c>
      <c r="B44" s="24" t="n">
        <f aca="false">'Capital structure'!C18/MAX(C5:C24)</f>
        <v>0.407608695652174</v>
      </c>
    </row>
    <row r="45" customFormat="false" ht="15" hidden="false" customHeight="false" outlineLevel="0" collapsed="false">
      <c r="A45" s="17" t="s">
        <v>63</v>
      </c>
      <c r="B45" s="24" t="n">
        <f aca="false">SUMIF(B5:B24,"Office",C5:C24)/C26</f>
        <v>0.226</v>
      </c>
    </row>
    <row r="46" customFormat="false" ht="15" hidden="false" customHeight="false" outlineLevel="0" collapsed="false">
      <c r="A46" s="17" t="s">
        <v>64</v>
      </c>
      <c r="B46" s="24" t="n">
        <f aca="false">SUMIF(B5:B24,"Industrial",C5:C24)/C26</f>
        <v>0.223</v>
      </c>
    </row>
    <row r="47" customFormat="false" ht="15" hidden="false" customHeight="false" outlineLevel="0" collapsed="false">
      <c r="A47" s="17" t="s">
        <v>65</v>
      </c>
      <c r="B47" s="24" t="n">
        <f aca="false">SUMIF(B5:B24,"Retail",C5:C24)/C26</f>
        <v>0.167</v>
      </c>
    </row>
    <row r="48" customFormat="false" ht="15" hidden="false" customHeight="false" outlineLevel="0" collapsed="false">
      <c r="A48" s="17" t="s">
        <v>66</v>
      </c>
      <c r="B48" s="21" t="n">
        <f aca="false">INDEX(K5:K24,MATCH(MAX(C5:C24),C5:C24,0))</f>
        <v>8373840</v>
      </c>
    </row>
    <row r="49" customFormat="false" ht="15" hidden="false" customHeight="false" outlineLevel="0" collapsed="false">
      <c r="A49" s="17" t="s">
        <v>67</v>
      </c>
      <c r="B49" s="25" t="n">
        <f aca="false">B48/B31</f>
        <v>24.6289411764706</v>
      </c>
    </row>
    <row r="50" customFormat="false" ht="15" hidden="false" customHeight="false" outlineLevel="0" collapsed="false">
      <c r="A50" s="17" t="s">
        <v>68</v>
      </c>
      <c r="B50" s="20" t="n">
        <f aca="false">SUMPRODUCT((I5:I24&gt;0)*(J5:J24-C5:C24*D5:D24)*F5:F24)/K26</f>
        <v>0.0104639096021495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10" min="2" style="0" width="13"/>
  </cols>
  <sheetData>
    <row r="1" customFormat="false" ht="16.15" hidden="false" customHeight="false" outlineLevel="0" collapsed="false">
      <c r="A1" s="1" t="s">
        <v>69</v>
      </c>
    </row>
    <row r="2" customFormat="false" ht="15" hidden="false" customHeight="false" outlineLevel="0" collapsed="false">
      <c r="A2" s="3" t="s">
        <v>70</v>
      </c>
    </row>
    <row r="4" customFormat="false" ht="23.85" hidden="false" customHeight="false" outlineLevel="0" collapsed="false">
      <c r="A4" s="4" t="s">
        <v>71</v>
      </c>
      <c r="B4" s="4" t="s">
        <v>72</v>
      </c>
      <c r="C4" s="4" t="s">
        <v>73</v>
      </c>
      <c r="D4" s="4" t="s">
        <v>74</v>
      </c>
      <c r="E4" s="4" t="s">
        <v>75</v>
      </c>
      <c r="F4" s="4" t="s">
        <v>76</v>
      </c>
      <c r="G4" s="4" t="s">
        <v>77</v>
      </c>
      <c r="H4" s="4" t="s">
        <v>78</v>
      </c>
      <c r="I4" s="4" t="s">
        <v>79</v>
      </c>
      <c r="J4" s="4" t="s">
        <v>80</v>
      </c>
    </row>
    <row r="5" customFormat="false" ht="15" hidden="false" customHeight="false" outlineLevel="0" collapsed="false">
      <c r="A5" s="5" t="s">
        <v>81</v>
      </c>
      <c r="B5" s="5" t="s">
        <v>82</v>
      </c>
      <c r="C5" s="6" t="n">
        <v>48000000</v>
      </c>
      <c r="D5" s="5" t="s">
        <v>83</v>
      </c>
      <c r="E5" s="21" t="n">
        <f aca="false">SUM(C6:C$19)</f>
        <v>952000000</v>
      </c>
      <c r="F5" s="20" t="n">
        <f aca="false">IF($C$20=0,"",(E5-IF(D5="Yes",SUMIF(D6:D$19,"Yes",C6:C$19),0))/$C$20)</f>
        <v>0.3</v>
      </c>
      <c r="G5" s="11" t="n">
        <f aca="false">IF(D5="Yes",IF(SUMIF($D$5:$D$18,"Yes",$C$5:$C$18)=0,0,C5/SUMIF($D$5:$D$18,"Yes",$C$5:$C$18)*MAX(0,MIN(SUMIF($D$5:$D$18,"Yes",$C$5:$C$18),$C$22-J5))),MAX(0,MIN(C5,$C$22-E5)))</f>
        <v>0</v>
      </c>
      <c r="H5" s="21" t="n">
        <f aca="false">C5-G5</f>
        <v>48000000</v>
      </c>
      <c r="I5" s="24" t="n">
        <f aca="false">IF(C5=0,"",G5/C5)</f>
        <v>0</v>
      </c>
      <c r="J5" s="21" t="n">
        <f aca="false">IF(F5="","",F5*$C$20)</f>
        <v>300000000</v>
      </c>
    </row>
    <row r="6" customFormat="false" ht="15" hidden="false" customHeight="false" outlineLevel="0" collapsed="false">
      <c r="A6" s="5" t="s">
        <v>84</v>
      </c>
      <c r="B6" s="5" t="s">
        <v>82</v>
      </c>
      <c r="C6" s="6" t="n">
        <v>112000000</v>
      </c>
      <c r="D6" s="5" t="s">
        <v>83</v>
      </c>
      <c r="E6" s="21" t="n">
        <f aca="false">SUM(C7:C$19)</f>
        <v>840000000</v>
      </c>
      <c r="F6" s="20" t="n">
        <f aca="false">IF($C$20=0,"",(E6-IF(D6="Yes",SUMIF(D7:D$19,"Yes",C7:C$19),0))/$C$20)</f>
        <v>0.3</v>
      </c>
      <c r="G6" s="11" t="n">
        <f aca="false">IF(D6="Yes",IF(SUMIF($D$5:$D$18,"Yes",$C$5:$C$18)=0,0,C6/SUMIF($D$5:$D$18,"Yes",$C$5:$C$18)*MAX(0,MIN(SUMIF($D$5:$D$18,"Yes",$C$5:$C$18),$C$22-J6))),MAX(0,MIN(C6,$C$22-E6)))</f>
        <v>0</v>
      </c>
      <c r="H6" s="21" t="n">
        <f aca="false">C6-G6</f>
        <v>112000000</v>
      </c>
      <c r="I6" s="24" t="n">
        <f aca="false">IF(C6=0,"",G6/C6)</f>
        <v>0</v>
      </c>
      <c r="J6" s="21" t="n">
        <f aca="false">IF(F6="","",F6*$C$20)</f>
        <v>300000000</v>
      </c>
    </row>
    <row r="7" customFormat="false" ht="15" hidden="false" customHeight="false" outlineLevel="0" collapsed="false">
      <c r="A7" s="5" t="s">
        <v>85</v>
      </c>
      <c r="B7" s="5" t="s">
        <v>82</v>
      </c>
      <c r="C7" s="6" t="n">
        <v>165000000</v>
      </c>
      <c r="D7" s="5" t="s">
        <v>83</v>
      </c>
      <c r="E7" s="21" t="n">
        <f aca="false">SUM(C8:C$19)</f>
        <v>675000000</v>
      </c>
      <c r="F7" s="20" t="n">
        <f aca="false">IF($C$20=0,"",(E7-IF(D7="Yes",SUMIF(D8:D$19,"Yes",C8:C$19),0))/$C$20)</f>
        <v>0.3</v>
      </c>
      <c r="G7" s="11" t="n">
        <f aca="false">IF(D7="Yes",IF(SUMIF($D$5:$D$18,"Yes",$C$5:$C$18)=0,0,C7/SUMIF($D$5:$D$18,"Yes",$C$5:$C$18)*MAX(0,MIN(SUMIF($D$5:$D$18,"Yes",$C$5:$C$18),$C$22-J7))),MAX(0,MIN(C7,$C$22-E7)))</f>
        <v>0</v>
      </c>
      <c r="H7" s="21" t="n">
        <f aca="false">C7-G7</f>
        <v>165000000</v>
      </c>
      <c r="I7" s="24" t="n">
        <f aca="false">IF(C7=0,"",G7/C7)</f>
        <v>0</v>
      </c>
      <c r="J7" s="21" t="n">
        <f aca="false">IF(F7="","",F7*$C$20)</f>
        <v>300000000</v>
      </c>
    </row>
    <row r="8" customFormat="false" ht="15" hidden="false" customHeight="false" outlineLevel="0" collapsed="false">
      <c r="A8" s="5" t="s">
        <v>86</v>
      </c>
      <c r="B8" s="5" t="s">
        <v>82</v>
      </c>
      <c r="C8" s="6" t="n">
        <v>47000000</v>
      </c>
      <c r="D8" s="5" t="s">
        <v>83</v>
      </c>
      <c r="E8" s="21" t="n">
        <f aca="false">SUM(C9:C$19)</f>
        <v>628000000</v>
      </c>
      <c r="F8" s="20" t="n">
        <f aca="false">IF($C$20=0,"",(E8-IF(D8="Yes",SUMIF(D9:D$19,"Yes",C9:C$19),0))/$C$20)</f>
        <v>0.3</v>
      </c>
      <c r="G8" s="11" t="n">
        <f aca="false">IF(D8="Yes",IF(SUMIF($D$5:$D$18,"Yes",$C$5:$C$18)=0,0,C8/SUMIF($D$5:$D$18,"Yes",$C$5:$C$18)*MAX(0,MIN(SUMIF($D$5:$D$18,"Yes",$C$5:$C$18),$C$22-J8))),MAX(0,MIN(C8,$C$22-E8)))</f>
        <v>0</v>
      </c>
      <c r="H8" s="21" t="n">
        <f aca="false">C8-G8</f>
        <v>47000000</v>
      </c>
      <c r="I8" s="24" t="n">
        <f aca="false">IF(C8=0,"",G8/C8)</f>
        <v>0</v>
      </c>
      <c r="J8" s="21" t="n">
        <f aca="false">IF(F8="","",F8*$C$20)</f>
        <v>300000000</v>
      </c>
    </row>
    <row r="9" customFormat="false" ht="15" hidden="false" customHeight="false" outlineLevel="0" collapsed="false">
      <c r="A9" s="5" t="s">
        <v>87</v>
      </c>
      <c r="B9" s="5" t="s">
        <v>82</v>
      </c>
      <c r="C9" s="6" t="n">
        <v>190000000</v>
      </c>
      <c r="D9" s="5" t="s">
        <v>83</v>
      </c>
      <c r="E9" s="21" t="n">
        <f aca="false">SUM(C10:C$19)</f>
        <v>438000000</v>
      </c>
      <c r="F9" s="20" t="n">
        <f aca="false">IF($C$20=0,"",(E9-IF(D9="Yes",SUMIF(D10:D$19,"Yes",C10:C$19),0))/$C$20)</f>
        <v>0.3</v>
      </c>
      <c r="G9" s="11" t="n">
        <f aca="false">IF(D9="Yes",IF(SUMIF($D$5:$D$18,"Yes",$C$5:$C$18)=0,0,C9/SUMIF($D$5:$D$18,"Yes",$C$5:$C$18)*MAX(0,MIN(SUMIF($D$5:$D$18,"Yes",$C$5:$C$18),$C$22-J9))),MAX(0,MIN(C9,$C$22-E9)))</f>
        <v>0</v>
      </c>
      <c r="H9" s="21" t="n">
        <f aca="false">C9-G9</f>
        <v>190000000</v>
      </c>
      <c r="I9" s="24" t="n">
        <f aca="false">IF(C9=0,"",G9/C9)</f>
        <v>0</v>
      </c>
      <c r="J9" s="21" t="n">
        <f aca="false">IF(F9="","",F9*$C$20)</f>
        <v>300000000</v>
      </c>
    </row>
    <row r="10" customFormat="false" ht="15" hidden="false" customHeight="false" outlineLevel="0" collapsed="false">
      <c r="A10" s="5" t="s">
        <v>88</v>
      </c>
      <c r="B10" s="5" t="s">
        <v>82</v>
      </c>
      <c r="C10" s="6" t="n">
        <v>138000000</v>
      </c>
      <c r="D10" s="5" t="s">
        <v>83</v>
      </c>
      <c r="E10" s="21" t="n">
        <f aca="false">SUM(C11:C$19)</f>
        <v>300000000</v>
      </c>
      <c r="F10" s="20" t="n">
        <f aca="false">IF($C$20=0,"",(E10-IF(D10="Yes",SUMIF(D11:D$19,"Yes",C11:C$19),0))/$C$20)</f>
        <v>0.3</v>
      </c>
      <c r="G10" s="11" t="n">
        <f aca="false">IF(D10="Yes",IF(SUMIF($D$5:$D$18,"Yes",$C$5:$C$18)=0,0,C10/SUMIF($D$5:$D$18,"Yes",$C$5:$C$18)*MAX(0,MIN(SUMIF($D$5:$D$18,"Yes",$C$5:$C$18),$C$22-J10))),MAX(0,MIN(C10,$C$22-E10)))</f>
        <v>0</v>
      </c>
      <c r="H10" s="21" t="n">
        <f aca="false">C10-G10</f>
        <v>138000000</v>
      </c>
      <c r="I10" s="24" t="n">
        <f aca="false">IF(C10=0,"",G10/C10)</f>
        <v>0</v>
      </c>
      <c r="J10" s="21" t="n">
        <f aca="false">IF(F10="","",F10*$C$20)</f>
        <v>300000000</v>
      </c>
    </row>
    <row r="11" customFormat="false" ht="15" hidden="false" customHeight="false" outlineLevel="0" collapsed="false">
      <c r="A11" s="5" t="s">
        <v>89</v>
      </c>
      <c r="B11" s="5" t="s">
        <v>82</v>
      </c>
      <c r="C11" s="6" t="n">
        <v>75000000</v>
      </c>
      <c r="D11" s="5"/>
      <c r="E11" s="21" t="n">
        <f aca="false">SUM(C12:C$19)</f>
        <v>225000000</v>
      </c>
      <c r="F11" s="20" t="n">
        <f aca="false">IF($C$20=0,"",(E11-IF(D11="Yes",SUMIF(D12:D$19,"Yes",C12:C$19),0))/$C$20)</f>
        <v>0.225</v>
      </c>
      <c r="G11" s="11" t="n">
        <f aca="false">IF(D11="Yes",IF(SUMIF($D$5:$D$18,"Yes",$C$5:$C$18)=0,0,C11/SUMIF($D$5:$D$18,"Yes",$C$5:$C$18)*MAX(0,MIN(SUMIF($D$5:$D$18,"Yes",$C$5:$C$18),$C$22-J11))),MAX(0,MIN(C11,$C$22-E11)))</f>
        <v>0</v>
      </c>
      <c r="H11" s="21" t="n">
        <f aca="false">C11-G11</f>
        <v>75000000</v>
      </c>
      <c r="I11" s="24" t="n">
        <f aca="false">IF(C11=0,"",G11/C11)</f>
        <v>0</v>
      </c>
      <c r="J11" s="21" t="n">
        <f aca="false">IF(F11="","",F11*$C$20)</f>
        <v>225000000</v>
      </c>
    </row>
    <row r="12" customFormat="false" ht="15" hidden="false" customHeight="false" outlineLevel="0" collapsed="false">
      <c r="A12" s="5" t="s">
        <v>90</v>
      </c>
      <c r="B12" s="5" t="s">
        <v>91</v>
      </c>
      <c r="C12" s="6" t="n">
        <v>55000000</v>
      </c>
      <c r="D12" s="5"/>
      <c r="E12" s="21" t="n">
        <f aca="false">SUM(C13:C$19)</f>
        <v>170000000</v>
      </c>
      <c r="F12" s="20" t="n">
        <f aca="false">IF($C$20=0,"",(E12-IF(D12="Yes",SUMIF(D13:D$19,"Yes",C13:C$19),0))/$C$20)</f>
        <v>0.17</v>
      </c>
      <c r="G12" s="11" t="n">
        <f aca="false">IF(D12="Yes",IF(SUMIF($D$5:$D$18,"Yes",$C$5:$C$18)=0,0,C12/SUMIF($D$5:$D$18,"Yes",$C$5:$C$18)*MAX(0,MIN(SUMIF($D$5:$D$18,"Yes",$C$5:$C$18),$C$22-J12))),MAX(0,MIN(C12,$C$22-E12)))</f>
        <v>0</v>
      </c>
      <c r="H12" s="21" t="n">
        <f aca="false">C12-G12</f>
        <v>55000000</v>
      </c>
      <c r="I12" s="24" t="n">
        <f aca="false">IF(C12=0,"",G12/C12)</f>
        <v>0</v>
      </c>
      <c r="J12" s="21" t="n">
        <f aca="false">IF(F12="","",F12*$C$20)</f>
        <v>170000000</v>
      </c>
    </row>
    <row r="13" customFormat="false" ht="15" hidden="false" customHeight="false" outlineLevel="0" collapsed="false">
      <c r="A13" s="5" t="s">
        <v>92</v>
      </c>
      <c r="B13" s="5" t="s">
        <v>93</v>
      </c>
      <c r="C13" s="6" t="n">
        <v>40000000</v>
      </c>
      <c r="D13" s="5"/>
      <c r="E13" s="21" t="n">
        <f aca="false">SUM(C14:C$19)</f>
        <v>130000000</v>
      </c>
      <c r="F13" s="20" t="n">
        <f aca="false">IF($C$20=0,"",(E13-IF(D13="Yes",SUMIF(D14:D$19,"Yes",C14:C$19),0))/$C$20)</f>
        <v>0.13</v>
      </c>
      <c r="G13" s="11" t="n">
        <f aca="false">IF(D13="Yes",IF(SUMIF($D$5:$D$18,"Yes",$C$5:$C$18)=0,0,C13/SUMIF($D$5:$D$18,"Yes",$C$5:$C$18)*MAX(0,MIN(SUMIF($D$5:$D$18,"Yes",$C$5:$C$18),$C$22-J13))),MAX(0,MIN(C13,$C$22-E13)))</f>
        <v>0</v>
      </c>
      <c r="H13" s="21" t="n">
        <f aca="false">C13-G13</f>
        <v>40000000</v>
      </c>
      <c r="I13" s="24" t="n">
        <f aca="false">IF(C13=0,"",G13/C13)</f>
        <v>0</v>
      </c>
      <c r="J13" s="21" t="n">
        <f aca="false">IF(F13="","",F13*$C$20)</f>
        <v>130000000</v>
      </c>
    </row>
    <row r="14" customFormat="false" ht="15" hidden="false" customHeight="false" outlineLevel="0" collapsed="false">
      <c r="A14" s="5" t="s">
        <v>94</v>
      </c>
      <c r="B14" s="5" t="s">
        <v>95</v>
      </c>
      <c r="C14" s="6" t="n">
        <v>35000000</v>
      </c>
      <c r="D14" s="5"/>
      <c r="E14" s="21" t="n">
        <f aca="false">SUM(C15:C$19)</f>
        <v>95000000</v>
      </c>
      <c r="F14" s="20" t="n">
        <f aca="false">IF($C$20=0,"",(E14-IF(D14="Yes",SUMIF(D15:D$19,"Yes",C15:C$19),0))/$C$20)</f>
        <v>0.095</v>
      </c>
      <c r="G14" s="11" t="n">
        <f aca="false">IF(D14="Yes",IF(SUMIF($D$5:$D$18,"Yes",$C$5:$C$18)=0,0,C14/SUMIF($D$5:$D$18,"Yes",$C$5:$C$18)*MAX(0,MIN(SUMIF($D$5:$D$18,"Yes",$C$5:$C$18),$C$22-J14))),MAX(0,MIN(C14,$C$22-E14)))</f>
        <v>0</v>
      </c>
      <c r="H14" s="21" t="n">
        <f aca="false">C14-G14</f>
        <v>35000000</v>
      </c>
      <c r="I14" s="24" t="n">
        <f aca="false">IF(C14=0,"",G14/C14)</f>
        <v>0</v>
      </c>
      <c r="J14" s="21" t="n">
        <f aca="false">IF(F14="","",F14*$C$20)</f>
        <v>95000000</v>
      </c>
    </row>
    <row r="15" customFormat="false" ht="15" hidden="false" customHeight="false" outlineLevel="0" collapsed="false">
      <c r="A15" s="5" t="s">
        <v>96</v>
      </c>
      <c r="B15" s="5" t="s">
        <v>97</v>
      </c>
      <c r="C15" s="6" t="n">
        <v>20000000</v>
      </c>
      <c r="D15" s="5"/>
      <c r="E15" s="21" t="n">
        <f aca="false">SUM(C16:C$19)</f>
        <v>75000000</v>
      </c>
      <c r="F15" s="20" t="n">
        <f aca="false">IF($C$20=0,"",(E15-IF(D15="Yes",SUMIF(D16:D$19,"Yes",C16:C$19),0))/$C$20)</f>
        <v>0.075</v>
      </c>
      <c r="G15" s="11" t="n">
        <f aca="false">IF(D15="Yes",IF(SUMIF($D$5:$D$18,"Yes",$C$5:$C$18)=0,0,C15/SUMIF($D$5:$D$18,"Yes",$C$5:$C$18)*MAX(0,MIN(SUMIF($D$5:$D$18,"Yes",$C$5:$C$18),$C$22-J15))),MAX(0,MIN(C15,$C$22-E15)))</f>
        <v>0</v>
      </c>
      <c r="H15" s="21" t="n">
        <f aca="false">C15-G15</f>
        <v>20000000</v>
      </c>
      <c r="I15" s="24" t="n">
        <f aca="false">IF(C15=0,"",G15/C15)</f>
        <v>0</v>
      </c>
      <c r="J15" s="21" t="n">
        <f aca="false">IF(F15="","",F15*$C$20)</f>
        <v>75000000</v>
      </c>
    </row>
    <row r="16" customFormat="false" ht="15" hidden="false" customHeight="false" outlineLevel="0" collapsed="false">
      <c r="A16" s="5" t="s">
        <v>98</v>
      </c>
      <c r="B16" s="5" t="s">
        <v>99</v>
      </c>
      <c r="C16" s="6" t="n">
        <v>22500000</v>
      </c>
      <c r="D16" s="5"/>
      <c r="E16" s="21" t="n">
        <f aca="false">SUM(C17:C$19)</f>
        <v>52500000</v>
      </c>
      <c r="F16" s="20" t="n">
        <f aca="false">IF($C$20=0,"",(E16-IF(D16="Yes",SUMIF(D17:D$19,"Yes",C17:C$19),0))/$C$20)</f>
        <v>0.0525</v>
      </c>
      <c r="G16" s="11" t="n">
        <f aca="false">IF(D16="Yes",IF(SUMIF($D$5:$D$18,"Yes",$C$5:$C$18)=0,0,C16/SUMIF($D$5:$D$18,"Yes",$C$5:$C$18)*MAX(0,MIN(SUMIF($D$5:$D$18,"Yes",$C$5:$C$18),$C$22-J16))),MAX(0,MIN(C16,$C$22-E16)))</f>
        <v>0</v>
      </c>
      <c r="H16" s="21" t="n">
        <f aca="false">C16-G16</f>
        <v>22500000</v>
      </c>
      <c r="I16" s="24" t="n">
        <f aca="false">IF(C16=0,"",G16/C16)</f>
        <v>0</v>
      </c>
      <c r="J16" s="21" t="n">
        <f aca="false">IF(F16="","",F16*$C$20)</f>
        <v>52500000</v>
      </c>
    </row>
    <row r="17" customFormat="false" ht="15" hidden="false" customHeight="false" outlineLevel="0" collapsed="false">
      <c r="A17" s="5" t="s">
        <v>100</v>
      </c>
      <c r="B17" s="5" t="s">
        <v>101</v>
      </c>
      <c r="C17" s="6" t="n">
        <v>15000000</v>
      </c>
      <c r="D17" s="5"/>
      <c r="E17" s="21" t="n">
        <f aca="false">SUM(C18:C$19)</f>
        <v>37500000</v>
      </c>
      <c r="F17" s="20" t="n">
        <f aca="false">IF($C$20=0,"",(E17-IF(D17="Yes",SUMIF(D18:D$19,"Yes",C18:C$19),0))/$C$20)</f>
        <v>0.0375</v>
      </c>
      <c r="G17" s="11" t="n">
        <f aca="false">IF(D17="Yes",IF(SUMIF($D$5:$D$18,"Yes",$C$5:$C$18)=0,0,C17/SUMIF($D$5:$D$18,"Yes",$C$5:$C$18)*MAX(0,MIN(SUMIF($D$5:$D$18,"Yes",$C$5:$C$18),$C$22-J17))),MAX(0,MIN(C17,$C$22-E17)))</f>
        <v>7206141.60780343</v>
      </c>
      <c r="H17" s="21" t="n">
        <f aca="false">C17-G17</f>
        <v>7793858.39219657</v>
      </c>
      <c r="I17" s="24" t="n">
        <f aca="false">IF(C17=0,"",G17/C17)</f>
        <v>0.480409440520229</v>
      </c>
      <c r="J17" s="21" t="n">
        <f aca="false">IF(F17="","",F17*$C$20)</f>
        <v>37500000</v>
      </c>
    </row>
    <row r="18" customFormat="false" ht="15" hidden="false" customHeight="false" outlineLevel="0" collapsed="false">
      <c r="A18" s="5" t="s">
        <v>102</v>
      </c>
      <c r="B18" s="5" t="s">
        <v>103</v>
      </c>
      <c r="C18" s="6" t="n">
        <v>37500000</v>
      </c>
      <c r="D18" s="5"/>
      <c r="E18" s="21" t="n">
        <f aca="false">SUM(C19:C$19)</f>
        <v>0</v>
      </c>
      <c r="F18" s="20" t="n">
        <f aca="false">IF($C$20=0,"",(E18-IF(D18="Yes",SUMIF(D19:D$19,"Yes",C19:C$19),0))/$C$20)</f>
        <v>0</v>
      </c>
      <c r="G18" s="11" t="n">
        <f aca="false">IF(D18="Yes",IF(SUMIF($D$5:$D$18,"Yes",$C$5:$C$18)=0,0,C18/SUMIF($D$5:$D$18,"Yes",$C$5:$C$18)*MAX(0,MIN(SUMIF($D$5:$D$18,"Yes",$C$5:$C$18),$C$22-J18))),MAX(0,MIN(C18,$C$22-E18)))</f>
        <v>37500000</v>
      </c>
      <c r="H18" s="21" t="n">
        <f aca="false">C18-G18</f>
        <v>0</v>
      </c>
      <c r="I18" s="24" t="n">
        <f aca="false">IF(C18=0,"",G18/C18)</f>
        <v>1</v>
      </c>
      <c r="J18" s="21" t="n">
        <f aca="false">IF(F18="","",F18*$C$20)</f>
        <v>0</v>
      </c>
    </row>
    <row r="20" customFormat="false" ht="15" hidden="false" customHeight="false" outlineLevel="0" collapsed="false">
      <c r="A20" s="12" t="s">
        <v>46</v>
      </c>
      <c r="C20" s="13" t="n">
        <f aca="false">SUM(C5:C18)</f>
        <v>1000000000</v>
      </c>
    </row>
    <row r="22" customFormat="false" ht="15" hidden="false" customHeight="false" outlineLevel="0" collapsed="false">
      <c r="A22" s="17" t="s">
        <v>104</v>
      </c>
      <c r="C22" s="13" t="n">
        <f aca="false">Liquidations!R19</f>
        <v>44706141.6078034</v>
      </c>
    </row>
    <row r="23" customFormat="false" ht="15" hidden="false" customHeight="false" outlineLevel="0" collapsed="false">
      <c r="A23" s="17" t="s">
        <v>105</v>
      </c>
      <c r="C23" s="21" t="n">
        <f aca="false">SUM(G5:G18)</f>
        <v>44706141.6078034</v>
      </c>
    </row>
    <row r="26" customFormat="false" ht="15" hidden="false" customHeight="false" outlineLevel="0" collapsed="false">
      <c r="A26" s="17" t="s">
        <v>106</v>
      </c>
      <c r="B26" s="5" t="s">
        <v>98</v>
      </c>
    </row>
    <row r="27" customFormat="false" ht="15" hidden="false" customHeight="false" outlineLevel="0" collapsed="false">
      <c r="A27" s="17" t="s">
        <v>107</v>
      </c>
      <c r="B27" s="13" t="n">
        <f aca="false">SUM(INDEX(C5:C18,MATCH(B26,A5:A18,0)):C18)</f>
        <v>75000000</v>
      </c>
    </row>
    <row r="28" customFormat="false" ht="15" hidden="false" customHeight="false" outlineLevel="0" collapsed="false">
      <c r="A28" s="17" t="s">
        <v>108</v>
      </c>
      <c r="B28" s="20" t="n">
        <f aca="false">B27/C20</f>
        <v>0.075</v>
      </c>
    </row>
    <row r="29" customFormat="false" ht="15" hidden="false" customHeight="false" outlineLevel="0" collapsed="false">
      <c r="A29" s="17" t="s">
        <v>109</v>
      </c>
      <c r="B29" s="21" t="n">
        <f aca="false">SUM(INDEX(H5:H18,MATCH(B26,A5:A18,0)):H18)</f>
        <v>30293858.3921966</v>
      </c>
    </row>
    <row r="30" customFormat="false" ht="15" hidden="false" customHeight="false" outlineLevel="0" collapsed="false">
      <c r="A30" s="17" t="s">
        <v>110</v>
      </c>
      <c r="B30" s="12" t="str">
        <f aca="false">IF(C22&lt;=0,"none",INDEX(A5:A18,COUNTIF(J5:J18,"&gt;="&amp;C22)+1))</f>
        <v>G</v>
      </c>
    </row>
    <row r="31" customFormat="false" ht="15" hidden="false" customHeight="false" outlineLevel="0" collapsed="false">
      <c r="A31" s="17" t="s">
        <v>111</v>
      </c>
      <c r="B31" s="21" t="n">
        <f aca="false">INDEX(J5:J18,MATCH(B26,A5:A18,0))-C22</f>
        <v>7793858.39219657</v>
      </c>
    </row>
    <row r="32" customFormat="false" ht="15" hidden="false" customHeight="false" outlineLevel="0" collapsed="false">
      <c r="A32" s="17" t="s">
        <v>112</v>
      </c>
      <c r="B32" s="22" t="n">
        <f aca="false">F5/(C22/C20)</f>
        <v>6.7104874008549</v>
      </c>
    </row>
    <row r="33" customFormat="false" ht="15" hidden="false" customHeight="false" outlineLevel="0" collapsed="false">
      <c r="A33" s="17" t="s">
        <v>113</v>
      </c>
      <c r="B33" s="20" t="n">
        <f aca="false">'Loan tape'!B33</f>
        <v>0.06291575</v>
      </c>
    </row>
    <row r="34" customFormat="false" ht="15" hidden="false" customHeight="false" outlineLevel="0" collapsed="false">
      <c r="A34" s="17" t="s">
        <v>114</v>
      </c>
      <c r="B34" s="21" t="n">
        <f aca="false">C18*B33/12</f>
        <v>196611.71875</v>
      </c>
    </row>
    <row r="35" customFormat="false" ht="15" hidden="false" customHeight="false" outlineLevel="0" collapsed="false">
      <c r="A35" s="17" t="s">
        <v>115</v>
      </c>
      <c r="B35" s="21" t="n">
        <f aca="false">C17*B33/12</f>
        <v>78644.6875</v>
      </c>
    </row>
    <row r="37" customFormat="false" ht="15" hidden="false" customHeight="false" outlineLevel="0" collapsed="false">
      <c r="A37" s="12" t="s">
        <v>116</v>
      </c>
    </row>
    <row r="38" customFormat="false" ht="23.85" hidden="false" customHeight="false" outlineLevel="0" collapsed="false">
      <c r="A38" s="4" t="s">
        <v>117</v>
      </c>
      <c r="B38" s="4" t="s">
        <v>74</v>
      </c>
      <c r="C38" s="4" t="s">
        <v>89</v>
      </c>
      <c r="D38" s="4" t="s">
        <v>118</v>
      </c>
      <c r="E38" s="4" t="s">
        <v>119</v>
      </c>
    </row>
    <row r="39" customFormat="false" ht="15" hidden="false" customHeight="false" outlineLevel="0" collapsed="false">
      <c r="A39" s="26" t="n">
        <v>0.25</v>
      </c>
      <c r="B39" s="24" t="n">
        <f aca="false">$F$10/$A39</f>
        <v>1.2</v>
      </c>
      <c r="C39" s="24" t="n">
        <f aca="false">$F$11/$A39</f>
        <v>0.9</v>
      </c>
      <c r="D39" s="24" t="n">
        <f aca="false">$F$15/$A39</f>
        <v>0.3</v>
      </c>
      <c r="E39" s="24" t="n">
        <f aca="false">$F$17/$A39</f>
        <v>0.15</v>
      </c>
    </row>
    <row r="40" customFormat="false" ht="15" hidden="false" customHeight="false" outlineLevel="0" collapsed="false">
      <c r="A40" s="26" t="n">
        <v>0.35</v>
      </c>
      <c r="B40" s="24" t="n">
        <f aca="false">$F$10/$A40</f>
        <v>0.857142857142857</v>
      </c>
      <c r="C40" s="24" t="n">
        <f aca="false">$F$11/$A40</f>
        <v>0.642857142857143</v>
      </c>
      <c r="D40" s="24" t="n">
        <f aca="false">$F$15/$A40</f>
        <v>0.214285714285714</v>
      </c>
      <c r="E40" s="24" t="n">
        <f aca="false">$F$17/$A40</f>
        <v>0.107142857142857</v>
      </c>
    </row>
    <row r="41" customFormat="false" ht="15" hidden="false" customHeight="false" outlineLevel="0" collapsed="false">
      <c r="A41" s="26" t="n">
        <v>0.45</v>
      </c>
      <c r="B41" s="24" t="n">
        <f aca="false">$F$10/$A41</f>
        <v>0.666666666666667</v>
      </c>
      <c r="C41" s="24" t="n">
        <f aca="false">$F$11/$A41</f>
        <v>0.5</v>
      </c>
      <c r="D41" s="24" t="n">
        <f aca="false">$F$15/$A41</f>
        <v>0.166666666666667</v>
      </c>
      <c r="E41" s="24" t="n">
        <f aca="false">$F$17/$A41</f>
        <v>0.0833333333333333</v>
      </c>
    </row>
    <row r="42" customFormat="false" ht="15" hidden="false" customHeight="false" outlineLevel="0" collapsed="false">
      <c r="A42" s="26" t="n">
        <v>0.55</v>
      </c>
      <c r="B42" s="24" t="n">
        <f aca="false">$F$10/$A42</f>
        <v>0.545454545454545</v>
      </c>
      <c r="C42" s="24" t="n">
        <f aca="false">$F$11/$A42</f>
        <v>0.409090909090909</v>
      </c>
      <c r="D42" s="24" t="n">
        <f aca="false">$F$15/$A42</f>
        <v>0.136363636363636</v>
      </c>
      <c r="E42" s="24" t="n">
        <f aca="false">$F$17/$A42</f>
        <v>0.0681818181818182</v>
      </c>
    </row>
    <row r="43" customFormat="false" ht="15" hidden="false" customHeight="false" outlineLevel="0" collapsed="false">
      <c r="A43" s="26" t="n">
        <v>0.65</v>
      </c>
      <c r="B43" s="24" t="n">
        <f aca="false">$F$10/$A43</f>
        <v>0.461538461538462</v>
      </c>
      <c r="C43" s="24" t="n">
        <f aca="false">$F$11/$A43</f>
        <v>0.346153846153846</v>
      </c>
      <c r="D43" s="24" t="n">
        <f aca="false">$F$15/$A43</f>
        <v>0.115384615384615</v>
      </c>
      <c r="E43" s="24" t="n">
        <f aca="false">$F$17/$A43</f>
        <v>0.0576923076923077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6" min="2" style="0" width="13"/>
  </cols>
  <sheetData>
    <row r="1" customFormat="false" ht="16.15" hidden="false" customHeight="false" outlineLevel="0" collapsed="false">
      <c r="A1" s="1" t="s">
        <v>120</v>
      </c>
    </row>
    <row r="2" customFormat="false" ht="15" hidden="false" customHeight="false" outlineLevel="0" collapsed="false">
      <c r="A2" s="3" t="s">
        <v>121</v>
      </c>
    </row>
    <row r="4" customFormat="false" ht="15" hidden="false" customHeight="false" outlineLevel="0" collapsed="false">
      <c r="A4" s="17" t="s">
        <v>122</v>
      </c>
      <c r="B4" s="7" t="n">
        <v>0.0025</v>
      </c>
    </row>
    <row r="5" customFormat="false" ht="15" hidden="false" customHeight="false" outlineLevel="0" collapsed="false">
      <c r="A5" s="17" t="s">
        <v>123</v>
      </c>
      <c r="B5" s="7" t="n">
        <v>0.01</v>
      </c>
    </row>
    <row r="6" customFormat="false" ht="15" hidden="false" customHeight="false" outlineLevel="0" collapsed="false">
      <c r="A6" s="17" t="s">
        <v>124</v>
      </c>
      <c r="B6" s="7" t="n">
        <v>0.0155</v>
      </c>
    </row>
    <row r="7" customFormat="false" ht="15" hidden="false" customHeight="false" outlineLevel="0" collapsed="false">
      <c r="A7" s="17" t="s">
        <v>125</v>
      </c>
      <c r="B7" s="26" t="n">
        <v>0.9</v>
      </c>
    </row>
    <row r="8" customFormat="false" ht="15" hidden="false" customHeight="false" outlineLevel="0" collapsed="false">
      <c r="A8" s="17" t="s">
        <v>126</v>
      </c>
      <c r="B8" s="10" t="n">
        <v>4</v>
      </c>
    </row>
    <row r="9" customFormat="false" ht="15" hidden="false" customHeight="false" outlineLevel="0" collapsed="false">
      <c r="A9" s="17" t="s">
        <v>127</v>
      </c>
      <c r="B9" s="27" t="n">
        <v>36</v>
      </c>
    </row>
    <row r="10" customFormat="false" ht="15" hidden="false" customHeight="false" outlineLevel="0" collapsed="false">
      <c r="A10" s="17" t="s">
        <v>128</v>
      </c>
      <c r="B10" s="28" t="n">
        <f aca="false">'Loan tape'!B28+'Loan tape'!B29</f>
        <v>0.00045</v>
      </c>
    </row>
    <row r="12" customFormat="false" ht="57.45" hidden="false" customHeight="false" outlineLevel="0" collapsed="false">
      <c r="A12" s="4" t="s">
        <v>129</v>
      </c>
      <c r="B12" s="4" t="s">
        <v>130</v>
      </c>
      <c r="C12" s="4" t="s">
        <v>131</v>
      </c>
      <c r="D12" s="4" t="s">
        <v>132</v>
      </c>
      <c r="E12" s="4" t="s">
        <v>133</v>
      </c>
      <c r="F12" s="4" t="s">
        <v>10</v>
      </c>
      <c r="G12" s="4" t="s">
        <v>134</v>
      </c>
      <c r="H12" s="4" t="s">
        <v>135</v>
      </c>
      <c r="I12" s="4" t="s">
        <v>136</v>
      </c>
      <c r="J12" s="4" t="s">
        <v>137</v>
      </c>
      <c r="K12" s="4" t="s">
        <v>138</v>
      </c>
      <c r="L12" s="4" t="s">
        <v>139</v>
      </c>
      <c r="M12" s="4" t="s">
        <v>140</v>
      </c>
      <c r="N12" s="4" t="s">
        <v>141</v>
      </c>
      <c r="O12" s="4" t="s">
        <v>142</v>
      </c>
      <c r="P12" s="4" t="s">
        <v>143</v>
      </c>
      <c r="Q12" s="4" t="s">
        <v>144</v>
      </c>
      <c r="R12" s="4" t="s">
        <v>145</v>
      </c>
      <c r="S12" s="4" t="s">
        <v>146</v>
      </c>
      <c r="T12" s="4" t="s">
        <v>147</v>
      </c>
      <c r="U12" s="4" t="s">
        <v>148</v>
      </c>
      <c r="V12" s="4" t="s">
        <v>149</v>
      </c>
      <c r="W12" s="4" t="s">
        <v>150</v>
      </c>
      <c r="X12" s="4" t="s">
        <v>151</v>
      </c>
      <c r="Y12" s="4" t="s">
        <v>152</v>
      </c>
      <c r="Z12" s="4" t="s">
        <v>153</v>
      </c>
      <c r="AA12" s="4" t="s">
        <v>154</v>
      </c>
    </row>
    <row r="13" customFormat="false" ht="15" hidden="false" customHeight="false" outlineLevel="0" collapsed="false">
      <c r="A13" s="5" t="s">
        <v>29</v>
      </c>
      <c r="B13" s="10" t="n">
        <v>22</v>
      </c>
      <c r="C13" s="29" t="n">
        <v>47500000</v>
      </c>
      <c r="D13" s="29" t="n">
        <v>45200000</v>
      </c>
      <c r="E13" s="11" t="n">
        <f aca="false">IF($A13="",0,INDEX('Loan tape'!$C$5:$C$24,MATCH($A13,'Loan tape'!$A$5:$A$24,0)))</f>
        <v>61000000</v>
      </c>
      <c r="F13" s="20" t="n">
        <f aca="false">IF($A13="",0,INDEX('Loan tape'!$D$5:$D$24,MATCH($A13,'Loan tape'!$A$5:$A$24,0)))</f>
        <v>0.0635</v>
      </c>
      <c r="G13" s="30" t="n">
        <f aca="false">IF($A13="",0,INDEX('Loan tape'!$H$5:$H$24,MATCH($A13,'Loan tape'!$A$5:$A$24,0)))</f>
        <v>0</v>
      </c>
      <c r="H13" s="30" t="n">
        <f aca="false">IF($A13="",0,INDEX('Loan tape'!$I$5:$I$24,MATCH($A13,'Loan tape'!$A$5:$A$24,0)))</f>
        <v>0</v>
      </c>
      <c r="I13" s="11" t="n">
        <f aca="false">IF($A13="",0,IF(OR(G13=0,$B$9/12&lt;=H13),E13,E13*((1+F13/12)^(G13*12)-(1+F13/12)^MIN(ROUND(($B$9/12-H13)*12,0),G13*12))/((1+F13/12)^(G13*12)-1)))</f>
        <v>61000000</v>
      </c>
      <c r="J13" s="11" t="n">
        <f aca="false">E13-I13</f>
        <v>0</v>
      </c>
      <c r="K13" s="11" t="n">
        <f aca="false">I13*F13*$B$8/12</f>
        <v>1291166.66666667</v>
      </c>
      <c r="L13" s="11" t="n">
        <f aca="false">IF($A13="",0,MAX(0,I13+K13-$B$7*C13))</f>
        <v>19541166.6666667</v>
      </c>
      <c r="M13" s="11" t="n">
        <f aca="false">IF($A13="",0,K13+(I13-L13)*F13*(B13-$B$8)/12)</f>
        <v>5240120.54166667</v>
      </c>
      <c r="N13" s="11" t="n">
        <f aca="false">D13*$B$5</f>
        <v>452000</v>
      </c>
      <c r="O13" s="11" t="n">
        <f aca="false">I13*$B$4*B13/12</f>
        <v>279583.333333333</v>
      </c>
      <c r="P13" s="11" t="n">
        <f aca="false">I13*$B$6</f>
        <v>945500</v>
      </c>
      <c r="Q13" s="11" t="n">
        <f aca="false">IF($A13="",0,D13-N13-O13-P13-M13)</f>
        <v>38282796.125</v>
      </c>
      <c r="R13" s="11" t="n">
        <f aca="false">IF($A13="",0,I13-Q13)</f>
        <v>22717203.875</v>
      </c>
      <c r="S13" s="20" t="n">
        <f aca="false">IF($A13="","",R13/I13)</f>
        <v>0.372413178278689</v>
      </c>
      <c r="T13" s="20" t="n">
        <f aca="false">IF($A13="","",(I13-D13)/I13)</f>
        <v>0.259016393442623</v>
      </c>
      <c r="U13" s="20" t="n">
        <f aca="false">IF($A13="","",S13-T13)</f>
        <v>0.113396784836066</v>
      </c>
      <c r="V13" s="30" t="n">
        <f aca="false">IF($A13="","",$B$9+B13)</f>
        <v>58</v>
      </c>
      <c r="W13" s="30" t="n">
        <f aca="false">IF($A13="","",ROUNDUP(V13/12,0))</f>
        <v>5</v>
      </c>
      <c r="X13" s="11" t="n">
        <f aca="false">IF($A13="",0,L13*(F13-$B$10)/12)</f>
        <v>102672.546527778</v>
      </c>
      <c r="Y13" s="11" t="n">
        <f aca="false">IF($A13="",0,(I13-L13)*F13)</f>
        <v>2632635.91666667</v>
      </c>
      <c r="Z13" s="11" t="n">
        <f aca="false">IF($A13="",0,I13-IF(OR(G13=0,($B$9+B13)/12&lt;=H13),E13,E13*((1+F13/12)^(G13*12)-(1+F13/12)^MIN(ROUND((($B$9+B13)/12-H13)*12,0),G13*12))/((1+F13/12)^(G13*12)-1)))</f>
        <v>0</v>
      </c>
      <c r="AA13" s="20" t="n">
        <f aca="false">IF(OR($A13="",Z13=0),0,R13/(I13-Z13)-S13)</f>
        <v>0</v>
      </c>
    </row>
    <row r="14" customFormat="false" ht="15" hidden="false" customHeight="false" outlineLevel="0" collapsed="false">
      <c r="A14" s="5" t="s">
        <v>43</v>
      </c>
      <c r="B14" s="10" t="n">
        <v>17</v>
      </c>
      <c r="C14" s="29" t="n">
        <v>18500000</v>
      </c>
      <c r="D14" s="29" t="n">
        <v>17600000</v>
      </c>
      <c r="E14" s="11" t="n">
        <f aca="false">IF($A14="",0,INDEX('Loan tape'!$C$5:$C$24,MATCH($A14,'Loan tape'!$A$5:$A$24,0)))</f>
        <v>29000000</v>
      </c>
      <c r="F14" s="20" t="n">
        <f aca="false">IF($A14="",0,INDEX('Loan tape'!$D$5:$D$24,MATCH($A14,'Loan tape'!$A$5:$A$24,0)))</f>
        <v>0.0685</v>
      </c>
      <c r="G14" s="30" t="n">
        <f aca="false">IF($A14="",0,INDEX('Loan tape'!$H$5:$H$24,MATCH($A14,'Loan tape'!$A$5:$A$24,0)))</f>
        <v>30</v>
      </c>
      <c r="H14" s="30" t="n">
        <f aca="false">IF($A14="",0,INDEX('Loan tape'!$I$5:$I$24,MATCH($A14,'Loan tape'!$A$5:$A$24,0)))</f>
        <v>0</v>
      </c>
      <c r="I14" s="11" t="n">
        <f aca="false">IF($A14="",0,IF(OR(G14=0,$B$9/12&lt;=H14),E14,E14*((1+F14/12)^(G14*12)-(1+F14/12)^MIN(ROUND(($B$9/12-H14)*12,0),G14*12))/((1+F14/12)^(G14*12)-1)))</f>
        <v>28024570.3832812</v>
      </c>
      <c r="J14" s="11" t="n">
        <f aca="false">E14-I14</f>
        <v>975429.616718791</v>
      </c>
      <c r="K14" s="11" t="n">
        <f aca="false">I14*F14*$B$8/12</f>
        <v>639894.357084921</v>
      </c>
      <c r="L14" s="11" t="n">
        <f aca="false">IF($A14="",0,MAX(0,I14+K14-$B$7*C14))</f>
        <v>12014464.7403661</v>
      </c>
      <c r="M14" s="11" t="n">
        <f aca="false">IF($A14="",0,K14+(I14-L14)*F14*(B14-$B$8)/12)</f>
        <v>1827977.61333624</v>
      </c>
      <c r="N14" s="11" t="n">
        <f aca="false">D14*$B$5</f>
        <v>176000</v>
      </c>
      <c r="O14" s="11" t="n">
        <f aca="false">I14*$B$4*B14/12</f>
        <v>99253.6867741209</v>
      </c>
      <c r="P14" s="11" t="n">
        <f aca="false">I14*$B$6</f>
        <v>434380.840940859</v>
      </c>
      <c r="Q14" s="11" t="n">
        <f aca="false">IF($A14="",0,D14-N14-O14-P14-M14)</f>
        <v>15062387.8589488</v>
      </c>
      <c r="R14" s="11" t="n">
        <f aca="false">IF($A14="",0,I14-Q14)</f>
        <v>12962182.5243324</v>
      </c>
      <c r="S14" s="20" t="n">
        <f aca="false">IF($A14="","",R14/I14)</f>
        <v>0.462529214437677</v>
      </c>
      <c r="T14" s="20" t="n">
        <f aca="false">IF($A14="","",(I14-D14)/I14)</f>
        <v>0.371979667866747</v>
      </c>
      <c r="U14" s="20" t="n">
        <f aca="false">IF($A14="","",S14-T14)</f>
        <v>0.0905495465709299</v>
      </c>
      <c r="V14" s="30" t="n">
        <f aca="false">IF($A14="","",$B$9+B14)</f>
        <v>53</v>
      </c>
      <c r="W14" s="30" t="n">
        <f aca="false">IF($A14="","",ROUNDUP(V14/12,0))</f>
        <v>5</v>
      </c>
      <c r="X14" s="11" t="n">
        <f aca="false">IF($A14="",0,L14*(F14-$B$10)/12)</f>
        <v>68132.0271318263</v>
      </c>
      <c r="Y14" s="11" t="n">
        <f aca="false">IF($A14="",0,(I14-L14)*F14)</f>
        <v>1096692.23653968</v>
      </c>
      <c r="Z14" s="11" t="n">
        <f aca="false">IF($A14="",0,I14-IF(OR(G14=0,($B$9+B14)/12&lt;=H14),E14,E14*((1+F14/12)^(G14*12)-(1+F14/12)^MIN(ROUND((($B$9+B14)/12-H14)*12,0),G14*12))/((1+F14/12)^(G14*12)-1)))</f>
        <v>534886.331245035</v>
      </c>
      <c r="AA14" s="20" t="n">
        <f aca="false">IF(OR($A14="",Z14=0),0,R14/(I14-Z14)-S14)</f>
        <v>0.00899975984212487</v>
      </c>
    </row>
    <row r="15" customFormat="false" ht="15" hidden="false" customHeight="false" outlineLevel="0" collapsed="false">
      <c r="A15" s="5" t="s">
        <v>41</v>
      </c>
      <c r="B15" s="10" t="n">
        <v>14</v>
      </c>
      <c r="C15" s="29" t="n">
        <v>26900000</v>
      </c>
      <c r="D15" s="29" t="n">
        <v>25700000</v>
      </c>
      <c r="E15" s="11" t="n">
        <f aca="false">IF($A15="",0,INDEX('Loan tape'!$C$5:$C$24,MATCH($A15,'Loan tape'!$A$5:$A$24,0)))</f>
        <v>33000000</v>
      </c>
      <c r="F15" s="20" t="n">
        <f aca="false">IF($A15="",0,INDEX('Loan tape'!$D$5:$D$24,MATCH($A15,'Loan tape'!$A$5:$A$24,0)))</f>
        <v>0.067</v>
      </c>
      <c r="G15" s="30" t="n">
        <f aca="false">IF($A15="",0,INDEX('Loan tape'!$H$5:$H$24,MATCH($A15,'Loan tape'!$A$5:$A$24,0)))</f>
        <v>30</v>
      </c>
      <c r="H15" s="30" t="n">
        <f aca="false">IF($A15="",0,INDEX('Loan tape'!$I$5:$I$24,MATCH($A15,'Loan tape'!$A$5:$A$24,0)))</f>
        <v>0</v>
      </c>
      <c r="I15" s="11" t="n">
        <f aca="false">IF($A15="",0,IF(OR(G15=0,$B$9/12&lt;=H15),E15,E15*((1+F15/12)^(G15*12)-(1+F15/12)^MIN(ROUND(($B$9/12-H15)*12,0),G15*12))/((1+F15/12)^(G15*12)-1)))</f>
        <v>31859483.2708513</v>
      </c>
      <c r="J15" s="11" t="n">
        <f aca="false">E15-I15</f>
        <v>1140516.72914873</v>
      </c>
      <c r="K15" s="11" t="n">
        <f aca="false">I15*F15*$B$8/12</f>
        <v>711528.459715679</v>
      </c>
      <c r="L15" s="11" t="n">
        <f aca="false">IF($A15="",0,MAX(0,I15+K15-$B$7*C15))</f>
        <v>8361011.73056695</v>
      </c>
      <c r="M15" s="11" t="n">
        <f aca="false">IF($A15="",0,K15+(I15-L15)*F15*(B15-$B$8)/12)</f>
        <v>2023526.45404822</v>
      </c>
      <c r="N15" s="11" t="n">
        <f aca="false">D15*$B$5</f>
        <v>257000</v>
      </c>
      <c r="O15" s="11" t="n">
        <f aca="false">I15*$B$4*B15/12</f>
        <v>92923.4928733162</v>
      </c>
      <c r="P15" s="11" t="n">
        <f aca="false">I15*$B$6</f>
        <v>493821.990698195</v>
      </c>
      <c r="Q15" s="11" t="n">
        <f aca="false">IF($A15="",0,D15-N15-O15-P15-M15)</f>
        <v>22832728.0623803</v>
      </c>
      <c r="R15" s="11" t="n">
        <f aca="false">IF($A15="",0,I15-Q15)</f>
        <v>9026755.208471</v>
      </c>
      <c r="S15" s="20" t="n">
        <f aca="false">IF($A15="","",R15/I15)</f>
        <v>0.283330245243799</v>
      </c>
      <c r="T15" s="20" t="n">
        <f aca="false">IF($A15="","",(I15-D15)/I15)</f>
        <v>0.193332805133305</v>
      </c>
      <c r="U15" s="20" t="n">
        <f aca="false">IF($A15="","",S15-T15)</f>
        <v>0.0899974401104942</v>
      </c>
      <c r="V15" s="30" t="n">
        <f aca="false">IF($A15="","",$B$9+B15)</f>
        <v>50</v>
      </c>
      <c r="W15" s="30" t="n">
        <f aca="false">IF($A15="","",ROUNDUP(V15/12,0))</f>
        <v>5</v>
      </c>
      <c r="X15" s="11" t="n">
        <f aca="false">IF($A15="",0,L15*(F15-$B$10)/12)</f>
        <v>46368.7775557692</v>
      </c>
      <c r="Y15" s="11" t="n">
        <f aca="false">IF($A15="",0,(I15-L15)*F15)</f>
        <v>1574397.59319905</v>
      </c>
      <c r="Z15" s="11" t="n">
        <f aca="false">IF($A15="",0,I15-IF(OR(G15=0,($B$9+B15)/12&lt;=H15),E15,E15*((1+F15/12)^(G15*12)-(1+F15/12)^MIN(ROUND((($B$9+B15)/12-H15)*12,0),G15*12))/((1+F15/12)^(G15*12)-1)))</f>
        <v>509051.862437096</v>
      </c>
      <c r="AA15" s="20" t="n">
        <f aca="false">IF(OR($A15="",Z15=0),0,R15/(I15-Z15)-S15)</f>
        <v>0.00460056792033187</v>
      </c>
    </row>
    <row r="16" customFormat="false" ht="15" hidden="false" customHeight="false" outlineLevel="0" collapsed="false">
      <c r="E16" s="11" t="n">
        <f aca="false">IF($A16="",0,INDEX('Loan tape'!$C$5:$C$24,MATCH($A16,'Loan tape'!$A$5:$A$24,0)))</f>
        <v>0</v>
      </c>
      <c r="F16" s="20" t="n">
        <f aca="false">IF($A16="",0,INDEX('Loan tape'!$D$5:$D$24,MATCH($A16,'Loan tape'!$A$5:$A$24,0)))</f>
        <v>0</v>
      </c>
      <c r="G16" s="30" t="n">
        <f aca="false">IF($A16="",0,INDEX('Loan tape'!$H$5:$H$24,MATCH($A16,'Loan tape'!$A$5:$A$24,0)))</f>
        <v>0</v>
      </c>
      <c r="H16" s="30" t="n">
        <f aca="false">IF($A16="",0,INDEX('Loan tape'!$I$5:$I$24,MATCH($A16,'Loan tape'!$A$5:$A$24,0)))</f>
        <v>0</v>
      </c>
      <c r="I16" s="11" t="n">
        <f aca="false">IF($A16="",0,IF(OR(G16=0,$B$9/12&lt;=H16),E16,E16*((1+F16/12)^(G16*12)-(1+F16/12)^MIN(ROUND(($B$9/12-H16)*12,0),G16*12))/((1+F16/12)^(G16*12)-1)))</f>
        <v>0</v>
      </c>
      <c r="J16" s="11" t="n">
        <f aca="false">E16-I16</f>
        <v>0</v>
      </c>
      <c r="K16" s="11" t="n">
        <f aca="false">I16*F16*$B$8/12</f>
        <v>0</v>
      </c>
      <c r="L16" s="11" t="n">
        <f aca="false">IF($A16="",0,MAX(0,I16+K16-$B$7*C16))</f>
        <v>0</v>
      </c>
      <c r="M16" s="11" t="n">
        <f aca="false">IF($A16="",0,K16+(I16-L16)*F16*(B16-$B$8)/12)</f>
        <v>0</v>
      </c>
      <c r="N16" s="11" t="n">
        <f aca="false">D16*$B$5</f>
        <v>0</v>
      </c>
      <c r="O16" s="11" t="n">
        <f aca="false">I16*$B$4*B16/12</f>
        <v>0</v>
      </c>
      <c r="P16" s="11" t="n">
        <f aca="false">I16*$B$6</f>
        <v>0</v>
      </c>
      <c r="Q16" s="11" t="n">
        <f aca="false">IF($A16="",0,D16-N16-O16-P16-M16)</f>
        <v>0</v>
      </c>
      <c r="R16" s="11" t="n">
        <f aca="false">IF($A16="",0,I16-Q16)</f>
        <v>0</v>
      </c>
      <c r="S16" s="20" t="str">
        <f aca="false">IF($A16="","",R16/I16)</f>
        <v/>
      </c>
      <c r="T16" s="20" t="str">
        <f aca="false">IF($A16="","",(I16-D16)/I16)</f>
        <v/>
      </c>
      <c r="U16" s="20" t="str">
        <f aca="false">IF($A16="","",S16-T16)</f>
        <v/>
      </c>
      <c r="V16" s="30" t="str">
        <f aca="false">IF($A16="","",$B$9+B16)</f>
        <v/>
      </c>
      <c r="W16" s="30" t="str">
        <f aca="false">IF($A16="","",ROUNDUP(V16/12,0))</f>
        <v/>
      </c>
      <c r="X16" s="11" t="n">
        <f aca="false">IF($A16="",0,L16*(F16-$B$10)/12)</f>
        <v>0</v>
      </c>
      <c r="Y16" s="11" t="n">
        <f aca="false">IF($A16="",0,(I16-L16)*F16)</f>
        <v>0</v>
      </c>
      <c r="Z16" s="11" t="n">
        <f aca="false">IF($A16="",0,I16-IF(OR(G16=0,($B$9+B16)/12&lt;=H16),E16,E16*((1+F16/12)^(G16*12)-(1+F16/12)^MIN(ROUND((($B$9+B16)/12-H16)*12,0),G16*12))/((1+F16/12)^(G16*12)-1)))</f>
        <v>0</v>
      </c>
      <c r="AA16" s="20" t="n">
        <f aca="false">IF(OR($A16="",Z16=0),0,R16/(I16-Z16)-S16)</f>
        <v>0</v>
      </c>
    </row>
    <row r="17" customFormat="false" ht="15" hidden="false" customHeight="false" outlineLevel="0" collapsed="false">
      <c r="E17" s="11" t="n">
        <f aca="false">IF($A17="",0,INDEX('Loan tape'!$C$5:$C$24,MATCH($A17,'Loan tape'!$A$5:$A$24,0)))</f>
        <v>0</v>
      </c>
      <c r="F17" s="20" t="n">
        <f aca="false">IF($A17="",0,INDEX('Loan tape'!$D$5:$D$24,MATCH($A17,'Loan tape'!$A$5:$A$24,0)))</f>
        <v>0</v>
      </c>
      <c r="G17" s="30" t="n">
        <f aca="false">IF($A17="",0,INDEX('Loan tape'!$H$5:$H$24,MATCH($A17,'Loan tape'!$A$5:$A$24,0)))</f>
        <v>0</v>
      </c>
      <c r="H17" s="30" t="n">
        <f aca="false">IF($A17="",0,INDEX('Loan tape'!$I$5:$I$24,MATCH($A17,'Loan tape'!$A$5:$A$24,0)))</f>
        <v>0</v>
      </c>
      <c r="I17" s="11" t="n">
        <f aca="false">IF($A17="",0,IF(OR(G17=0,$B$9/12&lt;=H17),E17,E17*((1+F17/12)^(G17*12)-(1+F17/12)^MIN(ROUND(($B$9/12-H17)*12,0),G17*12))/((1+F17/12)^(G17*12)-1)))</f>
        <v>0</v>
      </c>
      <c r="J17" s="11" t="n">
        <f aca="false">E17-I17</f>
        <v>0</v>
      </c>
      <c r="K17" s="11" t="n">
        <f aca="false">I17*F17*$B$8/12</f>
        <v>0</v>
      </c>
      <c r="L17" s="11" t="n">
        <f aca="false">IF($A17="",0,MAX(0,I17+K17-$B$7*C17))</f>
        <v>0</v>
      </c>
      <c r="M17" s="11" t="n">
        <f aca="false">IF($A17="",0,K17+(I17-L17)*F17*(B17-$B$8)/12)</f>
        <v>0</v>
      </c>
      <c r="N17" s="11" t="n">
        <f aca="false">D17*$B$5</f>
        <v>0</v>
      </c>
      <c r="O17" s="11" t="n">
        <f aca="false">I17*$B$4*B17/12</f>
        <v>0</v>
      </c>
      <c r="P17" s="11" t="n">
        <f aca="false">I17*$B$6</f>
        <v>0</v>
      </c>
      <c r="Q17" s="11" t="n">
        <f aca="false">IF($A17="",0,D17-N17-O17-P17-M17)</f>
        <v>0</v>
      </c>
      <c r="R17" s="11" t="n">
        <f aca="false">IF($A17="",0,I17-Q17)</f>
        <v>0</v>
      </c>
      <c r="S17" s="20" t="str">
        <f aca="false">IF($A17="","",R17/I17)</f>
        <v/>
      </c>
      <c r="T17" s="20" t="str">
        <f aca="false">IF($A17="","",(I17-D17)/I17)</f>
        <v/>
      </c>
      <c r="U17" s="20" t="str">
        <f aca="false">IF($A17="","",S17-T17)</f>
        <v/>
      </c>
      <c r="V17" s="30" t="str">
        <f aca="false">IF($A17="","",$B$9+B17)</f>
        <v/>
      </c>
      <c r="W17" s="30" t="str">
        <f aca="false">IF($A17="","",ROUNDUP(V17/12,0))</f>
        <v/>
      </c>
      <c r="X17" s="11" t="n">
        <f aca="false">IF($A17="",0,L17*(F17-$B$10)/12)</f>
        <v>0</v>
      </c>
      <c r="Y17" s="11" t="n">
        <f aca="false">IF($A17="",0,(I17-L17)*F17)</f>
        <v>0</v>
      </c>
      <c r="Z17" s="11" t="n">
        <f aca="false">IF($A17="",0,I17-IF(OR(G17=0,($B$9+B17)/12&lt;=H17),E17,E17*((1+F17/12)^(G17*12)-(1+F17/12)^MIN(ROUND((($B$9+B17)/12-H17)*12,0),G17*12))/((1+F17/12)^(G17*12)-1)))</f>
        <v>0</v>
      </c>
      <c r="AA17" s="20" t="n">
        <f aca="false">IF(OR($A17="",Z17=0),0,R17/(I17-Z17)-S17)</f>
        <v>0</v>
      </c>
    </row>
    <row r="19" customFormat="false" ht="15" hidden="false" customHeight="false" outlineLevel="0" collapsed="false">
      <c r="A19" s="12" t="s">
        <v>155</v>
      </c>
      <c r="D19" s="13" t="n">
        <f aca="false">SUM(D13:D17)</f>
        <v>88500000</v>
      </c>
      <c r="E19" s="13" t="n">
        <f aca="false">SUM(E13:E17)</f>
        <v>123000000</v>
      </c>
      <c r="I19" s="13" t="n">
        <f aca="false">SUM(I13:I17)</f>
        <v>120884053.654132</v>
      </c>
      <c r="J19" s="13" t="n">
        <f aca="false">SUM(J13:J17)</f>
        <v>2115946.34586752</v>
      </c>
      <c r="L19" s="13" t="n">
        <f aca="false">SUM(L13:L17)</f>
        <v>39916643.1375998</v>
      </c>
      <c r="M19" s="13" t="n">
        <f aca="false">SUM(M13:M17)</f>
        <v>9091624.60905113</v>
      </c>
      <c r="N19" s="13" t="n">
        <f aca="false">SUM(N13:N17)</f>
        <v>885000</v>
      </c>
      <c r="O19" s="13" t="n">
        <f aca="false">SUM(O13:O17)</f>
        <v>471760.512980771</v>
      </c>
      <c r="P19" s="13" t="n">
        <f aca="false">SUM(P13:P17)</f>
        <v>1873702.83163905</v>
      </c>
      <c r="Q19" s="13" t="n">
        <f aca="false">SUM(Q13:Q17)</f>
        <v>76177912.0463291</v>
      </c>
      <c r="R19" s="13" t="n">
        <f aca="false">SUM(R13:R17)</f>
        <v>44706141.6078034</v>
      </c>
      <c r="X19" s="13" t="n">
        <f aca="false">SUM(X13:X17)</f>
        <v>217173.351215373</v>
      </c>
      <c r="Y19" s="13" t="n">
        <f aca="false">SUM(Y13:Y17)</f>
        <v>5303725.7464054</v>
      </c>
      <c r="Z19" s="13" t="n">
        <f aca="false">SUM(Z13:Z17)</f>
        <v>1043938.19368213</v>
      </c>
    </row>
    <row r="21" customFormat="false" ht="15" hidden="false" customHeight="false" outlineLevel="0" collapsed="false">
      <c r="A21" s="17" t="s">
        <v>156</v>
      </c>
      <c r="B21" s="14" t="n">
        <f aca="false">R19/'Loan tape'!C26</f>
        <v>0.0447061416078034</v>
      </c>
    </row>
    <row r="22" customFormat="false" ht="15" hidden="false" customHeight="false" outlineLevel="0" collapsed="false">
      <c r="A22" s="17" t="s">
        <v>157</v>
      </c>
      <c r="B22" s="31" t="n">
        <f aca="false">MAX(W13:W17)</f>
        <v>5</v>
      </c>
    </row>
    <row r="23" customFormat="false" ht="15" hidden="false" customHeight="false" outlineLevel="0" collapsed="false">
      <c r="A23" s="17" t="s">
        <v>158</v>
      </c>
      <c r="B23" s="30" t="n">
        <f aca="false">INT(B9/12)+1</f>
        <v>4</v>
      </c>
    </row>
    <row r="24" customFormat="false" ht="15" hidden="false" customHeight="false" outlineLevel="0" collapsed="false">
      <c r="A24" s="17" t="s">
        <v>159</v>
      </c>
      <c r="B24" s="30" t="n">
        <f aca="false">MAX(B13:B17)</f>
        <v>22</v>
      </c>
    </row>
    <row r="26" customFormat="false" ht="15" hidden="false" customHeight="false" outlineLevel="0" collapsed="false">
      <c r="A26" s="3" t="s">
        <v>160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X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50" min="2" style="0" width="11"/>
  </cols>
  <sheetData>
    <row r="1" customFormat="false" ht="16.15" hidden="false" customHeight="false" outlineLevel="0" collapsed="false">
      <c r="A1" s="1" t="s">
        <v>161</v>
      </c>
    </row>
    <row r="2" customFormat="false" ht="15" hidden="false" customHeight="false" outlineLevel="0" collapsed="false">
      <c r="A2" s="3" t="s">
        <v>162</v>
      </c>
    </row>
    <row r="3" customFormat="false" ht="15" hidden="false" customHeight="false" outlineLevel="0" collapsed="false">
      <c r="F3" s="12" t="s">
        <v>163</v>
      </c>
      <c r="Q3" s="12" t="s">
        <v>164</v>
      </c>
      <c r="AA3" s="12" t="s">
        <v>165</v>
      </c>
      <c r="AK3" s="12" t="s">
        <v>166</v>
      </c>
    </row>
    <row r="4" customFormat="false" ht="23.85" hidden="false" customHeight="false" outlineLevel="0" collapsed="false">
      <c r="A4" s="4" t="s">
        <v>7</v>
      </c>
      <c r="B4" s="4" t="s">
        <v>167</v>
      </c>
      <c r="C4" s="4" t="s">
        <v>168</v>
      </c>
      <c r="D4" s="4" t="s">
        <v>169</v>
      </c>
      <c r="E4" s="4" t="s">
        <v>136</v>
      </c>
      <c r="AU4" s="4" t="s">
        <v>170</v>
      </c>
      <c r="AV4" s="4" t="s">
        <v>171</v>
      </c>
      <c r="AW4" s="4" t="s">
        <v>172</v>
      </c>
      <c r="AX4" s="4" t="s">
        <v>173</v>
      </c>
    </row>
    <row r="5" customFormat="false" ht="15" hidden="false" customHeight="false" outlineLevel="0" collapsed="false">
      <c r="F5" s="10" t="n">
        <v>0</v>
      </c>
      <c r="G5" s="10" t="n">
        <v>1</v>
      </c>
      <c r="H5" s="10" t="n">
        <v>2</v>
      </c>
      <c r="I5" s="10" t="n">
        <v>3</v>
      </c>
      <c r="J5" s="10" t="n">
        <v>4</v>
      </c>
      <c r="K5" s="10" t="n">
        <v>5</v>
      </c>
      <c r="L5" s="10" t="n">
        <v>6</v>
      </c>
      <c r="M5" s="10" t="n">
        <v>7</v>
      </c>
      <c r="N5" s="10" t="n">
        <v>8</v>
      </c>
      <c r="O5" s="10" t="n">
        <v>9</v>
      </c>
      <c r="P5" s="10" t="n">
        <v>10</v>
      </c>
      <c r="Q5" s="10" t="n">
        <v>1</v>
      </c>
      <c r="R5" s="10" t="n">
        <v>2</v>
      </c>
      <c r="S5" s="10" t="n">
        <v>3</v>
      </c>
      <c r="T5" s="10" t="n">
        <v>4</v>
      </c>
      <c r="U5" s="10" t="n">
        <v>5</v>
      </c>
      <c r="V5" s="10" t="n">
        <v>6</v>
      </c>
      <c r="W5" s="10" t="n">
        <v>7</v>
      </c>
      <c r="X5" s="10" t="n">
        <v>8</v>
      </c>
      <c r="Y5" s="10" t="n">
        <v>9</v>
      </c>
      <c r="Z5" s="10" t="n">
        <v>10</v>
      </c>
      <c r="AA5" s="10" t="n">
        <v>1</v>
      </c>
      <c r="AB5" s="10" t="n">
        <v>2</v>
      </c>
      <c r="AC5" s="10" t="n">
        <v>3</v>
      </c>
      <c r="AD5" s="10" t="n">
        <v>4</v>
      </c>
      <c r="AE5" s="10" t="n">
        <v>5</v>
      </c>
      <c r="AF5" s="10" t="n">
        <v>6</v>
      </c>
      <c r="AG5" s="10" t="n">
        <v>7</v>
      </c>
      <c r="AH5" s="10" t="n">
        <v>8</v>
      </c>
      <c r="AI5" s="10" t="n">
        <v>9</v>
      </c>
      <c r="AJ5" s="10" t="n">
        <v>10</v>
      </c>
      <c r="AK5" s="10" t="n">
        <v>1</v>
      </c>
      <c r="AL5" s="10" t="n">
        <v>2</v>
      </c>
      <c r="AM5" s="10" t="n">
        <v>3</v>
      </c>
      <c r="AN5" s="10" t="n">
        <v>4</v>
      </c>
      <c r="AO5" s="10" t="n">
        <v>5</v>
      </c>
      <c r="AP5" s="10" t="n">
        <v>6</v>
      </c>
      <c r="AQ5" s="10" t="n">
        <v>7</v>
      </c>
      <c r="AR5" s="10" t="n">
        <v>8</v>
      </c>
      <c r="AS5" s="10" t="n">
        <v>9</v>
      </c>
      <c r="AT5" s="10" t="n">
        <v>10</v>
      </c>
    </row>
    <row r="6" customFormat="false" ht="15" hidden="false" customHeight="false" outlineLevel="0" collapsed="false">
      <c r="A6" s="17" t="str">
        <f aca="false">IF('Loan tape'!A5="","",'Loan tape'!A5)</f>
        <v>Harborline Center</v>
      </c>
      <c r="B6" s="30" t="n">
        <f aca="false">IF(A6="",0,IF(ISNUMBER(MATCH(A6,Liquidations!$A$13:$A$17,0)),1,0))</f>
        <v>0</v>
      </c>
      <c r="C6" s="30" t="n">
        <f aca="false">Liquidations!$B$23</f>
        <v>4</v>
      </c>
      <c r="D6" s="30" t="n">
        <f aca="false">IF(B6=1,INDEX(Liquidations!$W$13:$W$17,MATCH(A6,Liquidations!$A$13:$A$17,0)),0)</f>
        <v>0</v>
      </c>
      <c r="E6" s="11" t="n">
        <f aca="false">IF(B6=1,INDEX(Liquidations!$I$13:$I$17,MATCH(A6,Liquidations!$A$13:$A$17,0)),0)</f>
        <v>0</v>
      </c>
      <c r="F6" s="11" t="n">
        <f aca="false">IF('Loan tape'!$C5="",0,IF(OR('Loan tape'!$H5=0,F$5&lt;='Loan tape'!$I5),'Loan tape'!$C5,'Loan tape'!$C5*((1+'Loan tape'!$D5/12)^('Loan tape'!$H5*12)-(1+'Loan tape'!$D5/12)^MIN((F$5-'Loan tape'!$I5)*12,'Loan tape'!$H5*12))/((1+'Loan tape'!$D5/12)^('Loan tape'!$H5*12)-1)))</f>
        <v>92000000</v>
      </c>
      <c r="G6" s="11" t="n">
        <f aca="false">IF('Loan tape'!$C5="",0,IF(OR('Loan tape'!$H5=0,G$5&lt;='Loan tape'!$I5),'Loan tape'!$C5,'Loan tape'!$C5*((1+'Loan tape'!$D5/12)^('Loan tape'!$H5*12)-(1+'Loan tape'!$D5/12)^MIN((G$5-'Loan tape'!$I5)*12,'Loan tape'!$H5*12))/((1+'Loan tape'!$D5/12)^('Loan tape'!$H5*12)-1)))</f>
        <v>92000000</v>
      </c>
      <c r="H6" s="11" t="n">
        <f aca="false">IF('Loan tape'!$C5="",0,IF(OR('Loan tape'!$H5=0,H$5&lt;='Loan tape'!$I5),'Loan tape'!$C5,'Loan tape'!$C5*((1+'Loan tape'!$D5/12)^('Loan tape'!$H5*12)-(1+'Loan tape'!$D5/12)^MIN((H$5-'Loan tape'!$I5)*12,'Loan tape'!$H5*12))/((1+'Loan tape'!$D5/12)^('Loan tape'!$H5*12)-1)))</f>
        <v>92000000</v>
      </c>
      <c r="I6" s="11" t="n">
        <f aca="false">IF('Loan tape'!$C5="",0,IF(OR('Loan tape'!$H5=0,I$5&lt;='Loan tape'!$I5),'Loan tape'!$C5,'Loan tape'!$C5*((1+'Loan tape'!$D5/12)^('Loan tape'!$H5*12)-(1+'Loan tape'!$D5/12)^MIN((I$5-'Loan tape'!$I5)*12,'Loan tape'!$H5*12))/((1+'Loan tape'!$D5/12)^('Loan tape'!$H5*12)-1)))</f>
        <v>92000000</v>
      </c>
      <c r="J6" s="11" t="n">
        <f aca="false">IF('Loan tape'!$C5="",0,IF(OR('Loan tape'!$H5=0,J$5&lt;='Loan tape'!$I5),'Loan tape'!$C5,'Loan tape'!$C5*((1+'Loan tape'!$D5/12)^('Loan tape'!$H5*12)-(1+'Loan tape'!$D5/12)^MIN((J$5-'Loan tape'!$I5)*12,'Loan tape'!$H5*12))/((1+'Loan tape'!$D5/12)^('Loan tape'!$H5*12)-1)))</f>
        <v>92000000</v>
      </c>
      <c r="K6" s="11" t="n">
        <f aca="false">IF('Loan tape'!$C5="",0,IF(OR('Loan tape'!$H5=0,K$5&lt;='Loan tape'!$I5),'Loan tape'!$C5,'Loan tape'!$C5*((1+'Loan tape'!$D5/12)^('Loan tape'!$H5*12)-(1+'Loan tape'!$D5/12)^MIN((K$5-'Loan tape'!$I5)*12,'Loan tape'!$H5*12))/((1+'Loan tape'!$D5/12)^('Loan tape'!$H5*12)-1)))</f>
        <v>92000000</v>
      </c>
      <c r="L6" s="11" t="n">
        <f aca="false">IF('Loan tape'!$C5="",0,IF(OR('Loan tape'!$H5=0,L$5&lt;='Loan tape'!$I5),'Loan tape'!$C5,'Loan tape'!$C5*((1+'Loan tape'!$D5/12)^('Loan tape'!$H5*12)-(1+'Loan tape'!$D5/12)^MIN((L$5-'Loan tape'!$I5)*12,'Loan tape'!$H5*12))/((1+'Loan tape'!$D5/12)^('Loan tape'!$H5*12)-1)))</f>
        <v>92000000</v>
      </c>
      <c r="M6" s="11" t="n">
        <f aca="false">IF('Loan tape'!$C5="",0,IF(OR('Loan tape'!$H5=0,M$5&lt;='Loan tape'!$I5),'Loan tape'!$C5,'Loan tape'!$C5*((1+'Loan tape'!$D5/12)^('Loan tape'!$H5*12)-(1+'Loan tape'!$D5/12)^MIN((M$5-'Loan tape'!$I5)*12,'Loan tape'!$H5*12))/((1+'Loan tape'!$D5/12)^('Loan tape'!$H5*12)-1)))</f>
        <v>92000000</v>
      </c>
      <c r="N6" s="11" t="n">
        <f aca="false">IF('Loan tape'!$C5="",0,IF(OR('Loan tape'!$H5=0,N$5&lt;='Loan tape'!$I5),'Loan tape'!$C5,'Loan tape'!$C5*((1+'Loan tape'!$D5/12)^('Loan tape'!$H5*12)-(1+'Loan tape'!$D5/12)^MIN((N$5-'Loan tape'!$I5)*12,'Loan tape'!$H5*12))/((1+'Loan tape'!$D5/12)^('Loan tape'!$H5*12)-1)))</f>
        <v>92000000</v>
      </c>
      <c r="O6" s="11" t="n">
        <f aca="false">IF('Loan tape'!$C5="",0,IF(OR('Loan tape'!$H5=0,O$5&lt;='Loan tape'!$I5),'Loan tape'!$C5,'Loan tape'!$C5*((1+'Loan tape'!$D5/12)^('Loan tape'!$H5*12)-(1+'Loan tape'!$D5/12)^MIN((O$5-'Loan tape'!$I5)*12,'Loan tape'!$H5*12))/((1+'Loan tape'!$D5/12)^('Loan tape'!$H5*12)-1)))</f>
        <v>92000000</v>
      </c>
      <c r="P6" s="11" t="n">
        <f aca="false">IF('Loan tape'!$C5="",0,IF(OR('Loan tape'!$H5=0,P$5&lt;='Loan tape'!$I5),'Loan tape'!$C5,'Loan tape'!$C5*((1+'Loan tape'!$D5/12)^('Loan tape'!$H5*12)-(1+'Loan tape'!$D5/12)^MIN((P$5-'Loan tape'!$I5)*12,'Loan tape'!$H5*12))/((1+'Loan tape'!$D5/12)^('Loan tape'!$H5*12)-1)))</f>
        <v>92000000</v>
      </c>
      <c r="Q6" s="11" t="n">
        <f aca="false">IF($B6=1,IF(Q$5&lt;$C6,F6,IF(Q$5&lt;=$D6,$E6,0)),F6)</f>
        <v>92000000</v>
      </c>
      <c r="R6" s="11" t="n">
        <f aca="false">IF($B6=1,IF(R$5&lt;$C6,G6,IF(R$5&lt;=$D6,$E6,0)),G6)</f>
        <v>92000000</v>
      </c>
      <c r="S6" s="11" t="n">
        <f aca="false">IF($B6=1,IF(S$5&lt;$C6,H6,IF(S$5&lt;=$D6,$E6,0)),H6)</f>
        <v>92000000</v>
      </c>
      <c r="T6" s="11" t="n">
        <f aca="false">IF($B6=1,IF(T$5&lt;$C6,I6,IF(T$5&lt;=$D6,$E6,0)),I6)</f>
        <v>92000000</v>
      </c>
      <c r="U6" s="11" t="n">
        <f aca="false">IF($B6=1,IF(U$5&lt;$C6,J6,IF(U$5&lt;=$D6,$E6,0)),J6)</f>
        <v>92000000</v>
      </c>
      <c r="V6" s="11" t="n">
        <f aca="false">IF($B6=1,IF(V$5&lt;$C6,K6,IF(V$5&lt;=$D6,$E6,0)),K6)</f>
        <v>92000000</v>
      </c>
      <c r="W6" s="11" t="n">
        <f aca="false">IF($B6=1,IF(W$5&lt;$C6,L6,IF(W$5&lt;=$D6,$E6,0)),L6)</f>
        <v>92000000</v>
      </c>
      <c r="X6" s="11" t="n">
        <f aca="false">IF($B6=1,IF(X$5&lt;$C6,M6,IF(X$5&lt;=$D6,$E6,0)),M6)</f>
        <v>92000000</v>
      </c>
      <c r="Y6" s="11" t="n">
        <f aca="false">IF($B6=1,IF(Y$5&lt;$C6,N6,IF(Y$5&lt;=$D6,$E6,0)),N6)</f>
        <v>92000000</v>
      </c>
      <c r="Z6" s="11" t="n">
        <f aca="false">IF($B6=1,IF(Z$5&lt;$C6,O6,IF(Z$5&lt;=$D6,$E6,0)),O6)</f>
        <v>92000000</v>
      </c>
      <c r="AA6" s="11" t="n">
        <f aca="false">IF($B6=1,IF(AA$5&lt;$C6,F6*'Loan tape'!$D5,0),F6*'Loan tape'!$D5)</f>
        <v>5658000</v>
      </c>
      <c r="AB6" s="11" t="n">
        <f aca="false">IF($B6=1,IF(AB$5&lt;$C6,G6*'Loan tape'!$D5,0),G6*'Loan tape'!$D5)</f>
        <v>5658000</v>
      </c>
      <c r="AC6" s="11" t="n">
        <f aca="false">IF($B6=1,IF(AC$5&lt;$C6,H6*'Loan tape'!$D5,0),H6*'Loan tape'!$D5)</f>
        <v>5658000</v>
      </c>
      <c r="AD6" s="11" t="n">
        <f aca="false">IF($B6=1,IF(AD$5&lt;$C6,I6*'Loan tape'!$D5,0),I6*'Loan tape'!$D5)</f>
        <v>5658000</v>
      </c>
      <c r="AE6" s="11" t="n">
        <f aca="false">IF($B6=1,IF(AE$5&lt;$C6,J6*'Loan tape'!$D5,0),J6*'Loan tape'!$D5)</f>
        <v>5658000</v>
      </c>
      <c r="AF6" s="11" t="n">
        <f aca="false">IF($B6=1,IF(AF$5&lt;$C6,K6*'Loan tape'!$D5,0),K6*'Loan tape'!$D5)</f>
        <v>5658000</v>
      </c>
      <c r="AG6" s="11" t="n">
        <f aca="false">IF($B6=1,IF(AG$5&lt;$C6,L6*'Loan tape'!$D5,0),L6*'Loan tape'!$D5)</f>
        <v>5658000</v>
      </c>
      <c r="AH6" s="11" t="n">
        <f aca="false">IF($B6=1,IF(AH$5&lt;$C6,M6*'Loan tape'!$D5,0),M6*'Loan tape'!$D5)</f>
        <v>5658000</v>
      </c>
      <c r="AI6" s="11" t="n">
        <f aca="false">IF($B6=1,IF(AI$5&lt;$C6,N6*'Loan tape'!$D5,0),N6*'Loan tape'!$D5)</f>
        <v>5658000</v>
      </c>
      <c r="AJ6" s="11" t="n">
        <f aca="false">IF($B6=1,IF(AJ$5&lt;$C6,O6*'Loan tape'!$D5,0),O6*'Loan tape'!$D5)</f>
        <v>5658000</v>
      </c>
      <c r="AK6" s="11" t="n">
        <f aca="false">IF($B6=1,IF(AK$5&lt;$C6,F6-G6,0),F6-G6)</f>
        <v>0</v>
      </c>
      <c r="AL6" s="11" t="n">
        <f aca="false">IF($B6=1,IF(AL$5&lt;$C6,G6-H6,0),G6-H6)</f>
        <v>0</v>
      </c>
      <c r="AM6" s="11" t="n">
        <f aca="false">IF($B6=1,IF(AM$5&lt;$C6,H6-I6,0),H6-I6)</f>
        <v>0</v>
      </c>
      <c r="AN6" s="11" t="n">
        <f aca="false">IF($B6=1,IF(AN$5&lt;$C6,I6-J6,0),I6-J6)</f>
        <v>0</v>
      </c>
      <c r="AO6" s="11" t="n">
        <f aca="false">IF($B6=1,IF(AO$5&lt;$C6,J6-K6,0),J6-K6)</f>
        <v>0</v>
      </c>
      <c r="AP6" s="11" t="n">
        <f aca="false">IF($B6=1,IF(AP$5&lt;$C6,K6-L6,0),K6-L6)</f>
        <v>0</v>
      </c>
      <c r="AQ6" s="11" t="n">
        <f aca="false">IF($B6=1,IF(AQ$5&lt;$C6,L6-M6,0),L6-M6)</f>
        <v>0</v>
      </c>
      <c r="AR6" s="11" t="n">
        <f aca="false">IF($B6=1,IF(AR$5&lt;$C6,M6-N6,0),M6-N6)</f>
        <v>0</v>
      </c>
      <c r="AS6" s="11" t="n">
        <f aca="false">IF($B6=1,IF(AS$5&lt;$C6,N6-O6,0),N6-O6)</f>
        <v>0</v>
      </c>
      <c r="AT6" s="11" t="n">
        <f aca="false">IF($B6=1,IF(AT$5&lt;$C6,O6-P6,0),O6-P6)</f>
        <v>0</v>
      </c>
      <c r="AU6" s="11" t="n">
        <f aca="false">IF(B6=1,0,P6)</f>
        <v>92000000</v>
      </c>
      <c r="AV6" s="11" t="n">
        <f aca="false">SUM(AA6:AJ6)</f>
        <v>56580000</v>
      </c>
      <c r="AW6" s="11" t="n">
        <f aca="false">SUM(AK6:AT6)</f>
        <v>0</v>
      </c>
      <c r="AX6" s="11" t="n">
        <f aca="false">SUM(Q6:Z6)</f>
        <v>920000000</v>
      </c>
    </row>
    <row r="7" customFormat="false" ht="15" hidden="false" customHeight="false" outlineLevel="0" collapsed="false">
      <c r="A7" s="17" t="str">
        <f aca="false">IF('Loan tape'!A6="","",'Loan tape'!A6)</f>
        <v>Cedar Ridge Apartments</v>
      </c>
      <c r="B7" s="30" t="n">
        <f aca="false">IF(A7="",0,IF(ISNUMBER(MATCH(A7,Liquidations!$A$13:$A$17,0)),1,0))</f>
        <v>0</v>
      </c>
      <c r="C7" s="30" t="n">
        <f aca="false">Liquidations!$B$23</f>
        <v>4</v>
      </c>
      <c r="D7" s="30" t="n">
        <f aca="false">IF(B7=1,INDEX(Liquidations!$W$13:$W$17,MATCH(A7,Liquidations!$A$13:$A$17,0)),0)</f>
        <v>0</v>
      </c>
      <c r="E7" s="11" t="n">
        <f aca="false">IF(B7=1,INDEX(Liquidations!$I$13:$I$17,MATCH(A7,Liquidations!$A$13:$A$17,0)),0)</f>
        <v>0</v>
      </c>
      <c r="F7" s="11" t="n">
        <f aca="false">IF('Loan tape'!$C6="",0,IF(OR('Loan tape'!$H6=0,F$5&lt;='Loan tape'!$I6),'Loan tape'!$C6,'Loan tape'!$C6*((1+'Loan tape'!$D6/12)^('Loan tape'!$H6*12)-(1+'Loan tape'!$D6/12)^MIN((F$5-'Loan tape'!$I6)*12,'Loan tape'!$H6*12))/((1+'Loan tape'!$D6/12)^('Loan tape'!$H6*12)-1)))</f>
        <v>78500000</v>
      </c>
      <c r="G7" s="11" t="n">
        <f aca="false">IF('Loan tape'!$C6="",0,IF(OR('Loan tape'!$H6=0,G$5&lt;='Loan tape'!$I6),'Loan tape'!$C6,'Loan tape'!$C6*((1+'Loan tape'!$D6/12)^('Loan tape'!$H6*12)-(1+'Loan tape'!$D6/12)^MIN((G$5-'Loan tape'!$I6)*12,'Loan tape'!$H6*12))/((1+'Loan tape'!$D6/12)^('Loan tape'!$H6*12)-1)))</f>
        <v>78500000</v>
      </c>
      <c r="H7" s="11" t="n">
        <f aca="false">IF('Loan tape'!$C6="",0,IF(OR('Loan tape'!$H6=0,H$5&lt;='Loan tape'!$I6),'Loan tape'!$C6,'Loan tape'!$C6*((1+'Loan tape'!$D6/12)^('Loan tape'!$H6*12)-(1+'Loan tape'!$D6/12)^MIN((H$5-'Loan tape'!$I6)*12,'Loan tape'!$H6*12))/((1+'Loan tape'!$D6/12)^('Loan tape'!$H6*12)-1)))</f>
        <v>78500000</v>
      </c>
      <c r="I7" s="11" t="n">
        <f aca="false">IF('Loan tape'!$C6="",0,IF(OR('Loan tape'!$H6=0,I$5&lt;='Loan tape'!$I6),'Loan tape'!$C6,'Loan tape'!$C6*((1+'Loan tape'!$D6/12)^('Loan tape'!$H6*12)-(1+'Loan tape'!$D6/12)^MIN((I$5-'Loan tape'!$I6)*12,'Loan tape'!$H6*12))/((1+'Loan tape'!$D6/12)^('Loan tape'!$H6*12)-1)))</f>
        <v>78500000</v>
      </c>
      <c r="J7" s="11" t="n">
        <f aca="false">IF('Loan tape'!$C6="",0,IF(OR('Loan tape'!$H6=0,J$5&lt;='Loan tape'!$I6),'Loan tape'!$C6,'Loan tape'!$C6*((1+'Loan tape'!$D6/12)^('Loan tape'!$H6*12)-(1+'Loan tape'!$D6/12)^MIN((J$5-'Loan tape'!$I6)*12,'Loan tape'!$H6*12))/((1+'Loan tape'!$D6/12)^('Loan tape'!$H6*12)-1)))</f>
        <v>78500000</v>
      </c>
      <c r="K7" s="11" t="n">
        <f aca="false">IF('Loan tape'!$C6="",0,IF(OR('Loan tape'!$H6=0,K$5&lt;='Loan tape'!$I6),'Loan tape'!$C6,'Loan tape'!$C6*((1+'Loan tape'!$D6/12)^('Loan tape'!$H6*12)-(1+'Loan tape'!$D6/12)^MIN((K$5-'Loan tape'!$I6)*12,'Loan tape'!$H6*12))/((1+'Loan tape'!$D6/12)^('Loan tape'!$H6*12)-1)))</f>
        <v>78500000</v>
      </c>
      <c r="L7" s="11" t="n">
        <f aca="false">IF('Loan tape'!$C6="",0,IF(OR('Loan tape'!$H6=0,L$5&lt;='Loan tape'!$I6),'Loan tape'!$C6,'Loan tape'!$C6*((1+'Loan tape'!$D6/12)^('Loan tape'!$H6*12)-(1+'Loan tape'!$D6/12)^MIN((L$5-'Loan tape'!$I6)*12,'Loan tape'!$H6*12))/((1+'Loan tape'!$D6/12)^('Loan tape'!$H6*12)-1)))</f>
        <v>78500000</v>
      </c>
      <c r="M7" s="11" t="n">
        <f aca="false">IF('Loan tape'!$C6="",0,IF(OR('Loan tape'!$H6=0,M$5&lt;='Loan tape'!$I6),'Loan tape'!$C6,'Loan tape'!$C6*((1+'Loan tape'!$D6/12)^('Loan tape'!$H6*12)-(1+'Loan tape'!$D6/12)^MIN((M$5-'Loan tape'!$I6)*12,'Loan tape'!$H6*12))/((1+'Loan tape'!$D6/12)^('Loan tape'!$H6*12)-1)))</f>
        <v>78500000</v>
      </c>
      <c r="N7" s="11" t="n">
        <f aca="false">IF('Loan tape'!$C6="",0,IF(OR('Loan tape'!$H6=0,N$5&lt;='Loan tape'!$I6),'Loan tape'!$C6,'Loan tape'!$C6*((1+'Loan tape'!$D6/12)^('Loan tape'!$H6*12)-(1+'Loan tape'!$D6/12)^MIN((N$5-'Loan tape'!$I6)*12,'Loan tape'!$H6*12))/((1+'Loan tape'!$D6/12)^('Loan tape'!$H6*12)-1)))</f>
        <v>78500000</v>
      </c>
      <c r="O7" s="11" t="n">
        <f aca="false">IF('Loan tape'!$C6="",0,IF(OR('Loan tape'!$H6=0,O$5&lt;='Loan tape'!$I6),'Loan tape'!$C6,'Loan tape'!$C6*((1+'Loan tape'!$D6/12)^('Loan tape'!$H6*12)-(1+'Loan tape'!$D6/12)^MIN((O$5-'Loan tape'!$I6)*12,'Loan tape'!$H6*12))/((1+'Loan tape'!$D6/12)^('Loan tape'!$H6*12)-1)))</f>
        <v>78500000</v>
      </c>
      <c r="P7" s="11" t="n">
        <f aca="false">IF('Loan tape'!$C6="",0,IF(OR('Loan tape'!$H6=0,P$5&lt;='Loan tape'!$I6),'Loan tape'!$C6,'Loan tape'!$C6*((1+'Loan tape'!$D6/12)^('Loan tape'!$H6*12)-(1+'Loan tape'!$D6/12)^MIN((P$5-'Loan tape'!$I6)*12,'Loan tape'!$H6*12))/((1+'Loan tape'!$D6/12)^('Loan tape'!$H6*12)-1)))</f>
        <v>78500000</v>
      </c>
      <c r="Q7" s="11" t="n">
        <f aca="false">IF($B7=1,IF(Q$5&lt;$C7,F7,IF(Q$5&lt;=$D7,$E7,0)),F7)</f>
        <v>78500000</v>
      </c>
      <c r="R7" s="11" t="n">
        <f aca="false">IF($B7=1,IF(R$5&lt;$C7,G7,IF(R$5&lt;=$D7,$E7,0)),G7)</f>
        <v>78500000</v>
      </c>
      <c r="S7" s="11" t="n">
        <f aca="false">IF($B7=1,IF(S$5&lt;$C7,H7,IF(S$5&lt;=$D7,$E7,0)),H7)</f>
        <v>78500000</v>
      </c>
      <c r="T7" s="11" t="n">
        <f aca="false">IF($B7=1,IF(T$5&lt;$C7,I7,IF(T$5&lt;=$D7,$E7,0)),I7)</f>
        <v>78500000</v>
      </c>
      <c r="U7" s="11" t="n">
        <f aca="false">IF($B7=1,IF(U$5&lt;$C7,J7,IF(U$5&lt;=$D7,$E7,0)),J7)</f>
        <v>78500000</v>
      </c>
      <c r="V7" s="11" t="n">
        <f aca="false">IF($B7=1,IF(V$5&lt;$C7,K7,IF(V$5&lt;=$D7,$E7,0)),K7)</f>
        <v>78500000</v>
      </c>
      <c r="W7" s="11" t="n">
        <f aca="false">IF($B7=1,IF(W$5&lt;$C7,L7,IF(W$5&lt;=$D7,$E7,0)),L7)</f>
        <v>78500000</v>
      </c>
      <c r="X7" s="11" t="n">
        <f aca="false">IF($B7=1,IF(X$5&lt;$C7,M7,IF(X$5&lt;=$D7,$E7,0)),M7)</f>
        <v>78500000</v>
      </c>
      <c r="Y7" s="11" t="n">
        <f aca="false">IF($B7=1,IF(Y$5&lt;$C7,N7,IF(Y$5&lt;=$D7,$E7,0)),N7)</f>
        <v>78500000</v>
      </c>
      <c r="Z7" s="11" t="n">
        <f aca="false">IF($B7=1,IF(Z$5&lt;$C7,O7,IF(Z$5&lt;=$D7,$E7,0)),O7)</f>
        <v>78500000</v>
      </c>
      <c r="AA7" s="11" t="n">
        <f aca="false">IF($B7=1,IF(AA$5&lt;$C7,F7*'Loan tape'!$D6,0),F7*'Loan tape'!$D6)</f>
        <v>4592250</v>
      </c>
      <c r="AB7" s="11" t="n">
        <f aca="false">IF($B7=1,IF(AB$5&lt;$C7,G7*'Loan tape'!$D6,0),G7*'Loan tape'!$D6)</f>
        <v>4592250</v>
      </c>
      <c r="AC7" s="11" t="n">
        <f aca="false">IF($B7=1,IF(AC$5&lt;$C7,H7*'Loan tape'!$D6,0),H7*'Loan tape'!$D6)</f>
        <v>4592250</v>
      </c>
      <c r="AD7" s="11" t="n">
        <f aca="false">IF($B7=1,IF(AD$5&lt;$C7,I7*'Loan tape'!$D6,0),I7*'Loan tape'!$D6)</f>
        <v>4592250</v>
      </c>
      <c r="AE7" s="11" t="n">
        <f aca="false">IF($B7=1,IF(AE$5&lt;$C7,J7*'Loan tape'!$D6,0),J7*'Loan tape'!$D6)</f>
        <v>4592250</v>
      </c>
      <c r="AF7" s="11" t="n">
        <f aca="false">IF($B7=1,IF(AF$5&lt;$C7,K7*'Loan tape'!$D6,0),K7*'Loan tape'!$D6)</f>
        <v>4592250</v>
      </c>
      <c r="AG7" s="11" t="n">
        <f aca="false">IF($B7=1,IF(AG$5&lt;$C7,L7*'Loan tape'!$D6,0),L7*'Loan tape'!$D6)</f>
        <v>4592250</v>
      </c>
      <c r="AH7" s="11" t="n">
        <f aca="false">IF($B7=1,IF(AH$5&lt;$C7,M7*'Loan tape'!$D6,0),M7*'Loan tape'!$D6)</f>
        <v>4592250</v>
      </c>
      <c r="AI7" s="11" t="n">
        <f aca="false">IF($B7=1,IF(AI$5&lt;$C7,N7*'Loan tape'!$D6,0),N7*'Loan tape'!$D6)</f>
        <v>4592250</v>
      </c>
      <c r="AJ7" s="11" t="n">
        <f aca="false">IF($B7=1,IF(AJ$5&lt;$C7,O7*'Loan tape'!$D6,0),O7*'Loan tape'!$D6)</f>
        <v>4592250</v>
      </c>
      <c r="AK7" s="11" t="n">
        <f aca="false">IF($B7=1,IF(AK$5&lt;$C7,F7-G7,0),F7-G7)</f>
        <v>0</v>
      </c>
      <c r="AL7" s="11" t="n">
        <f aca="false">IF($B7=1,IF(AL$5&lt;$C7,G7-H7,0),G7-H7)</f>
        <v>0</v>
      </c>
      <c r="AM7" s="11" t="n">
        <f aca="false">IF($B7=1,IF(AM$5&lt;$C7,H7-I7,0),H7-I7)</f>
        <v>0</v>
      </c>
      <c r="AN7" s="11" t="n">
        <f aca="false">IF($B7=1,IF(AN$5&lt;$C7,I7-J7,0),I7-J7)</f>
        <v>0</v>
      </c>
      <c r="AO7" s="11" t="n">
        <f aca="false">IF($B7=1,IF(AO$5&lt;$C7,J7-K7,0),J7-K7)</f>
        <v>0</v>
      </c>
      <c r="AP7" s="11" t="n">
        <f aca="false">IF($B7=1,IF(AP$5&lt;$C7,K7-L7,0),K7-L7)</f>
        <v>0</v>
      </c>
      <c r="AQ7" s="11" t="n">
        <f aca="false">IF($B7=1,IF(AQ$5&lt;$C7,L7-M7,0),L7-M7)</f>
        <v>0</v>
      </c>
      <c r="AR7" s="11" t="n">
        <f aca="false">IF($B7=1,IF(AR$5&lt;$C7,M7-N7,0),M7-N7)</f>
        <v>0</v>
      </c>
      <c r="AS7" s="11" t="n">
        <f aca="false">IF($B7=1,IF(AS$5&lt;$C7,N7-O7,0),N7-O7)</f>
        <v>0</v>
      </c>
      <c r="AT7" s="11" t="n">
        <f aca="false">IF($B7=1,IF(AT$5&lt;$C7,O7-P7,0),O7-P7)</f>
        <v>0</v>
      </c>
      <c r="AU7" s="11" t="n">
        <f aca="false">IF(B7=1,0,P7)</f>
        <v>78500000</v>
      </c>
      <c r="AV7" s="11" t="n">
        <f aca="false">SUM(AA7:AJ7)</f>
        <v>45922500</v>
      </c>
      <c r="AW7" s="11" t="n">
        <f aca="false">SUM(AK7:AT7)</f>
        <v>0</v>
      </c>
      <c r="AX7" s="11" t="n">
        <f aca="false">SUM(Q7:Z7)</f>
        <v>785000000</v>
      </c>
    </row>
    <row r="8" customFormat="false" ht="15" hidden="false" customHeight="false" outlineLevel="0" collapsed="false">
      <c r="A8" s="17" t="str">
        <f aca="false">IF('Loan tape'!A7="","",'Loan tape'!A7)</f>
        <v>Northgate Logistics Park</v>
      </c>
      <c r="B8" s="30" t="n">
        <f aca="false">IF(A8="",0,IF(ISNUMBER(MATCH(A8,Liquidations!$A$13:$A$17,0)),1,0))</f>
        <v>0</v>
      </c>
      <c r="C8" s="30" t="n">
        <f aca="false">Liquidations!$B$23</f>
        <v>4</v>
      </c>
      <c r="D8" s="30" t="n">
        <f aca="false">IF(B8=1,INDEX(Liquidations!$W$13:$W$17,MATCH(A8,Liquidations!$A$13:$A$17,0)),0)</f>
        <v>0</v>
      </c>
      <c r="E8" s="11" t="n">
        <f aca="false">IF(B8=1,INDEX(Liquidations!$I$13:$I$17,MATCH(A8,Liquidations!$A$13:$A$17,0)),0)</f>
        <v>0</v>
      </c>
      <c r="F8" s="11" t="n">
        <f aca="false">IF('Loan tape'!$C7="",0,IF(OR('Loan tape'!$H7=0,F$5&lt;='Loan tape'!$I7),'Loan tape'!$C7,'Loan tape'!$C7*((1+'Loan tape'!$D7/12)^('Loan tape'!$H7*12)-(1+'Loan tape'!$D7/12)^MIN((F$5-'Loan tape'!$I7)*12,'Loan tape'!$H7*12))/((1+'Loan tape'!$D7/12)^('Loan tape'!$H7*12)-1)))</f>
        <v>74000000</v>
      </c>
      <c r="G8" s="11" t="n">
        <f aca="false">IF('Loan tape'!$C7="",0,IF(OR('Loan tape'!$H7=0,G$5&lt;='Loan tape'!$I7),'Loan tape'!$C7,'Loan tape'!$C7*((1+'Loan tape'!$D7/12)^('Loan tape'!$H7*12)-(1+'Loan tape'!$D7/12)^MIN((G$5-'Loan tape'!$I7)*12,'Loan tape'!$H7*12))/((1+'Loan tape'!$D7/12)^('Loan tape'!$H7*12)-1)))</f>
        <v>74000000</v>
      </c>
      <c r="H8" s="11" t="n">
        <f aca="false">IF('Loan tape'!$C7="",0,IF(OR('Loan tape'!$H7=0,H$5&lt;='Loan tape'!$I7),'Loan tape'!$C7,'Loan tape'!$C7*((1+'Loan tape'!$D7/12)^('Loan tape'!$H7*12)-(1+'Loan tape'!$D7/12)^MIN((H$5-'Loan tape'!$I7)*12,'Loan tape'!$H7*12))/((1+'Loan tape'!$D7/12)^('Loan tape'!$H7*12)-1)))</f>
        <v>74000000</v>
      </c>
      <c r="I8" s="11" t="n">
        <f aca="false">IF('Loan tape'!$C7="",0,IF(OR('Loan tape'!$H7=0,I$5&lt;='Loan tape'!$I7),'Loan tape'!$C7,'Loan tape'!$C7*((1+'Loan tape'!$D7/12)^('Loan tape'!$H7*12)-(1+'Loan tape'!$D7/12)^MIN((I$5-'Loan tape'!$I7)*12,'Loan tape'!$H7*12))/((1+'Loan tape'!$D7/12)^('Loan tape'!$H7*12)-1)))</f>
        <v>74000000</v>
      </c>
      <c r="J8" s="11" t="n">
        <f aca="false">IF('Loan tape'!$C7="",0,IF(OR('Loan tape'!$H7=0,J$5&lt;='Loan tape'!$I7),'Loan tape'!$C7,'Loan tape'!$C7*((1+'Loan tape'!$D7/12)^('Loan tape'!$H7*12)-(1+'Loan tape'!$D7/12)^MIN((J$5-'Loan tape'!$I7)*12,'Loan tape'!$H7*12))/((1+'Loan tape'!$D7/12)^('Loan tape'!$H7*12)-1)))</f>
        <v>74000000</v>
      </c>
      <c r="K8" s="11" t="n">
        <f aca="false">IF('Loan tape'!$C7="",0,IF(OR('Loan tape'!$H7=0,K$5&lt;='Loan tape'!$I7),'Loan tape'!$C7,'Loan tape'!$C7*((1+'Loan tape'!$D7/12)^('Loan tape'!$H7*12)-(1+'Loan tape'!$D7/12)^MIN((K$5-'Loan tape'!$I7)*12,'Loan tape'!$H7*12))/((1+'Loan tape'!$D7/12)^('Loan tape'!$H7*12)-1)))</f>
        <v>74000000</v>
      </c>
      <c r="L8" s="11" t="n">
        <f aca="false">IF('Loan tape'!$C7="",0,IF(OR('Loan tape'!$H7=0,L$5&lt;='Loan tape'!$I7),'Loan tape'!$C7,'Loan tape'!$C7*((1+'Loan tape'!$D7/12)^('Loan tape'!$H7*12)-(1+'Loan tape'!$D7/12)^MIN((L$5-'Loan tape'!$I7)*12,'Loan tape'!$H7*12))/((1+'Loan tape'!$D7/12)^('Loan tape'!$H7*12)-1)))</f>
        <v>74000000</v>
      </c>
      <c r="M8" s="11" t="n">
        <f aca="false">IF('Loan tape'!$C7="",0,IF(OR('Loan tape'!$H7=0,M$5&lt;='Loan tape'!$I7),'Loan tape'!$C7,'Loan tape'!$C7*((1+'Loan tape'!$D7/12)^('Loan tape'!$H7*12)-(1+'Loan tape'!$D7/12)^MIN((M$5-'Loan tape'!$I7)*12,'Loan tape'!$H7*12))/((1+'Loan tape'!$D7/12)^('Loan tape'!$H7*12)-1)))</f>
        <v>74000000</v>
      </c>
      <c r="N8" s="11" t="n">
        <f aca="false">IF('Loan tape'!$C7="",0,IF(OR('Loan tape'!$H7=0,N$5&lt;='Loan tape'!$I7),'Loan tape'!$C7,'Loan tape'!$C7*((1+'Loan tape'!$D7/12)^('Loan tape'!$H7*12)-(1+'Loan tape'!$D7/12)^MIN((N$5-'Loan tape'!$I7)*12,'Loan tape'!$H7*12))/((1+'Loan tape'!$D7/12)^('Loan tape'!$H7*12)-1)))</f>
        <v>74000000</v>
      </c>
      <c r="O8" s="11" t="n">
        <f aca="false">IF('Loan tape'!$C7="",0,IF(OR('Loan tape'!$H7=0,O$5&lt;='Loan tape'!$I7),'Loan tape'!$C7,'Loan tape'!$C7*((1+'Loan tape'!$D7/12)^('Loan tape'!$H7*12)-(1+'Loan tape'!$D7/12)^MIN((O$5-'Loan tape'!$I7)*12,'Loan tape'!$H7*12))/((1+'Loan tape'!$D7/12)^('Loan tape'!$H7*12)-1)))</f>
        <v>74000000</v>
      </c>
      <c r="P8" s="11" t="n">
        <f aca="false">IF('Loan tape'!$C7="",0,IF(OR('Loan tape'!$H7=0,P$5&lt;='Loan tape'!$I7),'Loan tape'!$C7,'Loan tape'!$C7*((1+'Loan tape'!$D7/12)^('Loan tape'!$H7*12)-(1+'Loan tape'!$D7/12)^MIN((P$5-'Loan tape'!$I7)*12,'Loan tape'!$H7*12))/((1+'Loan tape'!$D7/12)^('Loan tape'!$H7*12)-1)))</f>
        <v>74000000</v>
      </c>
      <c r="Q8" s="11" t="n">
        <f aca="false">IF($B8=1,IF(Q$5&lt;$C8,F8,IF(Q$5&lt;=$D8,$E8,0)),F8)</f>
        <v>74000000</v>
      </c>
      <c r="R8" s="11" t="n">
        <f aca="false">IF($B8=1,IF(R$5&lt;$C8,G8,IF(R$5&lt;=$D8,$E8,0)),G8)</f>
        <v>74000000</v>
      </c>
      <c r="S8" s="11" t="n">
        <f aca="false">IF($B8=1,IF(S$5&lt;$C8,H8,IF(S$5&lt;=$D8,$E8,0)),H8)</f>
        <v>74000000</v>
      </c>
      <c r="T8" s="11" t="n">
        <f aca="false">IF($B8=1,IF(T$5&lt;$C8,I8,IF(T$5&lt;=$D8,$E8,0)),I8)</f>
        <v>74000000</v>
      </c>
      <c r="U8" s="11" t="n">
        <f aca="false">IF($B8=1,IF(U$5&lt;$C8,J8,IF(U$5&lt;=$D8,$E8,0)),J8)</f>
        <v>74000000</v>
      </c>
      <c r="V8" s="11" t="n">
        <f aca="false">IF($B8=1,IF(V$5&lt;$C8,K8,IF(V$5&lt;=$D8,$E8,0)),K8)</f>
        <v>74000000</v>
      </c>
      <c r="W8" s="11" t="n">
        <f aca="false">IF($B8=1,IF(W$5&lt;$C8,L8,IF(W$5&lt;=$D8,$E8,0)),L8)</f>
        <v>74000000</v>
      </c>
      <c r="X8" s="11" t="n">
        <f aca="false">IF($B8=1,IF(X$5&lt;$C8,M8,IF(X$5&lt;=$D8,$E8,0)),M8)</f>
        <v>74000000</v>
      </c>
      <c r="Y8" s="11" t="n">
        <f aca="false">IF($B8=1,IF(Y$5&lt;$C8,N8,IF(Y$5&lt;=$D8,$E8,0)),N8)</f>
        <v>74000000</v>
      </c>
      <c r="Z8" s="11" t="n">
        <f aca="false">IF($B8=1,IF(Z$5&lt;$C8,O8,IF(Z$5&lt;=$D8,$E8,0)),O8)</f>
        <v>74000000</v>
      </c>
      <c r="AA8" s="11" t="n">
        <f aca="false">IF($B8=1,IF(AA$5&lt;$C8,F8*'Loan tape'!$D7,0),F8*'Loan tape'!$D7)</f>
        <v>4477000</v>
      </c>
      <c r="AB8" s="11" t="n">
        <f aca="false">IF($B8=1,IF(AB$5&lt;$C8,G8*'Loan tape'!$D7,0),G8*'Loan tape'!$D7)</f>
        <v>4477000</v>
      </c>
      <c r="AC8" s="11" t="n">
        <f aca="false">IF($B8=1,IF(AC$5&lt;$C8,H8*'Loan tape'!$D7,0),H8*'Loan tape'!$D7)</f>
        <v>4477000</v>
      </c>
      <c r="AD8" s="11" t="n">
        <f aca="false">IF($B8=1,IF(AD$5&lt;$C8,I8*'Loan tape'!$D7,0),I8*'Loan tape'!$D7)</f>
        <v>4477000</v>
      </c>
      <c r="AE8" s="11" t="n">
        <f aca="false">IF($B8=1,IF(AE$5&lt;$C8,J8*'Loan tape'!$D7,0),J8*'Loan tape'!$D7)</f>
        <v>4477000</v>
      </c>
      <c r="AF8" s="11" t="n">
        <f aca="false">IF($B8=1,IF(AF$5&lt;$C8,K8*'Loan tape'!$D7,0),K8*'Loan tape'!$D7)</f>
        <v>4477000</v>
      </c>
      <c r="AG8" s="11" t="n">
        <f aca="false">IF($B8=1,IF(AG$5&lt;$C8,L8*'Loan tape'!$D7,0),L8*'Loan tape'!$D7)</f>
        <v>4477000</v>
      </c>
      <c r="AH8" s="11" t="n">
        <f aca="false">IF($B8=1,IF(AH$5&lt;$C8,M8*'Loan tape'!$D7,0),M8*'Loan tape'!$D7)</f>
        <v>4477000</v>
      </c>
      <c r="AI8" s="11" t="n">
        <f aca="false">IF($B8=1,IF(AI$5&lt;$C8,N8*'Loan tape'!$D7,0),N8*'Loan tape'!$D7)</f>
        <v>4477000</v>
      </c>
      <c r="AJ8" s="11" t="n">
        <f aca="false">IF($B8=1,IF(AJ$5&lt;$C8,O8*'Loan tape'!$D7,0),O8*'Loan tape'!$D7)</f>
        <v>4477000</v>
      </c>
      <c r="AK8" s="11" t="n">
        <f aca="false">IF($B8=1,IF(AK$5&lt;$C8,F8-G8,0),F8-G8)</f>
        <v>0</v>
      </c>
      <c r="AL8" s="11" t="n">
        <f aca="false">IF($B8=1,IF(AL$5&lt;$C8,G8-H8,0),G8-H8)</f>
        <v>0</v>
      </c>
      <c r="AM8" s="11" t="n">
        <f aca="false">IF($B8=1,IF(AM$5&lt;$C8,H8-I8,0),H8-I8)</f>
        <v>0</v>
      </c>
      <c r="AN8" s="11" t="n">
        <f aca="false">IF($B8=1,IF(AN$5&lt;$C8,I8-J8,0),I8-J8)</f>
        <v>0</v>
      </c>
      <c r="AO8" s="11" t="n">
        <f aca="false">IF($B8=1,IF(AO$5&lt;$C8,J8-K8,0),J8-K8)</f>
        <v>0</v>
      </c>
      <c r="AP8" s="11" t="n">
        <f aca="false">IF($B8=1,IF(AP$5&lt;$C8,K8-L8,0),K8-L8)</f>
        <v>0</v>
      </c>
      <c r="AQ8" s="11" t="n">
        <f aca="false">IF($B8=1,IF(AQ$5&lt;$C8,L8-M8,0),L8-M8)</f>
        <v>0</v>
      </c>
      <c r="AR8" s="11" t="n">
        <f aca="false">IF($B8=1,IF(AR$5&lt;$C8,M8-N8,0),M8-N8)</f>
        <v>0</v>
      </c>
      <c r="AS8" s="11" t="n">
        <f aca="false">IF($B8=1,IF(AS$5&lt;$C8,N8-O8,0),N8-O8)</f>
        <v>0</v>
      </c>
      <c r="AT8" s="11" t="n">
        <f aca="false">IF($B8=1,IF(AT$5&lt;$C8,O8-P8,0),O8-P8)</f>
        <v>0</v>
      </c>
      <c r="AU8" s="11" t="n">
        <f aca="false">IF(B8=1,0,P8)</f>
        <v>74000000</v>
      </c>
      <c r="AV8" s="11" t="n">
        <f aca="false">SUM(AA8:AJ8)</f>
        <v>44770000</v>
      </c>
      <c r="AW8" s="11" t="n">
        <f aca="false">SUM(AK8:AT8)</f>
        <v>0</v>
      </c>
      <c r="AX8" s="11" t="n">
        <f aca="false">SUM(Q8:Z8)</f>
        <v>740000000</v>
      </c>
    </row>
    <row r="9" customFormat="false" ht="15" hidden="false" customHeight="false" outlineLevel="0" collapsed="false">
      <c r="A9" s="17" t="str">
        <f aca="false">IF('Loan tape'!A8="","",'Loan tape'!A8)</f>
        <v>The Willoughby Hotel</v>
      </c>
      <c r="B9" s="30" t="n">
        <f aca="false">IF(A9="",0,IF(ISNUMBER(MATCH(A9,Liquidations!$A$13:$A$17,0)),1,0))</f>
        <v>0</v>
      </c>
      <c r="C9" s="30" t="n">
        <f aca="false">Liquidations!$B$23</f>
        <v>4</v>
      </c>
      <c r="D9" s="30" t="n">
        <f aca="false">IF(B9=1,INDEX(Liquidations!$W$13:$W$17,MATCH(A9,Liquidations!$A$13:$A$17,0)),0)</f>
        <v>0</v>
      </c>
      <c r="E9" s="11" t="n">
        <f aca="false">IF(B9=1,INDEX(Liquidations!$I$13:$I$17,MATCH(A9,Liquidations!$A$13:$A$17,0)),0)</f>
        <v>0</v>
      </c>
      <c r="F9" s="11" t="n">
        <f aca="false">IF('Loan tape'!$C8="",0,IF(OR('Loan tape'!$H8=0,F$5&lt;='Loan tape'!$I8),'Loan tape'!$C8,'Loan tape'!$C8*((1+'Loan tape'!$D8/12)^('Loan tape'!$H8*12)-(1+'Loan tape'!$D8/12)^MIN((F$5-'Loan tape'!$I8)*12,'Loan tape'!$H8*12))/((1+'Loan tape'!$D8/12)^('Loan tape'!$H8*12)-1)))</f>
        <v>68000000</v>
      </c>
      <c r="G9" s="11" t="n">
        <f aca="false">IF('Loan tape'!$C8="",0,IF(OR('Loan tape'!$H8=0,G$5&lt;='Loan tape'!$I8),'Loan tape'!$C8,'Loan tape'!$C8*((1+'Loan tape'!$D8/12)^('Loan tape'!$H8*12)-(1+'Loan tape'!$D8/12)^MIN((G$5-'Loan tape'!$I8)*12,'Loan tape'!$H8*12))/((1+'Loan tape'!$D8/12)^('Loan tape'!$H8*12)-1)))</f>
        <v>67315877.7472045</v>
      </c>
      <c r="H9" s="11" t="n">
        <f aca="false">IF('Loan tape'!$C8="",0,IF(OR('Loan tape'!$H8=0,H$5&lt;='Loan tape'!$I8),'Loan tape'!$C8,'Loan tape'!$C8*((1+'Loan tape'!$D8/12)^('Loan tape'!$H8*12)-(1+'Loan tape'!$D8/12)^MIN((H$5-'Loan tape'!$I8)*12,'Loan tape'!$H8*12))/((1+'Loan tape'!$D8/12)^('Loan tape'!$H8*12)-1)))</f>
        <v>66581935.4967832</v>
      </c>
      <c r="I9" s="11" t="n">
        <f aca="false">IF('Loan tape'!$C8="",0,IF(OR('Loan tape'!$H8=0,I$5&lt;='Loan tape'!$I8),'Loan tape'!$C8,'Loan tape'!$C8*((1+'Loan tape'!$D8/12)^('Loan tape'!$H8*12)-(1+'Loan tape'!$D8/12)^MIN((I$5-'Loan tape'!$I8)*12,'Loan tape'!$H8*12))/((1+'Loan tape'!$D8/12)^('Loan tape'!$H8*12)-1)))</f>
        <v>65794545.1951928</v>
      </c>
      <c r="J9" s="11" t="n">
        <f aca="false">IF('Loan tape'!$C8="",0,IF(OR('Loan tape'!$H8=0,J$5&lt;='Loan tape'!$I8),'Loan tape'!$C8,'Loan tape'!$C8*((1+'Loan tape'!$D8/12)^('Loan tape'!$H8*12)-(1+'Loan tape'!$D8/12)^MIN((J$5-'Loan tape'!$I8)*12,'Loan tape'!$H8*12))/((1+'Loan tape'!$D8/12)^('Loan tape'!$H8*12)-1)))</f>
        <v>64949814.5822832</v>
      </c>
      <c r="K9" s="11" t="n">
        <f aca="false">IF('Loan tape'!$C8="",0,IF(OR('Loan tape'!$H8=0,K$5&lt;='Loan tape'!$I8),'Loan tape'!$C8,'Loan tape'!$C8*((1+'Loan tape'!$D8/12)^('Loan tape'!$H8*12)-(1+'Loan tape'!$D8/12)^MIN((K$5-'Loan tape'!$I8)*12,'Loan tape'!$H8*12))/((1+'Loan tape'!$D8/12)^('Loan tape'!$H8*12)-1)))</f>
        <v>64043567.950917</v>
      </c>
      <c r="L9" s="11" t="n">
        <f aca="false">IF('Loan tape'!$C8="",0,IF(OR('Loan tape'!$H8=0,L$5&lt;='Loan tape'!$I8),'Loan tape'!$C8,'Loan tape'!$C8*((1+'Loan tape'!$D8/12)^('Loan tape'!$H8*12)-(1+'Loan tape'!$D8/12)^MIN((L$5-'Loan tape'!$I8)*12,'Loan tape'!$H8*12))/((1+'Loan tape'!$D8/12)^('Loan tape'!$H8*12)-1)))</f>
        <v>63071325.5054424</v>
      </c>
      <c r="M9" s="11" t="n">
        <f aca="false">IF('Loan tape'!$C8="",0,IF(OR('Loan tape'!$H8=0,M$5&lt;='Loan tape'!$I8),'Loan tape'!$C8,'Loan tape'!$C8*((1+'Loan tape'!$D8/12)^('Loan tape'!$H8*12)-(1+'Loan tape'!$D8/12)^MIN((M$5-'Loan tape'!$I8)*12,'Loan tape'!$H8*12))/((1+'Loan tape'!$D8/12)^('Loan tape'!$H8*12)-1)))</f>
        <v>62028281.2169825</v>
      </c>
      <c r="N9" s="11" t="n">
        <f aca="false">IF('Loan tape'!$C8="",0,IF(OR('Loan tape'!$H8=0,N$5&lt;='Loan tape'!$I8),'Loan tape'!$C8,'Loan tape'!$C8*((1+'Loan tape'!$D8/12)^('Loan tape'!$H8*12)-(1+'Loan tape'!$D8/12)^MIN((N$5-'Loan tape'!$I8)*12,'Loan tape'!$H8*12))/((1+'Loan tape'!$D8/12)^('Loan tape'!$H8*12)-1)))</f>
        <v>60909279.066076</v>
      </c>
      <c r="O9" s="11" t="n">
        <f aca="false">IF('Loan tape'!$C8="",0,IF(OR('Loan tape'!$H8=0,O$5&lt;='Loan tape'!$I8),'Loan tape'!$C8,'Loan tape'!$C8*((1+'Loan tape'!$D8/12)^('Loan tape'!$H8*12)-(1+'Loan tape'!$D8/12)^MIN((O$5-'Loan tape'!$I8)*12,'Loan tape'!$H8*12))/((1+'Loan tape'!$D8/12)^('Loan tape'!$H8*12)-1)))</f>
        <v>59708787.5552291</v>
      </c>
      <c r="P9" s="11" t="n">
        <f aca="false">IF('Loan tape'!$C8="",0,IF(OR('Loan tape'!$H8=0,P$5&lt;='Loan tape'!$I8),'Loan tape'!$C8,'Loan tape'!$C8*((1+'Loan tape'!$D8/12)^('Loan tape'!$H8*12)-(1+'Loan tape'!$D8/12)^MIN((P$5-'Loan tape'!$I8)*12,'Loan tape'!$H8*12))/((1+'Loan tape'!$D8/12)^('Loan tape'!$H8*12)-1)))</f>
        <v>58420872.3653896</v>
      </c>
      <c r="Q9" s="11" t="n">
        <f aca="false">IF($B9=1,IF(Q$5&lt;$C9,F9,IF(Q$5&lt;=$D9,$E9,0)),F9)</f>
        <v>68000000</v>
      </c>
      <c r="R9" s="11" t="n">
        <f aca="false">IF($B9=1,IF(R$5&lt;$C9,G9,IF(R$5&lt;=$D9,$E9,0)),G9)</f>
        <v>67315877.7472045</v>
      </c>
      <c r="S9" s="11" t="n">
        <f aca="false">IF($B9=1,IF(S$5&lt;$C9,H9,IF(S$5&lt;=$D9,$E9,0)),H9)</f>
        <v>66581935.4967832</v>
      </c>
      <c r="T9" s="11" t="n">
        <f aca="false">IF($B9=1,IF(T$5&lt;$C9,I9,IF(T$5&lt;=$D9,$E9,0)),I9)</f>
        <v>65794545.1951928</v>
      </c>
      <c r="U9" s="11" t="n">
        <f aca="false">IF($B9=1,IF(U$5&lt;$C9,J9,IF(U$5&lt;=$D9,$E9,0)),J9)</f>
        <v>64949814.5822832</v>
      </c>
      <c r="V9" s="11" t="n">
        <f aca="false">IF($B9=1,IF(V$5&lt;$C9,K9,IF(V$5&lt;=$D9,$E9,0)),K9)</f>
        <v>64043567.950917</v>
      </c>
      <c r="W9" s="11" t="n">
        <f aca="false">IF($B9=1,IF(W$5&lt;$C9,L9,IF(W$5&lt;=$D9,$E9,0)),L9)</f>
        <v>63071325.5054424</v>
      </c>
      <c r="X9" s="11" t="n">
        <f aca="false">IF($B9=1,IF(X$5&lt;$C9,M9,IF(X$5&lt;=$D9,$E9,0)),M9)</f>
        <v>62028281.2169825</v>
      </c>
      <c r="Y9" s="11" t="n">
        <f aca="false">IF($B9=1,IF(Y$5&lt;$C9,N9,IF(Y$5&lt;=$D9,$E9,0)),N9)</f>
        <v>60909279.066076</v>
      </c>
      <c r="Z9" s="11" t="n">
        <f aca="false">IF($B9=1,IF(Z$5&lt;$C9,O9,IF(Z$5&lt;=$D9,$E9,0)),O9)</f>
        <v>59708787.5552291</v>
      </c>
      <c r="AA9" s="11" t="n">
        <f aca="false">IF($B9=1,IF(AA$5&lt;$C9,F9*'Loan tape'!$D8,0),F9*'Loan tape'!$D8)</f>
        <v>4794000</v>
      </c>
      <c r="AB9" s="11" t="n">
        <f aca="false">IF($B9=1,IF(AB$5&lt;$C9,G9*'Loan tape'!$D8,0),G9*'Loan tape'!$D8)</f>
        <v>4745769.38117791</v>
      </c>
      <c r="AC9" s="11" t="n">
        <f aca="false">IF($B9=1,IF(AC$5&lt;$C9,H9*'Loan tape'!$D8,0),H9*'Loan tape'!$D8)</f>
        <v>4694026.45252322</v>
      </c>
      <c r="AD9" s="11" t="n">
        <f aca="false">IF($B9=1,IF(AD$5&lt;$C9,I9*'Loan tape'!$D8,0),I9*'Loan tape'!$D8)</f>
        <v>4638515.43626109</v>
      </c>
      <c r="AE9" s="11" t="n">
        <f aca="false">IF($B9=1,IF(AE$5&lt;$C9,J9*'Loan tape'!$D8,0),J9*'Loan tape'!$D8)</f>
        <v>4578961.92805096</v>
      </c>
      <c r="AF9" s="11" t="n">
        <f aca="false">IF($B9=1,IF(AF$5&lt;$C9,K9*'Loan tape'!$D8,0),K9*'Loan tape'!$D8)</f>
        <v>4515071.54053965</v>
      </c>
      <c r="AG9" s="11" t="n">
        <f aca="false">IF($B9=1,IF(AG$5&lt;$C9,L9*'Loan tape'!$D8,0),L9*'Loan tape'!$D8)</f>
        <v>4446528.44813369</v>
      </c>
      <c r="AH9" s="11" t="n">
        <f aca="false">IF($B9=1,IF(AH$5&lt;$C9,M9*'Loan tape'!$D8,0),M9*'Loan tape'!$D8)</f>
        <v>4372993.82579727</v>
      </c>
      <c r="AI9" s="11" t="n">
        <f aca="false">IF($B9=1,IF(AI$5&lt;$C9,N9*'Loan tape'!$D8,0),N9*'Loan tape'!$D8)</f>
        <v>4294104.17415836</v>
      </c>
      <c r="AJ9" s="11" t="n">
        <f aca="false">IF($B9=1,IF(AJ$5&lt;$C9,O9*'Loan tape'!$D8,0),O9*'Loan tape'!$D8)</f>
        <v>4209469.52264365</v>
      </c>
      <c r="AK9" s="11" t="n">
        <f aca="false">IF($B9=1,IF(AK$5&lt;$C9,F9-G9,0),F9-G9)</f>
        <v>684122.252795547</v>
      </c>
      <c r="AL9" s="11" t="n">
        <f aca="false">IF($B9=1,IF(AL$5&lt;$C9,G9-H9,0),G9-H9)</f>
        <v>733942.250421256</v>
      </c>
      <c r="AM9" s="11" t="n">
        <f aca="false">IF($B9=1,IF(AM$5&lt;$C9,H9-I9,0),H9-I9)</f>
        <v>787390.301590398</v>
      </c>
      <c r="AN9" s="11" t="n">
        <f aca="false">IF($B9=1,IF(AN$5&lt;$C9,I9-J9,0),I9-J9)</f>
        <v>844730.612909637</v>
      </c>
      <c r="AO9" s="11" t="n">
        <f aca="false">IF($B9=1,IF(AO$5&lt;$C9,J9-K9,0),J9-K9)</f>
        <v>906246.631366178</v>
      </c>
      <c r="AP9" s="11" t="n">
        <f aca="false">IF($B9=1,IF(AP$5&lt;$C9,K9-L9,0),K9-L9)</f>
        <v>972242.44547461</v>
      </c>
      <c r="AQ9" s="11" t="n">
        <f aca="false">IF($B9=1,IF(AQ$5&lt;$C9,L9-M9,0),L9-M9)</f>
        <v>1043044.28845985</v>
      </c>
      <c r="AR9" s="11" t="n">
        <f aca="false">IF($B9=1,IF(AR$5&lt;$C9,M9-N9,0),M9-N9)</f>
        <v>1119002.15090652</v>
      </c>
      <c r="AS9" s="11" t="n">
        <f aca="false">IF($B9=1,IF(AS$5&lt;$C9,N9-O9,0),N9-O9)</f>
        <v>1200491.51084691</v>
      </c>
      <c r="AT9" s="11" t="n">
        <f aca="false">IF($B9=1,IF(AT$5&lt;$C9,O9-P9,0),O9-P9)</f>
        <v>1287915.18983945</v>
      </c>
      <c r="AU9" s="11" t="n">
        <f aca="false">IF(B9=1,0,P9)</f>
        <v>58420872.3653896</v>
      </c>
      <c r="AV9" s="11" t="n">
        <f aca="false">SUM(AA9:AJ9)</f>
        <v>45289440.7092858</v>
      </c>
      <c r="AW9" s="11" t="n">
        <f aca="false">SUM(AK9:AT9)</f>
        <v>9579127.63461036</v>
      </c>
      <c r="AX9" s="11" t="n">
        <f aca="false">SUM(Q9:Z9)</f>
        <v>642403414.316111</v>
      </c>
    </row>
    <row r="10" customFormat="false" ht="15" hidden="false" customHeight="false" outlineLevel="0" collapsed="false">
      <c r="A10" s="17" t="str">
        <f aca="false">IF('Loan tape'!A9="","",'Loan tape'!A9)</f>
        <v>Stonebridge Commons</v>
      </c>
      <c r="B10" s="30" t="n">
        <f aca="false">IF(A10="",0,IF(ISNUMBER(MATCH(A10,Liquidations!$A$13:$A$17,0)),1,0))</f>
        <v>0</v>
      </c>
      <c r="C10" s="30" t="n">
        <f aca="false">Liquidations!$B$23</f>
        <v>4</v>
      </c>
      <c r="D10" s="30" t="n">
        <f aca="false">IF(B10=1,INDEX(Liquidations!$W$13:$W$17,MATCH(A10,Liquidations!$A$13:$A$17,0)),0)</f>
        <v>0</v>
      </c>
      <c r="E10" s="11" t="n">
        <f aca="false">IF(B10=1,INDEX(Liquidations!$I$13:$I$17,MATCH(A10,Liquidations!$A$13:$A$17,0)),0)</f>
        <v>0</v>
      </c>
      <c r="F10" s="11" t="n">
        <f aca="false">IF('Loan tape'!$C9="",0,IF(OR('Loan tape'!$H9=0,F$5&lt;='Loan tape'!$I9),'Loan tape'!$C9,'Loan tape'!$C9*((1+'Loan tape'!$D9/12)^('Loan tape'!$H9*12)-(1+'Loan tape'!$D9/12)^MIN((F$5-'Loan tape'!$I9)*12,'Loan tape'!$H9*12))/((1+'Loan tape'!$D9/12)^('Loan tape'!$H9*12)-1)))</f>
        <v>63500000</v>
      </c>
      <c r="G10" s="11" t="n">
        <f aca="false">IF('Loan tape'!$C9="",0,IF(OR('Loan tape'!$H9=0,G$5&lt;='Loan tape'!$I9),'Loan tape'!$C9,'Loan tape'!$C9*((1+'Loan tape'!$D9/12)^('Loan tape'!$H9*12)-(1+'Loan tape'!$D9/12)^MIN((G$5-'Loan tape'!$I9)*12,'Loan tape'!$H9*12))/((1+'Loan tape'!$D9/12)^('Loan tape'!$H9*12)-1)))</f>
        <v>63500000</v>
      </c>
      <c r="H10" s="11" t="n">
        <f aca="false">IF('Loan tape'!$C9="",0,IF(OR('Loan tape'!$H9=0,H$5&lt;='Loan tape'!$I9),'Loan tape'!$C9,'Loan tape'!$C9*((1+'Loan tape'!$D9/12)^('Loan tape'!$H9*12)-(1+'Loan tape'!$D9/12)^MIN((H$5-'Loan tape'!$I9)*12,'Loan tape'!$H9*12))/((1+'Loan tape'!$D9/12)^('Loan tape'!$H9*12)-1)))</f>
        <v>63500000</v>
      </c>
      <c r="I10" s="11" t="n">
        <f aca="false">IF('Loan tape'!$C9="",0,IF(OR('Loan tape'!$H9=0,I$5&lt;='Loan tape'!$I9),'Loan tape'!$C9,'Loan tape'!$C9*((1+'Loan tape'!$D9/12)^('Loan tape'!$H9*12)-(1+'Loan tape'!$D9/12)^MIN((I$5-'Loan tape'!$I9)*12,'Loan tape'!$H9*12))/((1+'Loan tape'!$D9/12)^('Loan tape'!$H9*12)-1)))</f>
        <v>63500000</v>
      </c>
      <c r="J10" s="11" t="n">
        <f aca="false">IF('Loan tape'!$C9="",0,IF(OR('Loan tape'!$H9=0,J$5&lt;='Loan tape'!$I9),'Loan tape'!$C9,'Loan tape'!$C9*((1+'Loan tape'!$D9/12)^('Loan tape'!$H9*12)-(1+'Loan tape'!$D9/12)^MIN((J$5-'Loan tape'!$I9)*12,'Loan tape'!$H9*12))/((1+'Loan tape'!$D9/12)^('Loan tape'!$H9*12)-1)))</f>
        <v>62783484.8076982</v>
      </c>
      <c r="K10" s="11" t="n">
        <f aca="false">IF('Loan tape'!$C9="",0,IF(OR('Loan tape'!$H9=0,K$5&lt;='Loan tape'!$I9),'Loan tape'!$C9,'Loan tape'!$C9*((1+'Loan tape'!$D9/12)^('Loan tape'!$H9*12)-(1+'Loan tape'!$D9/12)^MIN((K$5-'Loan tape'!$I9)*12,'Loan tape'!$H9*12))/((1+'Loan tape'!$D9/12)^('Loan tape'!$H9*12)-1)))</f>
        <v>62019363.370735</v>
      </c>
      <c r="L10" s="11" t="n">
        <f aca="false">IF('Loan tape'!$C9="",0,IF(OR('Loan tape'!$H9=0,L$5&lt;='Loan tape'!$I9),'Loan tape'!$C9,'Loan tape'!$C9*((1+'Loan tape'!$D9/12)^('Loan tape'!$H9*12)-(1+'Loan tape'!$D9/12)^MIN((L$5-'Loan tape'!$I9)*12,'Loan tape'!$H9*12))/((1+'Loan tape'!$D9/12)^('Loan tape'!$H9*12)-1)))</f>
        <v>61204472.6654157</v>
      </c>
      <c r="M10" s="11" t="n">
        <f aca="false">IF('Loan tape'!$C9="",0,IF(OR('Loan tape'!$H9=0,M$5&lt;='Loan tape'!$I9),'Loan tape'!$C9,'Loan tape'!$C9*((1+'Loan tape'!$D9/12)^('Loan tape'!$H9*12)-(1+'Loan tape'!$D9/12)^MIN((M$5-'Loan tape'!$I9)*12,'Loan tape'!$H9*12))/((1+'Loan tape'!$D9/12)^('Loan tape'!$H9*12)-1)))</f>
        <v>60335439.5124462</v>
      </c>
      <c r="N10" s="11" t="n">
        <f aca="false">IF('Loan tape'!$C9="",0,IF(OR('Loan tape'!$H9=0,N$5&lt;='Loan tape'!$I9),'Loan tape'!$C9,'Loan tape'!$C9*((1+'Loan tape'!$D9/12)^('Loan tape'!$H9*12)-(1+'Loan tape'!$D9/12)^MIN((N$5-'Loan tape'!$I9)*12,'Loan tape'!$H9*12))/((1+'Loan tape'!$D9/12)^('Loan tape'!$H9*12)-1)))</f>
        <v>59408666.6139087</v>
      </c>
      <c r="O10" s="11" t="n">
        <f aca="false">IF('Loan tape'!$C9="",0,IF(OR('Loan tape'!$H9=0,O$5&lt;='Loan tape'!$I9),'Loan tape'!$C9,'Loan tape'!$C9*((1+'Loan tape'!$D9/12)^('Loan tape'!$H9*12)-(1+'Loan tape'!$D9/12)^MIN((O$5-'Loan tape'!$I9)*12,'Loan tape'!$H9*12))/((1+'Loan tape'!$D9/12)^('Loan tape'!$H9*12)-1)))</f>
        <v>58420317.6625149</v>
      </c>
      <c r="P10" s="11" t="n">
        <f aca="false">IF('Loan tape'!$C9="",0,IF(OR('Loan tape'!$H9=0,P$5&lt;='Loan tape'!$I9),'Loan tape'!$C9,'Loan tape'!$C9*((1+'Loan tape'!$D9/12)^('Loan tape'!$H9*12)-(1+'Loan tape'!$D9/12)^MIN((P$5-'Loan tape'!$I9)*12,'Loan tape'!$H9*12))/((1+'Loan tape'!$D9/12)^('Loan tape'!$H9*12)-1)))</f>
        <v>57366301.461499</v>
      </c>
      <c r="Q10" s="11" t="n">
        <f aca="false">IF($B10=1,IF(Q$5&lt;$C10,F10,IF(Q$5&lt;=$D10,$E10,0)),F10)</f>
        <v>63500000</v>
      </c>
      <c r="R10" s="11" t="n">
        <f aca="false">IF($B10=1,IF(R$5&lt;$C10,G10,IF(R$5&lt;=$D10,$E10,0)),G10)</f>
        <v>63500000</v>
      </c>
      <c r="S10" s="11" t="n">
        <f aca="false">IF($B10=1,IF(S$5&lt;$C10,H10,IF(S$5&lt;=$D10,$E10,0)),H10)</f>
        <v>63500000</v>
      </c>
      <c r="T10" s="11" t="n">
        <f aca="false">IF($B10=1,IF(T$5&lt;$C10,I10,IF(T$5&lt;=$D10,$E10,0)),I10)</f>
        <v>63500000</v>
      </c>
      <c r="U10" s="11" t="n">
        <f aca="false">IF($B10=1,IF(U$5&lt;$C10,J10,IF(U$5&lt;=$D10,$E10,0)),J10)</f>
        <v>62783484.8076982</v>
      </c>
      <c r="V10" s="11" t="n">
        <f aca="false">IF($B10=1,IF(V$5&lt;$C10,K10,IF(V$5&lt;=$D10,$E10,0)),K10)</f>
        <v>62019363.370735</v>
      </c>
      <c r="W10" s="11" t="n">
        <f aca="false">IF($B10=1,IF(W$5&lt;$C10,L10,IF(W$5&lt;=$D10,$E10,0)),L10)</f>
        <v>61204472.6654157</v>
      </c>
      <c r="X10" s="11" t="n">
        <f aca="false">IF($B10=1,IF(X$5&lt;$C10,M10,IF(X$5&lt;=$D10,$E10,0)),M10)</f>
        <v>60335439.5124462</v>
      </c>
      <c r="Y10" s="11" t="n">
        <f aca="false">IF($B10=1,IF(Y$5&lt;$C10,N10,IF(Y$5&lt;=$D10,$E10,0)),N10)</f>
        <v>59408666.6139087</v>
      </c>
      <c r="Z10" s="11" t="n">
        <f aca="false">IF($B10=1,IF(Z$5&lt;$C10,O10,IF(Z$5&lt;=$D10,$E10,0)),O10)</f>
        <v>58420317.6625149</v>
      </c>
      <c r="AA10" s="11" t="n">
        <f aca="false">IF($B10=1,IF(AA$5&lt;$C10,F10*'Loan tape'!$D9,0),F10*'Loan tape'!$D9)</f>
        <v>4095750</v>
      </c>
      <c r="AB10" s="11" t="n">
        <f aca="false">IF($B10=1,IF(AB$5&lt;$C10,G10*'Loan tape'!$D9,0),G10*'Loan tape'!$D9)</f>
        <v>4095750</v>
      </c>
      <c r="AC10" s="11" t="n">
        <f aca="false">IF($B10=1,IF(AC$5&lt;$C10,H10*'Loan tape'!$D9,0),H10*'Loan tape'!$D9)</f>
        <v>4095750</v>
      </c>
      <c r="AD10" s="11" t="n">
        <f aca="false">IF($B10=1,IF(AD$5&lt;$C10,I10*'Loan tape'!$D9,0),I10*'Loan tape'!$D9)</f>
        <v>4095750</v>
      </c>
      <c r="AE10" s="11" t="n">
        <f aca="false">IF($B10=1,IF(AE$5&lt;$C10,J10*'Loan tape'!$D9,0),J10*'Loan tape'!$D9)</f>
        <v>4049534.77009654</v>
      </c>
      <c r="AF10" s="11" t="n">
        <f aca="false">IF($B10=1,IF(AF$5&lt;$C10,K10*'Loan tape'!$D9,0),K10*'Loan tape'!$D9)</f>
        <v>4000248.93741241</v>
      </c>
      <c r="AG10" s="11" t="n">
        <f aca="false">IF($B10=1,IF(AG$5&lt;$C10,L10*'Loan tape'!$D9,0),L10*'Loan tape'!$D9)</f>
        <v>3947688.48691931</v>
      </c>
      <c r="AH10" s="11" t="n">
        <f aca="false">IF($B10=1,IF(AH$5&lt;$C10,M10*'Loan tape'!$D9,0),M10*'Loan tape'!$D9)</f>
        <v>3891635.84855278</v>
      </c>
      <c r="AI10" s="11" t="n">
        <f aca="false">IF($B10=1,IF(AI$5&lt;$C10,N10*'Loan tape'!$D9,0),N10*'Loan tape'!$D9)</f>
        <v>3831858.99659711</v>
      </c>
      <c r="AJ10" s="11" t="n">
        <f aca="false">IF($B10=1,IF(AJ$5&lt;$C10,O10*'Loan tape'!$D9,0),O10*'Loan tape'!$D9)</f>
        <v>3768110.48923221</v>
      </c>
      <c r="AK10" s="11" t="n">
        <f aca="false">IF($B10=1,IF(AK$5&lt;$C10,F10-G10,0),F10-G10)</f>
        <v>0</v>
      </c>
      <c r="AL10" s="11" t="n">
        <f aca="false">IF($B10=1,IF(AL$5&lt;$C10,G10-H10,0),G10-H10)</f>
        <v>0</v>
      </c>
      <c r="AM10" s="11" t="n">
        <f aca="false">IF($B10=1,IF(AM$5&lt;$C10,H10-I10,0),H10-I10)</f>
        <v>0</v>
      </c>
      <c r="AN10" s="11" t="n">
        <f aca="false">IF($B10=1,IF(AN$5&lt;$C10,I10-J10,0),I10-J10)</f>
        <v>716515.19230178</v>
      </c>
      <c r="AO10" s="11" t="n">
        <f aca="false">IF($B10=1,IF(AO$5&lt;$C10,J10-K10,0),J10-K10)</f>
        <v>764121.436963223</v>
      </c>
      <c r="AP10" s="11" t="n">
        <f aca="false">IF($B10=1,IF(AP$5&lt;$C10,K10-L10,0),K10-L10)</f>
        <v>814890.705319271</v>
      </c>
      <c r="AQ10" s="11" t="n">
        <f aca="false">IF($B10=1,IF(AQ$5&lt;$C10,L10-M10,0),L10-M10)</f>
        <v>869033.152969487</v>
      </c>
      <c r="AR10" s="11" t="n">
        <f aca="false">IF($B10=1,IF(AR$5&lt;$C10,M10-N10,0),M10-N10)</f>
        <v>926772.898537591</v>
      </c>
      <c r="AS10" s="11" t="n">
        <f aca="false">IF($B10=1,IF(AS$5&lt;$C10,N10-O10,0),N10-O10)</f>
        <v>988348.951393731</v>
      </c>
      <c r="AT10" s="11" t="n">
        <f aca="false">IF($B10=1,IF(AT$5&lt;$C10,O10-P10,0),O10-P10)</f>
        <v>1054016.2010159</v>
      </c>
      <c r="AU10" s="11" t="n">
        <f aca="false">IF(B10=1,0,P10)</f>
        <v>57366301.461499</v>
      </c>
      <c r="AV10" s="11" t="n">
        <f aca="false">SUM(AA10:AJ10)</f>
        <v>39872077.5288104</v>
      </c>
      <c r="AW10" s="11" t="n">
        <f aca="false">SUM(AK10:AT10)</f>
        <v>6133698.53850099</v>
      </c>
      <c r="AX10" s="11" t="n">
        <f aca="false">SUM(Q10:Z10)</f>
        <v>618171744.632719</v>
      </c>
    </row>
    <row r="11" customFormat="false" ht="15" hidden="false" customHeight="false" outlineLevel="0" collapsed="false">
      <c r="A11" s="17" t="str">
        <f aca="false">IF('Loan tape'!A10="","",'Loan tape'!A10)</f>
        <v>Marlowe Tower</v>
      </c>
      <c r="B11" s="30" t="n">
        <f aca="false">IF(A11="",0,IF(ISNUMBER(MATCH(A11,Liquidations!$A$13:$A$17,0)),1,0))</f>
        <v>1</v>
      </c>
      <c r="C11" s="30" t="n">
        <f aca="false">Liquidations!$B$23</f>
        <v>4</v>
      </c>
      <c r="D11" s="30" t="n">
        <f aca="false">IF(B11=1,INDEX(Liquidations!$W$13:$W$17,MATCH(A11,Liquidations!$A$13:$A$17,0)),0)</f>
        <v>5</v>
      </c>
      <c r="E11" s="11" t="n">
        <f aca="false">IF(B11=1,INDEX(Liquidations!$I$13:$I$17,MATCH(A11,Liquidations!$A$13:$A$17,0)),0)</f>
        <v>61000000</v>
      </c>
      <c r="F11" s="11" t="n">
        <f aca="false">IF('Loan tape'!$C10="",0,IF(OR('Loan tape'!$H10=0,F$5&lt;='Loan tape'!$I10),'Loan tape'!$C10,'Loan tape'!$C10*((1+'Loan tape'!$D10/12)^('Loan tape'!$H10*12)-(1+'Loan tape'!$D10/12)^MIN((F$5-'Loan tape'!$I10)*12,'Loan tape'!$H10*12))/((1+'Loan tape'!$D10/12)^('Loan tape'!$H10*12)-1)))</f>
        <v>61000000</v>
      </c>
      <c r="G11" s="11" t="n">
        <f aca="false">IF('Loan tape'!$C10="",0,IF(OR('Loan tape'!$H10=0,G$5&lt;='Loan tape'!$I10),'Loan tape'!$C10,'Loan tape'!$C10*((1+'Loan tape'!$D10/12)^('Loan tape'!$H10*12)-(1+'Loan tape'!$D10/12)^MIN((G$5-'Loan tape'!$I10)*12,'Loan tape'!$H10*12))/((1+'Loan tape'!$D10/12)^('Loan tape'!$H10*12)-1)))</f>
        <v>61000000</v>
      </c>
      <c r="H11" s="11" t="n">
        <f aca="false">IF('Loan tape'!$C10="",0,IF(OR('Loan tape'!$H10=0,H$5&lt;='Loan tape'!$I10),'Loan tape'!$C10,'Loan tape'!$C10*((1+'Loan tape'!$D10/12)^('Loan tape'!$H10*12)-(1+'Loan tape'!$D10/12)^MIN((H$5-'Loan tape'!$I10)*12,'Loan tape'!$H10*12))/((1+'Loan tape'!$D10/12)^('Loan tape'!$H10*12)-1)))</f>
        <v>61000000</v>
      </c>
      <c r="I11" s="11" t="n">
        <f aca="false">IF('Loan tape'!$C10="",0,IF(OR('Loan tape'!$H10=0,I$5&lt;='Loan tape'!$I10),'Loan tape'!$C10,'Loan tape'!$C10*((1+'Loan tape'!$D10/12)^('Loan tape'!$H10*12)-(1+'Loan tape'!$D10/12)^MIN((I$5-'Loan tape'!$I10)*12,'Loan tape'!$H10*12))/((1+'Loan tape'!$D10/12)^('Loan tape'!$H10*12)-1)))</f>
        <v>61000000</v>
      </c>
      <c r="J11" s="11" t="n">
        <f aca="false">IF('Loan tape'!$C10="",0,IF(OR('Loan tape'!$H10=0,J$5&lt;='Loan tape'!$I10),'Loan tape'!$C10,'Loan tape'!$C10*((1+'Loan tape'!$D10/12)^('Loan tape'!$H10*12)-(1+'Loan tape'!$D10/12)^MIN((J$5-'Loan tape'!$I10)*12,'Loan tape'!$H10*12))/((1+'Loan tape'!$D10/12)^('Loan tape'!$H10*12)-1)))</f>
        <v>61000000</v>
      </c>
      <c r="K11" s="11" t="n">
        <f aca="false">IF('Loan tape'!$C10="",0,IF(OR('Loan tape'!$H10=0,K$5&lt;='Loan tape'!$I10),'Loan tape'!$C10,'Loan tape'!$C10*((1+'Loan tape'!$D10/12)^('Loan tape'!$H10*12)-(1+'Loan tape'!$D10/12)^MIN((K$5-'Loan tape'!$I10)*12,'Loan tape'!$H10*12))/((1+'Loan tape'!$D10/12)^('Loan tape'!$H10*12)-1)))</f>
        <v>61000000</v>
      </c>
      <c r="L11" s="11" t="n">
        <f aca="false">IF('Loan tape'!$C10="",0,IF(OR('Loan tape'!$H10=0,L$5&lt;='Loan tape'!$I10),'Loan tape'!$C10,'Loan tape'!$C10*((1+'Loan tape'!$D10/12)^('Loan tape'!$H10*12)-(1+'Loan tape'!$D10/12)^MIN((L$5-'Loan tape'!$I10)*12,'Loan tape'!$H10*12))/((1+'Loan tape'!$D10/12)^('Loan tape'!$H10*12)-1)))</f>
        <v>61000000</v>
      </c>
      <c r="M11" s="11" t="n">
        <f aca="false">IF('Loan tape'!$C10="",0,IF(OR('Loan tape'!$H10=0,M$5&lt;='Loan tape'!$I10),'Loan tape'!$C10,'Loan tape'!$C10*((1+'Loan tape'!$D10/12)^('Loan tape'!$H10*12)-(1+'Loan tape'!$D10/12)^MIN((M$5-'Loan tape'!$I10)*12,'Loan tape'!$H10*12))/((1+'Loan tape'!$D10/12)^('Loan tape'!$H10*12)-1)))</f>
        <v>61000000</v>
      </c>
      <c r="N11" s="11" t="n">
        <f aca="false">IF('Loan tape'!$C10="",0,IF(OR('Loan tape'!$H10=0,N$5&lt;='Loan tape'!$I10),'Loan tape'!$C10,'Loan tape'!$C10*((1+'Loan tape'!$D10/12)^('Loan tape'!$H10*12)-(1+'Loan tape'!$D10/12)^MIN((N$5-'Loan tape'!$I10)*12,'Loan tape'!$H10*12))/((1+'Loan tape'!$D10/12)^('Loan tape'!$H10*12)-1)))</f>
        <v>61000000</v>
      </c>
      <c r="O11" s="11" t="n">
        <f aca="false">IF('Loan tape'!$C10="",0,IF(OR('Loan tape'!$H10=0,O$5&lt;='Loan tape'!$I10),'Loan tape'!$C10,'Loan tape'!$C10*((1+'Loan tape'!$D10/12)^('Loan tape'!$H10*12)-(1+'Loan tape'!$D10/12)^MIN((O$5-'Loan tape'!$I10)*12,'Loan tape'!$H10*12))/((1+'Loan tape'!$D10/12)^('Loan tape'!$H10*12)-1)))</f>
        <v>61000000</v>
      </c>
      <c r="P11" s="11" t="n">
        <f aca="false">IF('Loan tape'!$C10="",0,IF(OR('Loan tape'!$H10=0,P$5&lt;='Loan tape'!$I10),'Loan tape'!$C10,'Loan tape'!$C10*((1+'Loan tape'!$D10/12)^('Loan tape'!$H10*12)-(1+'Loan tape'!$D10/12)^MIN((P$5-'Loan tape'!$I10)*12,'Loan tape'!$H10*12))/((1+'Loan tape'!$D10/12)^('Loan tape'!$H10*12)-1)))</f>
        <v>61000000</v>
      </c>
      <c r="Q11" s="11" t="n">
        <f aca="false">IF($B11=1,IF(Q$5&lt;$C11,F11,IF(Q$5&lt;=$D11,$E11,0)),F11)</f>
        <v>61000000</v>
      </c>
      <c r="R11" s="11" t="n">
        <f aca="false">IF($B11=1,IF(R$5&lt;$C11,G11,IF(R$5&lt;=$D11,$E11,0)),G11)</f>
        <v>61000000</v>
      </c>
      <c r="S11" s="11" t="n">
        <f aca="false">IF($B11=1,IF(S$5&lt;$C11,H11,IF(S$5&lt;=$D11,$E11,0)),H11)</f>
        <v>61000000</v>
      </c>
      <c r="T11" s="11" t="n">
        <f aca="false">IF($B11=1,IF(T$5&lt;$C11,I11,IF(T$5&lt;=$D11,$E11,0)),I11)</f>
        <v>61000000</v>
      </c>
      <c r="U11" s="11" t="n">
        <f aca="false">IF($B11=1,IF(U$5&lt;$C11,J11,IF(U$5&lt;=$D11,$E11,0)),J11)</f>
        <v>61000000</v>
      </c>
      <c r="V11" s="11" t="n">
        <f aca="false">IF($B11=1,IF(V$5&lt;$C11,K11,IF(V$5&lt;=$D11,$E11,0)),K11)</f>
        <v>0</v>
      </c>
      <c r="W11" s="11" t="n">
        <f aca="false">IF($B11=1,IF(W$5&lt;$C11,L11,IF(W$5&lt;=$D11,$E11,0)),L11)</f>
        <v>0</v>
      </c>
      <c r="X11" s="11" t="n">
        <f aca="false">IF($B11=1,IF(X$5&lt;$C11,M11,IF(X$5&lt;=$D11,$E11,0)),M11)</f>
        <v>0</v>
      </c>
      <c r="Y11" s="11" t="n">
        <f aca="false">IF($B11=1,IF(Y$5&lt;$C11,N11,IF(Y$5&lt;=$D11,$E11,0)),N11)</f>
        <v>0</v>
      </c>
      <c r="Z11" s="11" t="n">
        <f aca="false">IF($B11=1,IF(Z$5&lt;$C11,O11,IF(Z$5&lt;=$D11,$E11,0)),O11)</f>
        <v>0</v>
      </c>
      <c r="AA11" s="11" t="n">
        <f aca="false">IF($B11=1,IF(AA$5&lt;$C11,F11*'Loan tape'!$D10,0),F11*'Loan tape'!$D10)</f>
        <v>3873500</v>
      </c>
      <c r="AB11" s="11" t="n">
        <f aca="false">IF($B11=1,IF(AB$5&lt;$C11,G11*'Loan tape'!$D10,0),G11*'Loan tape'!$D10)</f>
        <v>3873500</v>
      </c>
      <c r="AC11" s="11" t="n">
        <f aca="false">IF($B11=1,IF(AC$5&lt;$C11,H11*'Loan tape'!$D10,0),H11*'Loan tape'!$D10)</f>
        <v>3873500</v>
      </c>
      <c r="AD11" s="11" t="n">
        <f aca="false">IF($B11=1,IF(AD$5&lt;$C11,I11*'Loan tape'!$D10,0),I11*'Loan tape'!$D10)</f>
        <v>0</v>
      </c>
      <c r="AE11" s="11" t="n">
        <f aca="false">IF($B11=1,IF(AE$5&lt;$C11,J11*'Loan tape'!$D10,0),J11*'Loan tape'!$D10)</f>
        <v>0</v>
      </c>
      <c r="AF11" s="11" t="n">
        <f aca="false">IF($B11=1,IF(AF$5&lt;$C11,K11*'Loan tape'!$D10,0),K11*'Loan tape'!$D10)</f>
        <v>0</v>
      </c>
      <c r="AG11" s="11" t="n">
        <f aca="false">IF($B11=1,IF(AG$5&lt;$C11,L11*'Loan tape'!$D10,0),L11*'Loan tape'!$D10)</f>
        <v>0</v>
      </c>
      <c r="AH11" s="11" t="n">
        <f aca="false">IF($B11=1,IF(AH$5&lt;$C11,M11*'Loan tape'!$D10,0),M11*'Loan tape'!$D10)</f>
        <v>0</v>
      </c>
      <c r="AI11" s="11" t="n">
        <f aca="false">IF($B11=1,IF(AI$5&lt;$C11,N11*'Loan tape'!$D10,0),N11*'Loan tape'!$D10)</f>
        <v>0</v>
      </c>
      <c r="AJ11" s="11" t="n">
        <f aca="false">IF($B11=1,IF(AJ$5&lt;$C11,O11*'Loan tape'!$D10,0),O11*'Loan tape'!$D10)</f>
        <v>0</v>
      </c>
      <c r="AK11" s="11" t="n">
        <f aca="false">IF($B11=1,IF(AK$5&lt;$C11,F11-G11,0),F11-G11)</f>
        <v>0</v>
      </c>
      <c r="AL11" s="11" t="n">
        <f aca="false">IF($B11=1,IF(AL$5&lt;$C11,G11-H11,0),G11-H11)</f>
        <v>0</v>
      </c>
      <c r="AM11" s="11" t="n">
        <f aca="false">IF($B11=1,IF(AM$5&lt;$C11,H11-I11,0),H11-I11)</f>
        <v>0</v>
      </c>
      <c r="AN11" s="11" t="n">
        <f aca="false">IF($B11=1,IF(AN$5&lt;$C11,I11-J11,0),I11-J11)</f>
        <v>0</v>
      </c>
      <c r="AO11" s="11" t="n">
        <f aca="false">IF($B11=1,IF(AO$5&lt;$C11,J11-K11,0),J11-K11)</f>
        <v>0</v>
      </c>
      <c r="AP11" s="11" t="n">
        <f aca="false">IF($B11=1,IF(AP$5&lt;$C11,K11-L11,0),K11-L11)</f>
        <v>0</v>
      </c>
      <c r="AQ11" s="11" t="n">
        <f aca="false">IF($B11=1,IF(AQ$5&lt;$C11,L11-M11,0),L11-M11)</f>
        <v>0</v>
      </c>
      <c r="AR11" s="11" t="n">
        <f aca="false">IF($B11=1,IF(AR$5&lt;$C11,M11-N11,0),M11-N11)</f>
        <v>0</v>
      </c>
      <c r="AS11" s="11" t="n">
        <f aca="false">IF($B11=1,IF(AS$5&lt;$C11,N11-O11,0),N11-O11)</f>
        <v>0</v>
      </c>
      <c r="AT11" s="11" t="n">
        <f aca="false">IF($B11=1,IF(AT$5&lt;$C11,O11-P11,0),O11-P11)</f>
        <v>0</v>
      </c>
      <c r="AU11" s="11" t="n">
        <f aca="false">IF(B11=1,0,P11)</f>
        <v>0</v>
      </c>
      <c r="AV11" s="11" t="n">
        <f aca="false">SUM(AA11:AJ11)</f>
        <v>11620500</v>
      </c>
      <c r="AW11" s="11" t="n">
        <f aca="false">SUM(AK11:AT11)</f>
        <v>0</v>
      </c>
      <c r="AX11" s="11" t="n">
        <f aca="false">SUM(Q11:Z11)</f>
        <v>305000000</v>
      </c>
    </row>
    <row r="12" customFormat="false" ht="15" hidden="false" customHeight="false" outlineLevel="0" collapsed="false">
      <c r="A12" s="17" t="str">
        <f aca="false">IF('Loan tape'!A11="","",'Loan tape'!A11)</f>
        <v>Ashcroft Flex</v>
      </c>
      <c r="B12" s="30" t="n">
        <f aca="false">IF(A12="",0,IF(ISNUMBER(MATCH(A12,Liquidations!$A$13:$A$17,0)),1,0))</f>
        <v>0</v>
      </c>
      <c r="C12" s="30" t="n">
        <f aca="false">Liquidations!$B$23</f>
        <v>4</v>
      </c>
      <c r="D12" s="30" t="n">
        <f aca="false">IF(B12=1,INDEX(Liquidations!$W$13:$W$17,MATCH(A12,Liquidations!$A$13:$A$17,0)),0)</f>
        <v>0</v>
      </c>
      <c r="E12" s="11" t="n">
        <f aca="false">IF(B12=1,INDEX(Liquidations!$I$13:$I$17,MATCH(A12,Liquidations!$A$13:$A$17,0)),0)</f>
        <v>0</v>
      </c>
      <c r="F12" s="11" t="n">
        <f aca="false">IF('Loan tape'!$C11="",0,IF(OR('Loan tape'!$H11=0,F$5&lt;='Loan tape'!$I11),'Loan tape'!$C11,'Loan tape'!$C11*((1+'Loan tape'!$D11/12)^('Loan tape'!$H11*12)-(1+'Loan tape'!$D11/12)^MIN((F$5-'Loan tape'!$I11)*12,'Loan tape'!$H11*12))/((1+'Loan tape'!$D11/12)^('Loan tape'!$H11*12)-1)))</f>
        <v>61000000</v>
      </c>
      <c r="G12" s="11" t="n">
        <f aca="false">IF('Loan tape'!$C11="",0,IF(OR('Loan tape'!$H11=0,G$5&lt;='Loan tape'!$I11),'Loan tape'!$C11,'Loan tape'!$C11*((1+'Loan tape'!$D11/12)^('Loan tape'!$H11*12)-(1+'Loan tape'!$D11/12)^MIN((G$5-'Loan tape'!$I11)*12,'Loan tape'!$H11*12))/((1+'Loan tape'!$D11/12)^('Loan tape'!$H11*12)-1)))</f>
        <v>61000000</v>
      </c>
      <c r="H12" s="11" t="n">
        <f aca="false">IF('Loan tape'!$C11="",0,IF(OR('Loan tape'!$H11=0,H$5&lt;='Loan tape'!$I11),'Loan tape'!$C11,'Loan tape'!$C11*((1+'Loan tape'!$D11/12)^('Loan tape'!$H11*12)-(1+'Loan tape'!$D11/12)^MIN((H$5-'Loan tape'!$I11)*12,'Loan tape'!$H11*12))/((1+'Loan tape'!$D11/12)^('Loan tape'!$H11*12)-1)))</f>
        <v>61000000</v>
      </c>
      <c r="I12" s="11" t="n">
        <f aca="false">IF('Loan tape'!$C11="",0,IF(OR('Loan tape'!$H11=0,I$5&lt;='Loan tape'!$I11),'Loan tape'!$C11,'Loan tape'!$C11*((1+'Loan tape'!$D11/12)^('Loan tape'!$H11*12)-(1+'Loan tape'!$D11/12)^MIN((I$5-'Loan tape'!$I11)*12,'Loan tape'!$H11*12))/((1+'Loan tape'!$D11/12)^('Loan tape'!$H11*12)-1)))</f>
        <v>61000000</v>
      </c>
      <c r="J12" s="11" t="n">
        <f aca="false">IF('Loan tape'!$C11="",0,IF(OR('Loan tape'!$H11=0,J$5&lt;='Loan tape'!$I11),'Loan tape'!$C11,'Loan tape'!$C11*((1+'Loan tape'!$D11/12)^('Loan tape'!$H11*12)-(1+'Loan tape'!$D11/12)^MIN((J$5-'Loan tape'!$I11)*12,'Loan tape'!$H11*12))/((1+'Loan tape'!$D11/12)^('Loan tape'!$H11*12)-1)))</f>
        <v>61000000</v>
      </c>
      <c r="K12" s="11" t="n">
        <f aca="false">IF('Loan tape'!$C11="",0,IF(OR('Loan tape'!$H11=0,K$5&lt;='Loan tape'!$I11),'Loan tape'!$C11,'Loan tape'!$C11*((1+'Loan tape'!$D11/12)^('Loan tape'!$H11*12)-(1+'Loan tape'!$D11/12)^MIN((K$5-'Loan tape'!$I11)*12,'Loan tape'!$H11*12))/((1+'Loan tape'!$D11/12)^('Loan tape'!$H11*12)-1)))</f>
        <v>61000000</v>
      </c>
      <c r="L12" s="11" t="n">
        <f aca="false">IF('Loan tape'!$C11="",0,IF(OR('Loan tape'!$H11=0,L$5&lt;='Loan tape'!$I11),'Loan tape'!$C11,'Loan tape'!$C11*((1+'Loan tape'!$D11/12)^('Loan tape'!$H11*12)-(1+'Loan tape'!$D11/12)^MIN((L$5-'Loan tape'!$I11)*12,'Loan tape'!$H11*12))/((1+'Loan tape'!$D11/12)^('Loan tape'!$H11*12)-1)))</f>
        <v>61000000</v>
      </c>
      <c r="M12" s="11" t="n">
        <f aca="false">IF('Loan tape'!$C11="",0,IF(OR('Loan tape'!$H11=0,M$5&lt;='Loan tape'!$I11),'Loan tape'!$C11,'Loan tape'!$C11*((1+'Loan tape'!$D11/12)^('Loan tape'!$H11*12)-(1+'Loan tape'!$D11/12)^MIN((M$5-'Loan tape'!$I11)*12,'Loan tape'!$H11*12))/((1+'Loan tape'!$D11/12)^('Loan tape'!$H11*12)-1)))</f>
        <v>61000000</v>
      </c>
      <c r="N12" s="11" t="n">
        <f aca="false">IF('Loan tape'!$C11="",0,IF(OR('Loan tape'!$H11=0,N$5&lt;='Loan tape'!$I11),'Loan tape'!$C11,'Loan tape'!$C11*((1+'Loan tape'!$D11/12)^('Loan tape'!$H11*12)-(1+'Loan tape'!$D11/12)^MIN((N$5-'Loan tape'!$I11)*12,'Loan tape'!$H11*12))/((1+'Loan tape'!$D11/12)^('Loan tape'!$H11*12)-1)))</f>
        <v>61000000</v>
      </c>
      <c r="O12" s="11" t="n">
        <f aca="false">IF('Loan tape'!$C11="",0,IF(OR('Loan tape'!$H11=0,O$5&lt;='Loan tape'!$I11),'Loan tape'!$C11,'Loan tape'!$C11*((1+'Loan tape'!$D11/12)^('Loan tape'!$H11*12)-(1+'Loan tape'!$D11/12)^MIN((O$5-'Loan tape'!$I11)*12,'Loan tape'!$H11*12))/((1+'Loan tape'!$D11/12)^('Loan tape'!$H11*12)-1)))</f>
        <v>61000000</v>
      </c>
      <c r="P12" s="11" t="n">
        <f aca="false">IF('Loan tape'!$C11="",0,IF(OR('Loan tape'!$H11=0,P$5&lt;='Loan tape'!$I11),'Loan tape'!$C11,'Loan tape'!$C11*((1+'Loan tape'!$D11/12)^('Loan tape'!$H11*12)-(1+'Loan tape'!$D11/12)^MIN((P$5-'Loan tape'!$I11)*12,'Loan tape'!$H11*12))/((1+'Loan tape'!$D11/12)^('Loan tape'!$H11*12)-1)))</f>
        <v>61000000</v>
      </c>
      <c r="Q12" s="11" t="n">
        <f aca="false">IF($B12=1,IF(Q$5&lt;$C12,F12,IF(Q$5&lt;=$D12,$E12,0)),F12)</f>
        <v>61000000</v>
      </c>
      <c r="R12" s="11" t="n">
        <f aca="false">IF($B12=1,IF(R$5&lt;$C12,G12,IF(R$5&lt;=$D12,$E12,0)),G12)</f>
        <v>61000000</v>
      </c>
      <c r="S12" s="11" t="n">
        <f aca="false">IF($B12=1,IF(S$5&lt;$C12,H12,IF(S$5&lt;=$D12,$E12,0)),H12)</f>
        <v>61000000</v>
      </c>
      <c r="T12" s="11" t="n">
        <f aca="false">IF($B12=1,IF(T$5&lt;$C12,I12,IF(T$5&lt;=$D12,$E12,0)),I12)</f>
        <v>61000000</v>
      </c>
      <c r="U12" s="11" t="n">
        <f aca="false">IF($B12=1,IF(U$5&lt;$C12,J12,IF(U$5&lt;=$D12,$E12,0)),J12)</f>
        <v>61000000</v>
      </c>
      <c r="V12" s="11" t="n">
        <f aca="false">IF($B12=1,IF(V$5&lt;$C12,K12,IF(V$5&lt;=$D12,$E12,0)),K12)</f>
        <v>61000000</v>
      </c>
      <c r="W12" s="11" t="n">
        <f aca="false">IF($B12=1,IF(W$5&lt;$C12,L12,IF(W$5&lt;=$D12,$E12,0)),L12)</f>
        <v>61000000</v>
      </c>
      <c r="X12" s="11" t="n">
        <f aca="false">IF($B12=1,IF(X$5&lt;$C12,M12,IF(X$5&lt;=$D12,$E12,0)),M12)</f>
        <v>61000000</v>
      </c>
      <c r="Y12" s="11" t="n">
        <f aca="false">IF($B12=1,IF(Y$5&lt;$C12,N12,IF(Y$5&lt;=$D12,$E12,0)),N12)</f>
        <v>61000000</v>
      </c>
      <c r="Z12" s="11" t="n">
        <f aca="false">IF($B12=1,IF(Z$5&lt;$C12,O12,IF(Z$5&lt;=$D12,$E12,0)),O12)</f>
        <v>61000000</v>
      </c>
      <c r="AA12" s="11" t="n">
        <f aca="false">IF($B12=1,IF(AA$5&lt;$C12,F12*'Loan tape'!$D11,0),F12*'Loan tape'!$D11)</f>
        <v>3751500</v>
      </c>
      <c r="AB12" s="11" t="n">
        <f aca="false">IF($B12=1,IF(AB$5&lt;$C12,G12*'Loan tape'!$D11,0),G12*'Loan tape'!$D11)</f>
        <v>3751500</v>
      </c>
      <c r="AC12" s="11" t="n">
        <f aca="false">IF($B12=1,IF(AC$5&lt;$C12,H12*'Loan tape'!$D11,0),H12*'Loan tape'!$D11)</f>
        <v>3751500</v>
      </c>
      <c r="AD12" s="11" t="n">
        <f aca="false">IF($B12=1,IF(AD$5&lt;$C12,I12*'Loan tape'!$D11,0),I12*'Loan tape'!$D11)</f>
        <v>3751500</v>
      </c>
      <c r="AE12" s="11" t="n">
        <f aca="false">IF($B12=1,IF(AE$5&lt;$C12,J12*'Loan tape'!$D11,0),J12*'Loan tape'!$D11)</f>
        <v>3751500</v>
      </c>
      <c r="AF12" s="11" t="n">
        <f aca="false">IF($B12=1,IF(AF$5&lt;$C12,K12*'Loan tape'!$D11,0),K12*'Loan tape'!$D11)</f>
        <v>3751500</v>
      </c>
      <c r="AG12" s="11" t="n">
        <f aca="false">IF($B12=1,IF(AG$5&lt;$C12,L12*'Loan tape'!$D11,0),L12*'Loan tape'!$D11)</f>
        <v>3751500</v>
      </c>
      <c r="AH12" s="11" t="n">
        <f aca="false">IF($B12=1,IF(AH$5&lt;$C12,M12*'Loan tape'!$D11,0),M12*'Loan tape'!$D11)</f>
        <v>3751500</v>
      </c>
      <c r="AI12" s="11" t="n">
        <f aca="false">IF($B12=1,IF(AI$5&lt;$C12,N12*'Loan tape'!$D11,0),N12*'Loan tape'!$D11)</f>
        <v>3751500</v>
      </c>
      <c r="AJ12" s="11" t="n">
        <f aca="false">IF($B12=1,IF(AJ$5&lt;$C12,O12*'Loan tape'!$D11,0),O12*'Loan tape'!$D11)</f>
        <v>3751500</v>
      </c>
      <c r="AK12" s="11" t="n">
        <f aca="false">IF($B12=1,IF(AK$5&lt;$C12,F12-G12,0),F12-G12)</f>
        <v>0</v>
      </c>
      <c r="AL12" s="11" t="n">
        <f aca="false">IF($B12=1,IF(AL$5&lt;$C12,G12-H12,0),G12-H12)</f>
        <v>0</v>
      </c>
      <c r="AM12" s="11" t="n">
        <f aca="false">IF($B12=1,IF(AM$5&lt;$C12,H12-I12,0),H12-I12)</f>
        <v>0</v>
      </c>
      <c r="AN12" s="11" t="n">
        <f aca="false">IF($B12=1,IF(AN$5&lt;$C12,I12-J12,0),I12-J12)</f>
        <v>0</v>
      </c>
      <c r="AO12" s="11" t="n">
        <f aca="false">IF($B12=1,IF(AO$5&lt;$C12,J12-K12,0),J12-K12)</f>
        <v>0</v>
      </c>
      <c r="AP12" s="11" t="n">
        <f aca="false">IF($B12=1,IF(AP$5&lt;$C12,K12-L12,0),K12-L12)</f>
        <v>0</v>
      </c>
      <c r="AQ12" s="11" t="n">
        <f aca="false">IF($B12=1,IF(AQ$5&lt;$C12,L12-M12,0),L12-M12)</f>
        <v>0</v>
      </c>
      <c r="AR12" s="11" t="n">
        <f aca="false">IF($B12=1,IF(AR$5&lt;$C12,M12-N12,0),M12-N12)</f>
        <v>0</v>
      </c>
      <c r="AS12" s="11" t="n">
        <f aca="false">IF($B12=1,IF(AS$5&lt;$C12,N12-O12,0),N12-O12)</f>
        <v>0</v>
      </c>
      <c r="AT12" s="11" t="n">
        <f aca="false">IF($B12=1,IF(AT$5&lt;$C12,O12-P12,0),O12-P12)</f>
        <v>0</v>
      </c>
      <c r="AU12" s="11" t="n">
        <f aca="false">IF(B12=1,0,P12)</f>
        <v>61000000</v>
      </c>
      <c r="AV12" s="11" t="n">
        <f aca="false">SUM(AA12:AJ12)</f>
        <v>37515000</v>
      </c>
      <c r="AW12" s="11" t="n">
        <f aca="false">SUM(AK12:AT12)</f>
        <v>0</v>
      </c>
      <c r="AX12" s="11" t="n">
        <f aca="false">SUM(Q12:Z12)</f>
        <v>610000000</v>
      </c>
    </row>
    <row r="13" customFormat="false" ht="15" hidden="false" customHeight="false" outlineLevel="0" collapsed="false">
      <c r="A13" s="17" t="str">
        <f aca="false">IF('Loan tape'!A12="","",'Loan tape'!A12)</f>
        <v>Palmetto Storage Portfolio</v>
      </c>
      <c r="B13" s="30" t="n">
        <f aca="false">IF(A13="",0,IF(ISNUMBER(MATCH(A13,Liquidations!$A$13:$A$17,0)),1,0))</f>
        <v>0</v>
      </c>
      <c r="C13" s="30" t="n">
        <f aca="false">Liquidations!$B$23</f>
        <v>4</v>
      </c>
      <c r="D13" s="30" t="n">
        <f aca="false">IF(B13=1,INDEX(Liquidations!$W$13:$W$17,MATCH(A13,Liquidations!$A$13:$A$17,0)),0)</f>
        <v>0</v>
      </c>
      <c r="E13" s="11" t="n">
        <f aca="false">IF(B13=1,INDEX(Liquidations!$I$13:$I$17,MATCH(A13,Liquidations!$A$13:$A$17,0)),0)</f>
        <v>0</v>
      </c>
      <c r="F13" s="11" t="n">
        <f aca="false">IF('Loan tape'!$C12="",0,IF(OR('Loan tape'!$H12=0,F$5&lt;='Loan tape'!$I12),'Loan tape'!$C12,'Loan tape'!$C12*((1+'Loan tape'!$D12/12)^('Loan tape'!$H12*12)-(1+'Loan tape'!$D12/12)^MIN((F$5-'Loan tape'!$I12)*12,'Loan tape'!$H12*12))/((1+'Loan tape'!$D12/12)^('Loan tape'!$H12*12)-1)))</f>
        <v>55000000</v>
      </c>
      <c r="G13" s="11" t="n">
        <f aca="false">IF('Loan tape'!$C12="",0,IF(OR('Loan tape'!$H12=0,G$5&lt;='Loan tape'!$I12),'Loan tape'!$C12,'Loan tape'!$C12*((1+'Loan tape'!$D12/12)^('Loan tape'!$H12*12)-(1+'Loan tape'!$D12/12)^MIN((G$5-'Loan tape'!$I12)*12,'Loan tape'!$H12*12))/((1+'Loan tape'!$D12/12)^('Loan tape'!$H12*12)-1)))</f>
        <v>55000000</v>
      </c>
      <c r="H13" s="11" t="n">
        <f aca="false">IF('Loan tape'!$C12="",0,IF(OR('Loan tape'!$H12=0,H$5&lt;='Loan tape'!$I12),'Loan tape'!$C12,'Loan tape'!$C12*((1+'Loan tape'!$D12/12)^('Loan tape'!$H12*12)-(1+'Loan tape'!$D12/12)^MIN((H$5-'Loan tape'!$I12)*12,'Loan tape'!$H12*12))/((1+'Loan tape'!$D12/12)^('Loan tape'!$H12*12)-1)))</f>
        <v>55000000</v>
      </c>
      <c r="I13" s="11" t="n">
        <f aca="false">IF('Loan tape'!$C12="",0,IF(OR('Loan tape'!$H12=0,I$5&lt;='Loan tape'!$I12),'Loan tape'!$C12,'Loan tape'!$C12*((1+'Loan tape'!$D12/12)^('Loan tape'!$H12*12)-(1+'Loan tape'!$D12/12)^MIN((I$5-'Loan tape'!$I12)*12,'Loan tape'!$H12*12))/((1+'Loan tape'!$D12/12)^('Loan tape'!$H12*12)-1)))</f>
        <v>55000000</v>
      </c>
      <c r="J13" s="11" t="n">
        <f aca="false">IF('Loan tape'!$C12="",0,IF(OR('Loan tape'!$H12=0,J$5&lt;='Loan tape'!$I12),'Loan tape'!$C12,'Loan tape'!$C12*((1+'Loan tape'!$D12/12)^('Loan tape'!$H12*12)-(1+'Loan tape'!$D12/12)^MIN((J$5-'Loan tape'!$I12)*12,'Loan tape'!$H12*12))/((1+'Loan tape'!$D12/12)^('Loan tape'!$H12*12)-1)))</f>
        <v>55000000</v>
      </c>
      <c r="K13" s="11" t="n">
        <f aca="false">IF('Loan tape'!$C12="",0,IF(OR('Loan tape'!$H12=0,K$5&lt;='Loan tape'!$I12),'Loan tape'!$C12,'Loan tape'!$C12*((1+'Loan tape'!$D12/12)^('Loan tape'!$H12*12)-(1+'Loan tape'!$D12/12)^MIN((K$5-'Loan tape'!$I12)*12,'Loan tape'!$H12*12))/((1+'Loan tape'!$D12/12)^('Loan tape'!$H12*12)-1)))</f>
        <v>55000000</v>
      </c>
      <c r="L13" s="11" t="n">
        <f aca="false">IF('Loan tape'!$C12="",0,IF(OR('Loan tape'!$H12=0,L$5&lt;='Loan tape'!$I12),'Loan tape'!$C12,'Loan tape'!$C12*((1+'Loan tape'!$D12/12)^('Loan tape'!$H12*12)-(1+'Loan tape'!$D12/12)^MIN((L$5-'Loan tape'!$I12)*12,'Loan tape'!$H12*12))/((1+'Loan tape'!$D12/12)^('Loan tape'!$H12*12)-1)))</f>
        <v>55000000</v>
      </c>
      <c r="M13" s="11" t="n">
        <f aca="false">IF('Loan tape'!$C12="",0,IF(OR('Loan tape'!$H12=0,M$5&lt;='Loan tape'!$I12),'Loan tape'!$C12,'Loan tape'!$C12*((1+'Loan tape'!$D12/12)^('Loan tape'!$H12*12)-(1+'Loan tape'!$D12/12)^MIN((M$5-'Loan tape'!$I12)*12,'Loan tape'!$H12*12))/((1+'Loan tape'!$D12/12)^('Loan tape'!$H12*12)-1)))</f>
        <v>55000000</v>
      </c>
      <c r="N13" s="11" t="n">
        <f aca="false">IF('Loan tape'!$C12="",0,IF(OR('Loan tape'!$H12=0,N$5&lt;='Loan tape'!$I12),'Loan tape'!$C12,'Loan tape'!$C12*((1+'Loan tape'!$D12/12)^('Loan tape'!$H12*12)-(1+'Loan tape'!$D12/12)^MIN((N$5-'Loan tape'!$I12)*12,'Loan tape'!$H12*12))/((1+'Loan tape'!$D12/12)^('Loan tape'!$H12*12)-1)))</f>
        <v>55000000</v>
      </c>
      <c r="O13" s="11" t="n">
        <f aca="false">IF('Loan tape'!$C12="",0,IF(OR('Loan tape'!$H12=0,O$5&lt;='Loan tape'!$I12),'Loan tape'!$C12,'Loan tape'!$C12*((1+'Loan tape'!$D12/12)^('Loan tape'!$H12*12)-(1+'Loan tape'!$D12/12)^MIN((O$5-'Loan tape'!$I12)*12,'Loan tape'!$H12*12))/((1+'Loan tape'!$D12/12)^('Loan tape'!$H12*12)-1)))</f>
        <v>55000000</v>
      </c>
      <c r="P13" s="11" t="n">
        <f aca="false">IF('Loan tape'!$C12="",0,IF(OR('Loan tape'!$H12=0,P$5&lt;='Loan tape'!$I12),'Loan tape'!$C12,'Loan tape'!$C12*((1+'Loan tape'!$D12/12)^('Loan tape'!$H12*12)-(1+'Loan tape'!$D12/12)^MIN((P$5-'Loan tape'!$I12)*12,'Loan tape'!$H12*12))/((1+'Loan tape'!$D12/12)^('Loan tape'!$H12*12)-1)))</f>
        <v>55000000</v>
      </c>
      <c r="Q13" s="11" t="n">
        <f aca="false">IF($B13=1,IF(Q$5&lt;$C13,F13,IF(Q$5&lt;=$D13,$E13,0)),F13)</f>
        <v>55000000</v>
      </c>
      <c r="R13" s="11" t="n">
        <f aca="false">IF($B13=1,IF(R$5&lt;$C13,G13,IF(R$5&lt;=$D13,$E13,0)),G13)</f>
        <v>55000000</v>
      </c>
      <c r="S13" s="11" t="n">
        <f aca="false">IF($B13=1,IF(S$5&lt;$C13,H13,IF(S$5&lt;=$D13,$E13,0)),H13)</f>
        <v>55000000</v>
      </c>
      <c r="T13" s="11" t="n">
        <f aca="false">IF($B13=1,IF(T$5&lt;$C13,I13,IF(T$5&lt;=$D13,$E13,0)),I13)</f>
        <v>55000000</v>
      </c>
      <c r="U13" s="11" t="n">
        <f aca="false">IF($B13=1,IF(U$5&lt;$C13,J13,IF(U$5&lt;=$D13,$E13,0)),J13)</f>
        <v>55000000</v>
      </c>
      <c r="V13" s="11" t="n">
        <f aca="false">IF($B13=1,IF(V$5&lt;$C13,K13,IF(V$5&lt;=$D13,$E13,0)),K13)</f>
        <v>55000000</v>
      </c>
      <c r="W13" s="11" t="n">
        <f aca="false">IF($B13=1,IF(W$5&lt;$C13,L13,IF(W$5&lt;=$D13,$E13,0)),L13)</f>
        <v>55000000</v>
      </c>
      <c r="X13" s="11" t="n">
        <f aca="false">IF($B13=1,IF(X$5&lt;$C13,M13,IF(X$5&lt;=$D13,$E13,0)),M13)</f>
        <v>55000000</v>
      </c>
      <c r="Y13" s="11" t="n">
        <f aca="false">IF($B13=1,IF(Y$5&lt;$C13,N13,IF(Y$5&lt;=$D13,$E13,0)),N13)</f>
        <v>55000000</v>
      </c>
      <c r="Z13" s="11" t="n">
        <f aca="false">IF($B13=1,IF(Z$5&lt;$C13,O13,IF(Z$5&lt;=$D13,$E13,0)),O13)</f>
        <v>55000000</v>
      </c>
      <c r="AA13" s="11" t="n">
        <f aca="false">IF($B13=1,IF(AA$5&lt;$C13,F13*'Loan tape'!$D12,0),F13*'Loan tape'!$D12)</f>
        <v>3410000</v>
      </c>
      <c r="AB13" s="11" t="n">
        <f aca="false">IF($B13=1,IF(AB$5&lt;$C13,G13*'Loan tape'!$D12,0),G13*'Loan tape'!$D12)</f>
        <v>3410000</v>
      </c>
      <c r="AC13" s="11" t="n">
        <f aca="false">IF($B13=1,IF(AC$5&lt;$C13,H13*'Loan tape'!$D12,0),H13*'Loan tape'!$D12)</f>
        <v>3410000</v>
      </c>
      <c r="AD13" s="11" t="n">
        <f aca="false">IF($B13=1,IF(AD$5&lt;$C13,I13*'Loan tape'!$D12,0),I13*'Loan tape'!$D12)</f>
        <v>3410000</v>
      </c>
      <c r="AE13" s="11" t="n">
        <f aca="false">IF($B13=1,IF(AE$5&lt;$C13,J13*'Loan tape'!$D12,0),J13*'Loan tape'!$D12)</f>
        <v>3410000</v>
      </c>
      <c r="AF13" s="11" t="n">
        <f aca="false">IF($B13=1,IF(AF$5&lt;$C13,K13*'Loan tape'!$D12,0),K13*'Loan tape'!$D12)</f>
        <v>3410000</v>
      </c>
      <c r="AG13" s="11" t="n">
        <f aca="false">IF($B13=1,IF(AG$5&lt;$C13,L13*'Loan tape'!$D12,0),L13*'Loan tape'!$D12)</f>
        <v>3410000</v>
      </c>
      <c r="AH13" s="11" t="n">
        <f aca="false">IF($B13=1,IF(AH$5&lt;$C13,M13*'Loan tape'!$D12,0),M13*'Loan tape'!$D12)</f>
        <v>3410000</v>
      </c>
      <c r="AI13" s="11" t="n">
        <f aca="false">IF($B13=1,IF(AI$5&lt;$C13,N13*'Loan tape'!$D12,0),N13*'Loan tape'!$D12)</f>
        <v>3410000</v>
      </c>
      <c r="AJ13" s="11" t="n">
        <f aca="false">IF($B13=1,IF(AJ$5&lt;$C13,O13*'Loan tape'!$D12,0),O13*'Loan tape'!$D12)</f>
        <v>3410000</v>
      </c>
      <c r="AK13" s="11" t="n">
        <f aca="false">IF($B13=1,IF(AK$5&lt;$C13,F13-G13,0),F13-G13)</f>
        <v>0</v>
      </c>
      <c r="AL13" s="11" t="n">
        <f aca="false">IF($B13=1,IF(AL$5&lt;$C13,G13-H13,0),G13-H13)</f>
        <v>0</v>
      </c>
      <c r="AM13" s="11" t="n">
        <f aca="false">IF($B13=1,IF(AM$5&lt;$C13,H13-I13,0),H13-I13)</f>
        <v>0</v>
      </c>
      <c r="AN13" s="11" t="n">
        <f aca="false">IF($B13=1,IF(AN$5&lt;$C13,I13-J13,0),I13-J13)</f>
        <v>0</v>
      </c>
      <c r="AO13" s="11" t="n">
        <f aca="false">IF($B13=1,IF(AO$5&lt;$C13,J13-K13,0),J13-K13)</f>
        <v>0</v>
      </c>
      <c r="AP13" s="11" t="n">
        <f aca="false">IF($B13=1,IF(AP$5&lt;$C13,K13-L13,0),K13-L13)</f>
        <v>0</v>
      </c>
      <c r="AQ13" s="11" t="n">
        <f aca="false">IF($B13=1,IF(AQ$5&lt;$C13,L13-M13,0),L13-M13)</f>
        <v>0</v>
      </c>
      <c r="AR13" s="11" t="n">
        <f aca="false">IF($B13=1,IF(AR$5&lt;$C13,M13-N13,0),M13-N13)</f>
        <v>0</v>
      </c>
      <c r="AS13" s="11" t="n">
        <f aca="false">IF($B13=1,IF(AS$5&lt;$C13,N13-O13,0),N13-O13)</f>
        <v>0</v>
      </c>
      <c r="AT13" s="11" t="n">
        <f aca="false">IF($B13=1,IF(AT$5&lt;$C13,O13-P13,0),O13-P13)</f>
        <v>0</v>
      </c>
      <c r="AU13" s="11" t="n">
        <f aca="false">IF(B13=1,0,P13)</f>
        <v>55000000</v>
      </c>
      <c r="AV13" s="11" t="n">
        <f aca="false">SUM(AA13:AJ13)</f>
        <v>34100000</v>
      </c>
      <c r="AW13" s="11" t="n">
        <f aca="false">SUM(AK13:AT13)</f>
        <v>0</v>
      </c>
      <c r="AX13" s="11" t="n">
        <f aca="false">SUM(Q13:Z13)</f>
        <v>550000000</v>
      </c>
    </row>
    <row r="14" customFormat="false" ht="15" hidden="false" customHeight="false" outlineLevel="0" collapsed="false">
      <c r="A14" s="17" t="str">
        <f aca="false">IF('Loan tape'!A13="","",'Loan tape'!A13)</f>
        <v>Riverbend Industrial</v>
      </c>
      <c r="B14" s="30" t="n">
        <f aca="false">IF(A14="",0,IF(ISNUMBER(MATCH(A14,Liquidations!$A$13:$A$17,0)),1,0))</f>
        <v>0</v>
      </c>
      <c r="C14" s="30" t="n">
        <f aca="false">Liquidations!$B$23</f>
        <v>4</v>
      </c>
      <c r="D14" s="30" t="n">
        <f aca="false">IF(B14=1,INDEX(Liquidations!$W$13:$W$17,MATCH(A14,Liquidations!$A$13:$A$17,0)),0)</f>
        <v>0</v>
      </c>
      <c r="E14" s="11" t="n">
        <f aca="false">IF(B14=1,INDEX(Liquidations!$I$13:$I$17,MATCH(A14,Liquidations!$A$13:$A$17,0)),0)</f>
        <v>0</v>
      </c>
      <c r="F14" s="11" t="n">
        <f aca="false">IF('Loan tape'!$C13="",0,IF(OR('Loan tape'!$H13=0,F$5&lt;='Loan tape'!$I13),'Loan tape'!$C13,'Loan tape'!$C13*((1+'Loan tape'!$D13/12)^('Loan tape'!$H13*12)-(1+'Loan tape'!$D13/12)^MIN((F$5-'Loan tape'!$I13)*12,'Loan tape'!$H13*12))/((1+'Loan tape'!$D13/12)^('Loan tape'!$H13*12)-1)))</f>
        <v>52000000</v>
      </c>
      <c r="G14" s="11" t="n">
        <f aca="false">IF('Loan tape'!$C13="",0,IF(OR('Loan tape'!$H13=0,G$5&lt;='Loan tape'!$I13),'Loan tape'!$C13,'Loan tape'!$C13*((1+'Loan tape'!$D13/12)^('Loan tape'!$H13*12)-(1+'Loan tape'!$D13/12)^MIN((G$5-'Loan tape'!$I13)*12,'Loan tape'!$H13*12))/((1+'Loan tape'!$D13/12)^('Loan tape'!$H13*12)-1)))</f>
        <v>52000000</v>
      </c>
      <c r="H14" s="11" t="n">
        <f aca="false">IF('Loan tape'!$C13="",0,IF(OR('Loan tape'!$H13=0,H$5&lt;='Loan tape'!$I13),'Loan tape'!$C13,'Loan tape'!$C13*((1+'Loan tape'!$D13/12)^('Loan tape'!$H13*12)-(1+'Loan tape'!$D13/12)^MIN((H$5-'Loan tape'!$I13)*12,'Loan tape'!$H13*12))/((1+'Loan tape'!$D13/12)^('Loan tape'!$H13*12)-1)))</f>
        <v>52000000</v>
      </c>
      <c r="I14" s="11" t="n">
        <f aca="false">IF('Loan tape'!$C13="",0,IF(OR('Loan tape'!$H13=0,I$5&lt;='Loan tape'!$I13),'Loan tape'!$C13,'Loan tape'!$C13*((1+'Loan tape'!$D13/12)^('Loan tape'!$H13*12)-(1+'Loan tape'!$D13/12)^MIN((I$5-'Loan tape'!$I13)*12,'Loan tape'!$H13*12))/((1+'Loan tape'!$D13/12)^('Loan tape'!$H13*12)-1)))</f>
        <v>52000000</v>
      </c>
      <c r="J14" s="11" t="n">
        <f aca="false">IF('Loan tape'!$C13="",0,IF(OR('Loan tape'!$H13=0,J$5&lt;='Loan tape'!$I13),'Loan tape'!$C13,'Loan tape'!$C13*((1+'Loan tape'!$D13/12)^('Loan tape'!$H13*12)-(1+'Loan tape'!$D13/12)^MIN((J$5-'Loan tape'!$I13)*12,'Loan tape'!$H13*12))/((1+'Loan tape'!$D13/12)^('Loan tape'!$H13*12)-1)))</f>
        <v>52000000</v>
      </c>
      <c r="K14" s="11" t="n">
        <f aca="false">IF('Loan tape'!$C13="",0,IF(OR('Loan tape'!$H13=0,K$5&lt;='Loan tape'!$I13),'Loan tape'!$C13,'Loan tape'!$C13*((1+'Loan tape'!$D13/12)^('Loan tape'!$H13*12)-(1+'Loan tape'!$D13/12)^MIN((K$5-'Loan tape'!$I13)*12,'Loan tape'!$H13*12))/((1+'Loan tape'!$D13/12)^('Loan tape'!$H13*12)-1)))</f>
        <v>52000000</v>
      </c>
      <c r="L14" s="11" t="n">
        <f aca="false">IF('Loan tape'!$C13="",0,IF(OR('Loan tape'!$H13=0,L$5&lt;='Loan tape'!$I13),'Loan tape'!$C13,'Loan tape'!$C13*((1+'Loan tape'!$D13/12)^('Loan tape'!$H13*12)-(1+'Loan tape'!$D13/12)^MIN((L$5-'Loan tape'!$I13)*12,'Loan tape'!$H13*12))/((1+'Loan tape'!$D13/12)^('Loan tape'!$H13*12)-1)))</f>
        <v>52000000</v>
      </c>
      <c r="M14" s="11" t="n">
        <f aca="false">IF('Loan tape'!$C13="",0,IF(OR('Loan tape'!$H13=0,M$5&lt;='Loan tape'!$I13),'Loan tape'!$C13,'Loan tape'!$C13*((1+'Loan tape'!$D13/12)^('Loan tape'!$H13*12)-(1+'Loan tape'!$D13/12)^MIN((M$5-'Loan tape'!$I13)*12,'Loan tape'!$H13*12))/((1+'Loan tape'!$D13/12)^('Loan tape'!$H13*12)-1)))</f>
        <v>52000000</v>
      </c>
      <c r="N14" s="11" t="n">
        <f aca="false">IF('Loan tape'!$C13="",0,IF(OR('Loan tape'!$H13=0,N$5&lt;='Loan tape'!$I13),'Loan tape'!$C13,'Loan tape'!$C13*((1+'Loan tape'!$D13/12)^('Loan tape'!$H13*12)-(1+'Loan tape'!$D13/12)^MIN((N$5-'Loan tape'!$I13)*12,'Loan tape'!$H13*12))/((1+'Loan tape'!$D13/12)^('Loan tape'!$H13*12)-1)))</f>
        <v>52000000</v>
      </c>
      <c r="O14" s="11" t="n">
        <f aca="false">IF('Loan tape'!$C13="",0,IF(OR('Loan tape'!$H13=0,O$5&lt;='Loan tape'!$I13),'Loan tape'!$C13,'Loan tape'!$C13*((1+'Loan tape'!$D13/12)^('Loan tape'!$H13*12)-(1+'Loan tape'!$D13/12)^MIN((O$5-'Loan tape'!$I13)*12,'Loan tape'!$H13*12))/((1+'Loan tape'!$D13/12)^('Loan tape'!$H13*12)-1)))</f>
        <v>52000000</v>
      </c>
      <c r="P14" s="11" t="n">
        <f aca="false">IF('Loan tape'!$C13="",0,IF(OR('Loan tape'!$H13=0,P$5&lt;='Loan tape'!$I13),'Loan tape'!$C13,'Loan tape'!$C13*((1+'Loan tape'!$D13/12)^('Loan tape'!$H13*12)-(1+'Loan tape'!$D13/12)^MIN((P$5-'Loan tape'!$I13)*12,'Loan tape'!$H13*12))/((1+'Loan tape'!$D13/12)^('Loan tape'!$H13*12)-1)))</f>
        <v>52000000</v>
      </c>
      <c r="Q14" s="11" t="n">
        <f aca="false">IF($B14=1,IF(Q$5&lt;$C14,F14,IF(Q$5&lt;=$D14,$E14,0)),F14)</f>
        <v>52000000</v>
      </c>
      <c r="R14" s="11" t="n">
        <f aca="false">IF($B14=1,IF(R$5&lt;$C14,G14,IF(R$5&lt;=$D14,$E14,0)),G14)</f>
        <v>52000000</v>
      </c>
      <c r="S14" s="11" t="n">
        <f aca="false">IF($B14=1,IF(S$5&lt;$C14,H14,IF(S$5&lt;=$D14,$E14,0)),H14)</f>
        <v>52000000</v>
      </c>
      <c r="T14" s="11" t="n">
        <f aca="false">IF($B14=1,IF(T$5&lt;$C14,I14,IF(T$5&lt;=$D14,$E14,0)),I14)</f>
        <v>52000000</v>
      </c>
      <c r="U14" s="11" t="n">
        <f aca="false">IF($B14=1,IF(U$5&lt;$C14,J14,IF(U$5&lt;=$D14,$E14,0)),J14)</f>
        <v>52000000</v>
      </c>
      <c r="V14" s="11" t="n">
        <f aca="false">IF($B14=1,IF(V$5&lt;$C14,K14,IF(V$5&lt;=$D14,$E14,0)),K14)</f>
        <v>52000000</v>
      </c>
      <c r="W14" s="11" t="n">
        <f aca="false">IF($B14=1,IF(W$5&lt;$C14,L14,IF(W$5&lt;=$D14,$E14,0)),L14)</f>
        <v>52000000</v>
      </c>
      <c r="X14" s="11" t="n">
        <f aca="false">IF($B14=1,IF(X$5&lt;$C14,M14,IF(X$5&lt;=$D14,$E14,0)),M14)</f>
        <v>52000000</v>
      </c>
      <c r="Y14" s="11" t="n">
        <f aca="false">IF($B14=1,IF(Y$5&lt;$C14,N14,IF(Y$5&lt;=$D14,$E14,0)),N14)</f>
        <v>52000000</v>
      </c>
      <c r="Z14" s="11" t="n">
        <f aca="false">IF($B14=1,IF(Z$5&lt;$C14,O14,IF(Z$5&lt;=$D14,$E14,0)),O14)</f>
        <v>52000000</v>
      </c>
      <c r="AA14" s="11" t="n">
        <f aca="false">IF($B14=1,IF(AA$5&lt;$C14,F14*'Loan tape'!$D13,0),F14*'Loan tape'!$D13)</f>
        <v>3120000</v>
      </c>
      <c r="AB14" s="11" t="n">
        <f aca="false">IF($B14=1,IF(AB$5&lt;$C14,G14*'Loan tape'!$D13,0),G14*'Loan tape'!$D13)</f>
        <v>3120000</v>
      </c>
      <c r="AC14" s="11" t="n">
        <f aca="false">IF($B14=1,IF(AC$5&lt;$C14,H14*'Loan tape'!$D13,0),H14*'Loan tape'!$D13)</f>
        <v>3120000</v>
      </c>
      <c r="AD14" s="11" t="n">
        <f aca="false">IF($B14=1,IF(AD$5&lt;$C14,I14*'Loan tape'!$D13,0),I14*'Loan tape'!$D13)</f>
        <v>3120000</v>
      </c>
      <c r="AE14" s="11" t="n">
        <f aca="false">IF($B14=1,IF(AE$5&lt;$C14,J14*'Loan tape'!$D13,0),J14*'Loan tape'!$D13)</f>
        <v>3120000</v>
      </c>
      <c r="AF14" s="11" t="n">
        <f aca="false">IF($B14=1,IF(AF$5&lt;$C14,K14*'Loan tape'!$D13,0),K14*'Loan tape'!$D13)</f>
        <v>3120000</v>
      </c>
      <c r="AG14" s="11" t="n">
        <f aca="false">IF($B14=1,IF(AG$5&lt;$C14,L14*'Loan tape'!$D13,0),L14*'Loan tape'!$D13)</f>
        <v>3120000</v>
      </c>
      <c r="AH14" s="11" t="n">
        <f aca="false">IF($B14=1,IF(AH$5&lt;$C14,M14*'Loan tape'!$D13,0),M14*'Loan tape'!$D13)</f>
        <v>3120000</v>
      </c>
      <c r="AI14" s="11" t="n">
        <f aca="false">IF($B14=1,IF(AI$5&lt;$C14,N14*'Loan tape'!$D13,0),N14*'Loan tape'!$D13)</f>
        <v>3120000</v>
      </c>
      <c r="AJ14" s="11" t="n">
        <f aca="false">IF($B14=1,IF(AJ$5&lt;$C14,O14*'Loan tape'!$D13,0),O14*'Loan tape'!$D13)</f>
        <v>3120000</v>
      </c>
      <c r="AK14" s="11" t="n">
        <f aca="false">IF($B14=1,IF(AK$5&lt;$C14,F14-G14,0),F14-G14)</f>
        <v>0</v>
      </c>
      <c r="AL14" s="11" t="n">
        <f aca="false">IF($B14=1,IF(AL$5&lt;$C14,G14-H14,0),G14-H14)</f>
        <v>0</v>
      </c>
      <c r="AM14" s="11" t="n">
        <f aca="false">IF($B14=1,IF(AM$5&lt;$C14,H14-I14,0),H14-I14)</f>
        <v>0</v>
      </c>
      <c r="AN14" s="11" t="n">
        <f aca="false">IF($B14=1,IF(AN$5&lt;$C14,I14-J14,0),I14-J14)</f>
        <v>0</v>
      </c>
      <c r="AO14" s="11" t="n">
        <f aca="false">IF($B14=1,IF(AO$5&lt;$C14,J14-K14,0),J14-K14)</f>
        <v>0</v>
      </c>
      <c r="AP14" s="11" t="n">
        <f aca="false">IF($B14=1,IF(AP$5&lt;$C14,K14-L14,0),K14-L14)</f>
        <v>0</v>
      </c>
      <c r="AQ14" s="11" t="n">
        <f aca="false">IF($B14=1,IF(AQ$5&lt;$C14,L14-M14,0),L14-M14)</f>
        <v>0</v>
      </c>
      <c r="AR14" s="11" t="n">
        <f aca="false">IF($B14=1,IF(AR$5&lt;$C14,M14-N14,0),M14-N14)</f>
        <v>0</v>
      </c>
      <c r="AS14" s="11" t="n">
        <f aca="false">IF($B14=1,IF(AS$5&lt;$C14,N14-O14,0),N14-O14)</f>
        <v>0</v>
      </c>
      <c r="AT14" s="11" t="n">
        <f aca="false">IF($B14=1,IF(AT$5&lt;$C14,O14-P14,0),O14-P14)</f>
        <v>0</v>
      </c>
      <c r="AU14" s="11" t="n">
        <f aca="false">IF(B14=1,0,P14)</f>
        <v>52000000</v>
      </c>
      <c r="AV14" s="11" t="n">
        <f aca="false">SUM(AA14:AJ14)</f>
        <v>31200000</v>
      </c>
      <c r="AW14" s="11" t="n">
        <f aca="false">SUM(AK14:AT14)</f>
        <v>0</v>
      </c>
      <c r="AX14" s="11" t="n">
        <f aca="false">SUM(Q14:Z14)</f>
        <v>520000000</v>
      </c>
    </row>
    <row r="15" customFormat="false" ht="15" hidden="false" customHeight="false" outlineLevel="0" collapsed="false">
      <c r="A15" s="17" t="str">
        <f aca="false">IF('Loan tape'!A14="","",'Loan tape'!A14)</f>
        <v>Grand Union Retail</v>
      </c>
      <c r="B15" s="30" t="n">
        <f aca="false">IF(A15="",0,IF(ISNUMBER(MATCH(A15,Liquidations!$A$13:$A$17,0)),1,0))</f>
        <v>0</v>
      </c>
      <c r="C15" s="30" t="n">
        <f aca="false">Liquidations!$B$23</f>
        <v>4</v>
      </c>
      <c r="D15" s="30" t="n">
        <f aca="false">IF(B15=1,INDEX(Liquidations!$W$13:$W$17,MATCH(A15,Liquidations!$A$13:$A$17,0)),0)</f>
        <v>0</v>
      </c>
      <c r="E15" s="11" t="n">
        <f aca="false">IF(B15=1,INDEX(Liquidations!$I$13:$I$17,MATCH(A15,Liquidations!$A$13:$A$17,0)),0)</f>
        <v>0</v>
      </c>
      <c r="F15" s="11" t="n">
        <f aca="false">IF('Loan tape'!$C14="",0,IF(OR('Loan tape'!$H14=0,F$5&lt;='Loan tape'!$I14),'Loan tape'!$C14,'Loan tape'!$C14*((1+'Loan tape'!$D14/12)^('Loan tape'!$H14*12)-(1+'Loan tape'!$D14/12)^MIN((F$5-'Loan tape'!$I14)*12,'Loan tape'!$H14*12))/((1+'Loan tape'!$D14/12)^('Loan tape'!$H14*12)-1)))</f>
        <v>48500000</v>
      </c>
      <c r="G15" s="11" t="n">
        <f aca="false">IF('Loan tape'!$C14="",0,IF(OR('Loan tape'!$H14=0,G$5&lt;='Loan tape'!$I14),'Loan tape'!$C14,'Loan tape'!$C14*((1+'Loan tape'!$D14/12)^('Loan tape'!$H14*12)-(1+'Loan tape'!$D14/12)^MIN((G$5-'Loan tape'!$I14)*12,'Loan tape'!$H14*12))/((1+'Loan tape'!$D14/12)^('Loan tape'!$H14*12)-1)))</f>
        <v>47963025.328975</v>
      </c>
      <c r="H15" s="11" t="n">
        <f aca="false">IF('Loan tape'!$C14="",0,IF(OR('Loan tape'!$H14=0,H$5&lt;='Loan tape'!$I14),'Loan tape'!$C14,'Loan tape'!$C14*((1+'Loan tape'!$D14/12)^('Loan tape'!$H14*12)-(1+'Loan tape'!$D14/12)^MIN((H$5-'Loan tape'!$I14)*12,'Loan tape'!$H14*12))/((1+'Loan tape'!$D14/12)^('Loan tape'!$H14*12)-1)))</f>
        <v>47389803.4797151</v>
      </c>
      <c r="I15" s="11" t="n">
        <f aca="false">IF('Loan tape'!$C14="",0,IF(OR('Loan tape'!$H14=0,I$5&lt;='Loan tape'!$I14),'Loan tape'!$C14,'Loan tape'!$C14*((1+'Loan tape'!$D14/12)^('Loan tape'!$H14*12)-(1+'Loan tape'!$D14/12)^MIN((I$5-'Loan tape'!$I14)*12,'Loan tape'!$H14*12))/((1+'Loan tape'!$D14/12)^('Loan tape'!$H14*12)-1)))</f>
        <v>46777887.6739997</v>
      </c>
      <c r="J15" s="11" t="n">
        <f aca="false">IF('Loan tape'!$C14="",0,IF(OR('Loan tape'!$H14=0,J$5&lt;='Loan tape'!$I14),'Loan tape'!$C14,'Loan tape'!$C14*((1+'Loan tape'!$D14/12)^('Loan tape'!$H14*12)-(1+'Loan tape'!$D14/12)^MIN((J$5-'Loan tape'!$I14)*12,'Loan tape'!$H14*12))/((1+'Loan tape'!$D14/12)^('Loan tape'!$H14*12)-1)))</f>
        <v>46124665.9697544</v>
      </c>
      <c r="K15" s="11" t="n">
        <f aca="false">IF('Loan tape'!$C14="",0,IF(OR('Loan tape'!$H14=0,K$5&lt;='Loan tape'!$I14),'Loan tape'!$C14,'Loan tape'!$C14*((1+'Loan tape'!$D14/12)^('Loan tape'!$H14*12)-(1+'Loan tape'!$D14/12)^MIN((K$5-'Loan tape'!$I14)*12,'Loan tape'!$H14*12))/((1+'Loan tape'!$D14/12)^('Loan tape'!$H14*12)-1)))</f>
        <v>45427350.1120633</v>
      </c>
      <c r="L15" s="11" t="n">
        <f aca="false">IF('Loan tape'!$C14="",0,IF(OR('Loan tape'!$H14=0,L$5&lt;='Loan tape'!$I14),'Loan tape'!$C14,'Loan tape'!$C14*((1+'Loan tape'!$D14/12)^('Loan tape'!$H14*12)-(1+'Loan tape'!$D14/12)^MIN((L$5-'Loan tape'!$I14)*12,'Loan tape'!$H14*12))/((1+'Loan tape'!$D14/12)^('Loan tape'!$H14*12)-1)))</f>
        <v>44682963.6315968</v>
      </c>
      <c r="M15" s="11" t="n">
        <f aca="false">IF('Loan tape'!$C14="",0,IF(OR('Loan tape'!$H14=0,M$5&lt;='Loan tape'!$I14),'Loan tape'!$C14,'Loan tape'!$C14*((1+'Loan tape'!$D14/12)^('Loan tape'!$H14*12)-(1+'Loan tape'!$D14/12)^MIN((M$5-'Loan tape'!$I14)*12,'Loan tape'!$H14*12))/((1+'Loan tape'!$D14/12)^('Loan tape'!$H14*12)-1)))</f>
        <v>43888329.1396521</v>
      </c>
      <c r="N15" s="11" t="n">
        <f aca="false">IF('Loan tape'!$C14="",0,IF(OR('Loan tape'!$H14=0,N$5&lt;='Loan tape'!$I14),'Loan tape'!$C14,'Loan tape'!$C14*((1+'Loan tape'!$D14/12)^('Loan tape'!$H14*12)-(1+'Loan tape'!$D14/12)^MIN((N$5-'Loan tape'!$I14)*12,'Loan tape'!$H14*12))/((1+'Loan tape'!$D14/12)^('Loan tape'!$H14*12)-1)))</f>
        <v>43040054.7655763</v>
      </c>
      <c r="O15" s="11" t="n">
        <f aca="false">IF('Loan tape'!$C14="",0,IF(OR('Loan tape'!$H14=0,O$5&lt;='Loan tape'!$I14),'Loan tape'!$C14,'Loan tape'!$C14*((1+'Loan tape'!$D14/12)^('Loan tape'!$H14*12)-(1+'Loan tape'!$D14/12)^MIN((O$5-'Loan tape'!$I14)*12,'Loan tape'!$H14*12))/((1+'Loan tape'!$D14/12)^('Loan tape'!$H14*12)-1)))</f>
        <v>42134519.6786805</v>
      </c>
      <c r="P15" s="11" t="n">
        <f aca="false">IF('Loan tape'!$C14="",0,IF(OR('Loan tape'!$H14=0,P$5&lt;='Loan tape'!$I14),'Loan tape'!$C14,'Loan tape'!$C14*((1+'Loan tape'!$D14/12)^('Loan tape'!$H14*12)-(1+'Loan tape'!$D14/12)^MIN((P$5-'Loan tape'!$I14)*12,'Loan tape'!$H14*12))/((1+'Loan tape'!$D14/12)^('Loan tape'!$H14*12)-1)))</f>
        <v>41167858.632845</v>
      </c>
      <c r="Q15" s="11" t="n">
        <f aca="false">IF($B15=1,IF(Q$5&lt;$C15,F15,IF(Q$5&lt;=$D15,$E15,0)),F15)</f>
        <v>48500000</v>
      </c>
      <c r="R15" s="11" t="n">
        <f aca="false">IF($B15=1,IF(R$5&lt;$C15,G15,IF(R$5&lt;=$D15,$E15,0)),G15)</f>
        <v>47963025.328975</v>
      </c>
      <c r="S15" s="11" t="n">
        <f aca="false">IF($B15=1,IF(S$5&lt;$C15,H15,IF(S$5&lt;=$D15,$E15,0)),H15)</f>
        <v>47389803.4797151</v>
      </c>
      <c r="T15" s="11" t="n">
        <f aca="false">IF($B15=1,IF(T$5&lt;$C15,I15,IF(T$5&lt;=$D15,$E15,0)),I15)</f>
        <v>46777887.6739997</v>
      </c>
      <c r="U15" s="11" t="n">
        <f aca="false">IF($B15=1,IF(U$5&lt;$C15,J15,IF(U$5&lt;=$D15,$E15,0)),J15)</f>
        <v>46124665.9697544</v>
      </c>
      <c r="V15" s="11" t="n">
        <f aca="false">IF($B15=1,IF(V$5&lt;$C15,K15,IF(V$5&lt;=$D15,$E15,0)),K15)</f>
        <v>45427350.1120633</v>
      </c>
      <c r="W15" s="11" t="n">
        <f aca="false">IF($B15=1,IF(W$5&lt;$C15,L15,IF(W$5&lt;=$D15,$E15,0)),L15)</f>
        <v>44682963.6315968</v>
      </c>
      <c r="X15" s="11" t="n">
        <f aca="false">IF($B15=1,IF(X$5&lt;$C15,M15,IF(X$5&lt;=$D15,$E15,0)),M15)</f>
        <v>43888329.1396521</v>
      </c>
      <c r="Y15" s="11" t="n">
        <f aca="false">IF($B15=1,IF(Y$5&lt;$C15,N15,IF(Y$5&lt;=$D15,$E15,0)),N15)</f>
        <v>43040054.7655763</v>
      </c>
      <c r="Z15" s="11" t="n">
        <f aca="false">IF($B15=1,IF(Z$5&lt;$C15,O15,IF(Z$5&lt;=$D15,$E15,0)),O15)</f>
        <v>42134519.6786805</v>
      </c>
      <c r="AA15" s="11" t="n">
        <f aca="false">IF($B15=1,IF(AA$5&lt;$C15,F15*'Loan tape'!$D14,0),F15*'Loan tape'!$D14)</f>
        <v>3176750</v>
      </c>
      <c r="AB15" s="11" t="n">
        <f aca="false">IF($B15=1,IF(AB$5&lt;$C15,G15*'Loan tape'!$D14,0),G15*'Loan tape'!$D14)</f>
        <v>3141578.15904786</v>
      </c>
      <c r="AC15" s="11" t="n">
        <f aca="false">IF($B15=1,IF(AC$5&lt;$C15,H15*'Loan tape'!$D14,0),H15*'Loan tape'!$D14)</f>
        <v>3104032.12792134</v>
      </c>
      <c r="AD15" s="11" t="n">
        <f aca="false">IF($B15=1,IF(AD$5&lt;$C15,I15*'Loan tape'!$D14,0),I15*'Loan tape'!$D14)</f>
        <v>3063951.64264698</v>
      </c>
      <c r="AE15" s="11" t="n">
        <f aca="false">IF($B15=1,IF(AE$5&lt;$C15,J15*'Loan tape'!$D14,0),J15*'Loan tape'!$D14)</f>
        <v>3021165.62101892</v>
      </c>
      <c r="AF15" s="11" t="n">
        <f aca="false">IF($B15=1,IF(AF$5&lt;$C15,K15*'Loan tape'!$D14,0),K15*'Loan tape'!$D14)</f>
        <v>2975491.43234015</v>
      </c>
      <c r="AG15" s="11" t="n">
        <f aca="false">IF($B15=1,IF(AG$5&lt;$C15,L15*'Loan tape'!$D14,0),L15*'Loan tape'!$D14)</f>
        <v>2926734.11786959</v>
      </c>
      <c r="AH15" s="11" t="n">
        <f aca="false">IF($B15=1,IF(AH$5&lt;$C15,M15*'Loan tape'!$D14,0),M15*'Loan tape'!$D14)</f>
        <v>2874685.55864721</v>
      </c>
      <c r="AI15" s="11" t="n">
        <f aca="false">IF($B15=1,IF(AI$5&lt;$C15,N15*'Loan tape'!$D14,0),N15*'Loan tape'!$D14)</f>
        <v>2819123.58714525</v>
      </c>
      <c r="AJ15" s="11" t="n">
        <f aca="false">IF($B15=1,IF(AJ$5&lt;$C15,O15*'Loan tape'!$D14,0),O15*'Loan tape'!$D14)</f>
        <v>2759811.03895357</v>
      </c>
      <c r="AK15" s="11" t="n">
        <f aca="false">IF($B15=1,IF(AK$5&lt;$C15,F15-G15,0),F15-G15)</f>
        <v>536974.671025008</v>
      </c>
      <c r="AL15" s="11" t="n">
        <f aca="false">IF($B15=1,IF(AL$5&lt;$C15,G15-H15,0),G15-H15)</f>
        <v>573221.849259935</v>
      </c>
      <c r="AM15" s="11" t="n">
        <f aca="false">IF($B15=1,IF(AM$5&lt;$C15,H15-I15,0),H15-I15)</f>
        <v>611915.805715323</v>
      </c>
      <c r="AN15" s="11" t="n">
        <f aca="false">IF($B15=1,IF(AN$5&lt;$C15,I15-J15,0),I15-J15)</f>
        <v>653221.704245292</v>
      </c>
      <c r="AO15" s="11" t="n">
        <f aca="false">IF($B15=1,IF(AO$5&lt;$C15,J15-K15,0),J15-K15)</f>
        <v>697315.857691132</v>
      </c>
      <c r="AP15" s="11" t="n">
        <f aca="false">IF($B15=1,IF(AP$5&lt;$C15,K15-L15,0),K15-L15)</f>
        <v>744386.480466537</v>
      </c>
      <c r="AQ15" s="11" t="n">
        <f aca="false">IF($B15=1,IF(AQ$5&lt;$C15,L15-M15,0),L15-M15)</f>
        <v>794634.491944693</v>
      </c>
      <c r="AR15" s="11" t="n">
        <f aca="false">IF($B15=1,IF(AR$5&lt;$C15,M15-N15,0),M15-N15)</f>
        <v>848274.374075748</v>
      </c>
      <c r="AS15" s="11" t="n">
        <f aca="false">IF($B15=1,IF(AS$5&lt;$C15,N15-O15,0),N15-O15)</f>
        <v>905535.086895868</v>
      </c>
      <c r="AT15" s="11" t="n">
        <f aca="false">IF($B15=1,IF(AT$5&lt;$C15,O15-P15,0),O15-P15)</f>
        <v>966661.045835488</v>
      </c>
      <c r="AU15" s="11" t="n">
        <f aca="false">IF(B15=1,0,P15)</f>
        <v>41167858.632845</v>
      </c>
      <c r="AV15" s="11" t="n">
        <f aca="false">SUM(AA15:AJ15)</f>
        <v>29863323.2855909</v>
      </c>
      <c r="AW15" s="11" t="n">
        <f aca="false">SUM(AK15:AT15)</f>
        <v>7332141.36715502</v>
      </c>
      <c r="AX15" s="11" t="n">
        <f aca="false">SUM(Q15:Z15)</f>
        <v>455928599.780013</v>
      </c>
    </row>
    <row r="16" customFormat="false" ht="15" hidden="false" customHeight="false" outlineLevel="0" collapsed="false">
      <c r="A16" s="17" t="str">
        <f aca="false">IF('Loan tape'!A15="","",'Loan tape'!A15)</f>
        <v>Aspen Court Apartments</v>
      </c>
      <c r="B16" s="30" t="n">
        <f aca="false">IF(A16="",0,IF(ISNUMBER(MATCH(A16,Liquidations!$A$13:$A$17,0)),1,0))</f>
        <v>0</v>
      </c>
      <c r="C16" s="30" t="n">
        <f aca="false">Liquidations!$B$23</f>
        <v>4</v>
      </c>
      <c r="D16" s="30" t="n">
        <f aca="false">IF(B16=1,INDEX(Liquidations!$W$13:$W$17,MATCH(A16,Liquidations!$A$13:$A$17,0)),0)</f>
        <v>0</v>
      </c>
      <c r="E16" s="11" t="n">
        <f aca="false">IF(B16=1,INDEX(Liquidations!$I$13:$I$17,MATCH(A16,Liquidations!$A$13:$A$17,0)),0)</f>
        <v>0</v>
      </c>
      <c r="F16" s="11" t="n">
        <f aca="false">IF('Loan tape'!$C15="",0,IF(OR('Loan tape'!$H15=0,F$5&lt;='Loan tape'!$I15),'Loan tape'!$C15,'Loan tape'!$C15*((1+'Loan tape'!$D15/12)^('Loan tape'!$H15*12)-(1+'Loan tape'!$D15/12)^MIN((F$5-'Loan tape'!$I15)*12,'Loan tape'!$H15*12))/((1+'Loan tape'!$D15/12)^('Loan tape'!$H15*12)-1)))</f>
        <v>46000000</v>
      </c>
      <c r="G16" s="11" t="n">
        <f aca="false">IF('Loan tape'!$C15="",0,IF(OR('Loan tape'!$H15=0,G$5&lt;='Loan tape'!$I15),'Loan tape'!$C15,'Loan tape'!$C15*((1+'Loan tape'!$D15/12)^('Loan tape'!$H15*12)-(1+'Loan tape'!$D15/12)^MIN((G$5-'Loan tape'!$I15)*12,'Loan tape'!$H15*12))/((1+'Loan tape'!$D15/12)^('Loan tape'!$H15*12)-1)))</f>
        <v>46000000</v>
      </c>
      <c r="H16" s="11" t="n">
        <f aca="false">IF('Loan tape'!$C15="",0,IF(OR('Loan tape'!$H15=0,H$5&lt;='Loan tape'!$I15),'Loan tape'!$C15,'Loan tape'!$C15*((1+'Loan tape'!$D15/12)^('Loan tape'!$H15*12)-(1+'Loan tape'!$D15/12)^MIN((H$5-'Loan tape'!$I15)*12,'Loan tape'!$H15*12))/((1+'Loan tape'!$D15/12)^('Loan tape'!$H15*12)-1)))</f>
        <v>46000000</v>
      </c>
      <c r="I16" s="11" t="n">
        <f aca="false">IF('Loan tape'!$C15="",0,IF(OR('Loan tape'!$H15=0,I$5&lt;='Loan tape'!$I15),'Loan tape'!$C15,'Loan tape'!$C15*((1+'Loan tape'!$D15/12)^('Loan tape'!$H15*12)-(1+'Loan tape'!$D15/12)^MIN((I$5-'Loan tape'!$I15)*12,'Loan tape'!$H15*12))/((1+'Loan tape'!$D15/12)^('Loan tape'!$H15*12)-1)))</f>
        <v>46000000</v>
      </c>
      <c r="J16" s="11" t="n">
        <f aca="false">IF('Loan tape'!$C15="",0,IF(OR('Loan tape'!$H15=0,J$5&lt;='Loan tape'!$I15),'Loan tape'!$C15,'Loan tape'!$C15*((1+'Loan tape'!$D15/12)^('Loan tape'!$H15*12)-(1+'Loan tape'!$D15/12)^MIN((J$5-'Loan tape'!$I15)*12,'Loan tape'!$H15*12))/((1+'Loan tape'!$D15/12)^('Loan tape'!$H15*12)-1)))</f>
        <v>46000000</v>
      </c>
      <c r="K16" s="11" t="n">
        <f aca="false">IF('Loan tape'!$C15="",0,IF(OR('Loan tape'!$H15=0,K$5&lt;='Loan tape'!$I15),'Loan tape'!$C15,'Loan tape'!$C15*((1+'Loan tape'!$D15/12)^('Loan tape'!$H15*12)-(1+'Loan tape'!$D15/12)^MIN((K$5-'Loan tape'!$I15)*12,'Loan tape'!$H15*12))/((1+'Loan tape'!$D15/12)^('Loan tape'!$H15*12)-1)))</f>
        <v>46000000</v>
      </c>
      <c r="L16" s="11" t="n">
        <f aca="false">IF('Loan tape'!$C15="",0,IF(OR('Loan tape'!$H15=0,L$5&lt;='Loan tape'!$I15),'Loan tape'!$C15,'Loan tape'!$C15*((1+'Loan tape'!$D15/12)^('Loan tape'!$H15*12)-(1+'Loan tape'!$D15/12)^MIN((L$5-'Loan tape'!$I15)*12,'Loan tape'!$H15*12))/((1+'Loan tape'!$D15/12)^('Loan tape'!$H15*12)-1)))</f>
        <v>46000000</v>
      </c>
      <c r="M16" s="11" t="n">
        <f aca="false">IF('Loan tape'!$C15="",0,IF(OR('Loan tape'!$H15=0,M$5&lt;='Loan tape'!$I15),'Loan tape'!$C15,'Loan tape'!$C15*((1+'Loan tape'!$D15/12)^('Loan tape'!$H15*12)-(1+'Loan tape'!$D15/12)^MIN((M$5-'Loan tape'!$I15)*12,'Loan tape'!$H15*12))/((1+'Loan tape'!$D15/12)^('Loan tape'!$H15*12)-1)))</f>
        <v>46000000</v>
      </c>
      <c r="N16" s="11" t="n">
        <f aca="false">IF('Loan tape'!$C15="",0,IF(OR('Loan tape'!$H15=0,N$5&lt;='Loan tape'!$I15),'Loan tape'!$C15,'Loan tape'!$C15*((1+'Loan tape'!$D15/12)^('Loan tape'!$H15*12)-(1+'Loan tape'!$D15/12)^MIN((N$5-'Loan tape'!$I15)*12,'Loan tape'!$H15*12))/((1+'Loan tape'!$D15/12)^('Loan tape'!$H15*12)-1)))</f>
        <v>46000000</v>
      </c>
      <c r="O16" s="11" t="n">
        <f aca="false">IF('Loan tape'!$C15="",0,IF(OR('Loan tape'!$H15=0,O$5&lt;='Loan tape'!$I15),'Loan tape'!$C15,'Loan tape'!$C15*((1+'Loan tape'!$D15/12)^('Loan tape'!$H15*12)-(1+'Loan tape'!$D15/12)^MIN((O$5-'Loan tape'!$I15)*12,'Loan tape'!$H15*12))/((1+'Loan tape'!$D15/12)^('Loan tape'!$H15*12)-1)))</f>
        <v>46000000</v>
      </c>
      <c r="P16" s="11" t="n">
        <f aca="false">IF('Loan tape'!$C15="",0,IF(OR('Loan tape'!$H15=0,P$5&lt;='Loan tape'!$I15),'Loan tape'!$C15,'Loan tape'!$C15*((1+'Loan tape'!$D15/12)^('Loan tape'!$H15*12)-(1+'Loan tape'!$D15/12)^MIN((P$5-'Loan tape'!$I15)*12,'Loan tape'!$H15*12))/((1+'Loan tape'!$D15/12)^('Loan tape'!$H15*12)-1)))</f>
        <v>46000000</v>
      </c>
      <c r="Q16" s="11" t="n">
        <f aca="false">IF($B16=1,IF(Q$5&lt;$C16,F16,IF(Q$5&lt;=$D16,$E16,0)),F16)</f>
        <v>46000000</v>
      </c>
      <c r="R16" s="11" t="n">
        <f aca="false">IF($B16=1,IF(R$5&lt;$C16,G16,IF(R$5&lt;=$D16,$E16,0)),G16)</f>
        <v>46000000</v>
      </c>
      <c r="S16" s="11" t="n">
        <f aca="false">IF($B16=1,IF(S$5&lt;$C16,H16,IF(S$5&lt;=$D16,$E16,0)),H16)</f>
        <v>46000000</v>
      </c>
      <c r="T16" s="11" t="n">
        <f aca="false">IF($B16=1,IF(T$5&lt;$C16,I16,IF(T$5&lt;=$D16,$E16,0)),I16)</f>
        <v>46000000</v>
      </c>
      <c r="U16" s="11" t="n">
        <f aca="false">IF($B16=1,IF(U$5&lt;$C16,J16,IF(U$5&lt;=$D16,$E16,0)),J16)</f>
        <v>46000000</v>
      </c>
      <c r="V16" s="11" t="n">
        <f aca="false">IF($B16=1,IF(V$5&lt;$C16,K16,IF(V$5&lt;=$D16,$E16,0)),K16)</f>
        <v>46000000</v>
      </c>
      <c r="W16" s="11" t="n">
        <f aca="false">IF($B16=1,IF(W$5&lt;$C16,L16,IF(W$5&lt;=$D16,$E16,0)),L16)</f>
        <v>46000000</v>
      </c>
      <c r="X16" s="11" t="n">
        <f aca="false">IF($B16=1,IF(X$5&lt;$C16,M16,IF(X$5&lt;=$D16,$E16,0)),M16)</f>
        <v>46000000</v>
      </c>
      <c r="Y16" s="11" t="n">
        <f aca="false">IF($B16=1,IF(Y$5&lt;$C16,N16,IF(Y$5&lt;=$D16,$E16,0)),N16)</f>
        <v>46000000</v>
      </c>
      <c r="Z16" s="11" t="n">
        <f aca="false">IF($B16=1,IF(Z$5&lt;$C16,O16,IF(Z$5&lt;=$D16,$E16,0)),O16)</f>
        <v>46000000</v>
      </c>
      <c r="AA16" s="11" t="n">
        <f aca="false">IF($B16=1,IF(AA$5&lt;$C16,F16*'Loan tape'!$D15,0),F16*'Loan tape'!$D15)</f>
        <v>2737000</v>
      </c>
      <c r="AB16" s="11" t="n">
        <f aca="false">IF($B16=1,IF(AB$5&lt;$C16,G16*'Loan tape'!$D15,0),G16*'Loan tape'!$D15)</f>
        <v>2737000</v>
      </c>
      <c r="AC16" s="11" t="n">
        <f aca="false">IF($B16=1,IF(AC$5&lt;$C16,H16*'Loan tape'!$D15,0),H16*'Loan tape'!$D15)</f>
        <v>2737000</v>
      </c>
      <c r="AD16" s="11" t="n">
        <f aca="false">IF($B16=1,IF(AD$5&lt;$C16,I16*'Loan tape'!$D15,0),I16*'Loan tape'!$D15)</f>
        <v>2737000</v>
      </c>
      <c r="AE16" s="11" t="n">
        <f aca="false">IF($B16=1,IF(AE$5&lt;$C16,J16*'Loan tape'!$D15,0),J16*'Loan tape'!$D15)</f>
        <v>2737000</v>
      </c>
      <c r="AF16" s="11" t="n">
        <f aca="false">IF($B16=1,IF(AF$5&lt;$C16,K16*'Loan tape'!$D15,0),K16*'Loan tape'!$D15)</f>
        <v>2737000</v>
      </c>
      <c r="AG16" s="11" t="n">
        <f aca="false">IF($B16=1,IF(AG$5&lt;$C16,L16*'Loan tape'!$D15,0),L16*'Loan tape'!$D15)</f>
        <v>2737000</v>
      </c>
      <c r="AH16" s="11" t="n">
        <f aca="false">IF($B16=1,IF(AH$5&lt;$C16,M16*'Loan tape'!$D15,0),M16*'Loan tape'!$D15)</f>
        <v>2737000</v>
      </c>
      <c r="AI16" s="11" t="n">
        <f aca="false">IF($B16=1,IF(AI$5&lt;$C16,N16*'Loan tape'!$D15,0),N16*'Loan tape'!$D15)</f>
        <v>2737000</v>
      </c>
      <c r="AJ16" s="11" t="n">
        <f aca="false">IF($B16=1,IF(AJ$5&lt;$C16,O16*'Loan tape'!$D15,0),O16*'Loan tape'!$D15)</f>
        <v>2737000</v>
      </c>
      <c r="AK16" s="11" t="n">
        <f aca="false">IF($B16=1,IF(AK$5&lt;$C16,F16-G16,0),F16-G16)</f>
        <v>0</v>
      </c>
      <c r="AL16" s="11" t="n">
        <f aca="false">IF($B16=1,IF(AL$5&lt;$C16,G16-H16,0),G16-H16)</f>
        <v>0</v>
      </c>
      <c r="AM16" s="11" t="n">
        <f aca="false">IF($B16=1,IF(AM$5&lt;$C16,H16-I16,0),H16-I16)</f>
        <v>0</v>
      </c>
      <c r="AN16" s="11" t="n">
        <f aca="false">IF($B16=1,IF(AN$5&lt;$C16,I16-J16,0),I16-J16)</f>
        <v>0</v>
      </c>
      <c r="AO16" s="11" t="n">
        <f aca="false">IF($B16=1,IF(AO$5&lt;$C16,J16-K16,0),J16-K16)</f>
        <v>0</v>
      </c>
      <c r="AP16" s="11" t="n">
        <f aca="false">IF($B16=1,IF(AP$5&lt;$C16,K16-L16,0),K16-L16)</f>
        <v>0</v>
      </c>
      <c r="AQ16" s="11" t="n">
        <f aca="false">IF($B16=1,IF(AQ$5&lt;$C16,L16-M16,0),L16-M16)</f>
        <v>0</v>
      </c>
      <c r="AR16" s="11" t="n">
        <f aca="false">IF($B16=1,IF(AR$5&lt;$C16,M16-N16,0),M16-N16)</f>
        <v>0</v>
      </c>
      <c r="AS16" s="11" t="n">
        <f aca="false">IF($B16=1,IF(AS$5&lt;$C16,N16-O16,0),N16-O16)</f>
        <v>0</v>
      </c>
      <c r="AT16" s="11" t="n">
        <f aca="false">IF($B16=1,IF(AT$5&lt;$C16,O16-P16,0),O16-P16)</f>
        <v>0</v>
      </c>
      <c r="AU16" s="11" t="n">
        <f aca="false">IF(B16=1,0,P16)</f>
        <v>46000000</v>
      </c>
      <c r="AV16" s="11" t="n">
        <f aca="false">SUM(AA16:AJ16)</f>
        <v>27370000</v>
      </c>
      <c r="AW16" s="11" t="n">
        <f aca="false">SUM(AK16:AT16)</f>
        <v>0</v>
      </c>
      <c r="AX16" s="11" t="n">
        <f aca="false">SUM(Q16:Z16)</f>
        <v>460000000</v>
      </c>
    </row>
    <row r="17" customFormat="false" ht="15" hidden="false" customHeight="false" outlineLevel="0" collapsed="false">
      <c r="A17" s="17" t="str">
        <f aca="false">IF('Loan tape'!A16="","",'Loan tape'!A16)</f>
        <v>Fenwick Business Park</v>
      </c>
      <c r="B17" s="30" t="n">
        <f aca="false">IF(A17="",0,IF(ISNUMBER(MATCH(A17,Liquidations!$A$13:$A$17,0)),1,0))</f>
        <v>0</v>
      </c>
      <c r="C17" s="30" t="n">
        <f aca="false">Liquidations!$B$23</f>
        <v>4</v>
      </c>
      <c r="D17" s="30" t="n">
        <f aca="false">IF(B17=1,INDEX(Liquidations!$W$13:$W$17,MATCH(A17,Liquidations!$A$13:$A$17,0)),0)</f>
        <v>0</v>
      </c>
      <c r="E17" s="11" t="n">
        <f aca="false">IF(B17=1,INDEX(Liquidations!$I$13:$I$17,MATCH(A17,Liquidations!$A$13:$A$17,0)),0)</f>
        <v>0</v>
      </c>
      <c r="F17" s="11" t="n">
        <f aca="false">IF('Loan tape'!$C16="",0,IF(OR('Loan tape'!$H16=0,F$5&lt;='Loan tape'!$I16),'Loan tape'!$C16,'Loan tape'!$C16*((1+'Loan tape'!$D16/12)^('Loan tape'!$H16*12)-(1+'Loan tape'!$D16/12)^MIN((F$5-'Loan tape'!$I16)*12,'Loan tape'!$H16*12))/((1+'Loan tape'!$D16/12)^('Loan tape'!$H16*12)-1)))</f>
        <v>44000000</v>
      </c>
      <c r="G17" s="11" t="n">
        <f aca="false">IF('Loan tape'!$C16="",0,IF(OR('Loan tape'!$H16=0,G$5&lt;='Loan tape'!$I16),'Loan tape'!$C16,'Loan tape'!$C16*((1+'Loan tape'!$D16/12)^('Loan tape'!$H16*12)-(1+'Loan tape'!$D16/12)^MIN((G$5-'Loan tape'!$I16)*12,'Loan tape'!$H16*12))/((1+'Loan tape'!$D16/12)^('Loan tape'!$H16*12)-1)))</f>
        <v>43517458.0025271</v>
      </c>
      <c r="H17" s="11" t="n">
        <f aca="false">IF('Loan tape'!$C16="",0,IF(OR('Loan tape'!$H16=0,H$5&lt;='Loan tape'!$I16),'Loan tape'!$C16,'Loan tape'!$C16*((1+'Loan tape'!$D16/12)^('Loan tape'!$H16*12)-(1+'Loan tape'!$D16/12)^MIN((H$5-'Loan tape'!$I16)*12,'Loan tape'!$H16*12))/((1+'Loan tape'!$D16/12)^('Loan tape'!$H16*12)-1)))</f>
        <v>43002086.9553734</v>
      </c>
      <c r="I17" s="11" t="n">
        <f aca="false">IF('Loan tape'!$C16="",0,IF(OR('Loan tape'!$H16=0,I$5&lt;='Loan tape'!$I16),'Loan tape'!$C16,'Loan tape'!$C16*((1+'Loan tape'!$D16/12)^('Loan tape'!$H16*12)-(1+'Loan tape'!$D16/12)^MIN((I$5-'Loan tape'!$I16)*12,'Loan tape'!$H16*12))/((1+'Loan tape'!$D16/12)^('Loan tape'!$H16*12)-1)))</f>
        <v>42451653.3814354</v>
      </c>
      <c r="J17" s="11" t="n">
        <f aca="false">IF('Loan tape'!$C16="",0,IF(OR('Loan tape'!$H16=0,J$5&lt;='Loan tape'!$I16),'Loan tape'!$C16,'Loan tape'!$C16*((1+'Loan tape'!$D16/12)^('Loan tape'!$H16*12)-(1+'Loan tape'!$D16/12)^MIN((J$5-'Loan tape'!$I16)*12,'Loan tape'!$H16*12))/((1+'Loan tape'!$D16/12)^('Loan tape'!$H16*12)-1)))</f>
        <v>41863771.8522118</v>
      </c>
      <c r="K17" s="11" t="n">
        <f aca="false">IF('Loan tape'!$C16="",0,IF(OR('Loan tape'!$H16=0,K$5&lt;='Loan tape'!$I16),'Loan tape'!$C16,'Loan tape'!$C16*((1+'Loan tape'!$D16/12)^('Loan tape'!$H16*12)-(1+'Loan tape'!$D16/12)^MIN((K$5-'Loan tape'!$I16)*12,'Loan tape'!$H16*12))/((1+'Loan tape'!$D16/12)^('Loan tape'!$H16*12)-1)))</f>
        <v>41235894.6500099</v>
      </c>
      <c r="L17" s="11" t="n">
        <f aca="false">IF('Loan tape'!$C16="",0,IF(OR('Loan tape'!$H16=0,L$5&lt;='Loan tape'!$I16),'Loan tape'!$C16,'Loan tape'!$C16*((1+'Loan tape'!$D16/12)^('Loan tape'!$H16*12)-(1+'Loan tape'!$D16/12)^MIN((L$5-'Loan tape'!$I16)*12,'Loan tape'!$H16*12))/((1+'Loan tape'!$D16/12)^('Loan tape'!$H16*12)-1)))</f>
        <v>40565300.7268336</v>
      </c>
      <c r="M17" s="11" t="n">
        <f aca="false">IF('Loan tape'!$C16="",0,IF(OR('Loan tape'!$H16=0,M$5&lt;='Loan tape'!$I16),'Loan tape'!$C16,'Loan tape'!$C16*((1+'Loan tape'!$D16/12)^('Loan tape'!$H16*12)-(1+'Loan tape'!$D16/12)^MIN((M$5-'Loan tape'!$I16)*12,'Loan tape'!$H16*12))/((1+'Loan tape'!$D16/12)^('Loan tape'!$H16*12)-1)))</f>
        <v>39849083.9121062</v>
      </c>
      <c r="N17" s="11" t="n">
        <f aca="false">IF('Loan tape'!$C16="",0,IF(OR('Loan tape'!$H16=0,N$5&lt;='Loan tape'!$I16),'Loan tape'!$C16,'Loan tape'!$C16*((1+'Loan tape'!$D16/12)^('Loan tape'!$H16*12)-(1+'Loan tape'!$D16/12)^MIN((N$5-'Loan tape'!$I16)*12,'Loan tape'!$H16*12))/((1+'Loan tape'!$D16/12)^('Loan tape'!$H16*12)-1)))</f>
        <v>39084140.3181223</v>
      </c>
      <c r="O17" s="11" t="n">
        <f aca="false">IF('Loan tape'!$C16="",0,IF(OR('Loan tape'!$H16=0,O$5&lt;='Loan tape'!$I16),'Loan tape'!$C16,'Loan tape'!$C16*((1+'Loan tape'!$D16/12)^('Loan tape'!$H16*12)-(1+'Loan tape'!$D16/12)^MIN((O$5-'Loan tape'!$I16)*12,'Loan tape'!$H16*12))/((1+'Loan tape'!$D16/12)^('Loan tape'!$H16*12)-1)))</f>
        <v>38267154.8886477</v>
      </c>
      <c r="P17" s="11" t="n">
        <f aca="false">IF('Loan tape'!$C16="",0,IF(OR('Loan tape'!$H16=0,P$5&lt;='Loan tape'!$I16),'Loan tape'!$C16,'Loan tape'!$C16*((1+'Loan tape'!$D16/12)^('Loan tape'!$H16*12)-(1+'Loan tape'!$D16/12)^MIN((P$5-'Loan tape'!$I16)*12,'Loan tape'!$H16*12))/((1+'Loan tape'!$D16/12)^('Loan tape'!$H16*12)-1)))</f>
        <v>37394587.0323728</v>
      </c>
      <c r="Q17" s="11" t="n">
        <f aca="false">IF($B17=1,IF(Q$5&lt;$C17,F17,IF(Q$5&lt;=$D17,$E17,0)),F17)</f>
        <v>44000000</v>
      </c>
      <c r="R17" s="11" t="n">
        <f aca="false">IF($B17=1,IF(R$5&lt;$C17,G17,IF(R$5&lt;=$D17,$E17,0)),G17)</f>
        <v>43517458.0025271</v>
      </c>
      <c r="S17" s="11" t="n">
        <f aca="false">IF($B17=1,IF(S$5&lt;$C17,H17,IF(S$5&lt;=$D17,$E17,0)),H17)</f>
        <v>43002086.9553734</v>
      </c>
      <c r="T17" s="11" t="n">
        <f aca="false">IF($B17=1,IF(T$5&lt;$C17,I17,IF(T$5&lt;=$D17,$E17,0)),I17)</f>
        <v>42451653.3814354</v>
      </c>
      <c r="U17" s="11" t="n">
        <f aca="false">IF($B17=1,IF(U$5&lt;$C17,J17,IF(U$5&lt;=$D17,$E17,0)),J17)</f>
        <v>41863771.8522118</v>
      </c>
      <c r="V17" s="11" t="n">
        <f aca="false">IF($B17=1,IF(V$5&lt;$C17,K17,IF(V$5&lt;=$D17,$E17,0)),K17)</f>
        <v>41235894.6500099</v>
      </c>
      <c r="W17" s="11" t="n">
        <f aca="false">IF($B17=1,IF(W$5&lt;$C17,L17,IF(W$5&lt;=$D17,$E17,0)),L17)</f>
        <v>40565300.7268336</v>
      </c>
      <c r="X17" s="11" t="n">
        <f aca="false">IF($B17=1,IF(X$5&lt;$C17,M17,IF(X$5&lt;=$D17,$E17,0)),M17)</f>
        <v>39849083.9121062</v>
      </c>
      <c r="Y17" s="11" t="n">
        <f aca="false">IF($B17=1,IF(Y$5&lt;$C17,N17,IF(Y$5&lt;=$D17,$E17,0)),N17)</f>
        <v>39084140.3181223</v>
      </c>
      <c r="Z17" s="11" t="n">
        <f aca="false">IF($B17=1,IF(Z$5&lt;$C17,O17,IF(Z$5&lt;=$D17,$E17,0)),O17)</f>
        <v>38267154.8886477</v>
      </c>
      <c r="AA17" s="11" t="n">
        <f aca="false">IF($B17=1,IF(AA$5&lt;$C17,F17*'Loan tape'!$D16,0),F17*'Loan tape'!$D16)</f>
        <v>2904000</v>
      </c>
      <c r="AB17" s="11" t="n">
        <f aca="false">IF($B17=1,IF(AB$5&lt;$C17,G17*'Loan tape'!$D16,0),G17*'Loan tape'!$D16)</f>
        <v>2872152.22816679</v>
      </c>
      <c r="AC17" s="11" t="n">
        <f aca="false">IF($B17=1,IF(AC$5&lt;$C17,H17*'Loan tape'!$D16,0),H17*'Loan tape'!$D16)</f>
        <v>2838137.73905465</v>
      </c>
      <c r="AD17" s="11" t="n">
        <f aca="false">IF($B17=1,IF(AD$5&lt;$C17,I17*'Loan tape'!$D16,0),I17*'Loan tape'!$D16)</f>
        <v>2801809.12317474</v>
      </c>
      <c r="AE17" s="11" t="n">
        <f aca="false">IF($B17=1,IF(AE$5&lt;$C17,J17*'Loan tape'!$D16,0),J17*'Loan tape'!$D16)</f>
        <v>2763008.94224598</v>
      </c>
      <c r="AF17" s="11" t="n">
        <f aca="false">IF($B17=1,IF(AF$5&lt;$C17,K17*'Loan tape'!$D16,0),K17*'Loan tape'!$D16)</f>
        <v>2721569.04690065</v>
      </c>
      <c r="AG17" s="11" t="n">
        <f aca="false">IF($B17=1,IF(AG$5&lt;$C17,L17*'Loan tape'!$D16,0),L17*'Loan tape'!$D16)</f>
        <v>2677309.84797101</v>
      </c>
      <c r="AH17" s="11" t="n">
        <f aca="false">IF($B17=1,IF(AH$5&lt;$C17,M17*'Loan tape'!$D16,0),M17*'Loan tape'!$D16)</f>
        <v>2630039.53819901</v>
      </c>
      <c r="AI17" s="11" t="n">
        <f aca="false">IF($B17=1,IF(AI$5&lt;$C17,N17*'Loan tape'!$D16,0),N17*'Loan tape'!$D16)</f>
        <v>2579553.26099607</v>
      </c>
      <c r="AJ17" s="11" t="n">
        <f aca="false">IF($B17=1,IF(AJ$5&lt;$C17,O17*'Loan tape'!$D16,0),O17*'Loan tape'!$D16)</f>
        <v>2525632.22265075</v>
      </c>
      <c r="AK17" s="11" t="n">
        <f aca="false">IF($B17=1,IF(AK$5&lt;$C17,F17-G17,0),F17-G17)</f>
        <v>482541.997472927</v>
      </c>
      <c r="AL17" s="11" t="n">
        <f aca="false">IF($B17=1,IF(AL$5&lt;$C17,G17-H17,0),G17-H17)</f>
        <v>515371.047153629</v>
      </c>
      <c r="AM17" s="11" t="n">
        <f aca="false">IF($B17=1,IF(AM$5&lt;$C17,H17-I17,0),H17-I17)</f>
        <v>550433.573938064</v>
      </c>
      <c r="AN17" s="11" t="n">
        <f aca="false">IF($B17=1,IF(AN$5&lt;$C17,I17-J17,0),I17-J17)</f>
        <v>587881.529223576</v>
      </c>
      <c r="AO17" s="11" t="n">
        <f aca="false">IF($B17=1,IF(AO$5&lt;$C17,J17-K17,0),J17-K17)</f>
        <v>627877.20220194</v>
      </c>
      <c r="AP17" s="11" t="n">
        <f aca="false">IF($B17=1,IF(AP$5&lt;$C17,K17-L17,0),K17-L17)</f>
        <v>670593.923176311</v>
      </c>
      <c r="AQ17" s="11" t="n">
        <f aca="false">IF($B17=1,IF(AQ$5&lt;$C17,L17-M17,0),L17-M17)</f>
        <v>716216.814727388</v>
      </c>
      <c r="AR17" s="11" t="n">
        <f aca="false">IF($B17=1,IF(AR$5&lt;$C17,M17-N17,0),M17-N17)</f>
        <v>764943.593983866</v>
      </c>
      <c r="AS17" s="11" t="n">
        <f aca="false">IF($B17=1,IF(AS$5&lt;$C17,N17-O17,0),N17-O17)</f>
        <v>816985.429474562</v>
      </c>
      <c r="AT17" s="11" t="n">
        <f aca="false">IF($B17=1,IF(AT$5&lt;$C17,O17-P17,0),O17-P17)</f>
        <v>872567.856274925</v>
      </c>
      <c r="AU17" s="11" t="n">
        <f aca="false">IF(B17=1,0,P17)</f>
        <v>37394587.0323728</v>
      </c>
      <c r="AV17" s="11" t="n">
        <f aca="false">SUM(AA17:AJ17)</f>
        <v>27313211.9493596</v>
      </c>
      <c r="AW17" s="11" t="n">
        <f aca="false">SUM(AK17:AT17)</f>
        <v>6605412.96762719</v>
      </c>
      <c r="AX17" s="11" t="n">
        <f aca="false">SUM(Q17:Z17)</f>
        <v>413836544.687267</v>
      </c>
    </row>
    <row r="18" customFormat="false" ht="15" hidden="false" customHeight="false" outlineLevel="0" collapsed="false">
      <c r="A18" s="17" t="str">
        <f aca="false">IF('Loan tape'!A17="","",'Loan tape'!A17)</f>
        <v>Lakeshore Suites</v>
      </c>
      <c r="B18" s="30" t="n">
        <f aca="false">IF(A18="",0,IF(ISNUMBER(MATCH(A18,Liquidations!$A$13:$A$17,0)),1,0))</f>
        <v>0</v>
      </c>
      <c r="C18" s="30" t="n">
        <f aca="false">Liquidations!$B$23</f>
        <v>4</v>
      </c>
      <c r="D18" s="30" t="n">
        <f aca="false">IF(B18=1,INDEX(Liquidations!$W$13:$W$17,MATCH(A18,Liquidations!$A$13:$A$17,0)),0)</f>
        <v>0</v>
      </c>
      <c r="E18" s="11" t="n">
        <f aca="false">IF(B18=1,INDEX(Liquidations!$I$13:$I$17,MATCH(A18,Liquidations!$A$13:$A$17,0)),0)</f>
        <v>0</v>
      </c>
      <c r="F18" s="11" t="n">
        <f aca="false">IF('Loan tape'!$C17="",0,IF(OR('Loan tape'!$H17=0,F$5&lt;='Loan tape'!$I17),'Loan tape'!$C17,'Loan tape'!$C17*((1+'Loan tape'!$D17/12)^('Loan tape'!$H17*12)-(1+'Loan tape'!$D17/12)^MIN((F$5-'Loan tape'!$I17)*12,'Loan tape'!$H17*12))/((1+'Loan tape'!$D17/12)^('Loan tape'!$H17*12)-1)))</f>
        <v>41000000</v>
      </c>
      <c r="G18" s="11" t="n">
        <f aca="false">IF('Loan tape'!$C17="",0,IF(OR('Loan tape'!$H17=0,G$5&lt;='Loan tape'!$I17),'Loan tape'!$C17,'Loan tape'!$C17*((1+'Loan tape'!$D17/12)^('Loan tape'!$H17*12)-(1+'Loan tape'!$D17/12)^MIN((G$5-'Loan tape'!$I17)*12,'Loan tape'!$H17*12))/((1+'Loan tape'!$D17/12)^('Loan tape'!$H17*12)-1)))</f>
        <v>40396498.0600112</v>
      </c>
      <c r="H18" s="11" t="n">
        <f aca="false">IF('Loan tape'!$C17="",0,IF(OR('Loan tape'!$H17=0,H$5&lt;='Loan tape'!$I17),'Loan tape'!$C17,'Loan tape'!$C17*((1+'Loan tape'!$D17/12)^('Loan tape'!$H17*12)-(1+'Loan tape'!$D17/12)^MIN((H$5-'Loan tape'!$I17)*12,'Loan tape'!$H17*12))/((1+'Loan tape'!$D17/12)^('Loan tape'!$H17*12)-1)))</f>
        <v>39747758.6421103</v>
      </c>
      <c r="I18" s="11" t="n">
        <f aca="false">IF('Loan tape'!$C17="",0,IF(OR('Loan tape'!$H17=0,I$5&lt;='Loan tape'!$I17),'Loan tape'!$C17,'Loan tape'!$C17*((1+'Loan tape'!$D17/12)^('Loan tape'!$H17*12)-(1+'Loan tape'!$D17/12)^MIN((I$5-'Loan tape'!$I17)*12,'Loan tape'!$H17*12))/((1+'Loan tape'!$D17/12)^('Loan tape'!$H17*12)-1)))</f>
        <v>39050390.8219734</v>
      </c>
      <c r="J18" s="11" t="n">
        <f aca="false">IF('Loan tape'!$C17="",0,IF(OR('Loan tape'!$H17=0,J$5&lt;='Loan tape'!$I17),'Loan tape'!$C17,'Loan tape'!$C17*((1+'Loan tape'!$D17/12)^('Loan tape'!$H17*12)-(1+'Loan tape'!$D17/12)^MIN((J$5-'Loan tape'!$I17)*12,'Loan tape'!$H17*12))/((1+'Loan tape'!$D17/12)^('Loan tape'!$H17*12)-1)))</f>
        <v>38300749.4973627</v>
      </c>
      <c r="K18" s="11" t="n">
        <f aca="false">IF('Loan tape'!$C17="",0,IF(OR('Loan tape'!$H17=0,K$5&lt;='Loan tape'!$I17),'Loan tape'!$C17,'Loan tape'!$C17*((1+'Loan tape'!$D17/12)^('Loan tape'!$H17*12)-(1+'Loan tape'!$D17/12)^MIN((K$5-'Loan tape'!$I17)*12,'Loan tape'!$H17*12))/((1+'Loan tape'!$D17/12)^('Loan tape'!$H17*12)-1)))</f>
        <v>37494916.3353825</v>
      </c>
      <c r="L18" s="11" t="n">
        <f aca="false">IF('Loan tape'!$C17="",0,IF(OR('Loan tape'!$H17=0,L$5&lt;='Loan tape'!$I17),'Loan tape'!$C17,'Loan tape'!$C17*((1+'Loan tape'!$D17/12)^('Loan tape'!$H17*12)-(1+'Loan tape'!$D17/12)^MIN((L$5-'Loan tape'!$I17)*12,'Loan tape'!$H17*12))/((1+'Loan tape'!$D17/12)^('Loan tape'!$H17*12)-1)))</f>
        <v>36628679.2915746</v>
      </c>
      <c r="M18" s="11" t="n">
        <f aca="false">IF('Loan tape'!$C17="",0,IF(OR('Loan tape'!$H17=0,M$5&lt;='Loan tape'!$I17),'Loan tape'!$C17,'Loan tape'!$C17*((1+'Loan tape'!$D17/12)^('Loan tape'!$H17*12)-(1+'Loan tape'!$D17/12)^MIN((M$5-'Loan tape'!$I17)*12,'Loan tape'!$H17*12))/((1+'Loan tape'!$D17/12)^('Loan tape'!$H17*12)-1)))</f>
        <v>35697510.5937996</v>
      </c>
      <c r="N18" s="11" t="n">
        <f aca="false">IF('Loan tape'!$C17="",0,IF(OR('Loan tape'!$H17=0,N$5&lt;='Loan tape'!$I17),'Loan tape'!$C17,'Loan tape'!$C17*((1+'Loan tape'!$D17/12)^('Loan tape'!$H17*12)-(1+'Loan tape'!$D17/12)^MIN((N$5-'Loan tape'!$I17)*12,'Loan tape'!$H17*12))/((1+'Loan tape'!$D17/12)^('Loan tape'!$H17*12)-1)))</f>
        <v>34696543.0758273</v>
      </c>
      <c r="O18" s="11" t="n">
        <f aca="false">IF('Loan tape'!$C17="",0,IF(OR('Loan tape'!$H17=0,O$5&lt;='Loan tape'!$I17),'Loan tape'!$C17,'Loan tape'!$C17*((1+'Loan tape'!$D17/12)^('Loan tape'!$H17*12)-(1+'Loan tape'!$D17/12)^MIN((O$5-'Loan tape'!$I17)*12,'Loan tape'!$H17*12))/((1+'Loan tape'!$D17/12)^('Loan tape'!$H17*12)-1)))</f>
        <v>33620544.7369338</v>
      </c>
      <c r="P18" s="11" t="n">
        <f aca="false">IF('Loan tape'!$C17="",0,IF(OR('Loan tape'!$H17=0,P$5&lt;='Loan tape'!$I17),'Loan tape'!$C17,'Loan tape'!$C17*((1+'Loan tape'!$D17/12)^('Loan tape'!$H17*12)-(1+'Loan tape'!$D17/12)^MIN((P$5-'Loan tape'!$I17)*12,'Loan tape'!$H17*12))/((1+'Loan tape'!$D17/12)^('Loan tape'!$H17*12)-1)))</f>
        <v>32463891.3945286</v>
      </c>
      <c r="Q18" s="11" t="n">
        <f aca="false">IF($B18=1,IF(Q$5&lt;$C18,F18,IF(Q$5&lt;=$D18,$E18,0)),F18)</f>
        <v>41000000</v>
      </c>
      <c r="R18" s="11" t="n">
        <f aca="false">IF($B18=1,IF(R$5&lt;$C18,G18,IF(R$5&lt;=$D18,$E18,0)),G18)</f>
        <v>40396498.0600112</v>
      </c>
      <c r="S18" s="11" t="n">
        <f aca="false">IF($B18=1,IF(S$5&lt;$C18,H18,IF(S$5&lt;=$D18,$E18,0)),H18)</f>
        <v>39747758.6421103</v>
      </c>
      <c r="T18" s="11" t="n">
        <f aca="false">IF($B18=1,IF(T$5&lt;$C18,I18,IF(T$5&lt;=$D18,$E18,0)),I18)</f>
        <v>39050390.8219734</v>
      </c>
      <c r="U18" s="11" t="n">
        <f aca="false">IF($B18=1,IF(U$5&lt;$C18,J18,IF(U$5&lt;=$D18,$E18,0)),J18)</f>
        <v>38300749.4973627</v>
      </c>
      <c r="V18" s="11" t="n">
        <f aca="false">IF($B18=1,IF(V$5&lt;$C18,K18,IF(V$5&lt;=$D18,$E18,0)),K18)</f>
        <v>37494916.3353825</v>
      </c>
      <c r="W18" s="11" t="n">
        <f aca="false">IF($B18=1,IF(W$5&lt;$C18,L18,IF(W$5&lt;=$D18,$E18,0)),L18)</f>
        <v>36628679.2915746</v>
      </c>
      <c r="X18" s="11" t="n">
        <f aca="false">IF($B18=1,IF(X$5&lt;$C18,M18,IF(X$5&lt;=$D18,$E18,0)),M18)</f>
        <v>35697510.5937996</v>
      </c>
      <c r="Y18" s="11" t="n">
        <f aca="false">IF($B18=1,IF(Y$5&lt;$C18,N18,IF(Y$5&lt;=$D18,$E18,0)),N18)</f>
        <v>34696543.0758273</v>
      </c>
      <c r="Z18" s="11" t="n">
        <f aca="false">IF($B18=1,IF(Z$5&lt;$C18,O18,IF(Z$5&lt;=$D18,$E18,0)),O18)</f>
        <v>33620544.7369338</v>
      </c>
      <c r="AA18" s="11" t="n">
        <f aca="false">IF($B18=1,IF(AA$5&lt;$C18,F18*'Loan tape'!$D17,0),F18*'Loan tape'!$D17)</f>
        <v>2972500</v>
      </c>
      <c r="AB18" s="11" t="n">
        <f aca="false">IF($B18=1,IF(AB$5&lt;$C18,G18*'Loan tape'!$D17,0),G18*'Loan tape'!$D17)</f>
        <v>2928746.10935081</v>
      </c>
      <c r="AC18" s="11" t="n">
        <f aca="false">IF($B18=1,IF(AC$5&lt;$C18,H18*'Loan tape'!$D17,0),H18*'Loan tape'!$D17)</f>
        <v>2881712.50155299</v>
      </c>
      <c r="AD18" s="11" t="n">
        <f aca="false">IF($B18=1,IF(AD$5&lt;$C18,I18*'Loan tape'!$D17,0),I18*'Loan tape'!$D17)</f>
        <v>2831153.33459307</v>
      </c>
      <c r="AE18" s="11" t="n">
        <f aca="false">IF($B18=1,IF(AE$5&lt;$C18,J18*'Loan tape'!$D17,0),J18*'Loan tape'!$D17)</f>
        <v>2776804.3385588</v>
      </c>
      <c r="AF18" s="11" t="n">
        <f aca="false">IF($B18=1,IF(AF$5&lt;$C18,K18*'Loan tape'!$D17,0),K18*'Loan tape'!$D17)</f>
        <v>2718381.43431523</v>
      </c>
      <c r="AG18" s="11" t="n">
        <f aca="false">IF($B18=1,IF(AG$5&lt;$C18,L18*'Loan tape'!$D17,0),L18*'Loan tape'!$D17)</f>
        <v>2655579.24863916</v>
      </c>
      <c r="AH18" s="11" t="n">
        <f aca="false">IF($B18=1,IF(AH$5&lt;$C18,M18*'Loan tape'!$D17,0),M18*'Loan tape'!$D17)</f>
        <v>2588069.51805047</v>
      </c>
      <c r="AI18" s="11" t="n">
        <f aca="false">IF($B18=1,IF(AI$5&lt;$C18,N18*'Loan tape'!$D17,0),N18*'Loan tape'!$D17)</f>
        <v>2515499.37299748</v>
      </c>
      <c r="AJ18" s="11" t="n">
        <f aca="false">IF($B18=1,IF(AJ$5&lt;$C18,O18*'Loan tape'!$D17,0),O18*'Loan tape'!$D17)</f>
        <v>2437489.4934277</v>
      </c>
      <c r="AK18" s="11" t="n">
        <f aca="false">IF($B18=1,IF(AK$5&lt;$C18,F18-G18,0),F18-G18)</f>
        <v>603501.939988852</v>
      </c>
      <c r="AL18" s="11" t="n">
        <f aca="false">IF($B18=1,IF(AL$5&lt;$C18,G18-H18,0),G18-H18)</f>
        <v>648739.417900883</v>
      </c>
      <c r="AM18" s="11" t="n">
        <f aca="false">IF($B18=1,IF(AM$5&lt;$C18,H18-I18,0),H18-I18)</f>
        <v>697367.820136845</v>
      </c>
      <c r="AN18" s="11" t="n">
        <f aca="false">IF($B18=1,IF(AN$5&lt;$C18,I18-J18,0),I18-J18)</f>
        <v>749641.324610718</v>
      </c>
      <c r="AO18" s="11" t="n">
        <f aca="false">IF($B18=1,IF(AO$5&lt;$C18,J18-K18,0),J18-K18)</f>
        <v>805833.161980212</v>
      </c>
      <c r="AP18" s="11" t="n">
        <f aca="false">IF($B18=1,IF(AP$5&lt;$C18,K18-L18,0),K18-L18)</f>
        <v>866237.043807887</v>
      </c>
      <c r="AQ18" s="11" t="n">
        <f aca="false">IF($B18=1,IF(AQ$5&lt;$C18,L18-M18,0),L18-M18)</f>
        <v>931168.697775021</v>
      </c>
      <c r="AR18" s="11" t="n">
        <f aca="false">IF($B18=1,IF(AR$5&lt;$C18,M18-N18,0),M18-N18)</f>
        <v>1000967.51797226</v>
      </c>
      <c r="AS18" s="11" t="n">
        <f aca="false">IF($B18=1,IF(AS$5&lt;$C18,N18-O18,0),N18-O18)</f>
        <v>1075998.33889353</v>
      </c>
      <c r="AT18" s="11" t="n">
        <f aca="false">IF($B18=1,IF(AT$5&lt;$C18,O18-P18,0),O18-P18)</f>
        <v>1156653.34240516</v>
      </c>
      <c r="AU18" s="11" t="n">
        <f aca="false">IF(B18=1,0,P18)</f>
        <v>32463891.3945286</v>
      </c>
      <c r="AV18" s="11" t="n">
        <f aca="false">SUM(AA18:AJ18)</f>
        <v>27305935.3514857</v>
      </c>
      <c r="AW18" s="11" t="n">
        <f aca="false">SUM(AK18:AT18)</f>
        <v>8536108.60547137</v>
      </c>
      <c r="AX18" s="11" t="n">
        <f aca="false">SUM(Q18:Z18)</f>
        <v>376633591.054975</v>
      </c>
    </row>
    <row r="19" customFormat="false" ht="15" hidden="false" customHeight="false" outlineLevel="0" collapsed="false">
      <c r="A19" s="17" t="str">
        <f aca="false">IF('Loan tape'!A18="","",'Loan tape'!A18)</f>
        <v>Tanner Mills Mixed-Use</v>
      </c>
      <c r="B19" s="30" t="n">
        <f aca="false">IF(A19="",0,IF(ISNUMBER(MATCH(A19,Liquidations!$A$13:$A$17,0)),1,0))</f>
        <v>0</v>
      </c>
      <c r="C19" s="30" t="n">
        <f aca="false">Liquidations!$B$23</f>
        <v>4</v>
      </c>
      <c r="D19" s="30" t="n">
        <f aca="false">IF(B19=1,INDEX(Liquidations!$W$13:$W$17,MATCH(A19,Liquidations!$A$13:$A$17,0)),0)</f>
        <v>0</v>
      </c>
      <c r="E19" s="11" t="n">
        <f aca="false">IF(B19=1,INDEX(Liquidations!$I$13:$I$17,MATCH(A19,Liquidations!$A$13:$A$17,0)),0)</f>
        <v>0</v>
      </c>
      <c r="F19" s="11" t="n">
        <f aca="false">IF('Loan tape'!$C18="",0,IF(OR('Loan tape'!$H18=0,F$5&lt;='Loan tape'!$I18),'Loan tape'!$C18,'Loan tape'!$C18*((1+'Loan tape'!$D18/12)^('Loan tape'!$H18*12)-(1+'Loan tape'!$D18/12)^MIN((F$5-'Loan tape'!$I18)*12,'Loan tape'!$H18*12))/((1+'Loan tape'!$D18/12)^('Loan tape'!$H18*12)-1)))</f>
        <v>38500000</v>
      </c>
      <c r="G19" s="11" t="n">
        <f aca="false">IF('Loan tape'!$C18="",0,IF(OR('Loan tape'!$H18=0,G$5&lt;='Loan tape'!$I18),'Loan tape'!$C18,'Loan tape'!$C18*((1+'Loan tape'!$D18/12)^('Loan tape'!$H18*12)-(1+'Loan tape'!$D18/12)^MIN((G$5-'Loan tape'!$I18)*12,'Loan tape'!$H18*12))/((1+'Loan tape'!$D18/12)^('Loan tape'!$H18*12)-1)))</f>
        <v>38500000</v>
      </c>
      <c r="H19" s="11" t="n">
        <f aca="false">IF('Loan tape'!$C18="",0,IF(OR('Loan tape'!$H18=0,H$5&lt;='Loan tape'!$I18),'Loan tape'!$C18,'Loan tape'!$C18*((1+'Loan tape'!$D18/12)^('Loan tape'!$H18*12)-(1+'Loan tape'!$D18/12)^MIN((H$5-'Loan tape'!$I18)*12,'Loan tape'!$H18*12))/((1+'Loan tape'!$D18/12)^('Loan tape'!$H18*12)-1)))</f>
        <v>38500000</v>
      </c>
      <c r="I19" s="11" t="n">
        <f aca="false">IF('Loan tape'!$C18="",0,IF(OR('Loan tape'!$H18=0,I$5&lt;='Loan tape'!$I18),'Loan tape'!$C18,'Loan tape'!$C18*((1+'Loan tape'!$D18/12)^('Loan tape'!$H18*12)-(1+'Loan tape'!$D18/12)^MIN((I$5-'Loan tape'!$I18)*12,'Loan tape'!$H18*12))/((1+'Loan tape'!$D18/12)^('Loan tape'!$H18*12)-1)))</f>
        <v>38500000</v>
      </c>
      <c r="J19" s="11" t="n">
        <f aca="false">IF('Loan tape'!$C18="",0,IF(OR('Loan tape'!$H18=0,J$5&lt;='Loan tape'!$I18),'Loan tape'!$C18,'Loan tape'!$C18*((1+'Loan tape'!$D18/12)^('Loan tape'!$H18*12)-(1+'Loan tape'!$D18/12)^MIN((J$5-'Loan tape'!$I18)*12,'Loan tape'!$H18*12))/((1+'Loan tape'!$D18/12)^('Loan tape'!$H18*12)-1)))</f>
        <v>38500000</v>
      </c>
      <c r="K19" s="11" t="n">
        <f aca="false">IF('Loan tape'!$C18="",0,IF(OR('Loan tape'!$H18=0,K$5&lt;='Loan tape'!$I18),'Loan tape'!$C18,'Loan tape'!$C18*((1+'Loan tape'!$D18/12)^('Loan tape'!$H18*12)-(1+'Loan tape'!$D18/12)^MIN((K$5-'Loan tape'!$I18)*12,'Loan tape'!$H18*12))/((1+'Loan tape'!$D18/12)^('Loan tape'!$H18*12)-1)))</f>
        <v>38500000</v>
      </c>
      <c r="L19" s="11" t="n">
        <f aca="false">IF('Loan tape'!$C18="",0,IF(OR('Loan tape'!$H18=0,L$5&lt;='Loan tape'!$I18),'Loan tape'!$C18,'Loan tape'!$C18*((1+'Loan tape'!$D18/12)^('Loan tape'!$H18*12)-(1+'Loan tape'!$D18/12)^MIN((L$5-'Loan tape'!$I18)*12,'Loan tape'!$H18*12))/((1+'Loan tape'!$D18/12)^('Loan tape'!$H18*12)-1)))</f>
        <v>38500000</v>
      </c>
      <c r="M19" s="11" t="n">
        <f aca="false">IF('Loan tape'!$C18="",0,IF(OR('Loan tape'!$H18=0,M$5&lt;='Loan tape'!$I18),'Loan tape'!$C18,'Loan tape'!$C18*((1+'Loan tape'!$D18/12)^('Loan tape'!$H18*12)-(1+'Loan tape'!$D18/12)^MIN((M$5-'Loan tape'!$I18)*12,'Loan tape'!$H18*12))/((1+'Loan tape'!$D18/12)^('Loan tape'!$H18*12)-1)))</f>
        <v>38500000</v>
      </c>
      <c r="N19" s="11" t="n">
        <f aca="false">IF('Loan tape'!$C18="",0,IF(OR('Loan tape'!$H18=0,N$5&lt;='Loan tape'!$I18),'Loan tape'!$C18,'Loan tape'!$C18*((1+'Loan tape'!$D18/12)^('Loan tape'!$H18*12)-(1+'Loan tape'!$D18/12)^MIN((N$5-'Loan tape'!$I18)*12,'Loan tape'!$H18*12))/((1+'Loan tape'!$D18/12)^('Loan tape'!$H18*12)-1)))</f>
        <v>38500000</v>
      </c>
      <c r="O19" s="11" t="n">
        <f aca="false">IF('Loan tape'!$C18="",0,IF(OR('Loan tape'!$H18=0,O$5&lt;='Loan tape'!$I18),'Loan tape'!$C18,'Loan tape'!$C18*((1+'Loan tape'!$D18/12)^('Loan tape'!$H18*12)-(1+'Loan tape'!$D18/12)^MIN((O$5-'Loan tape'!$I18)*12,'Loan tape'!$H18*12))/((1+'Loan tape'!$D18/12)^('Loan tape'!$H18*12)-1)))</f>
        <v>38500000</v>
      </c>
      <c r="P19" s="11" t="n">
        <f aca="false">IF('Loan tape'!$C18="",0,IF(OR('Loan tape'!$H18=0,P$5&lt;='Loan tape'!$I18),'Loan tape'!$C18,'Loan tape'!$C18*((1+'Loan tape'!$D18/12)^('Loan tape'!$H18*12)-(1+'Loan tape'!$D18/12)^MIN((P$5-'Loan tape'!$I18)*12,'Loan tape'!$H18*12))/((1+'Loan tape'!$D18/12)^('Loan tape'!$H18*12)-1)))</f>
        <v>38500000</v>
      </c>
      <c r="Q19" s="11" t="n">
        <f aca="false">IF($B19=1,IF(Q$5&lt;$C19,F19,IF(Q$5&lt;=$D19,$E19,0)),F19)</f>
        <v>38500000</v>
      </c>
      <c r="R19" s="11" t="n">
        <f aca="false">IF($B19=1,IF(R$5&lt;$C19,G19,IF(R$5&lt;=$D19,$E19,0)),G19)</f>
        <v>38500000</v>
      </c>
      <c r="S19" s="11" t="n">
        <f aca="false">IF($B19=1,IF(S$5&lt;$C19,H19,IF(S$5&lt;=$D19,$E19,0)),H19)</f>
        <v>38500000</v>
      </c>
      <c r="T19" s="11" t="n">
        <f aca="false">IF($B19=1,IF(T$5&lt;$C19,I19,IF(T$5&lt;=$D19,$E19,0)),I19)</f>
        <v>38500000</v>
      </c>
      <c r="U19" s="11" t="n">
        <f aca="false">IF($B19=1,IF(U$5&lt;$C19,J19,IF(U$5&lt;=$D19,$E19,0)),J19)</f>
        <v>38500000</v>
      </c>
      <c r="V19" s="11" t="n">
        <f aca="false">IF($B19=1,IF(V$5&lt;$C19,K19,IF(V$5&lt;=$D19,$E19,0)),K19)</f>
        <v>38500000</v>
      </c>
      <c r="W19" s="11" t="n">
        <f aca="false">IF($B19=1,IF(W$5&lt;$C19,L19,IF(W$5&lt;=$D19,$E19,0)),L19)</f>
        <v>38500000</v>
      </c>
      <c r="X19" s="11" t="n">
        <f aca="false">IF($B19=1,IF(X$5&lt;$C19,M19,IF(X$5&lt;=$D19,$E19,0)),M19)</f>
        <v>38500000</v>
      </c>
      <c r="Y19" s="11" t="n">
        <f aca="false">IF($B19=1,IF(Y$5&lt;$C19,N19,IF(Y$5&lt;=$D19,$E19,0)),N19)</f>
        <v>38500000</v>
      </c>
      <c r="Z19" s="11" t="n">
        <f aca="false">IF($B19=1,IF(Z$5&lt;$C19,O19,IF(Z$5&lt;=$D19,$E19,0)),O19)</f>
        <v>38500000</v>
      </c>
      <c r="AA19" s="11" t="n">
        <f aca="false">IF($B19=1,IF(AA$5&lt;$C19,F19*'Loan tape'!$D18,0),F19*'Loan tape'!$D18)</f>
        <v>2425500</v>
      </c>
      <c r="AB19" s="11" t="n">
        <f aca="false">IF($B19=1,IF(AB$5&lt;$C19,G19*'Loan tape'!$D18,0),G19*'Loan tape'!$D18)</f>
        <v>2425500</v>
      </c>
      <c r="AC19" s="11" t="n">
        <f aca="false">IF($B19=1,IF(AC$5&lt;$C19,H19*'Loan tape'!$D18,0),H19*'Loan tape'!$D18)</f>
        <v>2425500</v>
      </c>
      <c r="AD19" s="11" t="n">
        <f aca="false">IF($B19=1,IF(AD$5&lt;$C19,I19*'Loan tape'!$D18,0),I19*'Loan tape'!$D18)</f>
        <v>2425500</v>
      </c>
      <c r="AE19" s="11" t="n">
        <f aca="false">IF($B19=1,IF(AE$5&lt;$C19,J19*'Loan tape'!$D18,0),J19*'Loan tape'!$D18)</f>
        <v>2425500</v>
      </c>
      <c r="AF19" s="11" t="n">
        <f aca="false">IF($B19=1,IF(AF$5&lt;$C19,K19*'Loan tape'!$D18,0),K19*'Loan tape'!$D18)</f>
        <v>2425500</v>
      </c>
      <c r="AG19" s="11" t="n">
        <f aca="false">IF($B19=1,IF(AG$5&lt;$C19,L19*'Loan tape'!$D18,0),L19*'Loan tape'!$D18)</f>
        <v>2425500</v>
      </c>
      <c r="AH19" s="11" t="n">
        <f aca="false">IF($B19=1,IF(AH$5&lt;$C19,M19*'Loan tape'!$D18,0),M19*'Loan tape'!$D18)</f>
        <v>2425500</v>
      </c>
      <c r="AI19" s="11" t="n">
        <f aca="false">IF($B19=1,IF(AI$5&lt;$C19,N19*'Loan tape'!$D18,0),N19*'Loan tape'!$D18)</f>
        <v>2425500</v>
      </c>
      <c r="AJ19" s="11" t="n">
        <f aca="false">IF($B19=1,IF(AJ$5&lt;$C19,O19*'Loan tape'!$D18,0),O19*'Loan tape'!$D18)</f>
        <v>2425500</v>
      </c>
      <c r="AK19" s="11" t="n">
        <f aca="false">IF($B19=1,IF(AK$5&lt;$C19,F19-G19,0),F19-G19)</f>
        <v>0</v>
      </c>
      <c r="AL19" s="11" t="n">
        <f aca="false">IF($B19=1,IF(AL$5&lt;$C19,G19-H19,0),G19-H19)</f>
        <v>0</v>
      </c>
      <c r="AM19" s="11" t="n">
        <f aca="false">IF($B19=1,IF(AM$5&lt;$C19,H19-I19,0),H19-I19)</f>
        <v>0</v>
      </c>
      <c r="AN19" s="11" t="n">
        <f aca="false">IF($B19=1,IF(AN$5&lt;$C19,I19-J19,0),I19-J19)</f>
        <v>0</v>
      </c>
      <c r="AO19" s="11" t="n">
        <f aca="false">IF($B19=1,IF(AO$5&lt;$C19,J19-K19,0),J19-K19)</f>
        <v>0</v>
      </c>
      <c r="AP19" s="11" t="n">
        <f aca="false">IF($B19=1,IF(AP$5&lt;$C19,K19-L19,0),K19-L19)</f>
        <v>0</v>
      </c>
      <c r="AQ19" s="11" t="n">
        <f aca="false">IF($B19=1,IF(AQ$5&lt;$C19,L19-M19,0),L19-M19)</f>
        <v>0</v>
      </c>
      <c r="AR19" s="11" t="n">
        <f aca="false">IF($B19=1,IF(AR$5&lt;$C19,M19-N19,0),M19-N19)</f>
        <v>0</v>
      </c>
      <c r="AS19" s="11" t="n">
        <f aca="false">IF($B19=1,IF(AS$5&lt;$C19,N19-O19,0),N19-O19)</f>
        <v>0</v>
      </c>
      <c r="AT19" s="11" t="n">
        <f aca="false">IF($B19=1,IF(AT$5&lt;$C19,O19-P19,0),O19-P19)</f>
        <v>0</v>
      </c>
      <c r="AU19" s="11" t="n">
        <f aca="false">IF(B19=1,0,P19)</f>
        <v>38500000</v>
      </c>
      <c r="AV19" s="11" t="n">
        <f aca="false">SUM(AA19:AJ19)</f>
        <v>24255000</v>
      </c>
      <c r="AW19" s="11" t="n">
        <f aca="false">SUM(AK19:AT19)</f>
        <v>0</v>
      </c>
      <c r="AX19" s="11" t="n">
        <f aca="false">SUM(Q19:Z19)</f>
        <v>385000000</v>
      </c>
    </row>
    <row r="20" customFormat="false" ht="15" hidden="false" customHeight="false" outlineLevel="0" collapsed="false">
      <c r="A20" s="17" t="str">
        <f aca="false">IF('Loan tape'!A19="","",'Loan tape'!A19)</f>
        <v>Kingsway Distribution</v>
      </c>
      <c r="B20" s="30" t="n">
        <f aca="false">IF(A20="",0,IF(ISNUMBER(MATCH(A20,Liquidations!$A$13:$A$17,0)),1,0))</f>
        <v>0</v>
      </c>
      <c r="C20" s="30" t="n">
        <f aca="false">Liquidations!$B$23</f>
        <v>4</v>
      </c>
      <c r="D20" s="30" t="n">
        <f aca="false">IF(B20=1,INDEX(Liquidations!$W$13:$W$17,MATCH(A20,Liquidations!$A$13:$A$17,0)),0)</f>
        <v>0</v>
      </c>
      <c r="E20" s="11" t="n">
        <f aca="false">IF(B20=1,INDEX(Liquidations!$I$13:$I$17,MATCH(A20,Liquidations!$A$13:$A$17,0)),0)</f>
        <v>0</v>
      </c>
      <c r="F20" s="11" t="n">
        <f aca="false">IF('Loan tape'!$C19="",0,IF(OR('Loan tape'!$H19=0,F$5&lt;='Loan tape'!$I19),'Loan tape'!$C19,'Loan tape'!$C19*((1+'Loan tape'!$D19/12)^('Loan tape'!$H19*12)-(1+'Loan tape'!$D19/12)^MIN((F$5-'Loan tape'!$I19)*12,'Loan tape'!$H19*12))/((1+'Loan tape'!$D19/12)^('Loan tape'!$H19*12)-1)))</f>
        <v>36000000</v>
      </c>
      <c r="G20" s="11" t="n">
        <f aca="false">IF('Loan tape'!$C19="",0,IF(OR('Loan tape'!$H19=0,G$5&lt;='Loan tape'!$I19),'Loan tape'!$C19,'Loan tape'!$C19*((1+'Loan tape'!$D19/12)^('Loan tape'!$H19*12)-(1+'Loan tape'!$D19/12)^MIN((G$5-'Loan tape'!$I19)*12,'Loan tape'!$H19*12))/((1+'Loan tape'!$D19/12)^('Loan tape'!$H19*12)-1)))</f>
        <v>36000000</v>
      </c>
      <c r="H20" s="11" t="n">
        <f aca="false">IF('Loan tape'!$C19="",0,IF(OR('Loan tape'!$H19=0,H$5&lt;='Loan tape'!$I19),'Loan tape'!$C19,'Loan tape'!$C19*((1+'Loan tape'!$D19/12)^('Loan tape'!$H19*12)-(1+'Loan tape'!$D19/12)^MIN((H$5-'Loan tape'!$I19)*12,'Loan tape'!$H19*12))/((1+'Loan tape'!$D19/12)^('Loan tape'!$H19*12)-1)))</f>
        <v>36000000</v>
      </c>
      <c r="I20" s="11" t="n">
        <f aca="false">IF('Loan tape'!$C19="",0,IF(OR('Loan tape'!$H19=0,I$5&lt;='Loan tape'!$I19),'Loan tape'!$C19,'Loan tape'!$C19*((1+'Loan tape'!$D19/12)^('Loan tape'!$H19*12)-(1+'Loan tape'!$D19/12)^MIN((I$5-'Loan tape'!$I19)*12,'Loan tape'!$H19*12))/((1+'Loan tape'!$D19/12)^('Loan tape'!$H19*12)-1)))</f>
        <v>36000000</v>
      </c>
      <c r="J20" s="11" t="n">
        <f aca="false">IF('Loan tape'!$C19="",0,IF(OR('Loan tape'!$H19=0,J$5&lt;='Loan tape'!$I19),'Loan tape'!$C19,'Loan tape'!$C19*((1+'Loan tape'!$D19/12)^('Loan tape'!$H19*12)-(1+'Loan tape'!$D19/12)^MIN((J$5-'Loan tape'!$I19)*12,'Loan tape'!$H19*12))/((1+'Loan tape'!$D19/12)^('Loan tape'!$H19*12)-1)))</f>
        <v>36000000</v>
      </c>
      <c r="K20" s="11" t="n">
        <f aca="false">IF('Loan tape'!$C19="",0,IF(OR('Loan tape'!$H19=0,K$5&lt;='Loan tape'!$I19),'Loan tape'!$C19,'Loan tape'!$C19*((1+'Loan tape'!$D19/12)^('Loan tape'!$H19*12)-(1+'Loan tape'!$D19/12)^MIN((K$5-'Loan tape'!$I19)*12,'Loan tape'!$H19*12))/((1+'Loan tape'!$D19/12)^('Loan tape'!$H19*12)-1)))</f>
        <v>36000000</v>
      </c>
      <c r="L20" s="11" t="n">
        <f aca="false">IF('Loan tape'!$C19="",0,IF(OR('Loan tape'!$H19=0,L$5&lt;='Loan tape'!$I19),'Loan tape'!$C19,'Loan tape'!$C19*((1+'Loan tape'!$D19/12)^('Loan tape'!$H19*12)-(1+'Loan tape'!$D19/12)^MIN((L$5-'Loan tape'!$I19)*12,'Loan tape'!$H19*12))/((1+'Loan tape'!$D19/12)^('Loan tape'!$H19*12)-1)))</f>
        <v>36000000</v>
      </c>
      <c r="M20" s="11" t="n">
        <f aca="false">IF('Loan tape'!$C19="",0,IF(OR('Loan tape'!$H19=0,M$5&lt;='Loan tape'!$I19),'Loan tape'!$C19,'Loan tape'!$C19*((1+'Loan tape'!$D19/12)^('Loan tape'!$H19*12)-(1+'Loan tape'!$D19/12)^MIN((M$5-'Loan tape'!$I19)*12,'Loan tape'!$H19*12))/((1+'Loan tape'!$D19/12)^('Loan tape'!$H19*12)-1)))</f>
        <v>36000000</v>
      </c>
      <c r="N20" s="11" t="n">
        <f aca="false">IF('Loan tape'!$C19="",0,IF(OR('Loan tape'!$H19=0,N$5&lt;='Loan tape'!$I19),'Loan tape'!$C19,'Loan tape'!$C19*((1+'Loan tape'!$D19/12)^('Loan tape'!$H19*12)-(1+'Loan tape'!$D19/12)^MIN((N$5-'Loan tape'!$I19)*12,'Loan tape'!$H19*12))/((1+'Loan tape'!$D19/12)^('Loan tape'!$H19*12)-1)))</f>
        <v>36000000</v>
      </c>
      <c r="O20" s="11" t="n">
        <f aca="false">IF('Loan tape'!$C19="",0,IF(OR('Loan tape'!$H19=0,O$5&lt;='Loan tape'!$I19),'Loan tape'!$C19,'Loan tape'!$C19*((1+'Loan tape'!$D19/12)^('Loan tape'!$H19*12)-(1+'Loan tape'!$D19/12)^MIN((O$5-'Loan tape'!$I19)*12,'Loan tape'!$H19*12))/((1+'Loan tape'!$D19/12)^('Loan tape'!$H19*12)-1)))</f>
        <v>36000000</v>
      </c>
      <c r="P20" s="11" t="n">
        <f aca="false">IF('Loan tape'!$C19="",0,IF(OR('Loan tape'!$H19=0,P$5&lt;='Loan tape'!$I19),'Loan tape'!$C19,'Loan tape'!$C19*((1+'Loan tape'!$D19/12)^('Loan tape'!$H19*12)-(1+'Loan tape'!$D19/12)^MIN((P$5-'Loan tape'!$I19)*12,'Loan tape'!$H19*12))/((1+'Loan tape'!$D19/12)^('Loan tape'!$H19*12)-1)))</f>
        <v>36000000</v>
      </c>
      <c r="Q20" s="11" t="n">
        <f aca="false">IF($B20=1,IF(Q$5&lt;$C20,F20,IF(Q$5&lt;=$D20,$E20,0)),F20)</f>
        <v>36000000</v>
      </c>
      <c r="R20" s="11" t="n">
        <f aca="false">IF($B20=1,IF(R$5&lt;$C20,G20,IF(R$5&lt;=$D20,$E20,0)),G20)</f>
        <v>36000000</v>
      </c>
      <c r="S20" s="11" t="n">
        <f aca="false">IF($B20=1,IF(S$5&lt;$C20,H20,IF(S$5&lt;=$D20,$E20,0)),H20)</f>
        <v>36000000</v>
      </c>
      <c r="T20" s="11" t="n">
        <f aca="false">IF($B20=1,IF(T$5&lt;$C20,I20,IF(T$5&lt;=$D20,$E20,0)),I20)</f>
        <v>36000000</v>
      </c>
      <c r="U20" s="11" t="n">
        <f aca="false">IF($B20=1,IF(U$5&lt;$C20,J20,IF(U$5&lt;=$D20,$E20,0)),J20)</f>
        <v>36000000</v>
      </c>
      <c r="V20" s="11" t="n">
        <f aca="false">IF($B20=1,IF(V$5&lt;$C20,K20,IF(V$5&lt;=$D20,$E20,0)),K20)</f>
        <v>36000000</v>
      </c>
      <c r="W20" s="11" t="n">
        <f aca="false">IF($B20=1,IF(W$5&lt;$C20,L20,IF(W$5&lt;=$D20,$E20,0)),L20)</f>
        <v>36000000</v>
      </c>
      <c r="X20" s="11" t="n">
        <f aca="false">IF($B20=1,IF(X$5&lt;$C20,M20,IF(X$5&lt;=$D20,$E20,0)),M20)</f>
        <v>36000000</v>
      </c>
      <c r="Y20" s="11" t="n">
        <f aca="false">IF($B20=1,IF(Y$5&lt;$C20,N20,IF(Y$5&lt;=$D20,$E20,0)),N20)</f>
        <v>36000000</v>
      </c>
      <c r="Z20" s="11" t="n">
        <f aca="false">IF($B20=1,IF(Z$5&lt;$C20,O20,IF(Z$5&lt;=$D20,$E20,0)),O20)</f>
        <v>36000000</v>
      </c>
      <c r="AA20" s="11" t="n">
        <f aca="false">IF($B20=1,IF(AA$5&lt;$C20,F20*'Loan tape'!$D19,0),F20*'Loan tape'!$D19)</f>
        <v>2196000</v>
      </c>
      <c r="AB20" s="11" t="n">
        <f aca="false">IF($B20=1,IF(AB$5&lt;$C20,G20*'Loan tape'!$D19,0),G20*'Loan tape'!$D19)</f>
        <v>2196000</v>
      </c>
      <c r="AC20" s="11" t="n">
        <f aca="false">IF($B20=1,IF(AC$5&lt;$C20,H20*'Loan tape'!$D19,0),H20*'Loan tape'!$D19)</f>
        <v>2196000</v>
      </c>
      <c r="AD20" s="11" t="n">
        <f aca="false">IF($B20=1,IF(AD$5&lt;$C20,I20*'Loan tape'!$D19,0),I20*'Loan tape'!$D19)</f>
        <v>2196000</v>
      </c>
      <c r="AE20" s="11" t="n">
        <f aca="false">IF($B20=1,IF(AE$5&lt;$C20,J20*'Loan tape'!$D19,0),J20*'Loan tape'!$D19)</f>
        <v>2196000</v>
      </c>
      <c r="AF20" s="11" t="n">
        <f aca="false">IF($B20=1,IF(AF$5&lt;$C20,K20*'Loan tape'!$D19,0),K20*'Loan tape'!$D19)</f>
        <v>2196000</v>
      </c>
      <c r="AG20" s="11" t="n">
        <f aca="false">IF($B20=1,IF(AG$5&lt;$C20,L20*'Loan tape'!$D19,0),L20*'Loan tape'!$D19)</f>
        <v>2196000</v>
      </c>
      <c r="AH20" s="11" t="n">
        <f aca="false">IF($B20=1,IF(AH$5&lt;$C20,M20*'Loan tape'!$D19,0),M20*'Loan tape'!$D19)</f>
        <v>2196000</v>
      </c>
      <c r="AI20" s="11" t="n">
        <f aca="false">IF($B20=1,IF(AI$5&lt;$C20,N20*'Loan tape'!$D19,0),N20*'Loan tape'!$D19)</f>
        <v>2196000</v>
      </c>
      <c r="AJ20" s="11" t="n">
        <f aca="false">IF($B20=1,IF(AJ$5&lt;$C20,O20*'Loan tape'!$D19,0),O20*'Loan tape'!$D19)</f>
        <v>2196000</v>
      </c>
      <c r="AK20" s="11" t="n">
        <f aca="false">IF($B20=1,IF(AK$5&lt;$C20,F20-G20,0),F20-G20)</f>
        <v>0</v>
      </c>
      <c r="AL20" s="11" t="n">
        <f aca="false">IF($B20=1,IF(AL$5&lt;$C20,G20-H20,0),G20-H20)</f>
        <v>0</v>
      </c>
      <c r="AM20" s="11" t="n">
        <f aca="false">IF($B20=1,IF(AM$5&lt;$C20,H20-I20,0),H20-I20)</f>
        <v>0</v>
      </c>
      <c r="AN20" s="11" t="n">
        <f aca="false">IF($B20=1,IF(AN$5&lt;$C20,I20-J20,0),I20-J20)</f>
        <v>0</v>
      </c>
      <c r="AO20" s="11" t="n">
        <f aca="false">IF($B20=1,IF(AO$5&lt;$C20,J20-K20,0),J20-K20)</f>
        <v>0</v>
      </c>
      <c r="AP20" s="11" t="n">
        <f aca="false">IF($B20=1,IF(AP$5&lt;$C20,K20-L20,0),K20-L20)</f>
        <v>0</v>
      </c>
      <c r="AQ20" s="11" t="n">
        <f aca="false">IF($B20=1,IF(AQ$5&lt;$C20,L20-M20,0),L20-M20)</f>
        <v>0</v>
      </c>
      <c r="AR20" s="11" t="n">
        <f aca="false">IF($B20=1,IF(AR$5&lt;$C20,M20-N20,0),M20-N20)</f>
        <v>0</v>
      </c>
      <c r="AS20" s="11" t="n">
        <f aca="false">IF($B20=1,IF(AS$5&lt;$C20,N20-O20,0),N20-O20)</f>
        <v>0</v>
      </c>
      <c r="AT20" s="11" t="n">
        <f aca="false">IF($B20=1,IF(AT$5&lt;$C20,O20-P20,0),O20-P20)</f>
        <v>0</v>
      </c>
      <c r="AU20" s="11" t="n">
        <f aca="false">IF(B20=1,0,P20)</f>
        <v>36000000</v>
      </c>
      <c r="AV20" s="11" t="n">
        <f aca="false">SUM(AA20:AJ20)</f>
        <v>21960000</v>
      </c>
      <c r="AW20" s="11" t="n">
        <f aca="false">SUM(AK20:AT20)</f>
        <v>0</v>
      </c>
      <c r="AX20" s="11" t="n">
        <f aca="false">SUM(Q20:Z20)</f>
        <v>360000000</v>
      </c>
    </row>
    <row r="21" customFormat="false" ht="15" hidden="false" customHeight="false" outlineLevel="0" collapsed="false">
      <c r="A21" s="17" t="str">
        <f aca="false">IF('Loan tape'!A20="","",'Loan tape'!A20)</f>
        <v>Beaumont Plaza</v>
      </c>
      <c r="B21" s="30" t="n">
        <f aca="false">IF(A21="",0,IF(ISNUMBER(MATCH(A21,Liquidations!$A$13:$A$17,0)),1,0))</f>
        <v>1</v>
      </c>
      <c r="C21" s="30" t="n">
        <f aca="false">Liquidations!$B$23</f>
        <v>4</v>
      </c>
      <c r="D21" s="30" t="n">
        <f aca="false">IF(B21=1,INDEX(Liquidations!$W$13:$W$17,MATCH(A21,Liquidations!$A$13:$A$17,0)),0)</f>
        <v>5</v>
      </c>
      <c r="E21" s="11" t="n">
        <f aca="false">IF(B21=1,INDEX(Liquidations!$I$13:$I$17,MATCH(A21,Liquidations!$A$13:$A$17,0)),0)</f>
        <v>31859483.2708513</v>
      </c>
      <c r="F21" s="11" t="n">
        <f aca="false">IF('Loan tape'!$C20="",0,IF(OR('Loan tape'!$H20=0,F$5&lt;='Loan tape'!$I20),'Loan tape'!$C20,'Loan tape'!$C20*((1+'Loan tape'!$D20/12)^('Loan tape'!$H20*12)-(1+'Loan tape'!$D20/12)^MIN((F$5-'Loan tape'!$I20)*12,'Loan tape'!$H20*12))/((1+'Loan tape'!$D20/12)^('Loan tape'!$H20*12)-1)))</f>
        <v>33000000</v>
      </c>
      <c r="G21" s="11" t="n">
        <f aca="false">IF('Loan tape'!$C20="",0,IF(OR('Loan tape'!$H20=0,G$5&lt;='Loan tape'!$I20),'Loan tape'!$C20,'Loan tape'!$C20*((1+'Loan tape'!$D20/12)^('Loan tape'!$H20*12)-(1+'Loan tape'!$D20/12)^MIN((G$5-'Loan tape'!$I20)*12,'Loan tape'!$H20*12))/((1+'Loan tape'!$D20/12)^('Loan tape'!$H20*12)-1)))</f>
        <v>32644927.0357652</v>
      </c>
      <c r="H21" s="11" t="n">
        <f aca="false">IF('Loan tape'!$C20="",0,IF(OR('Loan tape'!$H20=0,H$5&lt;='Loan tape'!$I20),'Loan tape'!$C20,'Loan tape'!$C20*((1+'Loan tape'!$D20/12)^('Loan tape'!$H20*12)-(1+'Loan tape'!$D20/12)^MIN((H$5-'Loan tape'!$I20)*12,'Loan tape'!$H20*12))/((1+'Loan tape'!$D20/12)^('Loan tape'!$H20*12)-1)))</f>
        <v>32265319.8664511</v>
      </c>
      <c r="I21" s="11" t="n">
        <f aca="false">IF('Loan tape'!$C20="",0,IF(OR('Loan tape'!$H20=0,I$5&lt;='Loan tape'!$I20),'Loan tape'!$C20,'Loan tape'!$C20*((1+'Loan tape'!$D20/12)^('Loan tape'!$H20*12)-(1+'Loan tape'!$D20/12)^MIN((I$5-'Loan tape'!$I20)*12,'Loan tape'!$H20*12))/((1+'Loan tape'!$D20/12)^('Loan tape'!$H20*12)-1)))</f>
        <v>31859483.2708513</v>
      </c>
      <c r="J21" s="11" t="n">
        <f aca="false">IF('Loan tape'!$C20="",0,IF(OR('Loan tape'!$H20=0,J$5&lt;='Loan tape'!$I20),'Loan tape'!$C20,'Loan tape'!$C20*((1+'Loan tape'!$D20/12)^('Loan tape'!$H20*12)-(1+'Loan tape'!$D20/12)^MIN((J$5-'Loan tape'!$I20)*12,'Loan tape'!$H20*12))/((1+'Loan tape'!$D20/12)^('Loan tape'!$H20*12)-1)))</f>
        <v>31425604.8943556</v>
      </c>
      <c r="K21" s="11" t="n">
        <f aca="false">IF('Loan tape'!$C20="",0,IF(OR('Loan tape'!$H20=0,K$5&lt;='Loan tape'!$I20),'Loan tape'!$C20,'Loan tape'!$C20*((1+'Loan tape'!$D20/12)^('Loan tape'!$H20*12)-(1+'Loan tape'!$D20/12)^MIN((K$5-'Loan tape'!$I20)*12,'Loan tape'!$H20*12))/((1+'Loan tape'!$D20/12)^('Loan tape'!$H20*12)-1)))</f>
        <v>30961747.1554737</v>
      </c>
      <c r="L21" s="11" t="n">
        <f aca="false">IF('Loan tape'!$C20="",0,IF(OR('Loan tape'!$H20=0,L$5&lt;='Loan tape'!$I20),'Loan tape'!$C20,'Loan tape'!$C20*((1+'Loan tape'!$D20/12)^('Loan tape'!$H20*12)-(1+'Loan tape'!$D20/12)^MIN((L$5-'Loan tape'!$I20)*12,'Loan tape'!$H20*12))/((1+'Loan tape'!$D20/12)^('Loan tape'!$H20*12)-1)))</f>
        <v>30465838.5931284</v>
      </c>
      <c r="M21" s="11" t="n">
        <f aca="false">IF('Loan tape'!$C20="",0,IF(OR('Loan tape'!$H20=0,M$5&lt;='Loan tape'!$I20),'Loan tape'!$C20,'Loan tape'!$C20*((1+'Loan tape'!$D20/12)^('Loan tape'!$H20*12)-(1+'Loan tape'!$D20/12)^MIN((M$5-'Loan tape'!$I20)*12,'Loan tape'!$H20*12))/((1+'Loan tape'!$D20/12)^('Loan tape'!$H20*12)-1)))</f>
        <v>29935664.6160807</v>
      </c>
      <c r="N21" s="11" t="n">
        <f aca="false">IF('Loan tape'!$C20="",0,IF(OR('Loan tape'!$H20=0,N$5&lt;='Loan tape'!$I20),'Loan tape'!$C20,'Loan tape'!$C20*((1+'Loan tape'!$D20/12)^('Loan tape'!$H20*12)-(1+'Loan tape'!$D20/12)^MIN((N$5-'Loan tape'!$I20)*12,'Loan tape'!$H20*12))/((1+'Loan tape'!$D20/12)^('Loan tape'!$H20*12)-1)))</f>
        <v>29368857.6131743</v>
      </c>
      <c r="O21" s="11" t="n">
        <f aca="false">IF('Loan tape'!$C20="",0,IF(OR('Loan tape'!$H20=0,O$5&lt;='Loan tape'!$I20),'Loan tape'!$C20,'Loan tape'!$C20*((1+'Loan tape'!$D20/12)^('Loan tape'!$H20*12)-(1+'Loan tape'!$D20/12)^MIN((O$5-'Loan tape'!$I20)*12,'Loan tape'!$H20*12))/((1+'Loan tape'!$D20/12)^('Loan tape'!$H20*12)-1)))</f>
        <v>28762886.3802354</v>
      </c>
      <c r="P21" s="11" t="n">
        <f aca="false">IF('Loan tape'!$C20="",0,IF(OR('Loan tape'!$H20=0,P$5&lt;='Loan tape'!$I20),'Loan tape'!$C20,'Loan tape'!$C20*((1+'Loan tape'!$D20/12)^('Loan tape'!$H20*12)-(1+'Loan tape'!$D20/12)^MIN((P$5-'Loan tape'!$I20)*12,'Loan tape'!$H20*12))/((1+'Loan tape'!$D20/12)^('Loan tape'!$H20*12)-1)))</f>
        <v>28115044.8164109</v>
      </c>
      <c r="Q21" s="11" t="n">
        <f aca="false">IF($B21=1,IF(Q$5&lt;$C21,F21,IF(Q$5&lt;=$D21,$E21,0)),F21)</f>
        <v>33000000</v>
      </c>
      <c r="R21" s="11" t="n">
        <f aca="false">IF($B21=1,IF(R$5&lt;$C21,G21,IF(R$5&lt;=$D21,$E21,0)),G21)</f>
        <v>32644927.0357652</v>
      </c>
      <c r="S21" s="11" t="n">
        <f aca="false">IF($B21=1,IF(S$5&lt;$C21,H21,IF(S$5&lt;=$D21,$E21,0)),H21)</f>
        <v>32265319.8664511</v>
      </c>
      <c r="T21" s="11" t="n">
        <f aca="false">IF($B21=1,IF(T$5&lt;$C21,I21,IF(T$5&lt;=$D21,$E21,0)),I21)</f>
        <v>31859483.2708513</v>
      </c>
      <c r="U21" s="11" t="n">
        <f aca="false">IF($B21=1,IF(U$5&lt;$C21,J21,IF(U$5&lt;=$D21,$E21,0)),J21)</f>
        <v>31859483.2708513</v>
      </c>
      <c r="V21" s="11" t="n">
        <f aca="false">IF($B21=1,IF(V$5&lt;$C21,K21,IF(V$5&lt;=$D21,$E21,0)),K21)</f>
        <v>0</v>
      </c>
      <c r="W21" s="11" t="n">
        <f aca="false">IF($B21=1,IF(W$5&lt;$C21,L21,IF(W$5&lt;=$D21,$E21,0)),L21)</f>
        <v>0</v>
      </c>
      <c r="X21" s="11" t="n">
        <f aca="false">IF($B21=1,IF(X$5&lt;$C21,M21,IF(X$5&lt;=$D21,$E21,0)),M21)</f>
        <v>0</v>
      </c>
      <c r="Y21" s="11" t="n">
        <f aca="false">IF($B21=1,IF(Y$5&lt;$C21,N21,IF(Y$5&lt;=$D21,$E21,0)),N21)</f>
        <v>0</v>
      </c>
      <c r="Z21" s="11" t="n">
        <f aca="false">IF($B21=1,IF(Z$5&lt;$C21,O21,IF(Z$5&lt;=$D21,$E21,0)),O21)</f>
        <v>0</v>
      </c>
      <c r="AA21" s="11" t="n">
        <f aca="false">IF($B21=1,IF(AA$5&lt;$C21,F21*'Loan tape'!$D20,0),F21*'Loan tape'!$D20)</f>
        <v>2211000</v>
      </c>
      <c r="AB21" s="11" t="n">
        <f aca="false">IF($B21=1,IF(AB$5&lt;$C21,G21*'Loan tape'!$D20,0),G21*'Loan tape'!$D20)</f>
        <v>2187210.11139627</v>
      </c>
      <c r="AC21" s="11" t="n">
        <f aca="false">IF($B21=1,IF(AC$5&lt;$C21,H21*'Loan tape'!$D20,0),H21*'Loan tape'!$D20)</f>
        <v>2161776.43105223</v>
      </c>
      <c r="AD21" s="11" t="n">
        <f aca="false">IF($B21=1,IF(AD$5&lt;$C21,I21*'Loan tape'!$D20,0),I21*'Loan tape'!$D20)</f>
        <v>0</v>
      </c>
      <c r="AE21" s="11" t="n">
        <f aca="false">IF($B21=1,IF(AE$5&lt;$C21,J21*'Loan tape'!$D20,0),J21*'Loan tape'!$D20)</f>
        <v>0</v>
      </c>
      <c r="AF21" s="11" t="n">
        <f aca="false">IF($B21=1,IF(AF$5&lt;$C21,K21*'Loan tape'!$D20,0),K21*'Loan tape'!$D20)</f>
        <v>0</v>
      </c>
      <c r="AG21" s="11" t="n">
        <f aca="false">IF($B21=1,IF(AG$5&lt;$C21,L21*'Loan tape'!$D20,0),L21*'Loan tape'!$D20)</f>
        <v>0</v>
      </c>
      <c r="AH21" s="11" t="n">
        <f aca="false">IF($B21=1,IF(AH$5&lt;$C21,M21*'Loan tape'!$D20,0),M21*'Loan tape'!$D20)</f>
        <v>0</v>
      </c>
      <c r="AI21" s="11" t="n">
        <f aca="false">IF($B21=1,IF(AI$5&lt;$C21,N21*'Loan tape'!$D20,0),N21*'Loan tape'!$D20)</f>
        <v>0</v>
      </c>
      <c r="AJ21" s="11" t="n">
        <f aca="false">IF($B21=1,IF(AJ$5&lt;$C21,O21*'Loan tape'!$D20,0),O21*'Loan tape'!$D20)</f>
        <v>0</v>
      </c>
      <c r="AK21" s="11" t="n">
        <f aca="false">IF($B21=1,IF(AK$5&lt;$C21,F21-G21,0),F21-G21)</f>
        <v>355072.964234836</v>
      </c>
      <c r="AL21" s="11" t="n">
        <f aca="false">IF($B21=1,IF(AL$5&lt;$C21,G21-H21,0),G21-H21)</f>
        <v>379607.169314038</v>
      </c>
      <c r="AM21" s="11" t="n">
        <f aca="false">IF($B21=1,IF(AM$5&lt;$C21,H21-I21,0),H21-I21)</f>
        <v>405836.595599853</v>
      </c>
      <c r="AN21" s="11" t="n">
        <f aca="false">IF($B21=1,IF(AN$5&lt;$C21,I21-J21,0),I21-J21)</f>
        <v>0</v>
      </c>
      <c r="AO21" s="11" t="n">
        <f aca="false">IF($B21=1,IF(AO$5&lt;$C21,J21-K21,0),J21-K21)</f>
        <v>0</v>
      </c>
      <c r="AP21" s="11" t="n">
        <f aca="false">IF($B21=1,IF(AP$5&lt;$C21,K21-L21,0),K21-L21)</f>
        <v>0</v>
      </c>
      <c r="AQ21" s="11" t="n">
        <f aca="false">IF($B21=1,IF(AQ$5&lt;$C21,L21-M21,0),L21-M21)</f>
        <v>0</v>
      </c>
      <c r="AR21" s="11" t="n">
        <f aca="false">IF($B21=1,IF(AR$5&lt;$C21,M21-N21,0),M21-N21)</f>
        <v>0</v>
      </c>
      <c r="AS21" s="11" t="n">
        <f aca="false">IF($B21=1,IF(AS$5&lt;$C21,N21-O21,0),N21-O21)</f>
        <v>0</v>
      </c>
      <c r="AT21" s="11" t="n">
        <f aca="false">IF($B21=1,IF(AT$5&lt;$C21,O21-P21,0),O21-P21)</f>
        <v>0</v>
      </c>
      <c r="AU21" s="11" t="n">
        <f aca="false">IF(B21=1,0,P21)</f>
        <v>0</v>
      </c>
      <c r="AV21" s="11" t="n">
        <f aca="false">SUM(AA21:AJ21)</f>
        <v>6559986.54244849</v>
      </c>
      <c r="AW21" s="11" t="n">
        <f aca="false">SUM(AK21:AT21)</f>
        <v>1140516.72914873</v>
      </c>
      <c r="AX21" s="11" t="n">
        <f aca="false">SUM(Q21:Z21)</f>
        <v>161629213.443919</v>
      </c>
    </row>
    <row r="22" customFormat="false" ht="15" hidden="false" customHeight="false" outlineLevel="0" collapsed="false">
      <c r="A22" s="17" t="str">
        <f aca="false">IF('Loan tape'!A21="","",'Loan tape'!A21)</f>
        <v>Silverton Apartments</v>
      </c>
      <c r="B22" s="30" t="n">
        <f aca="false">IF(A22="",0,IF(ISNUMBER(MATCH(A22,Liquidations!$A$13:$A$17,0)),1,0))</f>
        <v>0</v>
      </c>
      <c r="C22" s="30" t="n">
        <f aca="false">Liquidations!$B$23</f>
        <v>4</v>
      </c>
      <c r="D22" s="30" t="n">
        <f aca="false">IF(B22=1,INDEX(Liquidations!$W$13:$W$17,MATCH(A22,Liquidations!$A$13:$A$17,0)),0)</f>
        <v>0</v>
      </c>
      <c r="E22" s="11" t="n">
        <f aca="false">IF(B22=1,INDEX(Liquidations!$I$13:$I$17,MATCH(A22,Liquidations!$A$13:$A$17,0)),0)</f>
        <v>0</v>
      </c>
      <c r="F22" s="11" t="n">
        <f aca="false">IF('Loan tape'!$C21="",0,IF(OR('Loan tape'!$H21=0,F$5&lt;='Loan tape'!$I21),'Loan tape'!$C21,'Loan tape'!$C21*((1+'Loan tape'!$D21/12)^('Loan tape'!$H21*12)-(1+'Loan tape'!$D21/12)^MIN((F$5-'Loan tape'!$I21)*12,'Loan tape'!$H21*12))/((1+'Loan tape'!$D21/12)^('Loan tape'!$H21*12)-1)))</f>
        <v>31500000</v>
      </c>
      <c r="G22" s="11" t="n">
        <f aca="false">IF('Loan tape'!$C21="",0,IF(OR('Loan tape'!$H21=0,G$5&lt;='Loan tape'!$I21),'Loan tape'!$C21,'Loan tape'!$C21*((1+'Loan tape'!$D21/12)^('Loan tape'!$H21*12)-(1+'Loan tape'!$D21/12)^MIN((G$5-'Loan tape'!$I21)*12,'Loan tape'!$H21*12))/((1+'Loan tape'!$D21/12)^('Loan tape'!$H21*12)-1)))</f>
        <v>31500000</v>
      </c>
      <c r="H22" s="11" t="n">
        <f aca="false">IF('Loan tape'!$C21="",0,IF(OR('Loan tape'!$H21=0,H$5&lt;='Loan tape'!$I21),'Loan tape'!$C21,'Loan tape'!$C21*((1+'Loan tape'!$D21/12)^('Loan tape'!$H21*12)-(1+'Loan tape'!$D21/12)^MIN((H$5-'Loan tape'!$I21)*12,'Loan tape'!$H21*12))/((1+'Loan tape'!$D21/12)^('Loan tape'!$H21*12)-1)))</f>
        <v>31500000</v>
      </c>
      <c r="I22" s="11" t="n">
        <f aca="false">IF('Loan tape'!$C21="",0,IF(OR('Loan tape'!$H21=0,I$5&lt;='Loan tape'!$I21),'Loan tape'!$C21,'Loan tape'!$C21*((1+'Loan tape'!$D21/12)^('Loan tape'!$H21*12)-(1+'Loan tape'!$D21/12)^MIN((I$5-'Loan tape'!$I21)*12,'Loan tape'!$H21*12))/((1+'Loan tape'!$D21/12)^('Loan tape'!$H21*12)-1)))</f>
        <v>31500000</v>
      </c>
      <c r="J22" s="11" t="n">
        <f aca="false">IF('Loan tape'!$C21="",0,IF(OR('Loan tape'!$H21=0,J$5&lt;='Loan tape'!$I21),'Loan tape'!$C21,'Loan tape'!$C21*((1+'Loan tape'!$D21/12)^('Loan tape'!$H21*12)-(1+'Loan tape'!$D21/12)^MIN((J$5-'Loan tape'!$I21)*12,'Loan tape'!$H21*12))/((1+'Loan tape'!$D21/12)^('Loan tape'!$H21*12)-1)))</f>
        <v>31500000</v>
      </c>
      <c r="K22" s="11" t="n">
        <f aca="false">IF('Loan tape'!$C21="",0,IF(OR('Loan tape'!$H21=0,K$5&lt;='Loan tape'!$I21),'Loan tape'!$C21,'Loan tape'!$C21*((1+'Loan tape'!$D21/12)^('Loan tape'!$H21*12)-(1+'Loan tape'!$D21/12)^MIN((K$5-'Loan tape'!$I21)*12,'Loan tape'!$H21*12))/((1+'Loan tape'!$D21/12)^('Loan tape'!$H21*12)-1)))</f>
        <v>31500000</v>
      </c>
      <c r="L22" s="11" t="n">
        <f aca="false">IF('Loan tape'!$C21="",0,IF(OR('Loan tape'!$H21=0,L$5&lt;='Loan tape'!$I21),'Loan tape'!$C21,'Loan tape'!$C21*((1+'Loan tape'!$D21/12)^('Loan tape'!$H21*12)-(1+'Loan tape'!$D21/12)^MIN((L$5-'Loan tape'!$I21)*12,'Loan tape'!$H21*12))/((1+'Loan tape'!$D21/12)^('Loan tape'!$H21*12)-1)))</f>
        <v>31500000</v>
      </c>
      <c r="M22" s="11" t="n">
        <f aca="false">IF('Loan tape'!$C21="",0,IF(OR('Loan tape'!$H21=0,M$5&lt;='Loan tape'!$I21),'Loan tape'!$C21,'Loan tape'!$C21*((1+'Loan tape'!$D21/12)^('Loan tape'!$H21*12)-(1+'Loan tape'!$D21/12)^MIN((M$5-'Loan tape'!$I21)*12,'Loan tape'!$H21*12))/((1+'Loan tape'!$D21/12)^('Loan tape'!$H21*12)-1)))</f>
        <v>31500000</v>
      </c>
      <c r="N22" s="11" t="n">
        <f aca="false">IF('Loan tape'!$C21="",0,IF(OR('Loan tape'!$H21=0,N$5&lt;='Loan tape'!$I21),'Loan tape'!$C21,'Loan tape'!$C21*((1+'Loan tape'!$D21/12)^('Loan tape'!$H21*12)-(1+'Loan tape'!$D21/12)^MIN((N$5-'Loan tape'!$I21)*12,'Loan tape'!$H21*12))/((1+'Loan tape'!$D21/12)^('Loan tape'!$H21*12)-1)))</f>
        <v>31500000</v>
      </c>
      <c r="O22" s="11" t="n">
        <f aca="false">IF('Loan tape'!$C21="",0,IF(OR('Loan tape'!$H21=0,O$5&lt;='Loan tape'!$I21),'Loan tape'!$C21,'Loan tape'!$C21*((1+'Loan tape'!$D21/12)^('Loan tape'!$H21*12)-(1+'Loan tape'!$D21/12)^MIN((O$5-'Loan tape'!$I21)*12,'Loan tape'!$H21*12))/((1+'Loan tape'!$D21/12)^('Loan tape'!$H21*12)-1)))</f>
        <v>31500000</v>
      </c>
      <c r="P22" s="11" t="n">
        <f aca="false">IF('Loan tape'!$C21="",0,IF(OR('Loan tape'!$H21=0,P$5&lt;='Loan tape'!$I21),'Loan tape'!$C21,'Loan tape'!$C21*((1+'Loan tape'!$D21/12)^('Loan tape'!$H21*12)-(1+'Loan tape'!$D21/12)^MIN((P$5-'Loan tape'!$I21)*12,'Loan tape'!$H21*12))/((1+'Loan tape'!$D21/12)^('Loan tape'!$H21*12)-1)))</f>
        <v>31500000</v>
      </c>
      <c r="Q22" s="11" t="n">
        <f aca="false">IF($B22=1,IF(Q$5&lt;$C22,F22,IF(Q$5&lt;=$D22,$E22,0)),F22)</f>
        <v>31500000</v>
      </c>
      <c r="R22" s="11" t="n">
        <f aca="false">IF($B22=1,IF(R$5&lt;$C22,G22,IF(R$5&lt;=$D22,$E22,0)),G22)</f>
        <v>31500000</v>
      </c>
      <c r="S22" s="11" t="n">
        <f aca="false">IF($B22=1,IF(S$5&lt;$C22,H22,IF(S$5&lt;=$D22,$E22,0)),H22)</f>
        <v>31500000</v>
      </c>
      <c r="T22" s="11" t="n">
        <f aca="false">IF($B22=1,IF(T$5&lt;$C22,I22,IF(T$5&lt;=$D22,$E22,0)),I22)</f>
        <v>31500000</v>
      </c>
      <c r="U22" s="11" t="n">
        <f aca="false">IF($B22=1,IF(U$5&lt;$C22,J22,IF(U$5&lt;=$D22,$E22,0)),J22)</f>
        <v>31500000</v>
      </c>
      <c r="V22" s="11" t="n">
        <f aca="false">IF($B22=1,IF(V$5&lt;$C22,K22,IF(V$5&lt;=$D22,$E22,0)),K22)</f>
        <v>31500000</v>
      </c>
      <c r="W22" s="11" t="n">
        <f aca="false">IF($B22=1,IF(W$5&lt;$C22,L22,IF(W$5&lt;=$D22,$E22,0)),L22)</f>
        <v>31500000</v>
      </c>
      <c r="X22" s="11" t="n">
        <f aca="false">IF($B22=1,IF(X$5&lt;$C22,M22,IF(X$5&lt;=$D22,$E22,0)),M22)</f>
        <v>31500000</v>
      </c>
      <c r="Y22" s="11" t="n">
        <f aca="false">IF($B22=1,IF(Y$5&lt;$C22,N22,IF(Y$5&lt;=$D22,$E22,0)),N22)</f>
        <v>31500000</v>
      </c>
      <c r="Z22" s="11" t="n">
        <f aca="false">IF($B22=1,IF(Z$5&lt;$C22,O22,IF(Z$5&lt;=$D22,$E22,0)),O22)</f>
        <v>31500000</v>
      </c>
      <c r="AA22" s="11" t="n">
        <f aca="false">IF($B22=1,IF(AA$5&lt;$C22,F22*'Loan tape'!$D21,0),F22*'Loan tape'!$D21)</f>
        <v>1905750</v>
      </c>
      <c r="AB22" s="11" t="n">
        <f aca="false">IF($B22=1,IF(AB$5&lt;$C22,G22*'Loan tape'!$D21,0),G22*'Loan tape'!$D21)</f>
        <v>1905750</v>
      </c>
      <c r="AC22" s="11" t="n">
        <f aca="false">IF($B22=1,IF(AC$5&lt;$C22,H22*'Loan tape'!$D21,0),H22*'Loan tape'!$D21)</f>
        <v>1905750</v>
      </c>
      <c r="AD22" s="11" t="n">
        <f aca="false">IF($B22=1,IF(AD$5&lt;$C22,I22*'Loan tape'!$D21,0),I22*'Loan tape'!$D21)</f>
        <v>1905750</v>
      </c>
      <c r="AE22" s="11" t="n">
        <f aca="false">IF($B22=1,IF(AE$5&lt;$C22,J22*'Loan tape'!$D21,0),J22*'Loan tape'!$D21)</f>
        <v>1905750</v>
      </c>
      <c r="AF22" s="11" t="n">
        <f aca="false">IF($B22=1,IF(AF$5&lt;$C22,K22*'Loan tape'!$D21,0),K22*'Loan tape'!$D21)</f>
        <v>1905750</v>
      </c>
      <c r="AG22" s="11" t="n">
        <f aca="false">IF($B22=1,IF(AG$5&lt;$C22,L22*'Loan tape'!$D21,0),L22*'Loan tape'!$D21)</f>
        <v>1905750</v>
      </c>
      <c r="AH22" s="11" t="n">
        <f aca="false">IF($B22=1,IF(AH$5&lt;$C22,M22*'Loan tape'!$D21,0),M22*'Loan tape'!$D21)</f>
        <v>1905750</v>
      </c>
      <c r="AI22" s="11" t="n">
        <f aca="false">IF($B22=1,IF(AI$5&lt;$C22,N22*'Loan tape'!$D21,0),N22*'Loan tape'!$D21)</f>
        <v>1905750</v>
      </c>
      <c r="AJ22" s="11" t="n">
        <f aca="false">IF($B22=1,IF(AJ$5&lt;$C22,O22*'Loan tape'!$D21,0),O22*'Loan tape'!$D21)</f>
        <v>1905750</v>
      </c>
      <c r="AK22" s="11" t="n">
        <f aca="false">IF($B22=1,IF(AK$5&lt;$C22,F22-G22,0),F22-G22)</f>
        <v>0</v>
      </c>
      <c r="AL22" s="11" t="n">
        <f aca="false">IF($B22=1,IF(AL$5&lt;$C22,G22-H22,0),G22-H22)</f>
        <v>0</v>
      </c>
      <c r="AM22" s="11" t="n">
        <f aca="false">IF($B22=1,IF(AM$5&lt;$C22,H22-I22,0),H22-I22)</f>
        <v>0</v>
      </c>
      <c r="AN22" s="11" t="n">
        <f aca="false">IF($B22=1,IF(AN$5&lt;$C22,I22-J22,0),I22-J22)</f>
        <v>0</v>
      </c>
      <c r="AO22" s="11" t="n">
        <f aca="false">IF($B22=1,IF(AO$5&lt;$C22,J22-K22,0),J22-K22)</f>
        <v>0</v>
      </c>
      <c r="AP22" s="11" t="n">
        <f aca="false">IF($B22=1,IF(AP$5&lt;$C22,K22-L22,0),K22-L22)</f>
        <v>0</v>
      </c>
      <c r="AQ22" s="11" t="n">
        <f aca="false">IF($B22=1,IF(AQ$5&lt;$C22,L22-M22,0),L22-M22)</f>
        <v>0</v>
      </c>
      <c r="AR22" s="11" t="n">
        <f aca="false">IF($B22=1,IF(AR$5&lt;$C22,M22-N22,0),M22-N22)</f>
        <v>0</v>
      </c>
      <c r="AS22" s="11" t="n">
        <f aca="false">IF($B22=1,IF(AS$5&lt;$C22,N22-O22,0),N22-O22)</f>
        <v>0</v>
      </c>
      <c r="AT22" s="11" t="n">
        <f aca="false">IF($B22=1,IF(AT$5&lt;$C22,O22-P22,0),O22-P22)</f>
        <v>0</v>
      </c>
      <c r="AU22" s="11" t="n">
        <f aca="false">IF(B22=1,0,P22)</f>
        <v>31500000</v>
      </c>
      <c r="AV22" s="11" t="n">
        <f aca="false">SUM(AA22:AJ22)</f>
        <v>19057500</v>
      </c>
      <c r="AW22" s="11" t="n">
        <f aca="false">SUM(AK22:AT22)</f>
        <v>0</v>
      </c>
      <c r="AX22" s="11" t="n">
        <f aca="false">SUM(Q22:Z22)</f>
        <v>315000000</v>
      </c>
    </row>
    <row r="23" customFormat="false" ht="15" hidden="false" customHeight="false" outlineLevel="0" collapsed="false">
      <c r="A23" s="17" t="str">
        <f aca="false">IF('Loan tape'!A22="","",'Loan tape'!A22)</f>
        <v>Oakfield Corporate Center</v>
      </c>
      <c r="B23" s="30" t="n">
        <f aca="false">IF(A23="",0,IF(ISNUMBER(MATCH(A23,Liquidations!$A$13:$A$17,0)),1,0))</f>
        <v>1</v>
      </c>
      <c r="C23" s="30" t="n">
        <f aca="false">Liquidations!$B$23</f>
        <v>4</v>
      </c>
      <c r="D23" s="30" t="n">
        <f aca="false">IF(B23=1,INDEX(Liquidations!$W$13:$W$17,MATCH(A23,Liquidations!$A$13:$A$17,0)),0)</f>
        <v>5</v>
      </c>
      <c r="E23" s="11" t="n">
        <f aca="false">IF(B23=1,INDEX(Liquidations!$I$13:$I$17,MATCH(A23,Liquidations!$A$13:$A$17,0)),0)</f>
        <v>28024570.3832812</v>
      </c>
      <c r="F23" s="11" t="n">
        <f aca="false">IF('Loan tape'!$C22="",0,IF(OR('Loan tape'!$H22=0,F$5&lt;='Loan tape'!$I22),'Loan tape'!$C22,'Loan tape'!$C22*((1+'Loan tape'!$D22/12)^('Loan tape'!$H22*12)-(1+'Loan tape'!$D22/12)^MIN((F$5-'Loan tape'!$I22)*12,'Loan tape'!$H22*12))/((1+'Loan tape'!$D22/12)^('Loan tape'!$H22*12)-1)))</f>
        <v>29000000</v>
      </c>
      <c r="G23" s="11" t="n">
        <f aca="false">IF('Loan tape'!$C22="",0,IF(OR('Loan tape'!$H22=0,G$5&lt;='Loan tape'!$I22),'Loan tape'!$C22,'Loan tape'!$C22*((1+'Loan tape'!$D22/12)^('Loan tape'!$H22*12)-(1+'Loan tape'!$D22/12)^MIN((G$5-'Loan tape'!$I22)*12,'Loan tape'!$H22*12))/((1+'Loan tape'!$D22/12)^('Loan tape'!$H22*12)-1)))</f>
        <v>28696795.9867093</v>
      </c>
      <c r="H23" s="11" t="n">
        <f aca="false">IF('Loan tape'!$C22="",0,IF(OR('Loan tape'!$H22=0,H$5&lt;='Loan tape'!$I22),'Loan tape'!$C22,'Loan tape'!$C22*((1+'Loan tape'!$D22/12)^('Loan tape'!$H22*12)-(1+'Loan tape'!$D22/12)^MIN((H$5-'Loan tape'!$I22)*12,'Loan tape'!$H22*12))/((1+'Loan tape'!$D22/12)^('Loan tape'!$H22*12)-1)))</f>
        <v>28372157.8551732</v>
      </c>
      <c r="I23" s="11" t="n">
        <f aca="false">IF('Loan tape'!$C22="",0,IF(OR('Loan tape'!$H22=0,I$5&lt;='Loan tape'!$I22),'Loan tape'!$C22,'Loan tape'!$C22*((1+'Loan tape'!$D22/12)^('Loan tape'!$H22*12)-(1+'Loan tape'!$D22/12)^MIN((I$5-'Loan tape'!$I22)*12,'Loan tape'!$H22*12))/((1+'Loan tape'!$D22/12)^('Loan tape'!$H22*12)-1)))</f>
        <v>28024570.3832812</v>
      </c>
      <c r="J23" s="11" t="n">
        <f aca="false">IF('Loan tape'!$C22="",0,IF(OR('Loan tape'!$H22=0,J$5&lt;='Loan tape'!$I22),'Loan tape'!$C22,'Loan tape'!$C22*((1+'Loan tape'!$D22/12)^('Loan tape'!$H22*12)-(1+'Loan tape'!$D22/12)^MIN((J$5-'Loan tape'!$I22)*12,'Loan tape'!$H22*12))/((1+'Loan tape'!$D22/12)^('Loan tape'!$H22*12)-1)))</f>
        <v>27652411.2347407</v>
      </c>
      <c r="K23" s="11" t="n">
        <f aca="false">IF('Loan tape'!$C22="",0,IF(OR('Loan tape'!$H22=0,K$5&lt;='Loan tape'!$I22),'Loan tape'!$C22,'Loan tape'!$C22*((1+'Loan tape'!$D22/12)^('Loan tape'!$H22*12)-(1+'Loan tape'!$D22/12)^MIN((K$5-'Loan tape'!$I22)*12,'Loan tape'!$H22*12))/((1+'Loan tape'!$D22/12)^('Loan tape'!$H22*12)-1)))</f>
        <v>27253943.3869539</v>
      </c>
      <c r="L23" s="11" t="n">
        <f aca="false">IF('Loan tape'!$C22="",0,IF(OR('Loan tape'!$H22=0,L$5&lt;='Loan tape'!$I22),'Loan tape'!$C22,'Loan tape'!$C22*((1+'Loan tape'!$D22/12)^('Loan tape'!$H22*12)-(1+'Loan tape'!$D22/12)^MIN((L$5-'Loan tape'!$I22)*12,'Loan tape'!$H22*12))/((1+'Loan tape'!$D22/12)^('Loan tape'!$H22*12)-1)))</f>
        <v>26827307.0236065</v>
      </c>
      <c r="M23" s="11" t="n">
        <f aca="false">IF('Loan tape'!$C22="",0,IF(OR('Loan tape'!$H22=0,M$5&lt;='Loan tape'!$I22),'Loan tape'!$C22,'Loan tape'!$C22*((1+'Loan tape'!$D22/12)^('Loan tape'!$H22*12)-(1+'Loan tape'!$D22/12)^MIN((M$5-'Loan tape'!$I22)*12,'Loan tape'!$H22*12))/((1+'Loan tape'!$D22/12)^('Loan tape'!$H22*12)-1)))</f>
        <v>26370510.8541257</v>
      </c>
      <c r="N23" s="11" t="n">
        <f aca="false">IF('Loan tape'!$C22="",0,IF(OR('Loan tape'!$H22=0,N$5&lt;='Loan tape'!$I22),'Loan tape'!$C22,'Loan tape'!$C22*((1+'Loan tape'!$D22/12)^('Loan tape'!$H22*12)-(1+'Loan tape'!$D22/12)^MIN((N$5-'Loan tape'!$I22)*12,'Loan tape'!$H22*12))/((1+'Loan tape'!$D22/12)^('Loan tape'!$H22*12)-1)))</f>
        <v>25881422.819493</v>
      </c>
      <c r="O23" s="11" t="n">
        <f aca="false">IF('Loan tape'!$C22="",0,IF(OR('Loan tape'!$H22=0,O$5&lt;='Loan tape'!$I22),'Loan tape'!$C22,'Loan tape'!$C22*((1+'Loan tape'!$D22/12)^('Loan tape'!$H22*12)-(1+'Loan tape'!$D22/12)^MIN((O$5-'Loan tape'!$I22)*12,'Loan tape'!$H22*12))/((1+'Loan tape'!$D22/12)^('Loan tape'!$H22*12)-1)))</f>
        <v>25357760.1410325</v>
      </c>
      <c r="P23" s="11" t="n">
        <f aca="false">IF('Loan tape'!$C22="",0,IF(OR('Loan tape'!$H22=0,P$5&lt;='Loan tape'!$I22),'Loan tape'!$C22,'Loan tape'!$C22*((1+'Loan tape'!$D22/12)^('Loan tape'!$H22*12)-(1+'Loan tape'!$D22/12)^MIN((P$5-'Loan tape'!$I22)*12,'Loan tape'!$H22*12))/((1+'Loan tape'!$D22/12)^('Loan tape'!$H22*12)-1)))</f>
        <v>24797078.6657264</v>
      </c>
      <c r="Q23" s="11" t="n">
        <f aca="false">IF($B23=1,IF(Q$5&lt;$C23,F23,IF(Q$5&lt;=$D23,$E23,0)),F23)</f>
        <v>29000000</v>
      </c>
      <c r="R23" s="11" t="n">
        <f aca="false">IF($B23=1,IF(R$5&lt;$C23,G23,IF(R$5&lt;=$D23,$E23,0)),G23)</f>
        <v>28696795.9867093</v>
      </c>
      <c r="S23" s="11" t="n">
        <f aca="false">IF($B23=1,IF(S$5&lt;$C23,H23,IF(S$5&lt;=$D23,$E23,0)),H23)</f>
        <v>28372157.8551732</v>
      </c>
      <c r="T23" s="11" t="n">
        <f aca="false">IF($B23=1,IF(T$5&lt;$C23,I23,IF(T$5&lt;=$D23,$E23,0)),I23)</f>
        <v>28024570.3832812</v>
      </c>
      <c r="U23" s="11" t="n">
        <f aca="false">IF($B23=1,IF(U$5&lt;$C23,J23,IF(U$5&lt;=$D23,$E23,0)),J23)</f>
        <v>28024570.3832812</v>
      </c>
      <c r="V23" s="11" t="n">
        <f aca="false">IF($B23=1,IF(V$5&lt;$C23,K23,IF(V$5&lt;=$D23,$E23,0)),K23)</f>
        <v>0</v>
      </c>
      <c r="W23" s="11" t="n">
        <f aca="false">IF($B23=1,IF(W$5&lt;$C23,L23,IF(W$5&lt;=$D23,$E23,0)),L23)</f>
        <v>0</v>
      </c>
      <c r="X23" s="11" t="n">
        <f aca="false">IF($B23=1,IF(X$5&lt;$C23,M23,IF(X$5&lt;=$D23,$E23,0)),M23)</f>
        <v>0</v>
      </c>
      <c r="Y23" s="11" t="n">
        <f aca="false">IF($B23=1,IF(Y$5&lt;$C23,N23,IF(Y$5&lt;=$D23,$E23,0)),N23)</f>
        <v>0</v>
      </c>
      <c r="Z23" s="11" t="n">
        <f aca="false">IF($B23=1,IF(Z$5&lt;$C23,O23,IF(Z$5&lt;=$D23,$E23,0)),O23)</f>
        <v>0</v>
      </c>
      <c r="AA23" s="11" t="n">
        <f aca="false">IF($B23=1,IF(AA$5&lt;$C23,F23*'Loan tape'!$D22,0),F23*'Loan tape'!$D22)</f>
        <v>1986500</v>
      </c>
      <c r="AB23" s="11" t="n">
        <f aca="false">IF($B23=1,IF(AB$5&lt;$C23,G23*'Loan tape'!$D22,0),G23*'Loan tape'!$D22)</f>
        <v>1965730.52508958</v>
      </c>
      <c r="AC23" s="11" t="n">
        <f aca="false">IF($B23=1,IF(AC$5&lt;$C23,H23*'Loan tape'!$D22,0),H23*'Loan tape'!$D22)</f>
        <v>1943492.81307936</v>
      </c>
      <c r="AD23" s="11" t="n">
        <f aca="false">IF($B23=1,IF(AD$5&lt;$C23,I23*'Loan tape'!$D22,0),I23*'Loan tape'!$D22)</f>
        <v>0</v>
      </c>
      <c r="AE23" s="11" t="n">
        <f aca="false">IF($B23=1,IF(AE$5&lt;$C23,J23*'Loan tape'!$D22,0),J23*'Loan tape'!$D22)</f>
        <v>0</v>
      </c>
      <c r="AF23" s="11" t="n">
        <f aca="false">IF($B23=1,IF(AF$5&lt;$C23,K23*'Loan tape'!$D22,0),K23*'Loan tape'!$D22)</f>
        <v>0</v>
      </c>
      <c r="AG23" s="11" t="n">
        <f aca="false">IF($B23=1,IF(AG$5&lt;$C23,L23*'Loan tape'!$D22,0),L23*'Loan tape'!$D22)</f>
        <v>0</v>
      </c>
      <c r="AH23" s="11" t="n">
        <f aca="false">IF($B23=1,IF(AH$5&lt;$C23,M23*'Loan tape'!$D22,0),M23*'Loan tape'!$D22)</f>
        <v>0</v>
      </c>
      <c r="AI23" s="11" t="n">
        <f aca="false">IF($B23=1,IF(AI$5&lt;$C23,N23*'Loan tape'!$D22,0),N23*'Loan tape'!$D22)</f>
        <v>0</v>
      </c>
      <c r="AJ23" s="11" t="n">
        <f aca="false">IF($B23=1,IF(AJ$5&lt;$C23,O23*'Loan tape'!$D22,0),O23*'Loan tape'!$D22)</f>
        <v>0</v>
      </c>
      <c r="AK23" s="11" t="n">
        <f aca="false">IF($B23=1,IF(AK$5&lt;$C23,F23-G23,0),F23-G23)</f>
        <v>303204.013290737</v>
      </c>
      <c r="AL23" s="11" t="n">
        <f aca="false">IF($B23=1,IF(AL$5&lt;$C23,G23-H23,0),G23-H23)</f>
        <v>324638.131536074</v>
      </c>
      <c r="AM23" s="11" t="n">
        <f aca="false">IF($B23=1,IF(AM$5&lt;$C23,H23-I23,0),H23-I23)</f>
        <v>347587.471891981</v>
      </c>
      <c r="AN23" s="11" t="n">
        <f aca="false">IF($B23=1,IF(AN$5&lt;$C23,I23-J23,0),I23-J23)</f>
        <v>0</v>
      </c>
      <c r="AO23" s="11" t="n">
        <f aca="false">IF($B23=1,IF(AO$5&lt;$C23,J23-K23,0),J23-K23)</f>
        <v>0</v>
      </c>
      <c r="AP23" s="11" t="n">
        <f aca="false">IF($B23=1,IF(AP$5&lt;$C23,K23-L23,0),K23-L23)</f>
        <v>0</v>
      </c>
      <c r="AQ23" s="11" t="n">
        <f aca="false">IF($B23=1,IF(AQ$5&lt;$C23,L23-M23,0),L23-M23)</f>
        <v>0</v>
      </c>
      <c r="AR23" s="11" t="n">
        <f aca="false">IF($B23=1,IF(AR$5&lt;$C23,M23-N23,0),M23-N23)</f>
        <v>0</v>
      </c>
      <c r="AS23" s="11" t="n">
        <f aca="false">IF($B23=1,IF(AS$5&lt;$C23,N23-O23,0),N23-O23)</f>
        <v>0</v>
      </c>
      <c r="AT23" s="11" t="n">
        <f aca="false">IF($B23=1,IF(AT$5&lt;$C23,O23-P23,0),O23-P23)</f>
        <v>0</v>
      </c>
      <c r="AU23" s="11" t="n">
        <f aca="false">IF(B23=1,0,P23)</f>
        <v>0</v>
      </c>
      <c r="AV23" s="11" t="n">
        <f aca="false">SUM(AA23:AJ23)</f>
        <v>5895723.33816895</v>
      </c>
      <c r="AW23" s="11" t="n">
        <f aca="false">SUM(AK23:AT23)</f>
        <v>975429.616718791</v>
      </c>
      <c r="AX23" s="11" t="n">
        <f aca="false">SUM(Q23:Z23)</f>
        <v>142118094.608445</v>
      </c>
    </row>
    <row r="24" customFormat="false" ht="15" hidden="false" customHeight="false" outlineLevel="0" collapsed="false">
      <c r="A24" s="17" t="str">
        <f aca="false">IF('Loan tape'!A23="","",'Loan tape'!A23)</f>
        <v>Verona Storage</v>
      </c>
      <c r="B24" s="30" t="n">
        <f aca="false">IF(A24="",0,IF(ISNUMBER(MATCH(A24,Liquidations!$A$13:$A$17,0)),1,0))</f>
        <v>0</v>
      </c>
      <c r="C24" s="30" t="n">
        <f aca="false">Liquidations!$B$23</f>
        <v>4</v>
      </c>
      <c r="D24" s="30" t="n">
        <f aca="false">IF(B24=1,INDEX(Liquidations!$W$13:$W$17,MATCH(A24,Liquidations!$A$13:$A$17,0)),0)</f>
        <v>0</v>
      </c>
      <c r="E24" s="11" t="n">
        <f aca="false">IF(B24=1,INDEX(Liquidations!$I$13:$I$17,MATCH(A24,Liquidations!$A$13:$A$17,0)),0)</f>
        <v>0</v>
      </c>
      <c r="F24" s="11" t="n">
        <f aca="false">IF('Loan tape'!$C23="",0,IF(OR('Loan tape'!$H23=0,F$5&lt;='Loan tape'!$I23),'Loan tape'!$C23,'Loan tape'!$C23*((1+'Loan tape'!$D23/12)^('Loan tape'!$H23*12)-(1+'Loan tape'!$D23/12)^MIN((F$5-'Loan tape'!$I23)*12,'Loan tape'!$H23*12))/((1+'Loan tape'!$D23/12)^('Loan tape'!$H23*12)-1)))</f>
        <v>25500000</v>
      </c>
      <c r="G24" s="11" t="n">
        <f aca="false">IF('Loan tape'!$C23="",0,IF(OR('Loan tape'!$H23=0,G$5&lt;='Loan tape'!$I23),'Loan tape'!$C23,'Loan tape'!$C23*((1+'Loan tape'!$D23/12)^('Loan tape'!$H23*12)-(1+'Loan tape'!$D23/12)^MIN((G$5-'Loan tape'!$I23)*12,'Loan tape'!$H23*12))/((1+'Loan tape'!$D23/12)^('Loan tape'!$H23*12)-1)))</f>
        <v>25500000</v>
      </c>
      <c r="H24" s="11" t="n">
        <f aca="false">IF('Loan tape'!$C23="",0,IF(OR('Loan tape'!$H23=0,H$5&lt;='Loan tape'!$I23),'Loan tape'!$C23,'Loan tape'!$C23*((1+'Loan tape'!$D23/12)^('Loan tape'!$H23*12)-(1+'Loan tape'!$D23/12)^MIN((H$5-'Loan tape'!$I23)*12,'Loan tape'!$H23*12))/((1+'Loan tape'!$D23/12)^('Loan tape'!$H23*12)-1)))</f>
        <v>25500000</v>
      </c>
      <c r="I24" s="11" t="n">
        <f aca="false">IF('Loan tape'!$C23="",0,IF(OR('Loan tape'!$H23=0,I$5&lt;='Loan tape'!$I23),'Loan tape'!$C23,'Loan tape'!$C23*((1+'Loan tape'!$D23/12)^('Loan tape'!$H23*12)-(1+'Loan tape'!$D23/12)^MIN((I$5-'Loan tape'!$I23)*12,'Loan tape'!$H23*12))/((1+'Loan tape'!$D23/12)^('Loan tape'!$H23*12)-1)))</f>
        <v>25500000</v>
      </c>
      <c r="J24" s="11" t="n">
        <f aca="false">IF('Loan tape'!$C23="",0,IF(OR('Loan tape'!$H23=0,J$5&lt;='Loan tape'!$I23),'Loan tape'!$C23,'Loan tape'!$C23*((1+'Loan tape'!$D23/12)^('Loan tape'!$H23*12)-(1+'Loan tape'!$D23/12)^MIN((J$5-'Loan tape'!$I23)*12,'Loan tape'!$H23*12))/((1+'Loan tape'!$D23/12)^('Loan tape'!$H23*12)-1)))</f>
        <v>25500000</v>
      </c>
      <c r="K24" s="11" t="n">
        <f aca="false">IF('Loan tape'!$C23="",0,IF(OR('Loan tape'!$H23=0,K$5&lt;='Loan tape'!$I23),'Loan tape'!$C23,'Loan tape'!$C23*((1+'Loan tape'!$D23/12)^('Loan tape'!$H23*12)-(1+'Loan tape'!$D23/12)^MIN((K$5-'Loan tape'!$I23)*12,'Loan tape'!$H23*12))/((1+'Loan tape'!$D23/12)^('Loan tape'!$H23*12)-1)))</f>
        <v>25500000</v>
      </c>
      <c r="L24" s="11" t="n">
        <f aca="false">IF('Loan tape'!$C23="",0,IF(OR('Loan tape'!$H23=0,L$5&lt;='Loan tape'!$I23),'Loan tape'!$C23,'Loan tape'!$C23*((1+'Loan tape'!$D23/12)^('Loan tape'!$H23*12)-(1+'Loan tape'!$D23/12)^MIN((L$5-'Loan tape'!$I23)*12,'Loan tape'!$H23*12))/((1+'Loan tape'!$D23/12)^('Loan tape'!$H23*12)-1)))</f>
        <v>25500000</v>
      </c>
      <c r="M24" s="11" t="n">
        <f aca="false">IF('Loan tape'!$C23="",0,IF(OR('Loan tape'!$H23=0,M$5&lt;='Loan tape'!$I23),'Loan tape'!$C23,'Loan tape'!$C23*((1+'Loan tape'!$D23/12)^('Loan tape'!$H23*12)-(1+'Loan tape'!$D23/12)^MIN((M$5-'Loan tape'!$I23)*12,'Loan tape'!$H23*12))/((1+'Loan tape'!$D23/12)^('Loan tape'!$H23*12)-1)))</f>
        <v>25500000</v>
      </c>
      <c r="N24" s="11" t="n">
        <f aca="false">IF('Loan tape'!$C23="",0,IF(OR('Loan tape'!$H23=0,N$5&lt;='Loan tape'!$I23),'Loan tape'!$C23,'Loan tape'!$C23*((1+'Loan tape'!$D23/12)^('Loan tape'!$H23*12)-(1+'Loan tape'!$D23/12)^MIN((N$5-'Loan tape'!$I23)*12,'Loan tape'!$H23*12))/((1+'Loan tape'!$D23/12)^('Loan tape'!$H23*12)-1)))</f>
        <v>25500000</v>
      </c>
      <c r="O24" s="11" t="n">
        <f aca="false">IF('Loan tape'!$C23="",0,IF(OR('Loan tape'!$H23=0,O$5&lt;='Loan tape'!$I23),'Loan tape'!$C23,'Loan tape'!$C23*((1+'Loan tape'!$D23/12)^('Loan tape'!$H23*12)-(1+'Loan tape'!$D23/12)^MIN((O$5-'Loan tape'!$I23)*12,'Loan tape'!$H23*12))/((1+'Loan tape'!$D23/12)^('Loan tape'!$H23*12)-1)))</f>
        <v>25500000</v>
      </c>
      <c r="P24" s="11" t="n">
        <f aca="false">IF('Loan tape'!$C23="",0,IF(OR('Loan tape'!$H23=0,P$5&lt;='Loan tape'!$I23),'Loan tape'!$C23,'Loan tape'!$C23*((1+'Loan tape'!$D23/12)^('Loan tape'!$H23*12)-(1+'Loan tape'!$D23/12)^MIN((P$5-'Loan tape'!$I23)*12,'Loan tape'!$H23*12))/((1+'Loan tape'!$D23/12)^('Loan tape'!$H23*12)-1)))</f>
        <v>25500000</v>
      </c>
      <c r="Q24" s="11" t="n">
        <f aca="false">IF($B24=1,IF(Q$5&lt;$C24,F24,IF(Q$5&lt;=$D24,$E24,0)),F24)</f>
        <v>25500000</v>
      </c>
      <c r="R24" s="11" t="n">
        <f aca="false">IF($B24=1,IF(R$5&lt;$C24,G24,IF(R$5&lt;=$D24,$E24,0)),G24)</f>
        <v>25500000</v>
      </c>
      <c r="S24" s="11" t="n">
        <f aca="false">IF($B24=1,IF(S$5&lt;$C24,H24,IF(S$5&lt;=$D24,$E24,0)),H24)</f>
        <v>25500000</v>
      </c>
      <c r="T24" s="11" t="n">
        <f aca="false">IF($B24=1,IF(T$5&lt;$C24,I24,IF(T$5&lt;=$D24,$E24,0)),I24)</f>
        <v>25500000</v>
      </c>
      <c r="U24" s="11" t="n">
        <f aca="false">IF($B24=1,IF(U$5&lt;$C24,J24,IF(U$5&lt;=$D24,$E24,0)),J24)</f>
        <v>25500000</v>
      </c>
      <c r="V24" s="11" t="n">
        <f aca="false">IF($B24=1,IF(V$5&lt;$C24,K24,IF(V$5&lt;=$D24,$E24,0)),K24)</f>
        <v>25500000</v>
      </c>
      <c r="W24" s="11" t="n">
        <f aca="false">IF($B24=1,IF(W$5&lt;$C24,L24,IF(W$5&lt;=$D24,$E24,0)),L24)</f>
        <v>25500000</v>
      </c>
      <c r="X24" s="11" t="n">
        <f aca="false">IF($B24=1,IF(X$5&lt;$C24,M24,IF(X$5&lt;=$D24,$E24,0)),M24)</f>
        <v>25500000</v>
      </c>
      <c r="Y24" s="11" t="n">
        <f aca="false">IF($B24=1,IF(Y$5&lt;$C24,N24,IF(Y$5&lt;=$D24,$E24,0)),N24)</f>
        <v>25500000</v>
      </c>
      <c r="Z24" s="11" t="n">
        <f aca="false">IF($B24=1,IF(Z$5&lt;$C24,O24,IF(Z$5&lt;=$D24,$E24,0)),O24)</f>
        <v>25500000</v>
      </c>
      <c r="AA24" s="11" t="n">
        <f aca="false">IF($B24=1,IF(AA$5&lt;$C24,F24*'Loan tape'!$D23,0),F24*'Loan tape'!$D23)</f>
        <v>1593750</v>
      </c>
      <c r="AB24" s="11" t="n">
        <f aca="false">IF($B24=1,IF(AB$5&lt;$C24,G24*'Loan tape'!$D23,0),G24*'Loan tape'!$D23)</f>
        <v>1593750</v>
      </c>
      <c r="AC24" s="11" t="n">
        <f aca="false">IF($B24=1,IF(AC$5&lt;$C24,H24*'Loan tape'!$D23,0),H24*'Loan tape'!$D23)</f>
        <v>1593750</v>
      </c>
      <c r="AD24" s="11" t="n">
        <f aca="false">IF($B24=1,IF(AD$5&lt;$C24,I24*'Loan tape'!$D23,0),I24*'Loan tape'!$D23)</f>
        <v>1593750</v>
      </c>
      <c r="AE24" s="11" t="n">
        <f aca="false">IF($B24=1,IF(AE$5&lt;$C24,J24*'Loan tape'!$D23,0),J24*'Loan tape'!$D23)</f>
        <v>1593750</v>
      </c>
      <c r="AF24" s="11" t="n">
        <f aca="false">IF($B24=1,IF(AF$5&lt;$C24,K24*'Loan tape'!$D23,0),K24*'Loan tape'!$D23)</f>
        <v>1593750</v>
      </c>
      <c r="AG24" s="11" t="n">
        <f aca="false">IF($B24=1,IF(AG$5&lt;$C24,L24*'Loan tape'!$D23,0),L24*'Loan tape'!$D23)</f>
        <v>1593750</v>
      </c>
      <c r="AH24" s="11" t="n">
        <f aca="false">IF($B24=1,IF(AH$5&lt;$C24,M24*'Loan tape'!$D23,0),M24*'Loan tape'!$D23)</f>
        <v>1593750</v>
      </c>
      <c r="AI24" s="11" t="n">
        <f aca="false">IF($B24=1,IF(AI$5&lt;$C24,N24*'Loan tape'!$D23,0),N24*'Loan tape'!$D23)</f>
        <v>1593750</v>
      </c>
      <c r="AJ24" s="11" t="n">
        <f aca="false">IF($B24=1,IF(AJ$5&lt;$C24,O24*'Loan tape'!$D23,0),O24*'Loan tape'!$D23)</f>
        <v>1593750</v>
      </c>
      <c r="AK24" s="11" t="n">
        <f aca="false">IF($B24=1,IF(AK$5&lt;$C24,F24-G24,0),F24-G24)</f>
        <v>0</v>
      </c>
      <c r="AL24" s="11" t="n">
        <f aca="false">IF($B24=1,IF(AL$5&lt;$C24,G24-H24,0),G24-H24)</f>
        <v>0</v>
      </c>
      <c r="AM24" s="11" t="n">
        <f aca="false">IF($B24=1,IF(AM$5&lt;$C24,H24-I24,0),H24-I24)</f>
        <v>0</v>
      </c>
      <c r="AN24" s="11" t="n">
        <f aca="false">IF($B24=1,IF(AN$5&lt;$C24,I24-J24,0),I24-J24)</f>
        <v>0</v>
      </c>
      <c r="AO24" s="11" t="n">
        <f aca="false">IF($B24=1,IF(AO$5&lt;$C24,J24-K24,0),J24-K24)</f>
        <v>0</v>
      </c>
      <c r="AP24" s="11" t="n">
        <f aca="false">IF($B24=1,IF(AP$5&lt;$C24,K24-L24,0),K24-L24)</f>
        <v>0</v>
      </c>
      <c r="AQ24" s="11" t="n">
        <f aca="false">IF($B24=1,IF(AQ$5&lt;$C24,L24-M24,0),L24-M24)</f>
        <v>0</v>
      </c>
      <c r="AR24" s="11" t="n">
        <f aca="false">IF($B24=1,IF(AR$5&lt;$C24,M24-N24,0),M24-N24)</f>
        <v>0</v>
      </c>
      <c r="AS24" s="11" t="n">
        <f aca="false">IF($B24=1,IF(AS$5&lt;$C24,N24-O24,0),N24-O24)</f>
        <v>0</v>
      </c>
      <c r="AT24" s="11" t="n">
        <f aca="false">IF($B24=1,IF(AT$5&lt;$C24,O24-P24,0),O24-P24)</f>
        <v>0</v>
      </c>
      <c r="AU24" s="11" t="n">
        <f aca="false">IF(B24=1,0,P24)</f>
        <v>25500000</v>
      </c>
      <c r="AV24" s="11" t="n">
        <f aca="false">SUM(AA24:AJ24)</f>
        <v>15937500</v>
      </c>
      <c r="AW24" s="11" t="n">
        <f aca="false">SUM(AK24:AT24)</f>
        <v>0</v>
      </c>
      <c r="AX24" s="11" t="n">
        <f aca="false">SUM(Q24:Z24)</f>
        <v>255000000</v>
      </c>
    </row>
    <row r="25" customFormat="false" ht="15" hidden="false" customHeight="false" outlineLevel="0" collapsed="false">
      <c r="A25" s="17" t="str">
        <f aca="false">IF('Loan tape'!A24="","",'Loan tape'!A24)</f>
        <v>Pinecrest Retail Strip</v>
      </c>
      <c r="B25" s="30" t="n">
        <f aca="false">IF(A25="",0,IF(ISNUMBER(MATCH(A25,Liquidations!$A$13:$A$17,0)),1,0))</f>
        <v>0</v>
      </c>
      <c r="C25" s="30" t="n">
        <f aca="false">Liquidations!$B$23</f>
        <v>4</v>
      </c>
      <c r="D25" s="30" t="n">
        <f aca="false">IF(B25=1,INDEX(Liquidations!$W$13:$W$17,MATCH(A25,Liquidations!$A$13:$A$17,0)),0)</f>
        <v>0</v>
      </c>
      <c r="E25" s="11" t="n">
        <f aca="false">IF(B25=1,INDEX(Liquidations!$I$13:$I$17,MATCH(A25,Liquidations!$A$13:$A$17,0)),0)</f>
        <v>0</v>
      </c>
      <c r="F25" s="11" t="n">
        <f aca="false">IF('Loan tape'!$C24="",0,IF(OR('Loan tape'!$H24=0,F$5&lt;='Loan tape'!$I24),'Loan tape'!$C24,'Loan tape'!$C24*((1+'Loan tape'!$D24/12)^('Loan tape'!$H24*12)-(1+'Loan tape'!$D24/12)^MIN((F$5-'Loan tape'!$I24)*12,'Loan tape'!$H24*12))/((1+'Loan tape'!$D24/12)^('Loan tape'!$H24*12)-1)))</f>
        <v>22000000</v>
      </c>
      <c r="G25" s="11" t="n">
        <f aca="false">IF('Loan tape'!$C24="",0,IF(OR('Loan tape'!$H24=0,G$5&lt;='Loan tape'!$I24),'Loan tape'!$C24,'Loan tape'!$C24*((1+'Loan tape'!$D24/12)^('Loan tape'!$H24*12)-(1+'Loan tape'!$D24/12)^MIN((G$5-'Loan tape'!$I24)*12,'Loan tape'!$H24*12))/((1+'Loan tape'!$D24/12)^('Loan tape'!$H24*12)-1)))</f>
        <v>21765535.4280005</v>
      </c>
      <c r="H25" s="11" t="n">
        <f aca="false">IF('Loan tape'!$C24="",0,IF(OR('Loan tape'!$H24=0,H$5&lt;='Loan tape'!$I24),'Loan tape'!$C24,'Loan tape'!$C24*((1+'Loan tape'!$D24/12)^('Loan tape'!$H24*12)-(1+'Loan tape'!$D24/12)^MIN((H$5-'Loan tape'!$I24)*12,'Loan tape'!$H24*12))/((1+'Loan tape'!$D24/12)^('Loan tape'!$H24*12)-1)))</f>
        <v>21514745.5716535</v>
      </c>
      <c r="I25" s="11" t="n">
        <f aca="false">IF('Loan tape'!$C24="",0,IF(OR('Loan tape'!$H24=0,I$5&lt;='Loan tape'!$I24),'Loan tape'!$C24,'Loan tape'!$C24*((1+'Loan tape'!$D24/12)^('Loan tape'!$H24*12)-(1+'Loan tape'!$D24/12)^MIN((I$5-'Loan tape'!$I24)*12,'Loan tape'!$H24*12))/((1+'Loan tape'!$D24/12)^('Loan tape'!$H24*12)-1)))</f>
        <v>21246493.7350959</v>
      </c>
      <c r="J25" s="11" t="n">
        <f aca="false">IF('Loan tape'!$C24="",0,IF(OR('Loan tape'!$H24=0,J$5&lt;='Loan tape'!$I24),'Loan tape'!$C24,'Loan tape'!$C24*((1+'Loan tape'!$D24/12)^('Loan tape'!$H24*12)-(1+'Loan tape'!$D24/12)^MIN((J$5-'Loan tape'!$I24)*12,'Loan tape'!$H24*12))/((1+'Loan tape'!$D24/12)^('Loan tape'!$H24*12)-1)))</f>
        <v>20959564.0766772</v>
      </c>
      <c r="K25" s="11" t="n">
        <f aca="false">IF('Loan tape'!$C24="",0,IF(OR('Loan tape'!$H24=0,K$5&lt;='Loan tape'!$I24),'Loan tape'!$C24,'Loan tape'!$C24*((1+'Loan tape'!$D24/12)^('Loan tape'!$H24*12)-(1+'Loan tape'!$D24/12)^MIN((K$5-'Loan tape'!$I24)*12,'Loan tape'!$H24*12))/((1+'Loan tape'!$D24/12)^('Loan tape'!$H24*12)-1)))</f>
        <v>20652656.0982016</v>
      </c>
      <c r="L25" s="11" t="n">
        <f aca="false">IF('Loan tape'!$C24="",0,IF(OR('Loan tape'!$H24=0,L$5&lt;='Loan tape'!$I24),'Loan tape'!$C24,'Loan tape'!$C24*((1+'Loan tape'!$D24/12)^('Loan tape'!$H24*12)-(1+'Loan tape'!$D24/12)^MIN((L$5-'Loan tape'!$I24)*12,'Loan tape'!$H24*12))/((1+'Loan tape'!$D24/12)^('Loan tape'!$H24*12)-1)))</f>
        <v>20324378.7504673</v>
      </c>
      <c r="M25" s="11" t="n">
        <f aca="false">IF('Loan tape'!$C24="",0,IF(OR('Loan tape'!$H24=0,M$5&lt;='Loan tape'!$I24),'Loan tape'!$C24,'Loan tape'!$C24*((1+'Loan tape'!$D24/12)^('Loan tape'!$H24*12)-(1+'Loan tape'!$D24/12)^MIN((M$5-'Loan tape'!$I24)*12,'Loan tape'!$H24*12))/((1+'Loan tape'!$D24/12)^('Loan tape'!$H24*12)-1)))</f>
        <v>19973244.128387</v>
      </c>
      <c r="N25" s="11" t="n">
        <f aca="false">IF('Loan tape'!$C24="",0,IF(OR('Loan tape'!$H24=0,N$5&lt;='Loan tape'!$I24),'Loan tape'!$C24,'Loan tape'!$C24*((1+'Loan tape'!$D24/12)^('Loan tape'!$H24*12)-(1+'Loan tape'!$D24/12)^MIN((N$5-'Loan tape'!$I24)*12,'Loan tape'!$H24*12))/((1+'Loan tape'!$D24/12)^('Loan tape'!$H24*12)-1)))</f>
        <v>19597660.7271123</v>
      </c>
      <c r="O25" s="11" t="n">
        <f aca="false">IF('Loan tape'!$C24="",0,IF(OR('Loan tape'!$H24=0,O$5&lt;='Loan tape'!$I24),'Loan tape'!$C24,'Loan tape'!$C24*((1+'Loan tape'!$D24/12)^('Loan tape'!$H24*12)-(1+'Loan tape'!$D24/12)^MIN((O$5-'Loan tape'!$I24)*12,'Loan tape'!$H24*12))/((1+'Loan tape'!$D24/12)^('Loan tape'!$H24*12)-1)))</f>
        <v>19195926.2285962</v>
      </c>
      <c r="P25" s="11" t="n">
        <f aca="false">IF('Loan tape'!$C24="",0,IF(OR('Loan tape'!$H24=0,P$5&lt;='Loan tape'!$I24),'Loan tape'!$C24,'Loan tape'!$C24*((1+'Loan tape'!$D24/12)^('Loan tape'!$H24*12)-(1+'Loan tape'!$D24/12)^MIN((P$5-'Loan tape'!$I24)*12,'Loan tape'!$H24*12))/((1+'Loan tape'!$D24/12)^('Loan tape'!$H24*12)-1)))</f>
        <v>18766219.7858987</v>
      </c>
      <c r="Q25" s="11" t="n">
        <f aca="false">IF($B25=1,IF(Q$5&lt;$C25,F25,IF(Q$5&lt;=$D25,$E25,0)),F25)</f>
        <v>22000000</v>
      </c>
      <c r="R25" s="11" t="n">
        <f aca="false">IF($B25=1,IF(R$5&lt;$C25,G25,IF(R$5&lt;=$D25,$E25,0)),G25)</f>
        <v>21765535.4280005</v>
      </c>
      <c r="S25" s="11" t="n">
        <f aca="false">IF($B25=1,IF(S$5&lt;$C25,H25,IF(S$5&lt;=$D25,$E25,0)),H25)</f>
        <v>21514745.5716535</v>
      </c>
      <c r="T25" s="11" t="n">
        <f aca="false">IF($B25=1,IF(T$5&lt;$C25,I25,IF(T$5&lt;=$D25,$E25,0)),I25)</f>
        <v>21246493.7350959</v>
      </c>
      <c r="U25" s="11" t="n">
        <f aca="false">IF($B25=1,IF(U$5&lt;$C25,J25,IF(U$5&lt;=$D25,$E25,0)),J25)</f>
        <v>20959564.0766772</v>
      </c>
      <c r="V25" s="11" t="n">
        <f aca="false">IF($B25=1,IF(V$5&lt;$C25,K25,IF(V$5&lt;=$D25,$E25,0)),K25)</f>
        <v>20652656.0982016</v>
      </c>
      <c r="W25" s="11" t="n">
        <f aca="false">IF($B25=1,IF(W$5&lt;$C25,L25,IF(W$5&lt;=$D25,$E25,0)),L25)</f>
        <v>20324378.7504673</v>
      </c>
      <c r="X25" s="11" t="n">
        <f aca="false">IF($B25=1,IF(X$5&lt;$C25,M25,IF(X$5&lt;=$D25,$E25,0)),M25)</f>
        <v>19973244.128387</v>
      </c>
      <c r="Y25" s="11" t="n">
        <f aca="false">IF($B25=1,IF(Y$5&lt;$C25,N25,IF(Y$5&lt;=$D25,$E25,0)),N25)</f>
        <v>19597660.7271123</v>
      </c>
      <c r="Z25" s="11" t="n">
        <f aca="false">IF($B25=1,IF(Z$5&lt;$C25,O25,IF(Z$5&lt;=$D25,$E25,0)),O25)</f>
        <v>19195926.2285962</v>
      </c>
      <c r="AA25" s="11" t="n">
        <f aca="false">IF($B25=1,IF(AA$5&lt;$C25,F25*'Loan tape'!$D24,0),F25*'Loan tape'!$D24)</f>
        <v>1485000</v>
      </c>
      <c r="AB25" s="11" t="n">
        <f aca="false">IF($B25=1,IF(AB$5&lt;$C25,G25*'Loan tape'!$D24,0),G25*'Loan tape'!$D24)</f>
        <v>1469173.64139003</v>
      </c>
      <c r="AC25" s="11" t="n">
        <f aca="false">IF($B25=1,IF(AC$5&lt;$C25,H25*'Loan tape'!$D24,0),H25*'Loan tape'!$D24)</f>
        <v>1452245.32608661</v>
      </c>
      <c r="AD25" s="11" t="n">
        <f aca="false">IF($B25=1,IF(AD$5&lt;$C25,I25*'Loan tape'!$D24,0),I25*'Loan tape'!$D24)</f>
        <v>1434138.32711897</v>
      </c>
      <c r="AE25" s="11" t="n">
        <f aca="false">IF($B25=1,IF(AE$5&lt;$C25,J25*'Loan tape'!$D24,0),J25*'Loan tape'!$D24)</f>
        <v>1414770.57517571</v>
      </c>
      <c r="AF25" s="11" t="n">
        <f aca="false">IF($B25=1,IF(AF$5&lt;$C25,K25*'Loan tape'!$D24,0),K25*'Loan tape'!$D24)</f>
        <v>1394054.28662861</v>
      </c>
      <c r="AG25" s="11" t="n">
        <f aca="false">IF($B25=1,IF(AG$5&lt;$C25,L25*'Loan tape'!$D24,0),L25*'Loan tape'!$D24)</f>
        <v>1371895.56565654</v>
      </c>
      <c r="AH25" s="11" t="n">
        <f aca="false">IF($B25=1,IF(AH$5&lt;$C25,M25*'Loan tape'!$D24,0),M25*'Loan tape'!$D24)</f>
        <v>1348193.97866612</v>
      </c>
      <c r="AI25" s="11" t="n">
        <f aca="false">IF($B25=1,IF(AI$5&lt;$C25,N25*'Loan tape'!$D24,0),N25*'Loan tape'!$D24)</f>
        <v>1322842.09908008</v>
      </c>
      <c r="AJ25" s="11" t="n">
        <f aca="false">IF($B25=1,IF(AJ$5&lt;$C25,O25*'Loan tape'!$D24,0),O25*'Loan tape'!$D24)</f>
        <v>1295725.02043024</v>
      </c>
      <c r="AK25" s="11" t="n">
        <f aca="false">IF($B25=1,IF(AK$5&lt;$C25,F25-G25,0),F25-G25)</f>
        <v>234464.571999487</v>
      </c>
      <c r="AL25" s="11" t="n">
        <f aca="false">IF($B25=1,IF(AL$5&lt;$C25,G25-H25,0),G25-H25)</f>
        <v>250789.856347006</v>
      </c>
      <c r="AM25" s="11" t="n">
        <f aca="false">IF($B25=1,IF(AM$5&lt;$C25,H25-I25,0),H25-I25)</f>
        <v>268251.836557586</v>
      </c>
      <c r="AN25" s="11" t="n">
        <f aca="false">IF($B25=1,IF(AN$5&lt;$C25,I25-J25,0),I25-J25)</f>
        <v>286929.658418693</v>
      </c>
      <c r="AO25" s="11" t="n">
        <f aca="false">IF($B25=1,IF(AO$5&lt;$C25,J25-K25,0),J25-K25)</f>
        <v>306907.978475634</v>
      </c>
      <c r="AP25" s="11" t="n">
        <f aca="false">IF($B25=1,IF(AP$5&lt;$C25,K25-L25,0),K25-L25)</f>
        <v>328277.347734317</v>
      </c>
      <c r="AQ25" s="11" t="n">
        <f aca="false">IF($B25=1,IF(AQ$5&lt;$C25,L25-M25,0),L25-M25)</f>
        <v>351134.622080326</v>
      </c>
      <c r="AR25" s="11" t="n">
        <f aca="false">IF($B25=1,IF(AR$5&lt;$C25,M25-N25,0),M25-N25)</f>
        <v>375583.4012747</v>
      </c>
      <c r="AS25" s="11" t="n">
        <f aca="false">IF($B25=1,IF(AS$5&lt;$C25,N25-O25,0),N25-O25)</f>
        <v>401734.498516079</v>
      </c>
      <c r="AT25" s="11" t="n">
        <f aca="false">IF($B25=1,IF(AT$5&lt;$C25,O25-P25,0),O25-P25)</f>
        <v>429706.442697462</v>
      </c>
      <c r="AU25" s="11" t="n">
        <f aca="false">IF(B25=1,0,P25)</f>
        <v>18766219.7858987</v>
      </c>
      <c r="AV25" s="11" t="n">
        <f aca="false">SUM(AA25:AJ25)</f>
        <v>13988038.8202329</v>
      </c>
      <c r="AW25" s="11" t="n">
        <f aca="false">SUM(AK25:AT25)</f>
        <v>3233780.21410129</v>
      </c>
      <c r="AX25" s="11" t="n">
        <f aca="false">SUM(Q25:Z25)</f>
        <v>207230204.744191</v>
      </c>
    </row>
    <row r="28" customFormat="false" ht="15" hidden="false" customHeight="false" outlineLevel="0" collapsed="false">
      <c r="A28" s="12" t="s">
        <v>174</v>
      </c>
    </row>
    <row r="29" customFormat="false" ht="15" hidden="false" customHeight="false" outlineLevel="0" collapsed="false">
      <c r="A29" s="17" t="s">
        <v>175</v>
      </c>
      <c r="B29" s="21" t="n">
        <f aca="false">SUMIF(B6:B25,0,AV6:AV25)</f>
        <v>542299527.644765</v>
      </c>
    </row>
    <row r="30" customFormat="false" ht="15" hidden="false" customHeight="false" outlineLevel="0" collapsed="false">
      <c r="A30" s="17" t="s">
        <v>176</v>
      </c>
      <c r="B30" s="21" t="n">
        <f aca="false">SUMIF(B6:B25,1,AV6:AV25)</f>
        <v>24076209.8806174</v>
      </c>
    </row>
    <row r="31" customFormat="false" ht="15" hidden="false" customHeight="false" outlineLevel="0" collapsed="false">
      <c r="A31" s="17" t="s">
        <v>177</v>
      </c>
      <c r="B31" s="21" t="n">
        <f aca="false">Liquidations!M19</f>
        <v>9091624.60905113</v>
      </c>
    </row>
    <row r="32" customFormat="false" ht="15" hidden="false" customHeight="false" outlineLevel="0" collapsed="false">
      <c r="A32" s="17" t="s">
        <v>178</v>
      </c>
      <c r="B32" s="21" t="n">
        <f aca="false">SUM(AW6:AW25)</f>
        <v>43536215.6733337</v>
      </c>
    </row>
    <row r="33" customFormat="false" ht="15" hidden="false" customHeight="false" outlineLevel="0" collapsed="false">
      <c r="A33" s="17" t="s">
        <v>179</v>
      </c>
      <c r="B33" s="21" t="n">
        <f aca="false">SUM(AU6:AU25)</f>
        <v>835579730.672534</v>
      </c>
    </row>
    <row r="34" customFormat="false" ht="15" hidden="false" customHeight="false" outlineLevel="0" collapsed="false">
      <c r="A34" s="17" t="s">
        <v>180</v>
      </c>
      <c r="B34" s="21" t="n">
        <f aca="false">Liquidations!D19</f>
        <v>88500000</v>
      </c>
    </row>
    <row r="35" customFormat="false" ht="15" hidden="false" customHeight="false" outlineLevel="0" collapsed="false">
      <c r="A35" s="12" t="s">
        <v>181</v>
      </c>
      <c r="B35" s="13" t="n">
        <f aca="false">SUM(B29:B34)</f>
        <v>1543083308.4803</v>
      </c>
    </row>
    <row r="37" customFormat="false" ht="15" hidden="false" customHeight="false" outlineLevel="0" collapsed="false">
      <c r="A37" s="12" t="s">
        <v>182</v>
      </c>
    </row>
    <row r="38" customFormat="false" ht="15" hidden="false" customHeight="false" outlineLevel="0" collapsed="false">
      <c r="A38" s="17" t="s">
        <v>183</v>
      </c>
      <c r="B38" s="21" t="n">
        <f aca="false">SUM(AX6:AX25)*Liquidations!B10</f>
        <v>4150328.13327044</v>
      </c>
    </row>
    <row r="39" customFormat="false" ht="15" hidden="false" customHeight="false" outlineLevel="0" collapsed="false">
      <c r="A39" s="17" t="s">
        <v>184</v>
      </c>
      <c r="B39" s="21" t="n">
        <f aca="false">Liquidations!O19</f>
        <v>471760.512980771</v>
      </c>
    </row>
    <row r="40" customFormat="false" ht="15" hidden="false" customHeight="false" outlineLevel="0" collapsed="false">
      <c r="A40" s="17" t="s">
        <v>185</v>
      </c>
      <c r="B40" s="21" t="n">
        <f aca="false">Liquidations!N19</f>
        <v>885000</v>
      </c>
    </row>
    <row r="41" customFormat="false" ht="15" hidden="false" customHeight="false" outlineLevel="0" collapsed="false">
      <c r="A41" s="17" t="s">
        <v>186</v>
      </c>
      <c r="B41" s="21" t="n">
        <f aca="false">Liquidations!P19</f>
        <v>1873702.83163905</v>
      </c>
    </row>
    <row r="42" customFormat="false" ht="15" hidden="false" customHeight="false" outlineLevel="0" collapsed="false">
      <c r="A42" s="17" t="s">
        <v>187</v>
      </c>
      <c r="B42" s="21" t="n">
        <f aca="false">Liquidations!M19</f>
        <v>9091624.60905113</v>
      </c>
    </row>
    <row r="43" customFormat="false" ht="15" hidden="false" customHeight="false" outlineLevel="0" collapsed="false">
      <c r="A43" s="17" t="s">
        <v>188</v>
      </c>
      <c r="B43" s="21" t="n">
        <f aca="false">B29+B30+B31-B38</f>
        <v>571317034.001164</v>
      </c>
    </row>
    <row r="44" customFormat="false" ht="15" hidden="false" customHeight="false" outlineLevel="0" collapsed="false">
      <c r="A44" s="17" t="s">
        <v>189</v>
      </c>
      <c r="B44" s="21" t="n">
        <f aca="false">B32+B33+B34-B39-B40-B41-B42</f>
        <v>955293858.392197</v>
      </c>
    </row>
    <row r="45" customFormat="false" ht="15" hidden="false" customHeight="false" outlineLevel="0" collapsed="false">
      <c r="A45" s="12" t="s">
        <v>190</v>
      </c>
      <c r="B45" s="13" t="n">
        <f aca="false">SUM(B38:B44)</f>
        <v>1543083308.4803</v>
      </c>
    </row>
    <row r="47" customFormat="false" ht="15" hidden="false" customHeight="false" outlineLevel="0" collapsed="false">
      <c r="A47" s="17" t="s">
        <v>191</v>
      </c>
      <c r="B47" s="32" t="n">
        <f aca="false">B35-B45</f>
        <v>0</v>
      </c>
    </row>
    <row r="48" customFormat="false" ht="15" hidden="false" customHeight="false" outlineLevel="0" collapsed="false">
      <c r="A48" s="17" t="s">
        <v>192</v>
      </c>
      <c r="B48" s="21" t="n">
        <f aca="false">'Loan tape'!C26</f>
        <v>1000000000</v>
      </c>
    </row>
    <row r="49" customFormat="false" ht="15" hidden="false" customHeight="false" outlineLevel="0" collapsed="false">
      <c r="A49" s="12" t="s">
        <v>193</v>
      </c>
      <c r="B49" s="13" t="n">
        <f aca="false">B48-B44</f>
        <v>44706141.6078035</v>
      </c>
    </row>
    <row r="50" customFormat="false" ht="15" hidden="false" customHeight="false" outlineLevel="0" collapsed="false">
      <c r="A50" s="17" t="s">
        <v>194</v>
      </c>
      <c r="B50" s="21" t="n">
        <f aca="false">Liquidations!R19</f>
        <v>44706141.6078034</v>
      </c>
    </row>
    <row r="51" customFormat="false" ht="15" hidden="false" customHeight="false" outlineLevel="0" collapsed="false">
      <c r="A51" s="17" t="s">
        <v>195</v>
      </c>
      <c r="B51" s="20" t="n">
        <f aca="false">B31/B43</f>
        <v>0.015913449219917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17" min="2" style="0" width="11"/>
  </cols>
  <sheetData>
    <row r="1" customFormat="false" ht="16.15" hidden="false" customHeight="false" outlineLevel="0" collapsed="false">
      <c r="A1" s="1" t="s">
        <v>196</v>
      </c>
    </row>
    <row r="2" customFormat="false" ht="15" hidden="false" customHeight="false" outlineLevel="0" collapsed="false">
      <c r="A2" s="3" t="s">
        <v>197</v>
      </c>
    </row>
    <row r="3" customFormat="false" ht="15" hidden="false" customHeight="false" outlineLevel="0" collapsed="false">
      <c r="C3" s="33" t="s">
        <v>198</v>
      </c>
      <c r="F3" s="33" t="s">
        <v>199</v>
      </c>
      <c r="I3" s="33" t="s">
        <v>200</v>
      </c>
      <c r="L3" s="33" t="s">
        <v>201</v>
      </c>
      <c r="O3" s="33" t="s">
        <v>202</v>
      </c>
    </row>
    <row r="4" customFormat="false" ht="15" hidden="false" customHeight="false" outlineLevel="0" collapsed="false">
      <c r="A4" s="4" t="s">
        <v>8</v>
      </c>
      <c r="B4" s="4" t="s">
        <v>9</v>
      </c>
      <c r="C4" s="4" t="s">
        <v>203</v>
      </c>
      <c r="D4" s="4" t="s">
        <v>204</v>
      </c>
      <c r="E4" s="4" t="s">
        <v>205</v>
      </c>
      <c r="F4" s="4" t="s">
        <v>203</v>
      </c>
      <c r="G4" s="4" t="s">
        <v>204</v>
      </c>
      <c r="H4" s="4" t="s">
        <v>205</v>
      </c>
      <c r="I4" s="4" t="s">
        <v>203</v>
      </c>
      <c r="J4" s="4" t="s">
        <v>204</v>
      </c>
      <c r="K4" s="4" t="s">
        <v>205</v>
      </c>
      <c r="L4" s="4" t="s">
        <v>203</v>
      </c>
      <c r="M4" s="4" t="s">
        <v>204</v>
      </c>
      <c r="N4" s="4" t="s">
        <v>205</v>
      </c>
      <c r="O4" s="4" t="s">
        <v>203</v>
      </c>
      <c r="P4" s="4" t="s">
        <v>204</v>
      </c>
      <c r="Q4" s="4" t="s">
        <v>205</v>
      </c>
    </row>
    <row r="5" customFormat="false" ht="15" hidden="false" customHeight="false" outlineLevel="0" collapsed="false">
      <c r="A5" s="5" t="s">
        <v>20</v>
      </c>
      <c r="B5" s="21" t="n">
        <f aca="false">SUMIF('Loan tape'!$B$5:$B$24,A5,'Loan tape'!$C$5:$C$24)</f>
        <v>226000000</v>
      </c>
      <c r="C5" s="26" t="n">
        <v>0.12</v>
      </c>
      <c r="D5" s="26" t="n">
        <v>0.4</v>
      </c>
      <c r="E5" s="11" t="n">
        <f aca="false">$B5*C5*D5</f>
        <v>10848000</v>
      </c>
      <c r="F5" s="26" t="n">
        <v>0.35</v>
      </c>
      <c r="G5" s="26" t="n">
        <v>0.55</v>
      </c>
      <c r="H5" s="11" t="n">
        <f aca="false">$B5*F5*G5</f>
        <v>43505000</v>
      </c>
      <c r="I5" s="26" t="n">
        <v>0.3</v>
      </c>
      <c r="J5" s="26" t="n">
        <v>0.12</v>
      </c>
      <c r="K5" s="11" t="n">
        <f aca="false">$B5*I5*J5</f>
        <v>8136000</v>
      </c>
      <c r="L5" s="26" t="n">
        <v>0.3</v>
      </c>
      <c r="M5" s="26" t="n">
        <v>0.5</v>
      </c>
      <c r="N5" s="11" t="n">
        <f aca="false">$B5*L5*M5</f>
        <v>33900000</v>
      </c>
      <c r="O5" s="26" t="n">
        <v>0.5</v>
      </c>
      <c r="P5" s="26" t="n">
        <v>0.65</v>
      </c>
      <c r="Q5" s="11" t="n">
        <f aca="false">$B5*O5*P5</f>
        <v>73450000</v>
      </c>
    </row>
    <row r="6" customFormat="false" ht="15" hidden="false" customHeight="false" outlineLevel="0" collapsed="false">
      <c r="A6" s="5" t="s">
        <v>24</v>
      </c>
      <c r="B6" s="21" t="n">
        <f aca="false">SUMIF('Loan tape'!$B$5:$B$24,A6,'Loan tape'!$C$5:$C$24)</f>
        <v>223000000</v>
      </c>
      <c r="C6" s="26" t="n">
        <v>0.03</v>
      </c>
      <c r="D6" s="26" t="n">
        <v>0.12</v>
      </c>
      <c r="E6" s="11" t="n">
        <f aca="false">$B6*C6*D6</f>
        <v>802800</v>
      </c>
      <c r="F6" s="26" t="n">
        <v>0.03</v>
      </c>
      <c r="G6" s="26" t="n">
        <v>0.12</v>
      </c>
      <c r="H6" s="11" t="n">
        <f aca="false">$B6*F6*G6</f>
        <v>802800</v>
      </c>
      <c r="I6" s="26" t="n">
        <v>0.2</v>
      </c>
      <c r="J6" s="26" t="n">
        <v>0.04</v>
      </c>
      <c r="K6" s="11" t="n">
        <f aca="false">$B6*I6*J6</f>
        <v>1784000</v>
      </c>
      <c r="L6" s="26" t="n">
        <v>0.08</v>
      </c>
      <c r="M6" s="26" t="n">
        <v>0.22</v>
      </c>
      <c r="N6" s="11" t="n">
        <f aca="false">$B6*L6*M6</f>
        <v>3924800</v>
      </c>
      <c r="O6" s="26" t="n">
        <v>0.12</v>
      </c>
      <c r="P6" s="26" t="n">
        <v>0.28</v>
      </c>
      <c r="Q6" s="11" t="n">
        <f aca="false">$B6*O6*P6</f>
        <v>7492800</v>
      </c>
    </row>
    <row r="7" customFormat="false" ht="15" hidden="false" customHeight="false" outlineLevel="0" collapsed="false">
      <c r="A7" s="5" t="s">
        <v>28</v>
      </c>
      <c r="B7" s="21" t="n">
        <f aca="false">SUMIF('Loan tape'!$B$5:$B$24,A7,'Loan tape'!$C$5:$C$24)</f>
        <v>167000000</v>
      </c>
      <c r="C7" s="26" t="n">
        <v>0.1</v>
      </c>
      <c r="D7" s="26" t="n">
        <v>0.3</v>
      </c>
      <c r="E7" s="11" t="n">
        <f aca="false">$B7*C7*D7</f>
        <v>5010000</v>
      </c>
      <c r="F7" s="26" t="n">
        <v>0.1</v>
      </c>
      <c r="G7" s="26" t="n">
        <v>0.3</v>
      </c>
      <c r="H7" s="11" t="n">
        <f aca="false">$B7*F7*G7</f>
        <v>5010000</v>
      </c>
      <c r="I7" s="26" t="n">
        <v>0.25</v>
      </c>
      <c r="J7" s="26" t="n">
        <v>0.08</v>
      </c>
      <c r="K7" s="11" t="n">
        <f aca="false">$B7*I7*J7</f>
        <v>3340000</v>
      </c>
      <c r="L7" s="26" t="n">
        <v>0.25</v>
      </c>
      <c r="M7" s="26" t="n">
        <v>0.4</v>
      </c>
      <c r="N7" s="11" t="n">
        <f aca="false">$B7*L7*M7</f>
        <v>16700000</v>
      </c>
      <c r="O7" s="26" t="n">
        <v>0.4</v>
      </c>
      <c r="P7" s="26" t="n">
        <v>0.5</v>
      </c>
      <c r="Q7" s="11" t="n">
        <f aca="false">$B7*O7*P7</f>
        <v>33400000</v>
      </c>
    </row>
    <row r="8" customFormat="false" ht="15" hidden="false" customHeight="false" outlineLevel="0" collapsed="false">
      <c r="A8" s="5" t="s">
        <v>22</v>
      </c>
      <c r="B8" s="21" t="n">
        <f aca="false">SUMIF('Loan tape'!$B$5:$B$24,A8,'Loan tape'!$C$5:$C$24)</f>
        <v>156000000</v>
      </c>
      <c r="C8" s="26" t="n">
        <v>0.04</v>
      </c>
      <c r="D8" s="26" t="n">
        <v>0.15</v>
      </c>
      <c r="E8" s="11" t="n">
        <f aca="false">$B8*C8*D8</f>
        <v>936000</v>
      </c>
      <c r="F8" s="26" t="n">
        <v>0.04</v>
      </c>
      <c r="G8" s="26" t="n">
        <v>0.15</v>
      </c>
      <c r="H8" s="11" t="n">
        <f aca="false">$B8*F8*G8</f>
        <v>936000</v>
      </c>
      <c r="I8" s="26" t="n">
        <v>0.3</v>
      </c>
      <c r="J8" s="26" t="n">
        <v>0.05</v>
      </c>
      <c r="K8" s="11" t="n">
        <f aca="false">$B8*I8*J8</f>
        <v>2340000</v>
      </c>
      <c r="L8" s="26" t="n">
        <v>0.1</v>
      </c>
      <c r="M8" s="26" t="n">
        <v>0.25</v>
      </c>
      <c r="N8" s="11" t="n">
        <f aca="false">$B8*L8*M8</f>
        <v>3900000</v>
      </c>
      <c r="O8" s="26" t="n">
        <v>0.15</v>
      </c>
      <c r="P8" s="26" t="n">
        <v>0.3</v>
      </c>
      <c r="Q8" s="11" t="n">
        <f aca="false">$B8*O8*P8</f>
        <v>7020000</v>
      </c>
    </row>
    <row r="9" customFormat="false" ht="15" hidden="false" customHeight="false" outlineLevel="0" collapsed="false">
      <c r="A9" s="5" t="s">
        <v>26</v>
      </c>
      <c r="B9" s="21" t="n">
        <f aca="false">SUMIF('Loan tape'!$B$5:$B$24,A9,'Loan tape'!$C$5:$C$24)</f>
        <v>109000000</v>
      </c>
      <c r="C9" s="26" t="n">
        <v>0.12</v>
      </c>
      <c r="D9" s="26" t="n">
        <v>0.35</v>
      </c>
      <c r="E9" s="11" t="n">
        <f aca="false">$B9*C9*D9</f>
        <v>4578000</v>
      </c>
      <c r="F9" s="26" t="n">
        <v>0.12</v>
      </c>
      <c r="G9" s="26" t="n">
        <v>0.35</v>
      </c>
      <c r="H9" s="11" t="n">
        <f aca="false">$B9*F9*G9</f>
        <v>4578000</v>
      </c>
      <c r="I9" s="26" t="n">
        <v>0.2</v>
      </c>
      <c r="J9" s="26" t="n">
        <v>0.1</v>
      </c>
      <c r="K9" s="11" t="n">
        <f aca="false">$B9*I9*J9</f>
        <v>2180000</v>
      </c>
      <c r="L9" s="26" t="n">
        <v>0.3</v>
      </c>
      <c r="M9" s="26" t="n">
        <v>0.45</v>
      </c>
      <c r="N9" s="11" t="n">
        <f aca="false">$B9*L9*M9</f>
        <v>14715000</v>
      </c>
      <c r="O9" s="26" t="n">
        <v>0.4</v>
      </c>
      <c r="P9" s="26" t="n">
        <v>0.55</v>
      </c>
      <c r="Q9" s="11" t="n">
        <f aca="false">$B9*O9*P9</f>
        <v>23980000</v>
      </c>
    </row>
    <row r="10" customFormat="false" ht="15" hidden="false" customHeight="false" outlineLevel="0" collapsed="false">
      <c r="A10" s="5" t="s">
        <v>32</v>
      </c>
      <c r="B10" s="21" t="n">
        <f aca="false">SUMIF('Loan tape'!$B$5:$B$24,A10,'Loan tape'!$C$5:$C$24)</f>
        <v>80500000</v>
      </c>
      <c r="C10" s="26" t="n">
        <v>0.04</v>
      </c>
      <c r="D10" s="26" t="n">
        <v>0.15</v>
      </c>
      <c r="E10" s="11" t="n">
        <f aca="false">$B10*C10*D10</f>
        <v>483000</v>
      </c>
      <c r="F10" s="26" t="n">
        <v>0.04</v>
      </c>
      <c r="G10" s="26" t="n">
        <v>0.15</v>
      </c>
      <c r="H10" s="11" t="n">
        <f aca="false">$B10*F10*G10</f>
        <v>483000</v>
      </c>
      <c r="I10" s="26" t="n">
        <v>0.2</v>
      </c>
      <c r="J10" s="26" t="n">
        <v>0.05</v>
      </c>
      <c r="K10" s="11" t="n">
        <f aca="false">$B10*I10*J10</f>
        <v>805000</v>
      </c>
      <c r="L10" s="26" t="n">
        <v>0.1</v>
      </c>
      <c r="M10" s="26" t="n">
        <v>0.25</v>
      </c>
      <c r="N10" s="11" t="n">
        <f aca="false">$B10*L10*M10</f>
        <v>2012500</v>
      </c>
      <c r="O10" s="26" t="n">
        <v>0.15</v>
      </c>
      <c r="P10" s="26" t="n">
        <v>0.3</v>
      </c>
      <c r="Q10" s="11" t="n">
        <f aca="false">$B10*O10*P10</f>
        <v>3622500</v>
      </c>
    </row>
    <row r="11" customFormat="false" ht="15" hidden="false" customHeight="false" outlineLevel="0" collapsed="false">
      <c r="A11" s="5" t="s">
        <v>39</v>
      </c>
      <c r="B11" s="21" t="n">
        <f aca="false">SUMIF('Loan tape'!$B$5:$B$24,A11,'Loan tape'!$C$5:$C$24)</f>
        <v>38500000</v>
      </c>
      <c r="C11" s="26" t="n">
        <v>0.08</v>
      </c>
      <c r="D11" s="26" t="n">
        <v>0.25</v>
      </c>
      <c r="E11" s="11" t="n">
        <f aca="false">$B11*C11*D11</f>
        <v>770000</v>
      </c>
      <c r="F11" s="26" t="n">
        <v>0.12</v>
      </c>
      <c r="G11" s="26" t="n">
        <v>0.3</v>
      </c>
      <c r="H11" s="11" t="n">
        <f aca="false">$B11*F11*G11</f>
        <v>1386000</v>
      </c>
      <c r="I11" s="26" t="n">
        <v>0.25</v>
      </c>
      <c r="J11" s="26" t="n">
        <v>0.08</v>
      </c>
      <c r="K11" s="11" t="n">
        <f aca="false">$B11*I11*J11</f>
        <v>770000</v>
      </c>
      <c r="L11" s="26" t="n">
        <v>0.2</v>
      </c>
      <c r="M11" s="26" t="n">
        <v>0.35</v>
      </c>
      <c r="N11" s="11" t="n">
        <f aca="false">$B11*L11*M11</f>
        <v>2695000</v>
      </c>
      <c r="O11" s="26" t="n">
        <v>0.3</v>
      </c>
      <c r="P11" s="26" t="n">
        <v>0.45</v>
      </c>
      <c r="Q11" s="11" t="n">
        <f aca="false">$B11*O11*P11</f>
        <v>5197500</v>
      </c>
    </row>
    <row r="12" customFormat="false" ht="15" hidden="false" customHeight="false" outlineLevel="0" collapsed="false">
      <c r="A12" s="12" t="s">
        <v>155</v>
      </c>
      <c r="B12" s="13" t="n">
        <f aca="false">SUM(B5:B11)</f>
        <v>1000000000</v>
      </c>
      <c r="E12" s="13" t="n">
        <f aca="false">SUM(E5:E11)</f>
        <v>23427800</v>
      </c>
      <c r="H12" s="13" t="n">
        <f aca="false">SUM(H5:H11)</f>
        <v>56700800</v>
      </c>
      <c r="K12" s="13" t="n">
        <f aca="false">SUM(K5:K11)</f>
        <v>19355000</v>
      </c>
      <c r="N12" s="13" t="n">
        <f aca="false">SUM(N5:N11)</f>
        <v>77847300</v>
      </c>
      <c r="Q12" s="13" t="n">
        <f aca="false">SUM(Q5:Q11)</f>
        <v>154162800</v>
      </c>
    </row>
    <row r="14" customFormat="false" ht="46.25" hidden="false" customHeight="false" outlineLevel="0" collapsed="false">
      <c r="A14" s="4" t="s">
        <v>206</v>
      </c>
      <c r="B14" s="4" t="s">
        <v>207</v>
      </c>
      <c r="C14" s="4" t="s">
        <v>208</v>
      </c>
      <c r="D14" s="4" t="s">
        <v>110</v>
      </c>
      <c r="E14" s="4" t="s">
        <v>209</v>
      </c>
      <c r="F14" s="4" t="s">
        <v>210</v>
      </c>
      <c r="G14" s="4" t="s">
        <v>211</v>
      </c>
      <c r="H14" s="4" t="s">
        <v>212</v>
      </c>
    </row>
    <row r="15" customFormat="false" ht="15" hidden="false" customHeight="false" outlineLevel="0" collapsed="false">
      <c r="A15" s="17" t="str">
        <f aca="false">C3</f>
        <v>Base case</v>
      </c>
      <c r="B15" s="21" t="n">
        <f aca="false">E12</f>
        <v>23427800</v>
      </c>
      <c r="C15" s="20" t="n">
        <f aca="false">B15/'Loan tape'!$C$26</f>
        <v>0.0234278</v>
      </c>
      <c r="D15" s="17" t="str">
        <f aca="false">IF(B15&lt;=0,"none",INDEX('Capital structure'!$A$5:$A$18,COUNTIF('Capital structure'!$J$5:$J$18,"&gt;="&amp;B15)+1))</f>
        <v>H</v>
      </c>
      <c r="E15" s="11" t="n">
        <f aca="false">'Capital structure'!$J$15-B15</f>
        <v>51572200</v>
      </c>
      <c r="F15" s="21" t="n">
        <f aca="false">'Capital structure'!$J$5-B15</f>
        <v>276572200</v>
      </c>
      <c r="G15" s="10" t="n">
        <v>6</v>
      </c>
      <c r="H15" s="14" t="n">
        <f aca="false">IRR(C26:M26,IF(B26&gt;='Capital structure'!$B$27,-0.4,0.1))</f>
        <v>0.145738910043196</v>
      </c>
    </row>
    <row r="16" customFormat="false" ht="15" hidden="false" customHeight="false" outlineLevel="0" collapsed="false">
      <c r="A16" s="17" t="str">
        <f aca="false">F3</f>
        <v>Office repricing</v>
      </c>
      <c r="B16" s="21" t="n">
        <f aca="false">H12</f>
        <v>56700800</v>
      </c>
      <c r="C16" s="20" t="n">
        <f aca="false">B16/'Loan tape'!$C$26</f>
        <v>0.0567008</v>
      </c>
      <c r="D16" s="17" t="str">
        <f aca="false">IF(B16&lt;=0,"none",INDEX('Capital structure'!$A$5:$A$18,COUNTIF('Capital structure'!$J$5:$J$18,"&gt;="&amp;B16)+1))</f>
        <v>F</v>
      </c>
      <c r="E16" s="11" t="n">
        <f aca="false">'Capital structure'!$J$15-B16</f>
        <v>18299200</v>
      </c>
      <c r="F16" s="21" t="n">
        <f aca="false">'Capital structure'!$J$5-B16</f>
        <v>243299200</v>
      </c>
      <c r="G16" s="10" t="n">
        <v>6</v>
      </c>
      <c r="H16" s="14" t="n">
        <f aca="false">IRR(C27:M27,IF(B27&gt;='Capital structure'!$B$27,-0.4,0.1))</f>
        <v>0.043223319937805</v>
      </c>
    </row>
    <row r="17" customFormat="false" ht="15" hidden="false" customHeight="false" outlineLevel="0" collapsed="false">
      <c r="A17" s="17" t="str">
        <f aca="false">I3</f>
        <v>Rate shock at maturity</v>
      </c>
      <c r="B17" s="21" t="n">
        <f aca="false">K12</f>
        <v>19355000</v>
      </c>
      <c r="C17" s="20" t="n">
        <f aca="false">B17/'Loan tape'!$C$26</f>
        <v>0.019355</v>
      </c>
      <c r="D17" s="17" t="str">
        <f aca="false">IF(B17&lt;=0,"none",INDEX('Capital structure'!$A$5:$A$18,COUNTIF('Capital structure'!$J$5:$J$18,"&gt;="&amp;B17)+1))</f>
        <v>H</v>
      </c>
      <c r="E17" s="11" t="n">
        <f aca="false">'Capital structure'!$J$15-B17</f>
        <v>55645000</v>
      </c>
      <c r="F17" s="21" t="n">
        <f aca="false">'Capital structure'!$J$5-B17</f>
        <v>280645000</v>
      </c>
      <c r="G17" s="10" t="n">
        <v>9</v>
      </c>
      <c r="H17" s="14" t="n">
        <f aca="false">IRR(C28:M28,IF(B28&gt;='Capital structure'!$B$27,-0.4,0.1))</f>
        <v>0.162305862207389</v>
      </c>
    </row>
    <row r="18" customFormat="false" ht="15" hidden="false" customHeight="false" outlineLevel="0" collapsed="false">
      <c r="A18" s="17" t="str">
        <f aca="false">L3</f>
        <v>Broad recession</v>
      </c>
      <c r="B18" s="21" t="n">
        <f aca="false">N12</f>
        <v>77847300</v>
      </c>
      <c r="C18" s="20" t="n">
        <f aca="false">B18/'Loan tape'!$C$26</f>
        <v>0.0778473</v>
      </c>
      <c r="D18" s="17" t="str">
        <f aca="false">IF(B18&lt;=0,"none",INDEX('Capital structure'!$A$5:$A$18,COUNTIF('Capital structure'!$J$5:$J$18,"&gt;="&amp;B18)+1))</f>
        <v>E</v>
      </c>
      <c r="E18" s="11" t="n">
        <f aca="false">'Capital structure'!$J$15-B18</f>
        <v>-2847300</v>
      </c>
      <c r="F18" s="21" t="n">
        <f aca="false">'Capital structure'!$J$5-B18</f>
        <v>222152700</v>
      </c>
      <c r="G18" s="10" t="n">
        <v>5</v>
      </c>
      <c r="H18" s="14" t="n">
        <f aca="false">IRR(C29:M29,IF(B29&gt;='Capital structure'!$B$27,-0.4,0.1))</f>
        <v>-0.336861565722774</v>
      </c>
    </row>
    <row r="19" customFormat="false" ht="15" hidden="false" customHeight="false" outlineLevel="0" collapsed="false">
      <c r="A19" s="17" t="str">
        <f aca="false">O3</f>
        <v>Severe</v>
      </c>
      <c r="B19" s="21" t="n">
        <f aca="false">Q12</f>
        <v>154162800</v>
      </c>
      <c r="C19" s="20" t="n">
        <f aca="false">B19/'Loan tape'!$C$26</f>
        <v>0.1541628</v>
      </c>
      <c r="D19" s="17" t="str">
        <f aca="false">IF(B19&lt;=0,"none",INDEX('Capital structure'!$A$5:$A$18,COUNTIF('Capital structure'!$J$5:$J$18,"&gt;="&amp;B19)+1))</f>
        <v>C</v>
      </c>
      <c r="E19" s="11" t="n">
        <f aca="false">'Capital structure'!$J$15-B19</f>
        <v>-79162800</v>
      </c>
      <c r="F19" s="21" t="n">
        <f aca="false">'Capital structure'!$J$5-B19</f>
        <v>145837200</v>
      </c>
      <c r="G19" s="10" t="n">
        <v>4</v>
      </c>
      <c r="H19" s="14" t="n">
        <f aca="false">IRR(C30:M30,IF(B30&gt;='Capital structure'!$B$27,-0.4,0.1))</f>
        <v>-0.55187284061346</v>
      </c>
    </row>
    <row r="22" customFormat="false" ht="15" hidden="false" customHeight="false" outlineLevel="0" collapsed="false">
      <c r="A22" s="17" t="s">
        <v>213</v>
      </c>
      <c r="B22" s="34" t="n">
        <v>45.3694532205021</v>
      </c>
    </row>
    <row r="23" customFormat="false" ht="15" hidden="false" customHeight="false" outlineLevel="0" collapsed="false">
      <c r="A23" s="17" t="s">
        <v>214</v>
      </c>
      <c r="B23" s="10" t="n">
        <v>2</v>
      </c>
    </row>
    <row r="25" customFormat="false" ht="23.85" hidden="false" customHeight="false" outlineLevel="0" collapsed="false">
      <c r="A25" s="4" t="s">
        <v>206</v>
      </c>
      <c r="B25" s="4" t="s">
        <v>215</v>
      </c>
      <c r="C25" s="4" t="s">
        <v>216</v>
      </c>
      <c r="D25" s="4" t="s">
        <v>217</v>
      </c>
      <c r="E25" s="4" t="s">
        <v>218</v>
      </c>
      <c r="F25" s="4" t="s">
        <v>219</v>
      </c>
      <c r="G25" s="4" t="s">
        <v>220</v>
      </c>
      <c r="H25" s="4" t="s">
        <v>221</v>
      </c>
      <c r="I25" s="4" t="s">
        <v>222</v>
      </c>
      <c r="J25" s="4" t="s">
        <v>223</v>
      </c>
      <c r="K25" s="4" t="s">
        <v>224</v>
      </c>
      <c r="L25" s="4" t="s">
        <v>225</v>
      </c>
      <c r="M25" s="4" t="s">
        <v>226</v>
      </c>
    </row>
    <row r="26" customFormat="false" ht="15" hidden="false" customHeight="false" outlineLevel="0" collapsed="false">
      <c r="A26" s="17" t="str">
        <f aca="false">A15</f>
        <v>Base case</v>
      </c>
      <c r="B26" s="21" t="n">
        <f aca="false">MIN(B15,'Capital structure'!$B$27)</f>
        <v>23427800</v>
      </c>
      <c r="C26" s="21" t="n">
        <f aca="false">-'Capital structure'!$B$27*$B$22/100</f>
        <v>-34027089.9153766</v>
      </c>
      <c r="D26" s="21" t="n">
        <f aca="false">IF(1&lt;=$G15-$B$23,'Capital structure'!$B$27,'Capital structure'!$B$27-$B26)*'Capital structure'!$B$33+IF(1=10,'Capital structure'!$B$27-$B26,0)</f>
        <v>4718681.25</v>
      </c>
      <c r="E26" s="21" t="n">
        <f aca="false">IF(2&lt;=$G15-$B$23,'Capital structure'!$B$27,'Capital structure'!$B$27-$B26)*'Capital structure'!$B$33+IF(2=10,'Capital structure'!$B$27-$B26,0)</f>
        <v>4718681.25</v>
      </c>
      <c r="F26" s="21" t="n">
        <f aca="false">IF(3&lt;=$G15-$B$23,'Capital structure'!$B$27,'Capital structure'!$B$27-$B26)*'Capital structure'!$B$33+IF(3=10,'Capital structure'!$B$27-$B26,0)</f>
        <v>4718681.25</v>
      </c>
      <c r="G26" s="21" t="n">
        <f aca="false">IF(4&lt;=$G15-$B$23,'Capital structure'!$B$27,'Capital structure'!$B$27-$B26)*'Capital structure'!$B$33+IF(4=10,'Capital structure'!$B$27-$B26,0)</f>
        <v>4718681.25</v>
      </c>
      <c r="H26" s="21" t="n">
        <f aca="false">IF(5&lt;=$G15-$B$23,'Capital structure'!$B$27,'Capital structure'!$B$27-$B26)*'Capital structure'!$B$33+IF(5=10,'Capital structure'!$B$27-$B26,0)</f>
        <v>3244703.64215</v>
      </c>
      <c r="I26" s="21" t="n">
        <f aca="false">IF(6&lt;=$G15-$B$23,'Capital structure'!$B$27,'Capital structure'!$B$27-$B26)*'Capital structure'!$B$33+IF(6=10,'Capital structure'!$B$27-$B26,0)</f>
        <v>3244703.64215</v>
      </c>
      <c r="J26" s="21" t="n">
        <f aca="false">IF(7&lt;=$G15-$B$23,'Capital structure'!$B$27,'Capital structure'!$B$27-$B26)*'Capital structure'!$B$33+IF(7=10,'Capital structure'!$B$27-$B26,0)</f>
        <v>3244703.64215</v>
      </c>
      <c r="K26" s="21" t="n">
        <f aca="false">IF(8&lt;=$G15-$B$23,'Capital structure'!$B$27,'Capital structure'!$B$27-$B26)*'Capital structure'!$B$33+IF(8=10,'Capital structure'!$B$27-$B26,0)</f>
        <v>3244703.64215</v>
      </c>
      <c r="L26" s="21" t="n">
        <f aca="false">IF(9&lt;=$G15-$B$23,'Capital structure'!$B$27,'Capital structure'!$B$27-$B26)*'Capital structure'!$B$33+IF(9=10,'Capital structure'!$B$27-$B26,0)</f>
        <v>3244703.64215</v>
      </c>
      <c r="M26" s="21" t="n">
        <f aca="false">IF(10&lt;=$G15-$B$23,'Capital structure'!$B$27,'Capital structure'!$B$27-$B26)*'Capital structure'!$B$33+IF(10=10,'Capital structure'!$B$27-$B26,0)</f>
        <v>54816903.64215</v>
      </c>
    </row>
    <row r="27" customFormat="false" ht="15" hidden="false" customHeight="false" outlineLevel="0" collapsed="false">
      <c r="A27" s="17" t="str">
        <f aca="false">A16</f>
        <v>Office repricing</v>
      </c>
      <c r="B27" s="21" t="n">
        <f aca="false">MIN(B16,'Capital structure'!$B$27)</f>
        <v>56700800</v>
      </c>
      <c r="C27" s="21" t="n">
        <f aca="false">-'Capital structure'!$B$27*$B$22/100</f>
        <v>-34027089.9153766</v>
      </c>
      <c r="D27" s="21" t="n">
        <f aca="false">IF(1&lt;=$G16-$B$23,'Capital structure'!$B$27,'Capital structure'!$B$27-$B27)*'Capital structure'!$B$33+IF(1=10,'Capital structure'!$B$27-$B27,0)</f>
        <v>4718681.25</v>
      </c>
      <c r="E27" s="21" t="n">
        <f aca="false">IF(2&lt;=$G16-$B$23,'Capital structure'!$B$27,'Capital structure'!$B$27-$B27)*'Capital structure'!$B$33+IF(2=10,'Capital structure'!$B$27-$B27,0)</f>
        <v>4718681.25</v>
      </c>
      <c r="F27" s="21" t="n">
        <f aca="false">IF(3&lt;=$G16-$B$23,'Capital structure'!$B$27,'Capital structure'!$B$27-$B27)*'Capital structure'!$B$33+IF(3=10,'Capital structure'!$B$27-$B27,0)</f>
        <v>4718681.25</v>
      </c>
      <c r="G27" s="21" t="n">
        <f aca="false">IF(4&lt;=$G16-$B$23,'Capital structure'!$B$27,'Capital structure'!$B$27-$B27)*'Capital structure'!$B$33+IF(4=10,'Capital structure'!$B$27-$B27,0)</f>
        <v>4718681.25</v>
      </c>
      <c r="H27" s="21" t="n">
        <f aca="false">IF(5&lt;=$G16-$B$23,'Capital structure'!$B$27,'Capital structure'!$B$27-$B27)*'Capital structure'!$B$33+IF(5=10,'Capital structure'!$B$27-$B27,0)</f>
        <v>1151307.8924</v>
      </c>
      <c r="I27" s="21" t="n">
        <f aca="false">IF(6&lt;=$G16-$B$23,'Capital structure'!$B$27,'Capital structure'!$B$27-$B27)*'Capital structure'!$B$33+IF(6=10,'Capital structure'!$B$27-$B27,0)</f>
        <v>1151307.8924</v>
      </c>
      <c r="J27" s="21" t="n">
        <f aca="false">IF(7&lt;=$G16-$B$23,'Capital structure'!$B$27,'Capital structure'!$B$27-$B27)*'Capital structure'!$B$33+IF(7=10,'Capital structure'!$B$27-$B27,0)</f>
        <v>1151307.8924</v>
      </c>
      <c r="K27" s="21" t="n">
        <f aca="false">IF(8&lt;=$G16-$B$23,'Capital structure'!$B$27,'Capital structure'!$B$27-$B27)*'Capital structure'!$B$33+IF(8=10,'Capital structure'!$B$27-$B27,0)</f>
        <v>1151307.8924</v>
      </c>
      <c r="L27" s="21" t="n">
        <f aca="false">IF(9&lt;=$G16-$B$23,'Capital structure'!$B$27,'Capital structure'!$B$27-$B27)*'Capital structure'!$B$33+IF(9=10,'Capital structure'!$B$27-$B27,0)</f>
        <v>1151307.8924</v>
      </c>
      <c r="M27" s="21" t="n">
        <f aca="false">IF(10&lt;=$G16-$B$23,'Capital structure'!$B$27,'Capital structure'!$B$27-$B27)*'Capital structure'!$B$33+IF(10=10,'Capital structure'!$B$27-$B27,0)</f>
        <v>19450507.8924</v>
      </c>
    </row>
    <row r="28" customFormat="false" ht="15" hidden="false" customHeight="false" outlineLevel="0" collapsed="false">
      <c r="A28" s="17" t="str">
        <f aca="false">A17</f>
        <v>Rate shock at maturity</v>
      </c>
      <c r="B28" s="21" t="n">
        <f aca="false">MIN(B17,'Capital structure'!$B$27)</f>
        <v>19355000</v>
      </c>
      <c r="C28" s="21" t="n">
        <f aca="false">-'Capital structure'!$B$27*$B$22/100</f>
        <v>-34027089.9153766</v>
      </c>
      <c r="D28" s="21" t="n">
        <f aca="false">IF(1&lt;=$G17-$B$23,'Capital structure'!$B$27,'Capital structure'!$B$27-$B28)*'Capital structure'!$B$33+IF(1=10,'Capital structure'!$B$27-$B28,0)</f>
        <v>4718681.25</v>
      </c>
      <c r="E28" s="21" t="n">
        <f aca="false">IF(2&lt;=$G17-$B$23,'Capital structure'!$B$27,'Capital structure'!$B$27-$B28)*'Capital structure'!$B$33+IF(2=10,'Capital structure'!$B$27-$B28,0)</f>
        <v>4718681.25</v>
      </c>
      <c r="F28" s="21" t="n">
        <f aca="false">IF(3&lt;=$G17-$B$23,'Capital structure'!$B$27,'Capital structure'!$B$27-$B28)*'Capital structure'!$B$33+IF(3=10,'Capital structure'!$B$27-$B28,0)</f>
        <v>4718681.25</v>
      </c>
      <c r="G28" s="21" t="n">
        <f aca="false">IF(4&lt;=$G17-$B$23,'Capital structure'!$B$27,'Capital structure'!$B$27-$B28)*'Capital structure'!$B$33+IF(4=10,'Capital structure'!$B$27-$B28,0)</f>
        <v>4718681.25</v>
      </c>
      <c r="H28" s="21" t="n">
        <f aca="false">IF(5&lt;=$G17-$B$23,'Capital structure'!$B$27,'Capital structure'!$B$27-$B28)*'Capital structure'!$B$33+IF(5=10,'Capital structure'!$B$27-$B28,0)</f>
        <v>4718681.25</v>
      </c>
      <c r="I28" s="21" t="n">
        <f aca="false">IF(6&lt;=$G17-$B$23,'Capital structure'!$B$27,'Capital structure'!$B$27-$B28)*'Capital structure'!$B$33+IF(6=10,'Capital structure'!$B$27-$B28,0)</f>
        <v>4718681.25</v>
      </c>
      <c r="J28" s="21" t="n">
        <f aca="false">IF(7&lt;=$G17-$B$23,'Capital structure'!$B$27,'Capital structure'!$B$27-$B28)*'Capital structure'!$B$33+IF(7=10,'Capital structure'!$B$27-$B28,0)</f>
        <v>4718681.25</v>
      </c>
      <c r="K28" s="21" t="n">
        <f aca="false">IF(8&lt;=$G17-$B$23,'Capital structure'!$B$27,'Capital structure'!$B$27-$B28)*'Capital structure'!$B$33+IF(8=10,'Capital structure'!$B$27-$B28,0)</f>
        <v>3500946.90875</v>
      </c>
      <c r="L28" s="21" t="n">
        <f aca="false">IF(9&lt;=$G17-$B$23,'Capital structure'!$B$27,'Capital structure'!$B$27-$B28)*'Capital structure'!$B$33+IF(9=10,'Capital structure'!$B$27-$B28,0)</f>
        <v>3500946.90875</v>
      </c>
      <c r="M28" s="21" t="n">
        <f aca="false">IF(10&lt;=$G17-$B$23,'Capital structure'!$B$27,'Capital structure'!$B$27-$B28)*'Capital structure'!$B$33+IF(10=10,'Capital structure'!$B$27-$B28,0)</f>
        <v>59145946.90875</v>
      </c>
    </row>
    <row r="29" customFormat="false" ht="15" hidden="false" customHeight="false" outlineLevel="0" collapsed="false">
      <c r="A29" s="17" t="str">
        <f aca="false">A18</f>
        <v>Broad recession</v>
      </c>
      <c r="B29" s="21" t="n">
        <f aca="false">MIN(B18,'Capital structure'!$B$27)</f>
        <v>75000000</v>
      </c>
      <c r="C29" s="21" t="n">
        <f aca="false">-'Capital structure'!$B$27*$B$22/100</f>
        <v>-34027089.9153766</v>
      </c>
      <c r="D29" s="21" t="n">
        <f aca="false">IF(1&lt;=$G18-$B$23,'Capital structure'!$B$27,'Capital structure'!$B$27-$B29)*'Capital structure'!$B$33+IF(1=10,'Capital structure'!$B$27-$B29,0)</f>
        <v>4718681.25</v>
      </c>
      <c r="E29" s="21" t="n">
        <f aca="false">IF(2&lt;=$G18-$B$23,'Capital structure'!$B$27,'Capital structure'!$B$27-$B29)*'Capital structure'!$B$33+IF(2=10,'Capital structure'!$B$27-$B29,0)</f>
        <v>4718681.25</v>
      </c>
      <c r="F29" s="21" t="n">
        <f aca="false">IF(3&lt;=$G18-$B$23,'Capital structure'!$B$27,'Capital structure'!$B$27-$B29)*'Capital structure'!$B$33+IF(3=10,'Capital structure'!$B$27-$B29,0)</f>
        <v>4718681.25</v>
      </c>
      <c r="G29" s="21" t="n">
        <f aca="false">IF(4&lt;=$G18-$B$23,'Capital structure'!$B$27,'Capital structure'!$B$27-$B29)*'Capital structure'!$B$33+IF(4=10,'Capital structure'!$B$27-$B29,0)</f>
        <v>0</v>
      </c>
      <c r="H29" s="21" t="n">
        <f aca="false">IF(5&lt;=$G18-$B$23,'Capital structure'!$B$27,'Capital structure'!$B$27-$B29)*'Capital structure'!$B$33+IF(5=10,'Capital structure'!$B$27-$B29,0)</f>
        <v>0</v>
      </c>
      <c r="I29" s="21" t="n">
        <f aca="false">IF(6&lt;=$G18-$B$23,'Capital structure'!$B$27,'Capital structure'!$B$27-$B29)*'Capital structure'!$B$33+IF(6=10,'Capital structure'!$B$27-$B29,0)</f>
        <v>0</v>
      </c>
      <c r="J29" s="21" t="n">
        <f aca="false">IF(7&lt;=$G18-$B$23,'Capital structure'!$B$27,'Capital structure'!$B$27-$B29)*'Capital structure'!$B$33+IF(7=10,'Capital structure'!$B$27-$B29,0)</f>
        <v>0</v>
      </c>
      <c r="K29" s="21" t="n">
        <f aca="false">IF(8&lt;=$G18-$B$23,'Capital structure'!$B$27,'Capital structure'!$B$27-$B29)*'Capital structure'!$B$33+IF(8=10,'Capital structure'!$B$27-$B29,0)</f>
        <v>0</v>
      </c>
      <c r="L29" s="21" t="n">
        <f aca="false">IF(9&lt;=$G18-$B$23,'Capital structure'!$B$27,'Capital structure'!$B$27-$B29)*'Capital structure'!$B$33+IF(9=10,'Capital structure'!$B$27-$B29,0)</f>
        <v>0</v>
      </c>
      <c r="M29" s="21" t="n">
        <f aca="false">IF(10&lt;=$G18-$B$23,'Capital structure'!$B$27,'Capital structure'!$B$27-$B29)*'Capital structure'!$B$33+IF(10=10,'Capital structure'!$B$27-$B29,0)</f>
        <v>0</v>
      </c>
    </row>
    <row r="30" customFormat="false" ht="15" hidden="false" customHeight="false" outlineLevel="0" collapsed="false">
      <c r="A30" s="17" t="str">
        <f aca="false">A19</f>
        <v>Severe</v>
      </c>
      <c r="B30" s="21" t="n">
        <f aca="false">MIN(B19,'Capital structure'!$B$27)</f>
        <v>75000000</v>
      </c>
      <c r="C30" s="21" t="n">
        <f aca="false">-'Capital structure'!$B$27*$B$22/100</f>
        <v>-34027089.9153766</v>
      </c>
      <c r="D30" s="21" t="n">
        <f aca="false">IF(1&lt;=$G19-$B$23,'Capital structure'!$B$27,'Capital structure'!$B$27-$B30)*'Capital structure'!$B$33+IF(1=10,'Capital structure'!$B$27-$B30,0)</f>
        <v>4718681.25</v>
      </c>
      <c r="E30" s="21" t="n">
        <f aca="false">IF(2&lt;=$G19-$B$23,'Capital structure'!$B$27,'Capital structure'!$B$27-$B30)*'Capital structure'!$B$33+IF(2=10,'Capital structure'!$B$27-$B30,0)</f>
        <v>4718681.25</v>
      </c>
      <c r="F30" s="21" t="n">
        <f aca="false">IF(3&lt;=$G19-$B$23,'Capital structure'!$B$27,'Capital structure'!$B$27-$B30)*'Capital structure'!$B$33+IF(3=10,'Capital structure'!$B$27-$B30,0)</f>
        <v>0</v>
      </c>
      <c r="G30" s="21" t="n">
        <f aca="false">IF(4&lt;=$G19-$B$23,'Capital structure'!$B$27,'Capital structure'!$B$27-$B30)*'Capital structure'!$B$33+IF(4=10,'Capital structure'!$B$27-$B30,0)</f>
        <v>0</v>
      </c>
      <c r="H30" s="21" t="n">
        <f aca="false">IF(5&lt;=$G19-$B$23,'Capital structure'!$B$27,'Capital structure'!$B$27-$B30)*'Capital structure'!$B$33+IF(5=10,'Capital structure'!$B$27-$B30,0)</f>
        <v>0</v>
      </c>
      <c r="I30" s="21" t="n">
        <f aca="false">IF(6&lt;=$G19-$B$23,'Capital structure'!$B$27,'Capital structure'!$B$27-$B30)*'Capital structure'!$B$33+IF(6=10,'Capital structure'!$B$27-$B30,0)</f>
        <v>0</v>
      </c>
      <c r="J30" s="21" t="n">
        <f aca="false">IF(7&lt;=$G19-$B$23,'Capital structure'!$B$27,'Capital structure'!$B$27-$B30)*'Capital structure'!$B$33+IF(7=10,'Capital structure'!$B$27-$B30,0)</f>
        <v>0</v>
      </c>
      <c r="K30" s="21" t="n">
        <f aca="false">IF(8&lt;=$G19-$B$23,'Capital structure'!$B$27,'Capital structure'!$B$27-$B30)*'Capital structure'!$B$33+IF(8=10,'Capital structure'!$B$27-$B30,0)</f>
        <v>0</v>
      </c>
      <c r="L30" s="21" t="n">
        <f aca="false">IF(9&lt;=$G19-$B$23,'Capital structure'!$B$27,'Capital structure'!$B$27-$B30)*'Capital structure'!$B$33+IF(9=10,'Capital structure'!$B$27-$B30,0)</f>
        <v>0</v>
      </c>
      <c r="M30" s="21" t="n">
        <f aca="false">IF(10&lt;=$G19-$B$23,'Capital structure'!$B$27,'Capital structure'!$B$27-$B30)*'Capital structure'!$B$33+IF(10=10,'Capital structure'!$B$27-$B30,0)</f>
        <v>0</v>
      </c>
    </row>
    <row r="32" customFormat="false" ht="15" hidden="false" customHeight="false" outlineLevel="0" collapsed="false">
      <c r="A32" s="17" t="s">
        <v>227</v>
      </c>
      <c r="B32" s="24" t="n">
        <f aca="false">B15/'Capital structure'!C18</f>
        <v>0.624741333333333</v>
      </c>
    </row>
    <row r="33" customFormat="false" ht="15" hidden="false" customHeight="false" outlineLevel="0" collapsed="false">
      <c r="A33" s="17" t="s">
        <v>228</v>
      </c>
      <c r="B33" s="21" t="n">
        <f aca="false">MAX(0,MIN('Capital structure'!C15,B18-'Capital structure'!J15))</f>
        <v>2847300</v>
      </c>
    </row>
    <row r="34" customFormat="false" ht="15" hidden="false" customHeight="false" outlineLevel="0" collapsed="false">
      <c r="A34" s="17" t="s">
        <v>229</v>
      </c>
      <c r="B34" s="24" t="n">
        <f aca="false">B33/'Capital structure'!C15</f>
        <v>0.142365</v>
      </c>
    </row>
    <row r="35" customFormat="false" ht="15" hidden="false" customHeight="false" outlineLevel="0" collapsed="false">
      <c r="A35" s="17" t="s">
        <v>230</v>
      </c>
      <c r="B35" s="21" t="n">
        <f aca="false">'Capital structure'!J14-B18</f>
        <v>17152700</v>
      </c>
    </row>
    <row r="36" customFormat="false" ht="15" hidden="false" customHeight="false" outlineLevel="0" collapsed="false">
      <c r="A36" s="17" t="s">
        <v>231</v>
      </c>
      <c r="B36" s="21" t="n">
        <f aca="false">F19</f>
        <v>145837200</v>
      </c>
    </row>
    <row r="37" customFormat="false" ht="15" hidden="false" customHeight="false" outlineLevel="0" collapsed="false">
      <c r="A37" s="17" t="s">
        <v>232</v>
      </c>
      <c r="B37" s="17" t="str">
        <f aca="false">IF(AND(B17&lt;B15,SUMPRODUCT(B5:B11,I5:I11)&gt;SUMPRODUCT(B5:B11,C5:C11)),"Yes","No")</f>
        <v>Yes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16"/>
  </cols>
  <sheetData>
    <row r="1" customFormat="false" ht="16.15" hidden="false" customHeight="false" outlineLevel="0" collapsed="false">
      <c r="A1" s="1" t="s">
        <v>233</v>
      </c>
    </row>
    <row r="2" customFormat="false" ht="15" hidden="false" customHeight="false" outlineLevel="0" collapsed="false">
      <c r="A2" s="3" t="s">
        <v>234</v>
      </c>
    </row>
    <row r="4" customFormat="false" ht="15" hidden="false" customHeight="false" outlineLevel="0" collapsed="false">
      <c r="A4" s="17" t="s">
        <v>235</v>
      </c>
      <c r="B4" s="10" t="n">
        <v>4</v>
      </c>
    </row>
    <row r="6" customFormat="false" ht="15" hidden="false" customHeight="false" outlineLevel="0" collapsed="false">
      <c r="A6" s="17" t="s">
        <v>236</v>
      </c>
      <c r="B6" s="21" t="n">
        <f aca="false">SUMPRODUCT((1-Reconciliation!B6:B25)*INDEX(Reconciliation!F6:P25,0,B4+1))+Liquidations!I19</f>
        <v>985866104.44012</v>
      </c>
    </row>
    <row r="7" customFormat="false" ht="15" hidden="false" customHeight="false" outlineLevel="0" collapsed="false">
      <c r="A7" s="17" t="s">
        <v>237</v>
      </c>
      <c r="B7" s="21" t="n">
        <f aca="false">Liquidations!I19</f>
        <v>120884053.654132</v>
      </c>
    </row>
    <row r="8" customFormat="false" ht="15" hidden="false" customHeight="false" outlineLevel="0" collapsed="false">
      <c r="A8" s="17" t="s">
        <v>238</v>
      </c>
      <c r="B8" s="20" t="n">
        <f aca="false">B7/B6</f>
        <v>0.122617111096221</v>
      </c>
    </row>
    <row r="9" customFormat="false" ht="15" hidden="false" customHeight="false" outlineLevel="0" collapsed="false">
      <c r="A9" s="17" t="s">
        <v>239</v>
      </c>
      <c r="B9" s="21" t="n">
        <f aca="false">Liquidations!L19</f>
        <v>39916643.1375998</v>
      </c>
    </row>
    <row r="10" customFormat="false" ht="15" hidden="false" customHeight="false" outlineLevel="0" collapsed="false">
      <c r="A10" s="17" t="s">
        <v>238</v>
      </c>
      <c r="B10" s="20" t="n">
        <f aca="false">B9/B6</f>
        <v>0.0404889091508716</v>
      </c>
    </row>
    <row r="11" customFormat="false" ht="15" hidden="false" customHeight="false" outlineLevel="0" collapsed="false">
      <c r="A11" s="17" t="s">
        <v>240</v>
      </c>
      <c r="B11" s="20" t="n">
        <f aca="false">(INDEX('Capital structure'!E5:E18,MATCH('Capital structure'!B26,'Capital structure'!A5:A18,0))-B9)/B6</f>
        <v>0.012763758491876</v>
      </c>
    </row>
    <row r="12" customFormat="false" ht="15" hidden="false" customHeight="false" outlineLevel="0" collapsed="false">
      <c r="A12" s="17" t="s">
        <v>241</v>
      </c>
      <c r="B12" s="20" t="n">
        <f aca="false">('Capital structure'!E15-B9)/B6</f>
        <v>0.0355863303387678</v>
      </c>
    </row>
    <row r="13" customFormat="false" ht="15" hidden="false" customHeight="false" outlineLevel="0" collapsed="false">
      <c r="A13" s="17" t="s">
        <v>242</v>
      </c>
      <c r="B13" s="24" t="n">
        <f aca="false">B9/'Capital structure'!C18</f>
        <v>1.06444381700266</v>
      </c>
    </row>
    <row r="14" customFormat="false" ht="15" hidden="false" customHeight="false" outlineLevel="0" collapsed="false">
      <c r="A14" s="17" t="s">
        <v>243</v>
      </c>
      <c r="B14" s="21" t="n">
        <f aca="false">Liquidations!Y19</f>
        <v>5303725.7464054</v>
      </c>
    </row>
    <row r="15" customFormat="false" ht="15" hidden="false" customHeight="false" outlineLevel="0" collapsed="false">
      <c r="A15" s="17" t="s">
        <v>244</v>
      </c>
      <c r="B15" s="21" t="n">
        <f aca="false">B7*Liquidations!B4</f>
        <v>302210.134135331</v>
      </c>
    </row>
    <row r="16" customFormat="false" ht="15" hidden="false" customHeight="false" outlineLevel="0" collapsed="false">
      <c r="A16" s="17" t="s">
        <v>245</v>
      </c>
      <c r="B16" s="20" t="n">
        <f aca="false">SUMPRODUCT((1-Reconciliation!B6:B25)*'Loan tape'!K5:K24)/SUMPRODUCT((1-Reconciliation!B6:B25)*'Loan tape'!L5:L24)</f>
        <v>0.0642350138068915</v>
      </c>
    </row>
    <row r="17" customFormat="false" ht="15" hidden="false" customHeight="false" outlineLevel="0" collapsed="false">
      <c r="A17" s="17" t="s">
        <v>246</v>
      </c>
      <c r="B17" s="30" t="n">
        <f aca="false">SUMPRODUCT((Reconciliation!A6:A25&lt;&gt;"")*(1-Reconciliation!B6:B25))</f>
        <v>17</v>
      </c>
    </row>
    <row r="18" customFormat="false" ht="15" hidden="false" customHeight="false" outlineLevel="0" collapsed="false">
      <c r="A18" s="17" t="s">
        <v>247</v>
      </c>
      <c r="B18" s="25" t="n">
        <f aca="false">Liquidations!X19/'Capital structure'!B34</f>
        <v>1.10457989277597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3" min="2" style="0" width="16"/>
    <col collapsed="false" customWidth="true" hidden="false" outlineLevel="0" max="4" min="4" style="0" width="12"/>
    <col collapsed="false" customWidth="true" hidden="false" outlineLevel="0" max="5" min="5" style="0" width="9"/>
    <col collapsed="false" customWidth="true" hidden="false" outlineLevel="0" max="6" min="6" style="0" width="52"/>
    <col collapsed="false" customWidth="true" hidden="false" outlineLevel="0" max="7" min="7" style="0" width="10"/>
  </cols>
  <sheetData>
    <row r="1" customFormat="false" ht="16.15" hidden="false" customHeight="false" outlineLevel="0" collapsed="false">
      <c r="A1" s="1" t="s">
        <v>248</v>
      </c>
    </row>
    <row r="2" customFormat="false" ht="15" hidden="false" customHeight="false" outlineLevel="0" collapsed="false">
      <c r="A2" s="3" t="s">
        <v>249</v>
      </c>
    </row>
    <row r="4" customFormat="false" ht="15" hidden="false" customHeight="false" outlineLevel="0" collapsed="false">
      <c r="A4" s="4" t="s">
        <v>250</v>
      </c>
      <c r="B4" s="4" t="s">
        <v>251</v>
      </c>
      <c r="C4" s="4" t="s">
        <v>252</v>
      </c>
      <c r="D4" s="4" t="s">
        <v>253</v>
      </c>
      <c r="E4" s="4" t="s">
        <v>254</v>
      </c>
      <c r="F4" s="4" t="s">
        <v>255</v>
      </c>
      <c r="G4" s="4" t="s">
        <v>256</v>
      </c>
    </row>
    <row r="5" customFormat="false" ht="15" hidden="false" customHeight="false" outlineLevel="0" collapsed="false">
      <c r="A5" s="2" t="s">
        <v>257</v>
      </c>
      <c r="B5" s="21" t="n">
        <f aca="false">'Loan tape'!C26</f>
        <v>1000000000</v>
      </c>
      <c r="C5" s="6" t="n">
        <v>1000000000</v>
      </c>
      <c r="D5" s="21" t="n">
        <f aca="false">IF(ISNUMBER(B5),B5-C5,"")</f>
        <v>0</v>
      </c>
      <c r="E5" s="12" t="str">
        <f aca="false">IF(ISNUMBER(B5),IF(ABS(B5-C5)&lt;=G5,"OK","CHECK"),IF(B5=C5,"OK","CHECK"))</f>
        <v>OK</v>
      </c>
      <c r="F5" s="35" t="s">
        <v>258</v>
      </c>
      <c r="G5" s="3" t="n">
        <v>50000.05</v>
      </c>
    </row>
    <row r="6" customFormat="false" ht="15" hidden="false" customHeight="false" outlineLevel="0" collapsed="false">
      <c r="A6" s="2" t="s">
        <v>259</v>
      </c>
      <c r="B6" s="20" t="n">
        <f aca="false">'Loan tape'!D26</f>
        <v>0.06336575</v>
      </c>
      <c r="C6" s="7" t="n">
        <v>0.0634</v>
      </c>
      <c r="D6" s="20" t="n">
        <f aca="false">IF(ISNUMBER(B6),B6-C6,"")</f>
        <v>-3.42499999999996E-005</v>
      </c>
      <c r="E6" s="12" t="str">
        <f aca="false">IF(ISNUMBER(B6),IF(ABS(B6-C6)&lt;=G6,"OK","CHECK"),IF(B6=C6,"OK","CHECK"))</f>
        <v>OK</v>
      </c>
      <c r="F6" s="35"/>
      <c r="G6" s="3" t="n">
        <v>5.0000051E-005</v>
      </c>
    </row>
    <row r="7" customFormat="false" ht="15" hidden="false" customHeight="false" outlineLevel="0" collapsed="false">
      <c r="A7" s="2" t="s">
        <v>260</v>
      </c>
      <c r="B7" s="20" t="n">
        <f aca="false">'Loan tape'!B33</f>
        <v>0.06291575</v>
      </c>
      <c r="C7" s="7" t="n">
        <v>0.0629</v>
      </c>
      <c r="D7" s="20" t="n">
        <f aca="false">IF(ISNUMBER(B7),B7-C7,"")</f>
        <v>1.57500000000088E-005</v>
      </c>
      <c r="E7" s="12" t="str">
        <f aca="false">IF(ISNUMBER(B7),IF(ABS(B7-C7)&lt;=G7,"OK","CHECK"),IF(B7=C7,"OK","CHECK"))</f>
        <v>OK</v>
      </c>
      <c r="F7" s="35"/>
      <c r="G7" s="3" t="n">
        <v>5.0000051E-005</v>
      </c>
    </row>
    <row r="8" customFormat="false" ht="15" hidden="false" customHeight="false" outlineLevel="0" collapsed="false">
      <c r="A8" s="2" t="s">
        <v>261</v>
      </c>
      <c r="B8" s="20" t="n">
        <f aca="false">'Loan tape'!E26</f>
        <v>0.601395</v>
      </c>
      <c r="C8" s="7" t="n">
        <v>0.6014</v>
      </c>
      <c r="D8" s="20" t="n">
        <f aca="false">IF(ISNUMBER(B8),B8-C8,"")</f>
        <v>-5.00000000003276E-006</v>
      </c>
      <c r="E8" s="12" t="str">
        <f aca="false">IF(ISNUMBER(B8),IF(ABS(B8-C8)&lt;=G8,"OK","CHECK"),IF(B8=C8,"OK","CHECK"))</f>
        <v>OK</v>
      </c>
      <c r="F8" s="35"/>
      <c r="G8" s="3" t="n">
        <v>5.0000051E-005</v>
      </c>
    </row>
    <row r="9" customFormat="false" ht="15" hidden="false" customHeight="false" outlineLevel="0" collapsed="false">
      <c r="A9" s="2" t="s">
        <v>262</v>
      </c>
      <c r="B9" s="20" t="n">
        <f aca="false">'Loan tape'!B35</f>
        <v>0.598884025992042</v>
      </c>
      <c r="C9" s="7" t="n">
        <v>0.5989</v>
      </c>
      <c r="D9" s="20" t="n">
        <f aca="false">IF(ISNUMBER(B9),B9-C9,"")</f>
        <v>-1.59740079583859E-005</v>
      </c>
      <c r="E9" s="12" t="str">
        <f aca="false">IF(ISNUMBER(B9),IF(ABS(B9-C9)&lt;=G9,"OK","CHECK"),IF(B9=C9,"OK","CHECK"))</f>
        <v>OK</v>
      </c>
      <c r="F9" s="35"/>
      <c r="G9" s="3" t="n">
        <v>5.0000051E-005</v>
      </c>
    </row>
    <row r="10" customFormat="false" ht="15" hidden="false" customHeight="false" outlineLevel="0" collapsed="false">
      <c r="A10" s="2" t="s">
        <v>263</v>
      </c>
      <c r="B10" s="25" t="n">
        <f aca="false">'Loan tape'!F26</f>
        <v>1.590125</v>
      </c>
      <c r="C10" s="9" t="n">
        <v>1.59</v>
      </c>
      <c r="D10" s="25" t="n">
        <f aca="false">IF(ISNUMBER(B10),B10-C10,"")</f>
        <v>0.000124999999999931</v>
      </c>
      <c r="E10" s="12" t="str">
        <f aca="false">IF(ISNUMBER(B10),IF(ABS(B10-C10)&lt;=G10,"OK","CHECK"),IF(B10=C10,"OK","CHECK"))</f>
        <v>OK</v>
      </c>
      <c r="F10" s="35"/>
      <c r="G10" s="3" t="n">
        <v>0.005000005001</v>
      </c>
    </row>
    <row r="11" customFormat="false" ht="15" hidden="false" customHeight="false" outlineLevel="0" collapsed="false">
      <c r="A11" s="2" t="s">
        <v>264</v>
      </c>
      <c r="B11" s="22" t="n">
        <f aca="false">'Loan tape'!G26</f>
        <v>9.178</v>
      </c>
      <c r="C11" s="36" t="n">
        <v>9.2</v>
      </c>
      <c r="D11" s="22" t="n">
        <f aca="false">IF(ISNUMBER(B11),B11-C11,"")</f>
        <v>-0.0219999999999985</v>
      </c>
      <c r="E11" s="12" t="str">
        <f aca="false">IF(ISNUMBER(B11),IF(ABS(B11-C11)&lt;=G11,"OK","CHECK"),IF(B11=C11,"OK","CHECK"))</f>
        <v>OK</v>
      </c>
      <c r="F11" s="35"/>
      <c r="G11" s="3" t="n">
        <v>0.050000050001</v>
      </c>
    </row>
    <row r="12" customFormat="false" ht="15" hidden="false" customHeight="false" outlineLevel="0" collapsed="false">
      <c r="A12" s="2" t="s">
        <v>265</v>
      </c>
      <c r="B12" s="21" t="n">
        <f aca="false">'Loan tape'!K26</f>
        <v>107023338.355199</v>
      </c>
      <c r="C12" s="6" t="n">
        <v>107020000</v>
      </c>
      <c r="D12" s="21" t="n">
        <f aca="false">IF(ISNUMBER(B12),B12-C12,"")</f>
        <v>3338.35519875586</v>
      </c>
      <c r="E12" s="12" t="str">
        <f aca="false">IF(ISNUMBER(B12),IF(ABS(B12-C12)&lt;=G12,"OK","CHECK"),IF(B12=C12,"OK","CHECK"))</f>
        <v>OK</v>
      </c>
      <c r="F12" s="35" t="s">
        <v>266</v>
      </c>
      <c r="G12" s="3" t="n">
        <v>5000.005</v>
      </c>
    </row>
    <row r="13" customFormat="false" ht="15" hidden="false" customHeight="false" outlineLevel="0" collapsed="false">
      <c r="A13" s="2" t="s">
        <v>267</v>
      </c>
      <c r="B13" s="21" t="n">
        <f aca="false">'Loan tape'!L26</f>
        <v>1669772370.94196</v>
      </c>
      <c r="C13" s="6" t="n">
        <v>1669800000</v>
      </c>
      <c r="D13" s="21" t="n">
        <f aca="false">IF(ISNUMBER(B13),B13-C13,"")</f>
        <v>-27629.0580360889</v>
      </c>
      <c r="E13" s="12" t="str">
        <f aca="false">IF(ISNUMBER(B13),IF(ABS(B13-C13)&lt;=G13,"OK","CHECK"),IF(B13=C13,"OK","CHECK"))</f>
        <v>OK</v>
      </c>
      <c r="F13" s="35"/>
      <c r="G13" s="3" t="n">
        <v>50000.05</v>
      </c>
    </row>
    <row r="14" customFormat="false" ht="15" hidden="false" customHeight="false" outlineLevel="0" collapsed="false">
      <c r="A14" s="2" t="s">
        <v>268</v>
      </c>
      <c r="B14" s="21" t="n">
        <f aca="false">'Loan tape'!B37</f>
        <v>1672239661.79998</v>
      </c>
      <c r="C14" s="6" t="n">
        <v>1672200000</v>
      </c>
      <c r="D14" s="21" t="n">
        <f aca="false">IF(ISNUMBER(B14),B14-C14,"")</f>
        <v>39661.7999806404</v>
      </c>
      <c r="E14" s="12" t="str">
        <f aca="false">IF(ISNUMBER(B14),IF(ABS(B14-C14)&lt;=G14,"OK","CHECK"),IF(B14=C14,"OK","CHECK"))</f>
        <v>OK</v>
      </c>
      <c r="F14" s="35"/>
      <c r="G14" s="3" t="n">
        <v>50000.05</v>
      </c>
    </row>
    <row r="15" customFormat="false" ht="15" hidden="false" customHeight="false" outlineLevel="0" collapsed="false">
      <c r="A15" s="2" t="s">
        <v>269</v>
      </c>
      <c r="B15" s="20" t="n">
        <f aca="false">'Loan tape'!B38</f>
        <v>0.00147544093970416</v>
      </c>
      <c r="C15" s="7" t="n">
        <v>0.0015</v>
      </c>
      <c r="D15" s="20" t="n">
        <f aca="false">IF(ISNUMBER(B15),B15-C15,"")</f>
        <v>-2.45590602958405E-005</v>
      </c>
      <c r="E15" s="12" t="str">
        <f aca="false">IF(ISNUMBER(B15),IF(ABS(B15-C15)&lt;=G15,"OK","CHECK"),IF(B15=C15,"OK","CHECK"))</f>
        <v>OK</v>
      </c>
      <c r="F15" s="35" t="s">
        <v>270</v>
      </c>
      <c r="G15" s="3" t="n">
        <v>5.0000051E-005</v>
      </c>
    </row>
    <row r="16" customFormat="false" ht="15" hidden="false" customHeight="false" outlineLevel="0" collapsed="false">
      <c r="A16" s="2" t="s">
        <v>271</v>
      </c>
      <c r="B16" s="20" t="n">
        <f aca="false">'Loan tape'!B36</f>
        <v>0.0640945677492699</v>
      </c>
      <c r="C16" s="7" t="n">
        <v>0.0641</v>
      </c>
      <c r="D16" s="20" t="n">
        <f aca="false">IF(ISNUMBER(B16),B16-C16,"")</f>
        <v>-5.43225073008913E-006</v>
      </c>
      <c r="E16" s="12" t="str">
        <f aca="false">IF(ISNUMBER(B16),IF(ABS(B16-C16)&lt;=G16,"OK","CHECK"),IF(B16=C16,"OK","CHECK"))</f>
        <v>OK</v>
      </c>
      <c r="F16" s="35"/>
      <c r="G16" s="3" t="n">
        <v>5.0000051E-005</v>
      </c>
    </row>
    <row r="17" customFormat="false" ht="15" hidden="false" customHeight="false" outlineLevel="0" collapsed="false">
      <c r="A17" s="2" t="s">
        <v>272</v>
      </c>
      <c r="B17" s="22" t="n">
        <f aca="false">'Loan tape'!B39</f>
        <v>-0.945677492699137</v>
      </c>
      <c r="C17" s="36" t="n">
        <v>-0.9</v>
      </c>
      <c r="D17" s="22" t="n">
        <f aca="false">IF(ISNUMBER(B17),B17-C17,"")</f>
        <v>-0.0456774926991373</v>
      </c>
      <c r="E17" s="12" t="str">
        <f aca="false">IF(ISNUMBER(B17),IF(ABS(B17-C17)&lt;=G17,"OK","CHECK"),IF(B17=C17,"OK","CHECK"))</f>
        <v>OK</v>
      </c>
      <c r="F17" s="35"/>
      <c r="G17" s="3" t="n">
        <v>0.050000050001</v>
      </c>
    </row>
    <row r="18" customFormat="false" ht="15" hidden="false" customHeight="false" outlineLevel="0" collapsed="false">
      <c r="A18" s="2" t="s">
        <v>58</v>
      </c>
      <c r="B18" s="24" t="n">
        <f aca="false">'Loan tape'!B40</f>
        <v>0.598000407981958</v>
      </c>
      <c r="C18" s="8" t="n">
        <v>0.598</v>
      </c>
      <c r="D18" s="24" t="n">
        <f aca="false">IF(ISNUMBER(B18),B18-C18,"")</f>
        <v>4.07981958105985E-007</v>
      </c>
      <c r="E18" s="12" t="str">
        <f aca="false">IF(ISNUMBER(B18),IF(ABS(B18-C18)&lt;=G18,"OK","CHECK"),IF(B18=C18,"OK","CHECK"))</f>
        <v>OK</v>
      </c>
      <c r="F18" s="35" t="s">
        <v>273</v>
      </c>
      <c r="G18" s="3" t="n">
        <v>0.000500000501</v>
      </c>
    </row>
    <row r="19" customFormat="false" ht="15" hidden="false" customHeight="false" outlineLevel="0" collapsed="false">
      <c r="A19" s="2" t="s">
        <v>274</v>
      </c>
      <c r="B19" s="24" t="n">
        <f aca="false">'Loan tape'!B41</f>
        <v>0.376</v>
      </c>
      <c r="C19" s="8" t="n">
        <v>0.376</v>
      </c>
      <c r="D19" s="24" t="n">
        <f aca="false">IF(ISNUMBER(B19),B19-C19,"")</f>
        <v>0</v>
      </c>
      <c r="E19" s="12" t="str">
        <f aca="false">IF(ISNUMBER(B19),IF(ABS(B19-C19)&lt;=G19,"OK","CHECK"),IF(B19=C19,"OK","CHECK"))</f>
        <v>OK</v>
      </c>
      <c r="F19" s="35"/>
      <c r="G19" s="3" t="n">
        <v>0.000500000501</v>
      </c>
    </row>
    <row r="20" customFormat="false" ht="15" hidden="false" customHeight="false" outlineLevel="0" collapsed="false">
      <c r="A20" s="2" t="s">
        <v>275</v>
      </c>
      <c r="B20" s="24" t="n">
        <f aca="false">'Loan tape'!B42</f>
        <v>0.6535</v>
      </c>
      <c r="C20" s="8" t="n">
        <v>0.654</v>
      </c>
      <c r="D20" s="24" t="n">
        <f aca="false">IF(ISNUMBER(B20),B20-C20,"")</f>
        <v>-0.000500000000000056</v>
      </c>
      <c r="E20" s="12" t="str">
        <f aca="false">IF(ISNUMBER(B20),IF(ABS(B20-C20)&lt;=G20,"OK","CHECK"),IF(B20=C20,"OK","CHECK"))</f>
        <v>OK</v>
      </c>
      <c r="F20" s="35"/>
      <c r="G20" s="3" t="n">
        <v>0.000500000501</v>
      </c>
    </row>
    <row r="21" customFormat="false" ht="15" hidden="false" customHeight="false" outlineLevel="0" collapsed="false">
      <c r="A21" s="2" t="s">
        <v>276</v>
      </c>
      <c r="B21" s="24" t="n">
        <f aca="false">'Loan tape'!B43</f>
        <v>0.092</v>
      </c>
      <c r="C21" s="8" t="n">
        <v>0.092</v>
      </c>
      <c r="D21" s="24" t="n">
        <f aca="false">IF(ISNUMBER(B21),B21-C21,"")</f>
        <v>0</v>
      </c>
      <c r="E21" s="12" t="str">
        <f aca="false">IF(ISNUMBER(B21),IF(ABS(B21-C21)&lt;=G21,"OK","CHECK"),IF(B21=C21,"OK","CHECK"))</f>
        <v>OK</v>
      </c>
      <c r="F21" s="35"/>
      <c r="G21" s="3" t="n">
        <v>0.000500000501</v>
      </c>
    </row>
    <row r="22" customFormat="false" ht="15" hidden="false" customHeight="false" outlineLevel="0" collapsed="false">
      <c r="A22" s="2" t="s">
        <v>277</v>
      </c>
      <c r="B22" s="24" t="n">
        <f aca="false">'Loan tape'!B45</f>
        <v>0.226</v>
      </c>
      <c r="C22" s="8" t="n">
        <v>0.226</v>
      </c>
      <c r="D22" s="24" t="n">
        <f aca="false">IF(ISNUMBER(B22),B22-C22,"")</f>
        <v>0</v>
      </c>
      <c r="E22" s="12" t="str">
        <f aca="false">IF(ISNUMBER(B22),IF(ABS(B22-C22)&lt;=G22,"OK","CHECK"),IF(B22=C22,"OK","CHECK"))</f>
        <v>OK</v>
      </c>
      <c r="F22" s="35"/>
      <c r="G22" s="3" t="n">
        <v>0.000500000501</v>
      </c>
    </row>
    <row r="23" customFormat="false" ht="15" hidden="false" customHeight="false" outlineLevel="0" collapsed="false">
      <c r="A23" s="2" t="s">
        <v>278</v>
      </c>
      <c r="B23" s="24" t="n">
        <f aca="false">'Loan tape'!B46</f>
        <v>0.223</v>
      </c>
      <c r="C23" s="8" t="n">
        <v>0.223</v>
      </c>
      <c r="D23" s="24" t="n">
        <f aca="false">IF(ISNUMBER(B23),B23-C23,"")</f>
        <v>0</v>
      </c>
      <c r="E23" s="12" t="str">
        <f aca="false">IF(ISNUMBER(B23),IF(ABS(B23-C23)&lt;=G23,"OK","CHECK"),IF(B23=C23,"OK","CHECK"))</f>
        <v>OK</v>
      </c>
      <c r="F23" s="35"/>
      <c r="G23" s="3" t="n">
        <v>0.000500000501</v>
      </c>
    </row>
    <row r="24" customFormat="false" ht="15" hidden="false" customHeight="false" outlineLevel="0" collapsed="false">
      <c r="A24" s="2" t="s">
        <v>279</v>
      </c>
      <c r="B24" s="24" t="n">
        <f aca="false">'Loan tape'!B47</f>
        <v>0.167</v>
      </c>
      <c r="C24" s="8" t="n">
        <v>0.167</v>
      </c>
      <c r="D24" s="24" t="n">
        <f aca="false">IF(ISNUMBER(B24),B24-C24,"")</f>
        <v>0</v>
      </c>
      <c r="E24" s="12" t="str">
        <f aca="false">IF(ISNUMBER(B24),IF(ABS(B24-C24)&lt;=G24,"OK","CHECK"),IF(B24=C24,"OK","CHECK"))</f>
        <v>OK</v>
      </c>
      <c r="F24" s="35"/>
      <c r="G24" s="3" t="n">
        <v>0.000500000501</v>
      </c>
    </row>
    <row r="25" customFormat="false" ht="15" hidden="false" customHeight="false" outlineLevel="0" collapsed="false">
      <c r="A25" s="2" t="s">
        <v>280</v>
      </c>
      <c r="B25" s="24" t="n">
        <f aca="false">'Loan tape'!B44</f>
        <v>0.407608695652174</v>
      </c>
      <c r="C25" s="8" t="n">
        <v>0.408</v>
      </c>
      <c r="D25" s="24" t="n">
        <f aca="false">IF(ISNUMBER(B25),B25-C25,"")</f>
        <v>-0.000391304347826083</v>
      </c>
      <c r="E25" s="12" t="str">
        <f aca="false">IF(ISNUMBER(B25),IF(ABS(B25-C25)&lt;=G25,"OK","CHECK"),IF(B25=C25,"OK","CHECK"))</f>
        <v>OK</v>
      </c>
      <c r="F25" s="35"/>
      <c r="G25" s="3" t="n">
        <v>0.000500000501</v>
      </c>
    </row>
    <row r="26" customFormat="false" ht="15" hidden="false" customHeight="false" outlineLevel="0" collapsed="false">
      <c r="A26" s="2" t="s">
        <v>281</v>
      </c>
      <c r="B26" s="21" t="n">
        <f aca="false">'Loan tape'!B48</f>
        <v>8373840</v>
      </c>
      <c r="C26" s="6" t="n">
        <v>8374000</v>
      </c>
      <c r="D26" s="21" t="n">
        <f aca="false">IF(ISNUMBER(B26),B26-C26,"")</f>
        <v>-160</v>
      </c>
      <c r="E26" s="12" t="str">
        <f aca="false">IF(ISNUMBER(B26),IF(ABS(B26-C26)&lt;=G26,"OK","CHECK"),IF(B26=C26,"OK","CHECK"))</f>
        <v>OK</v>
      </c>
      <c r="F26" s="35"/>
      <c r="G26" s="3" t="n">
        <v>500.000500000001</v>
      </c>
    </row>
    <row r="27" customFormat="false" ht="15" hidden="false" customHeight="false" outlineLevel="0" collapsed="false">
      <c r="A27" s="2" t="s">
        <v>67</v>
      </c>
      <c r="B27" s="25" t="n">
        <f aca="false">'Loan tape'!B49</f>
        <v>24.6289411764706</v>
      </c>
      <c r="C27" s="9" t="n">
        <v>24.63</v>
      </c>
      <c r="D27" s="25" t="n">
        <f aca="false">IF(ISNUMBER(B27),B27-C27,"")</f>
        <v>-0.00105882352941222</v>
      </c>
      <c r="E27" s="12" t="str">
        <f aca="false">IF(ISNUMBER(B27),IF(ABS(B27-C27)&lt;=G27,"OK","CHECK"),IF(B27=C27,"OK","CHECK"))</f>
        <v>OK</v>
      </c>
      <c r="F27" s="35"/>
      <c r="G27" s="3" t="n">
        <v>0.005000005001</v>
      </c>
    </row>
    <row r="28" customFormat="false" ht="15" hidden="false" customHeight="false" outlineLevel="0" collapsed="false">
      <c r="A28" s="2" t="s">
        <v>282</v>
      </c>
      <c r="B28" s="20" t="n">
        <f aca="false">'Loan tape'!B50</f>
        <v>0.0104639096021495</v>
      </c>
      <c r="C28" s="7" t="n">
        <v>0.01</v>
      </c>
      <c r="D28" s="20" t="n">
        <f aca="false">IF(ISNUMBER(B28),B28-C28,"")</f>
        <v>0.000463909602149462</v>
      </c>
      <c r="E28" s="12" t="str">
        <f aca="false">IF(ISNUMBER(B28),IF(ABS(B28-C28)&lt;=G28,"OK","CHECK"),IF(B28=C28,"OK","CHECK"))</f>
        <v>OK</v>
      </c>
      <c r="F28" s="35" t="s">
        <v>283</v>
      </c>
      <c r="G28" s="3" t="n">
        <v>0.001000001001</v>
      </c>
    </row>
    <row r="29" customFormat="false" ht="15" hidden="false" customHeight="false" outlineLevel="0" collapsed="false">
      <c r="A29" s="2" t="s">
        <v>284</v>
      </c>
      <c r="B29" s="21" t="n">
        <f aca="false">'Loan tape'!B34</f>
        <v>450000</v>
      </c>
      <c r="C29" s="6" t="n">
        <v>450000</v>
      </c>
      <c r="D29" s="21" t="n">
        <f aca="false">IF(ISNUMBER(B29),B29-C29,"")</f>
        <v>0</v>
      </c>
      <c r="E29" s="12" t="str">
        <f aca="false">IF(ISNUMBER(B29),IF(ABS(B29-C29)&lt;=G29,"OK","CHECK"),IF(B29=C29,"OK","CHECK"))</f>
        <v>OK</v>
      </c>
      <c r="F29" s="35"/>
      <c r="G29" s="3" t="n">
        <v>5000.005</v>
      </c>
    </row>
    <row r="30" customFormat="false" ht="15" hidden="false" customHeight="false" outlineLevel="0" collapsed="false">
      <c r="A30" s="2" t="s">
        <v>285</v>
      </c>
      <c r="B30" s="20" t="n">
        <f aca="false">'Capital structure'!F5</f>
        <v>0.3</v>
      </c>
      <c r="C30" s="7" t="n">
        <v>0.3</v>
      </c>
      <c r="D30" s="20" t="n">
        <f aca="false">IF(ISNUMBER(B30),B30-C30,"")</f>
        <v>0</v>
      </c>
      <c r="E30" s="12" t="str">
        <f aca="false">IF(ISNUMBER(B30),IF(ABS(B30-C30)&lt;=G30,"OK","CHECK"),IF(B30=C30,"OK","CHECK"))</f>
        <v>OK</v>
      </c>
      <c r="F30" s="35"/>
      <c r="G30" s="3" t="n">
        <v>5.0000051E-005</v>
      </c>
    </row>
    <row r="31" customFormat="false" ht="15" hidden="false" customHeight="false" outlineLevel="0" collapsed="false">
      <c r="A31" s="2" t="s">
        <v>286</v>
      </c>
      <c r="B31" s="20" t="n">
        <f aca="false">'Capital structure'!F6</f>
        <v>0.3</v>
      </c>
      <c r="C31" s="7" t="n">
        <v>0.3</v>
      </c>
      <c r="D31" s="20" t="n">
        <f aca="false">IF(ISNUMBER(B31),B31-C31,"")</f>
        <v>0</v>
      </c>
      <c r="E31" s="12" t="str">
        <f aca="false">IF(ISNUMBER(B31),IF(ABS(B31-C31)&lt;=G31,"OK","CHECK"),IF(B31=C31,"OK","CHECK"))</f>
        <v>OK</v>
      </c>
      <c r="F31" s="35"/>
      <c r="G31" s="3" t="n">
        <v>5.0000051E-005</v>
      </c>
    </row>
    <row r="32" customFormat="false" ht="15" hidden="false" customHeight="false" outlineLevel="0" collapsed="false">
      <c r="A32" s="2" t="s">
        <v>287</v>
      </c>
      <c r="B32" s="20" t="n">
        <f aca="false">'Capital structure'!F11</f>
        <v>0.225</v>
      </c>
      <c r="C32" s="7" t="n">
        <v>0.225</v>
      </c>
      <c r="D32" s="20" t="n">
        <f aca="false">IF(ISNUMBER(B32),B32-C32,"")</f>
        <v>0</v>
      </c>
      <c r="E32" s="12" t="str">
        <f aca="false">IF(ISNUMBER(B32),IF(ABS(B32-C32)&lt;=G32,"OK","CHECK"),IF(B32=C32,"OK","CHECK"))</f>
        <v>OK</v>
      </c>
      <c r="F32" s="35"/>
      <c r="G32" s="3" t="n">
        <v>5.0000051E-005</v>
      </c>
    </row>
    <row r="33" customFormat="false" ht="15" hidden="false" customHeight="false" outlineLevel="0" collapsed="false">
      <c r="A33" s="2" t="s">
        <v>288</v>
      </c>
      <c r="B33" s="20" t="n">
        <f aca="false">'Capital structure'!F15</f>
        <v>0.075</v>
      </c>
      <c r="C33" s="7" t="n">
        <v>0.075</v>
      </c>
      <c r="D33" s="20" t="n">
        <f aca="false">IF(ISNUMBER(B33),B33-C33,"")</f>
        <v>0</v>
      </c>
      <c r="E33" s="12" t="str">
        <f aca="false">IF(ISNUMBER(B33),IF(ABS(B33-C33)&lt;=G33,"OK","CHECK"),IF(B33=C33,"OK","CHECK"))</f>
        <v>OK</v>
      </c>
      <c r="F33" s="35"/>
      <c r="G33" s="3" t="n">
        <v>5.0000051E-005</v>
      </c>
    </row>
    <row r="34" customFormat="false" ht="15" hidden="false" customHeight="false" outlineLevel="0" collapsed="false">
      <c r="A34" s="2" t="s">
        <v>289</v>
      </c>
      <c r="B34" s="20" t="n">
        <f aca="false">'Capital structure'!F16</f>
        <v>0.0525</v>
      </c>
      <c r="C34" s="7" t="n">
        <v>0.0525</v>
      </c>
      <c r="D34" s="20" t="n">
        <f aca="false">IF(ISNUMBER(B34),B34-C34,"")</f>
        <v>0</v>
      </c>
      <c r="E34" s="12" t="str">
        <f aca="false">IF(ISNUMBER(B34),IF(ABS(B34-C34)&lt;=G34,"OK","CHECK"),IF(B34=C34,"OK","CHECK"))</f>
        <v>OK</v>
      </c>
      <c r="F34" s="35"/>
      <c r="G34" s="3" t="n">
        <v>5.0000051E-005</v>
      </c>
    </row>
    <row r="35" customFormat="false" ht="15" hidden="false" customHeight="false" outlineLevel="0" collapsed="false">
      <c r="A35" s="2" t="s">
        <v>290</v>
      </c>
      <c r="B35" s="20" t="n">
        <f aca="false">'Capital structure'!F17</f>
        <v>0.0375</v>
      </c>
      <c r="C35" s="7" t="n">
        <v>0.0375</v>
      </c>
      <c r="D35" s="20" t="n">
        <f aca="false">IF(ISNUMBER(B35),B35-C35,"")</f>
        <v>0</v>
      </c>
      <c r="E35" s="12" t="str">
        <f aca="false">IF(ISNUMBER(B35),IF(ABS(B35-C35)&lt;=G35,"OK","CHECK"),IF(B35=C35,"OK","CHECK"))</f>
        <v>OK</v>
      </c>
      <c r="F35" s="35"/>
      <c r="G35" s="3" t="n">
        <v>5.0000051E-005</v>
      </c>
    </row>
    <row r="36" customFormat="false" ht="15" hidden="false" customHeight="false" outlineLevel="0" collapsed="false">
      <c r="A36" s="2" t="s">
        <v>291</v>
      </c>
      <c r="B36" s="21" t="n">
        <f aca="false">'Capital structure'!B27</f>
        <v>75000000</v>
      </c>
      <c r="C36" s="6" t="n">
        <v>75000000</v>
      </c>
      <c r="D36" s="21" t="n">
        <f aca="false">IF(ISNUMBER(B36),B36-C36,"")</f>
        <v>0</v>
      </c>
      <c r="E36" s="12" t="str">
        <f aca="false">IF(ISNUMBER(B36),IF(ABS(B36-C36)&lt;=G36,"OK","CHECK"),IF(B36=C36,"OK","CHECK"))</f>
        <v>OK</v>
      </c>
      <c r="F36" s="35"/>
      <c r="G36" s="3" t="n">
        <v>50000.05</v>
      </c>
    </row>
    <row r="37" customFormat="false" ht="15" hidden="false" customHeight="false" outlineLevel="0" collapsed="false">
      <c r="A37" s="2" t="s">
        <v>292</v>
      </c>
      <c r="B37" s="24" t="n">
        <f aca="false">'Capital structure'!B42</f>
        <v>0.545454545454545</v>
      </c>
      <c r="C37" s="8" t="n">
        <v>0.545</v>
      </c>
      <c r="D37" s="24" t="n">
        <f aca="false">IF(ISNUMBER(B37),B37-C37,"")</f>
        <v>0.000454545454545374</v>
      </c>
      <c r="E37" s="12" t="str">
        <f aca="false">IF(ISNUMBER(B37),IF(ABS(B37-C37)&lt;=G37,"OK","CHECK"),IF(B37=C37,"OK","CHECK"))</f>
        <v>OK</v>
      </c>
      <c r="F37" s="35"/>
      <c r="G37" s="3" t="n">
        <v>0.000500000501</v>
      </c>
    </row>
    <row r="38" customFormat="false" ht="15" hidden="false" customHeight="false" outlineLevel="0" collapsed="false">
      <c r="A38" s="2" t="s">
        <v>293</v>
      </c>
      <c r="B38" s="24" t="n">
        <f aca="false">'Capital structure'!D42</f>
        <v>0.136363636363636</v>
      </c>
      <c r="C38" s="8" t="n">
        <v>0.136</v>
      </c>
      <c r="D38" s="24" t="n">
        <f aca="false">IF(ISNUMBER(B38),B38-C38,"")</f>
        <v>0.000363636363636344</v>
      </c>
      <c r="E38" s="12" t="str">
        <f aca="false">IF(ISNUMBER(B38),IF(ABS(B38-C38)&lt;=G38,"OK","CHECK"),IF(B38=C38,"OK","CHECK"))</f>
        <v>OK</v>
      </c>
      <c r="F38" s="35"/>
      <c r="G38" s="3" t="n">
        <v>0.000500000501</v>
      </c>
    </row>
    <row r="39" customFormat="false" ht="15" hidden="false" customHeight="false" outlineLevel="0" collapsed="false">
      <c r="A39" s="2" t="s">
        <v>294</v>
      </c>
      <c r="B39" s="24" t="n">
        <f aca="false">'Capital structure'!E42</f>
        <v>0.0681818181818182</v>
      </c>
      <c r="C39" s="8" t="n">
        <v>0.068</v>
      </c>
      <c r="D39" s="24" t="n">
        <f aca="false">IF(ISNUMBER(B39),B39-C39,"")</f>
        <v>0.000181818181818172</v>
      </c>
      <c r="E39" s="12" t="str">
        <f aca="false">IF(ISNUMBER(B39),IF(ABS(B39-C39)&lt;=G39,"OK","CHECK"),IF(B39=C39,"OK","CHECK"))</f>
        <v>OK</v>
      </c>
      <c r="F39" s="35"/>
      <c r="G39" s="3" t="n">
        <v>0.000500000501</v>
      </c>
    </row>
    <row r="40" customFormat="false" ht="15" hidden="false" customHeight="false" outlineLevel="0" collapsed="false">
      <c r="A40" s="2" t="s">
        <v>295</v>
      </c>
      <c r="B40" s="24" t="n">
        <f aca="false">'Capital structure'!B39</f>
        <v>1.2</v>
      </c>
      <c r="C40" s="8" t="n">
        <v>1.2</v>
      </c>
      <c r="D40" s="24" t="n">
        <f aca="false">IF(ISNUMBER(B40),B40-C40,"")</f>
        <v>0</v>
      </c>
      <c r="E40" s="12" t="str">
        <f aca="false">IF(ISNUMBER(B40),IF(ABS(B40-C40)&lt;=G40,"OK","CHECK"),IF(B40=C40,"OK","CHECK"))</f>
        <v>OK</v>
      </c>
      <c r="F40" s="35"/>
      <c r="G40" s="3" t="n">
        <v>0.000500000501</v>
      </c>
    </row>
    <row r="41" customFormat="false" ht="15" hidden="false" customHeight="false" outlineLevel="0" collapsed="false">
      <c r="A41" s="2" t="s">
        <v>296</v>
      </c>
      <c r="B41" s="24" t="n">
        <f aca="false">'Capital structure'!E43</f>
        <v>0.0576923076923077</v>
      </c>
      <c r="C41" s="8" t="n">
        <v>0.058</v>
      </c>
      <c r="D41" s="24" t="n">
        <f aca="false">IF(ISNUMBER(B41),B41-C41,"")</f>
        <v>-0.000307692307692314</v>
      </c>
      <c r="E41" s="12" t="str">
        <f aca="false">IF(ISNUMBER(B41),IF(ABS(B41-C41)&lt;=G41,"OK","CHECK"),IF(B41=C41,"OK","CHECK"))</f>
        <v>OK</v>
      </c>
      <c r="F41" s="35"/>
      <c r="G41" s="3" t="n">
        <v>0.000500000501</v>
      </c>
    </row>
    <row r="42" customFormat="false" ht="15" hidden="false" customHeight="false" outlineLevel="0" collapsed="false">
      <c r="A42" s="2" t="s">
        <v>297</v>
      </c>
      <c r="B42" s="21" t="n">
        <f aca="false">'Capital structure'!B34</f>
        <v>196611.71875</v>
      </c>
      <c r="C42" s="6" t="n">
        <v>196612</v>
      </c>
      <c r="D42" s="21" t="n">
        <f aca="false">IF(ISNUMBER(B42),B42-C42,"")</f>
        <v>-0.281249999970896</v>
      </c>
      <c r="E42" s="12" t="str">
        <f aca="false">IF(ISNUMBER(B42),IF(ABS(B42-C42)&lt;=G42,"OK","CHECK"),IF(B42=C42,"OK","CHECK"))</f>
        <v>OK</v>
      </c>
      <c r="F42" s="35"/>
      <c r="G42" s="3" t="n">
        <v>0.500000500001</v>
      </c>
    </row>
    <row r="43" customFormat="false" ht="15" hidden="false" customHeight="false" outlineLevel="0" collapsed="false">
      <c r="A43" s="2" t="s">
        <v>298</v>
      </c>
      <c r="B43" s="21" t="n">
        <f aca="false">Liquidations!I14</f>
        <v>28024570.3832812</v>
      </c>
      <c r="C43" s="6" t="n">
        <v>28000000</v>
      </c>
      <c r="D43" s="21" t="n">
        <f aca="false">IF(ISNUMBER(B43),B43-C43,"")</f>
        <v>24570.3832812086</v>
      </c>
      <c r="E43" s="12" t="str">
        <f aca="false">IF(ISNUMBER(B43),IF(ABS(B43-C43)&lt;=G43,"OK","CHECK"),IF(B43=C43,"OK","CHECK"))</f>
        <v>OK</v>
      </c>
      <c r="F43" s="35"/>
      <c r="G43" s="3" t="n">
        <v>50000.05</v>
      </c>
    </row>
    <row r="44" customFormat="false" ht="15" hidden="false" customHeight="false" outlineLevel="0" collapsed="false">
      <c r="A44" s="2" t="s">
        <v>299</v>
      </c>
      <c r="B44" s="21" t="n">
        <f aca="false">Liquidations!I15</f>
        <v>31859483.2708513</v>
      </c>
      <c r="C44" s="6" t="n">
        <v>31900000</v>
      </c>
      <c r="D44" s="21" t="n">
        <f aca="false">IF(ISNUMBER(B44),B44-C44,"")</f>
        <v>-40516.7291487269</v>
      </c>
      <c r="E44" s="12" t="str">
        <f aca="false">IF(ISNUMBER(B44),IF(ABS(B44-C44)&lt;=G44,"OK","CHECK"),IF(B44=C44,"OK","CHECK"))</f>
        <v>OK</v>
      </c>
      <c r="F44" s="35"/>
      <c r="G44" s="3" t="n">
        <v>50000.05</v>
      </c>
    </row>
    <row r="45" customFormat="false" ht="15" hidden="false" customHeight="false" outlineLevel="0" collapsed="false">
      <c r="A45" s="2" t="s">
        <v>300</v>
      </c>
      <c r="B45" s="21" t="n">
        <f aca="false">Liquidations!J14</f>
        <v>975429.616718791</v>
      </c>
      <c r="C45" s="6" t="n">
        <v>975000</v>
      </c>
      <c r="D45" s="21" t="n">
        <f aca="false">IF(ISNUMBER(B45),B45-C45,"")</f>
        <v>429.616718791425</v>
      </c>
      <c r="E45" s="12" t="str">
        <f aca="false">IF(ISNUMBER(B45),IF(ABS(B45-C45)&lt;=G45,"OK","CHECK"),IF(B45=C45,"OK","CHECK"))</f>
        <v>OK</v>
      </c>
      <c r="F45" s="35"/>
      <c r="G45" s="3" t="n">
        <v>500.000500000001</v>
      </c>
    </row>
    <row r="46" customFormat="false" ht="15" hidden="false" customHeight="false" outlineLevel="0" collapsed="false">
      <c r="A46" s="2" t="s">
        <v>301</v>
      </c>
      <c r="B46" s="21" t="n">
        <f aca="false">Liquidations!J15</f>
        <v>1140516.72914873</v>
      </c>
      <c r="C46" s="6" t="n">
        <v>1141000</v>
      </c>
      <c r="D46" s="21" t="n">
        <f aca="false">IF(ISNUMBER(B46),B46-C46,"")</f>
        <v>-483.27085127309</v>
      </c>
      <c r="E46" s="12" t="str">
        <f aca="false">IF(ISNUMBER(B46),IF(ABS(B46-C46)&lt;=G46,"OK","CHECK"),IF(B46=C46,"OK","CHECK"))</f>
        <v>OK</v>
      </c>
      <c r="F46" s="35"/>
      <c r="G46" s="3" t="n">
        <v>500.000500000001</v>
      </c>
    </row>
    <row r="47" customFormat="false" ht="15" hidden="false" customHeight="false" outlineLevel="0" collapsed="false">
      <c r="A47" s="2" t="s">
        <v>302</v>
      </c>
      <c r="B47" s="21" t="n">
        <f aca="false">Liquidations!R13</f>
        <v>22717203.875</v>
      </c>
      <c r="C47" s="6" t="n">
        <v>22720000</v>
      </c>
      <c r="D47" s="21" t="n">
        <f aca="false">IF(ISNUMBER(B47),B47-C47,"")</f>
        <v>-2796.125</v>
      </c>
      <c r="E47" s="12" t="str">
        <f aca="false">IF(ISNUMBER(B47),IF(ABS(B47-C47)&lt;=G47,"OK","CHECK"),IF(B47=C47,"OK","CHECK"))</f>
        <v>OK</v>
      </c>
      <c r="F47" s="35"/>
      <c r="G47" s="3" t="n">
        <v>5000.005</v>
      </c>
    </row>
    <row r="48" customFormat="false" ht="15" hidden="false" customHeight="false" outlineLevel="0" collapsed="false">
      <c r="A48" s="2" t="s">
        <v>303</v>
      </c>
      <c r="B48" s="21" t="n">
        <f aca="false">Liquidations!R14</f>
        <v>12962182.5243324</v>
      </c>
      <c r="C48" s="6" t="n">
        <v>12960000</v>
      </c>
      <c r="D48" s="21" t="n">
        <f aca="false">IF(ISNUMBER(B48),B48-C48,"")</f>
        <v>2182.52433243208</v>
      </c>
      <c r="E48" s="12" t="str">
        <f aca="false">IF(ISNUMBER(B48),IF(ABS(B48-C48)&lt;=G48,"OK","CHECK"),IF(B48=C48,"OK","CHECK"))</f>
        <v>OK</v>
      </c>
      <c r="F48" s="35"/>
      <c r="G48" s="3" t="n">
        <v>5000.005</v>
      </c>
    </row>
    <row r="49" customFormat="false" ht="15" hidden="false" customHeight="false" outlineLevel="0" collapsed="false">
      <c r="A49" s="2" t="s">
        <v>304</v>
      </c>
      <c r="B49" s="21" t="n">
        <f aca="false">Liquidations!R15</f>
        <v>9026755.208471</v>
      </c>
      <c r="C49" s="6" t="n">
        <v>9030000</v>
      </c>
      <c r="D49" s="21" t="n">
        <f aca="false">IF(ISNUMBER(B49),B49-C49,"")</f>
        <v>-3244.79152899608</v>
      </c>
      <c r="E49" s="12" t="str">
        <f aca="false">IF(ISNUMBER(B49),IF(ABS(B49-C49)&lt;=G49,"OK","CHECK"),IF(B49=C49,"OK","CHECK"))</f>
        <v>OK</v>
      </c>
      <c r="F49" s="35"/>
      <c r="G49" s="3" t="n">
        <v>5000.005</v>
      </c>
    </row>
    <row r="50" customFormat="false" ht="15" hidden="false" customHeight="false" outlineLevel="0" collapsed="false">
      <c r="A50" s="2" t="s">
        <v>305</v>
      </c>
      <c r="B50" s="20" t="n">
        <f aca="false">Liquidations!S13</f>
        <v>0.372413178278689</v>
      </c>
      <c r="C50" s="7" t="n">
        <v>0.3724</v>
      </c>
      <c r="D50" s="20" t="n">
        <f aca="false">IF(ISNUMBER(B50),B50-C50,"")</f>
        <v>1.31782786885193E-005</v>
      </c>
      <c r="E50" s="12" t="str">
        <f aca="false">IF(ISNUMBER(B50),IF(ABS(B50-C50)&lt;=G50,"OK","CHECK"),IF(B50=C50,"OK","CHECK"))</f>
        <v>OK</v>
      </c>
      <c r="F50" s="35"/>
      <c r="G50" s="3" t="n">
        <v>5.0000051E-005</v>
      </c>
    </row>
    <row r="51" customFormat="false" ht="15" hidden="false" customHeight="false" outlineLevel="0" collapsed="false">
      <c r="A51" s="2" t="s">
        <v>306</v>
      </c>
      <c r="B51" s="24" t="n">
        <f aca="false">Liquidations!S14</f>
        <v>0.462529214437677</v>
      </c>
      <c r="C51" s="8" t="n">
        <v>0.463</v>
      </c>
      <c r="D51" s="24" t="n">
        <f aca="false">IF(ISNUMBER(B51),B51-C51,"")</f>
        <v>-0.000470785562323495</v>
      </c>
      <c r="E51" s="12" t="str">
        <f aca="false">IF(ISNUMBER(B51),IF(ABS(B51-C51)&lt;=G51,"OK","CHECK"),IF(B51=C51,"OK","CHECK"))</f>
        <v>OK</v>
      </c>
      <c r="F51" s="35"/>
      <c r="G51" s="3" t="n">
        <v>0.000500000501</v>
      </c>
    </row>
    <row r="52" customFormat="false" ht="15" hidden="false" customHeight="false" outlineLevel="0" collapsed="false">
      <c r="A52" s="2" t="s">
        <v>307</v>
      </c>
      <c r="B52" s="24" t="n">
        <f aca="false">Liquidations!S15</f>
        <v>0.283330245243799</v>
      </c>
      <c r="C52" s="8" t="n">
        <v>0.283</v>
      </c>
      <c r="D52" s="24" t="n">
        <f aca="false">IF(ISNUMBER(B52),B52-C52,"")</f>
        <v>0.000330245243799043</v>
      </c>
      <c r="E52" s="12" t="str">
        <f aca="false">IF(ISNUMBER(B52),IF(ABS(B52-C52)&lt;=G52,"OK","CHECK"),IF(B52=C52,"OK","CHECK"))</f>
        <v>OK</v>
      </c>
      <c r="F52" s="35"/>
      <c r="G52" s="3" t="n">
        <v>0.000500000501</v>
      </c>
    </row>
    <row r="53" customFormat="false" ht="15" hidden="false" customHeight="false" outlineLevel="0" collapsed="false">
      <c r="A53" s="2" t="s">
        <v>308</v>
      </c>
      <c r="B53" s="24" t="n">
        <f aca="false">Liquidations!T14</f>
        <v>0.371979667866747</v>
      </c>
      <c r="C53" s="8" t="n">
        <v>0.372</v>
      </c>
      <c r="D53" s="24" t="n">
        <f aca="false">IF(ISNUMBER(B53),B53-C53,"")</f>
        <v>-2.03321332533646E-005</v>
      </c>
      <c r="E53" s="12" t="str">
        <f aca="false">IF(ISNUMBER(B53),IF(ABS(B53-C53)&lt;=G53,"OK","CHECK"),IF(B53=C53,"OK","CHECK"))</f>
        <v>OK</v>
      </c>
      <c r="F53" s="35"/>
      <c r="G53" s="3" t="n">
        <v>0.000500000501</v>
      </c>
    </row>
    <row r="54" customFormat="false" ht="15" hidden="false" customHeight="false" outlineLevel="0" collapsed="false">
      <c r="A54" s="2" t="s">
        <v>309</v>
      </c>
      <c r="B54" s="24" t="n">
        <f aca="false">Liquidations!T15</f>
        <v>0.193332805133305</v>
      </c>
      <c r="C54" s="8" t="n">
        <v>0.193</v>
      </c>
      <c r="D54" s="24" t="n">
        <f aca="false">IF(ISNUMBER(B54),B54-C54,"")</f>
        <v>0.000332805133304775</v>
      </c>
      <c r="E54" s="12" t="str">
        <f aca="false">IF(ISNUMBER(B54),IF(ABS(B54-C54)&lt;=G54,"OK","CHECK"),IF(B54=C54,"OK","CHECK"))</f>
        <v>OK</v>
      </c>
      <c r="F54" s="35"/>
      <c r="G54" s="3" t="n">
        <v>0.000500000501</v>
      </c>
    </row>
    <row r="55" customFormat="false" ht="15" hidden="false" customHeight="false" outlineLevel="0" collapsed="false">
      <c r="A55" s="2" t="s">
        <v>310</v>
      </c>
      <c r="B55" s="21" t="n">
        <f aca="false">Liquidations!R19</f>
        <v>44706141.6078034</v>
      </c>
      <c r="C55" s="6" t="n">
        <v>44710000</v>
      </c>
      <c r="D55" s="21" t="n">
        <f aca="false">IF(ISNUMBER(B55),B55-C55,"")</f>
        <v>-3858.39219656587</v>
      </c>
      <c r="E55" s="12" t="str">
        <f aca="false">IF(ISNUMBER(B55),IF(ABS(B55-C55)&lt;=G55,"OK","CHECK"),IF(B55=C55,"OK","CHECK"))</f>
        <v>OK</v>
      </c>
      <c r="F55" s="35"/>
      <c r="G55" s="3" t="n">
        <v>5000.005</v>
      </c>
    </row>
    <row r="56" customFormat="false" ht="15" hidden="false" customHeight="false" outlineLevel="0" collapsed="false">
      <c r="A56" s="2" t="s">
        <v>311</v>
      </c>
      <c r="B56" s="20" t="n">
        <f aca="false">Liquidations!B21</f>
        <v>0.0447061416078034</v>
      </c>
      <c r="C56" s="7" t="n">
        <v>0.0447</v>
      </c>
      <c r="D56" s="20" t="n">
        <f aca="false">IF(ISNUMBER(B56),B56-C56,"")</f>
        <v>6.1416078034407E-006</v>
      </c>
      <c r="E56" s="12" t="str">
        <f aca="false">IF(ISNUMBER(B56),IF(ABS(B56-C56)&lt;=G56,"OK","CHECK"),IF(B56=C56,"OK","CHECK"))</f>
        <v>OK</v>
      </c>
      <c r="F56" s="35"/>
      <c r="G56" s="3" t="n">
        <v>5.0000051E-005</v>
      </c>
    </row>
    <row r="57" customFormat="false" ht="15" hidden="false" customHeight="false" outlineLevel="0" collapsed="false">
      <c r="A57" s="2" t="s">
        <v>239</v>
      </c>
      <c r="B57" s="21" t="n">
        <f aca="false">Liquidations!L19</f>
        <v>39916643.1375998</v>
      </c>
      <c r="C57" s="6" t="n">
        <v>39920000</v>
      </c>
      <c r="D57" s="21" t="n">
        <f aca="false">IF(ISNUMBER(B57),B57-C57,"")</f>
        <v>-3356.86240024865</v>
      </c>
      <c r="E57" s="12" t="str">
        <f aca="false">IF(ISNUMBER(B57),IF(ABS(B57-C57)&lt;=G57,"OK","CHECK"),IF(B57=C57,"OK","CHECK"))</f>
        <v>OK</v>
      </c>
      <c r="F57" s="35"/>
      <c r="G57" s="3" t="n">
        <v>5000.005</v>
      </c>
    </row>
    <row r="58" customFormat="false" ht="15" hidden="false" customHeight="false" outlineLevel="0" collapsed="false">
      <c r="A58" s="2" t="s">
        <v>312</v>
      </c>
      <c r="B58" s="30" t="n">
        <f aca="false">Liquidations!B22</f>
        <v>5</v>
      </c>
      <c r="C58" s="10" t="n">
        <v>5</v>
      </c>
      <c r="D58" s="30" t="n">
        <f aca="false">IF(ISNUMBER(B58),B58-C58,"")</f>
        <v>0</v>
      </c>
      <c r="E58" s="12" t="str">
        <f aca="false">IF(ISNUMBER(B58),IF(ABS(B58-C58)&lt;=G58,"OK","CHECK"),IF(B58=C58,"OK","CHECK"))</f>
        <v>OK</v>
      </c>
      <c r="F58" s="35" t="s">
        <v>313</v>
      </c>
      <c r="G58" s="3" t="n">
        <v>1E-012</v>
      </c>
    </row>
    <row r="59" customFormat="false" ht="15" hidden="false" customHeight="false" outlineLevel="0" collapsed="false">
      <c r="A59" s="2" t="s">
        <v>314</v>
      </c>
      <c r="B59" s="21" t="n">
        <f aca="false">'Capital structure'!G18</f>
        <v>37500000</v>
      </c>
      <c r="C59" s="6" t="n">
        <v>37500000</v>
      </c>
      <c r="D59" s="21" t="n">
        <f aca="false">IF(ISNUMBER(B59),B59-C59,"")</f>
        <v>0</v>
      </c>
      <c r="E59" s="12" t="str">
        <f aca="false">IF(ISNUMBER(B59),IF(ABS(B59-C59)&lt;=G59,"OK","CHECK"),IF(B59=C59,"OK","CHECK"))</f>
        <v>OK</v>
      </c>
      <c r="F59" s="35"/>
      <c r="G59" s="3" t="n">
        <v>5000.005</v>
      </c>
    </row>
    <row r="60" customFormat="false" ht="15" hidden="false" customHeight="false" outlineLevel="0" collapsed="false">
      <c r="A60" s="2" t="s">
        <v>315</v>
      </c>
      <c r="B60" s="21" t="n">
        <f aca="false">'Capital structure'!G17</f>
        <v>7206141.60780343</v>
      </c>
      <c r="C60" s="6" t="n">
        <v>7210000</v>
      </c>
      <c r="D60" s="21" t="n">
        <f aca="false">IF(ISNUMBER(B60),B60-C60,"")</f>
        <v>-3858.39219656587</v>
      </c>
      <c r="E60" s="12" t="str">
        <f aca="false">IF(ISNUMBER(B60),IF(ABS(B60-C60)&lt;=G60,"OK","CHECK"),IF(B60=C60,"OK","CHECK"))</f>
        <v>OK</v>
      </c>
      <c r="F60" s="35"/>
      <c r="G60" s="3" t="n">
        <v>5000.005</v>
      </c>
    </row>
    <row r="61" customFormat="false" ht="15" hidden="false" customHeight="false" outlineLevel="0" collapsed="false">
      <c r="A61" s="2" t="s">
        <v>316</v>
      </c>
      <c r="B61" s="24" t="n">
        <f aca="false">'Capital structure'!I17</f>
        <v>0.480409440520229</v>
      </c>
      <c r="C61" s="8" t="n">
        <v>0.48</v>
      </c>
      <c r="D61" s="24" t="n">
        <f aca="false">IF(ISNUMBER(B61),B61-C61,"")</f>
        <v>0.000409440520228954</v>
      </c>
      <c r="E61" s="12" t="str">
        <f aca="false">IF(ISNUMBER(B61),IF(ABS(B61-C61)&lt;=G61,"OK","CHECK"),IF(B61=C61,"OK","CHECK"))</f>
        <v>OK</v>
      </c>
      <c r="F61" s="35"/>
      <c r="G61" s="3" t="n">
        <v>0.000500000501</v>
      </c>
    </row>
    <row r="62" customFormat="false" ht="15" hidden="false" customHeight="false" outlineLevel="0" collapsed="false">
      <c r="A62" s="2" t="s">
        <v>317</v>
      </c>
      <c r="B62" s="21" t="n">
        <f aca="false">'Capital structure'!G16</f>
        <v>0</v>
      </c>
      <c r="C62" s="6" t="n">
        <v>0</v>
      </c>
      <c r="D62" s="21" t="n">
        <f aca="false">IF(ISNUMBER(B62),B62-C62,"")</f>
        <v>0</v>
      </c>
      <c r="E62" s="12" t="str">
        <f aca="false">IF(ISNUMBER(B62),IF(ABS(B62-C62)&lt;=G62,"OK","CHECK"),IF(B62=C62,"OK","CHECK"))</f>
        <v>OK</v>
      </c>
      <c r="F62" s="35"/>
      <c r="G62" s="3" t="n">
        <v>0.500000500001</v>
      </c>
    </row>
    <row r="63" customFormat="false" ht="15" hidden="false" customHeight="false" outlineLevel="0" collapsed="false">
      <c r="A63" s="2" t="s">
        <v>318</v>
      </c>
      <c r="B63" s="21" t="n">
        <f aca="false">'Capital structure'!B31</f>
        <v>7793858.39219657</v>
      </c>
      <c r="C63" s="6" t="n">
        <v>7790000</v>
      </c>
      <c r="D63" s="21" t="n">
        <f aca="false">IF(ISNUMBER(B63),B63-C63,"")</f>
        <v>3858.39219656587</v>
      </c>
      <c r="E63" s="12" t="str">
        <f aca="false">IF(ISNUMBER(B63),IF(ABS(B63-C63)&lt;=G63,"OK","CHECK"),IF(B63=C63,"OK","CHECK"))</f>
        <v>OK</v>
      </c>
      <c r="F63" s="35"/>
      <c r="G63" s="3" t="n">
        <v>5000.005</v>
      </c>
    </row>
    <row r="64" customFormat="false" ht="15" hidden="false" customHeight="false" outlineLevel="0" collapsed="false">
      <c r="A64" s="2" t="s">
        <v>319</v>
      </c>
      <c r="B64" s="21" t="n">
        <f aca="false">'Capital structure'!B29</f>
        <v>30293858.3921966</v>
      </c>
      <c r="C64" s="6" t="n">
        <v>30290000</v>
      </c>
      <c r="D64" s="21" t="n">
        <f aca="false">IF(ISNUMBER(B64),B64-C64,"")</f>
        <v>3858.39219656587</v>
      </c>
      <c r="E64" s="12" t="str">
        <f aca="false">IF(ISNUMBER(B64),IF(ABS(B64-C64)&lt;=G64,"OK","CHECK"),IF(B64=C64,"OK","CHECK"))</f>
        <v>OK</v>
      </c>
      <c r="F64" s="35"/>
      <c r="G64" s="3" t="n">
        <v>5000.005</v>
      </c>
    </row>
    <row r="65" customFormat="false" ht="15" hidden="false" customHeight="false" outlineLevel="0" collapsed="false">
      <c r="A65" s="2" t="s">
        <v>110</v>
      </c>
      <c r="B65" s="17" t="str">
        <f aca="false">'Capital structure'!B30</f>
        <v>G</v>
      </c>
      <c r="C65" s="5" t="s">
        <v>100</v>
      </c>
      <c r="D65" s="17"/>
      <c r="E65" s="12" t="str">
        <f aca="false">IF(B65=C65,"OK","CHECK")</f>
        <v>OK</v>
      </c>
      <c r="F65" s="35"/>
      <c r="G65" s="3"/>
    </row>
    <row r="66" customFormat="false" ht="15" hidden="false" customHeight="false" outlineLevel="0" collapsed="false">
      <c r="A66" s="2" t="s">
        <v>320</v>
      </c>
      <c r="B66" s="22" t="n">
        <f aca="false">'Capital structure'!B32</f>
        <v>6.7104874008549</v>
      </c>
      <c r="C66" s="36" t="n">
        <v>6.7</v>
      </c>
      <c r="D66" s="22" t="n">
        <f aca="false">IF(ISNUMBER(B66),B66-C66,"")</f>
        <v>0.0104874008548999</v>
      </c>
      <c r="E66" s="12" t="str">
        <f aca="false">IF(ISNUMBER(B66),IF(ABS(B66-C66)&lt;=G66,"OK","CHECK"),IF(B66=C66,"OK","CHECK"))</f>
        <v>OK</v>
      </c>
      <c r="F66" s="35" t="s">
        <v>321</v>
      </c>
      <c r="G66" s="3" t="n">
        <v>0.050000050001</v>
      </c>
    </row>
    <row r="67" customFormat="false" ht="15" hidden="false" customHeight="false" outlineLevel="0" collapsed="false">
      <c r="A67" s="2" t="s">
        <v>322</v>
      </c>
      <c r="B67" s="21" t="n">
        <f aca="false">Liquidations!Z19</f>
        <v>1043938.19368213</v>
      </c>
      <c r="C67" s="6" t="n">
        <v>1044000</v>
      </c>
      <c r="D67" s="21" t="n">
        <f aca="false">IF(ISNUMBER(B67),B67-C67,"")</f>
        <v>-61.8063178695738</v>
      </c>
      <c r="E67" s="12" t="str">
        <f aca="false">IF(ISNUMBER(B67),IF(ABS(B67-C67)&lt;=G67,"OK","CHECK"),IF(B67=C67,"OK","CHECK"))</f>
        <v>OK</v>
      </c>
      <c r="F67" s="35" t="s">
        <v>323</v>
      </c>
      <c r="G67" s="3" t="n">
        <v>500.000500000001</v>
      </c>
    </row>
    <row r="68" customFormat="false" ht="15" hidden="false" customHeight="false" outlineLevel="0" collapsed="false">
      <c r="A68" s="2" t="s">
        <v>324</v>
      </c>
      <c r="B68" s="20" t="n">
        <f aca="false">Liquidations!AA14</f>
        <v>0.00899975984212487</v>
      </c>
      <c r="C68" s="7" t="n">
        <v>0.009</v>
      </c>
      <c r="D68" s="20" t="n">
        <f aca="false">IF(ISNUMBER(B68),B68-C68,"")</f>
        <v>-2.40157875133415E-007</v>
      </c>
      <c r="E68" s="12" t="str">
        <f aca="false">IF(ISNUMBER(B68),IF(ABS(B68-C68)&lt;=G68,"OK","CHECK"),IF(B68=C68,"OK","CHECK"))</f>
        <v>OK</v>
      </c>
      <c r="F68" s="35" t="s">
        <v>325</v>
      </c>
      <c r="G68" s="3" t="n">
        <v>5.0000051E-005</v>
      </c>
    </row>
    <row r="69" customFormat="false" ht="15" hidden="false" customHeight="false" outlineLevel="0" collapsed="false">
      <c r="A69" s="2" t="s">
        <v>326</v>
      </c>
      <c r="B69" s="20" t="n">
        <f aca="false">Liquidations!AA15</f>
        <v>0.00460056792033187</v>
      </c>
      <c r="C69" s="7" t="n">
        <v>0.0046</v>
      </c>
      <c r="D69" s="20" t="n">
        <f aca="false">IF(ISNUMBER(B69),B69-C69,"")</f>
        <v>5.67920331866201E-007</v>
      </c>
      <c r="E69" s="12" t="str">
        <f aca="false">IF(ISNUMBER(B69),IF(ABS(B69-C69)&lt;=G69,"OK","CHECK"),IF(B69=C69,"OK","CHECK"))</f>
        <v>OK</v>
      </c>
      <c r="F69" s="35" t="s">
        <v>327</v>
      </c>
      <c r="G69" s="3" t="n">
        <v>5.0000051E-005</v>
      </c>
    </row>
    <row r="70" customFormat="false" ht="15" hidden="false" customHeight="false" outlineLevel="0" collapsed="false">
      <c r="A70" s="2" t="s">
        <v>328</v>
      </c>
      <c r="B70" s="21" t="n">
        <f aca="false">Reconciliation!B29</f>
        <v>542299527.644765</v>
      </c>
      <c r="C70" s="6" t="n">
        <v>542300000</v>
      </c>
      <c r="D70" s="21" t="n">
        <f aca="false">IF(ISNUMBER(B70),B70-C70,"")</f>
        <v>-472.355234742165</v>
      </c>
      <c r="E70" s="12" t="str">
        <f aca="false">IF(ISNUMBER(B70),IF(ABS(B70-C70)&lt;=G70,"OK","CHECK"),IF(B70=C70,"OK","CHECK"))</f>
        <v>OK</v>
      </c>
      <c r="F70" s="35"/>
      <c r="G70" s="3" t="n">
        <v>5000.005</v>
      </c>
    </row>
    <row r="71" customFormat="false" ht="15" hidden="false" customHeight="false" outlineLevel="0" collapsed="false">
      <c r="A71" s="2" t="s">
        <v>329</v>
      </c>
      <c r="B71" s="21" t="n">
        <f aca="false">Reconciliation!B30</f>
        <v>24076209.8806174</v>
      </c>
      <c r="C71" s="6" t="n">
        <v>24080000</v>
      </c>
      <c r="D71" s="21" t="n">
        <f aca="false">IF(ISNUMBER(B71),B71-C71,"")</f>
        <v>-3790.11938256025</v>
      </c>
      <c r="E71" s="12" t="str">
        <f aca="false">IF(ISNUMBER(B71),IF(ABS(B71-C71)&lt;=G71,"OK","CHECK"),IF(B71=C71,"OK","CHECK"))</f>
        <v>OK</v>
      </c>
      <c r="F71" s="35"/>
      <c r="G71" s="3" t="n">
        <v>5000.005</v>
      </c>
    </row>
    <row r="72" customFormat="false" ht="15" hidden="false" customHeight="false" outlineLevel="0" collapsed="false">
      <c r="A72" s="2" t="s">
        <v>330</v>
      </c>
      <c r="B72" s="21" t="n">
        <f aca="false">Reconciliation!B31</f>
        <v>9091624.60905113</v>
      </c>
      <c r="C72" s="6" t="n">
        <v>9090000</v>
      </c>
      <c r="D72" s="21" t="n">
        <f aca="false">IF(ISNUMBER(B72),B72-C72,"")</f>
        <v>1624.60905113071</v>
      </c>
      <c r="E72" s="12" t="str">
        <f aca="false">IF(ISNUMBER(B72),IF(ABS(B72-C72)&lt;=G72,"OK","CHECK"),IF(B72=C72,"OK","CHECK"))</f>
        <v>OK</v>
      </c>
      <c r="F72" s="35"/>
      <c r="G72" s="3" t="n">
        <v>5000.005</v>
      </c>
    </row>
    <row r="73" customFormat="false" ht="15" hidden="false" customHeight="false" outlineLevel="0" collapsed="false">
      <c r="A73" s="2" t="s">
        <v>331</v>
      </c>
      <c r="B73" s="21" t="n">
        <f aca="false">Reconciliation!B32</f>
        <v>43536215.6733337</v>
      </c>
      <c r="C73" s="6" t="n">
        <v>43540000</v>
      </c>
      <c r="D73" s="21" t="n">
        <f aca="false">IF(ISNUMBER(B73),B73-C73,"")</f>
        <v>-3784.32666626573</v>
      </c>
      <c r="E73" s="12" t="str">
        <f aca="false">IF(ISNUMBER(B73),IF(ABS(B73-C73)&lt;=G73,"OK","CHECK"),IF(B73=C73,"OK","CHECK"))</f>
        <v>OK</v>
      </c>
      <c r="F73" s="35"/>
      <c r="G73" s="3" t="n">
        <v>5000.005</v>
      </c>
    </row>
    <row r="74" customFormat="false" ht="15" hidden="false" customHeight="false" outlineLevel="0" collapsed="false">
      <c r="A74" s="2" t="s">
        <v>332</v>
      </c>
      <c r="B74" s="21" t="n">
        <f aca="false">Reconciliation!B33</f>
        <v>835579730.672534</v>
      </c>
      <c r="C74" s="6" t="n">
        <v>835580000</v>
      </c>
      <c r="D74" s="21" t="n">
        <f aca="false">IF(ISNUMBER(B74),B74-C74,"")</f>
        <v>-269.327466249466</v>
      </c>
      <c r="E74" s="12" t="str">
        <f aca="false">IF(ISNUMBER(B74),IF(ABS(B74-C74)&lt;=G74,"OK","CHECK"),IF(B74=C74,"OK","CHECK"))</f>
        <v>OK</v>
      </c>
      <c r="F74" s="35"/>
      <c r="G74" s="3" t="n">
        <v>5000.005</v>
      </c>
    </row>
    <row r="75" customFormat="false" ht="15" hidden="false" customHeight="false" outlineLevel="0" collapsed="false">
      <c r="A75" s="2" t="s">
        <v>333</v>
      </c>
      <c r="B75" s="21" t="n">
        <f aca="false">Reconciliation!B34</f>
        <v>88500000</v>
      </c>
      <c r="C75" s="6" t="n">
        <v>88500000</v>
      </c>
      <c r="D75" s="21" t="n">
        <f aca="false">IF(ISNUMBER(B75),B75-C75,"")</f>
        <v>0</v>
      </c>
      <c r="E75" s="12" t="str">
        <f aca="false">IF(ISNUMBER(B75),IF(ABS(B75-C75)&lt;=G75,"OK","CHECK"),IF(B75=C75,"OK","CHECK"))</f>
        <v>OK</v>
      </c>
      <c r="F75" s="35"/>
      <c r="G75" s="3" t="n">
        <v>5000.005</v>
      </c>
    </row>
    <row r="76" customFormat="false" ht="15" hidden="false" customHeight="false" outlineLevel="0" collapsed="false">
      <c r="A76" s="2" t="s">
        <v>334</v>
      </c>
      <c r="B76" s="21" t="n">
        <f aca="false">Reconciliation!B38</f>
        <v>4150328.13327044</v>
      </c>
      <c r="C76" s="6" t="n">
        <v>4150000</v>
      </c>
      <c r="D76" s="21" t="n">
        <f aca="false">IF(ISNUMBER(B76),B76-C76,"")</f>
        <v>328.133270438295</v>
      </c>
      <c r="E76" s="12" t="str">
        <f aca="false">IF(ISNUMBER(B76),IF(ABS(B76-C76)&lt;=G76,"OK","CHECK"),IF(B76=C76,"OK","CHECK"))</f>
        <v>OK</v>
      </c>
      <c r="F76" s="35"/>
      <c r="G76" s="3" t="n">
        <v>5000.005</v>
      </c>
    </row>
    <row r="77" customFormat="false" ht="15" hidden="false" customHeight="false" outlineLevel="0" collapsed="false">
      <c r="A77" s="2" t="s">
        <v>335</v>
      </c>
      <c r="B77" s="21" t="n">
        <f aca="false">Reconciliation!B39</f>
        <v>471760.512980771</v>
      </c>
      <c r="C77" s="6" t="n">
        <v>470000</v>
      </c>
      <c r="D77" s="21" t="n">
        <f aca="false">IF(ISNUMBER(B77),B77-C77,"")</f>
        <v>1760.51298077049</v>
      </c>
      <c r="E77" s="12" t="str">
        <f aca="false">IF(ISNUMBER(B77),IF(ABS(B77-C77)&lt;=G77,"OK","CHECK"),IF(B77=C77,"OK","CHECK"))</f>
        <v>OK</v>
      </c>
      <c r="F77" s="35"/>
      <c r="G77" s="3" t="n">
        <v>5000.005</v>
      </c>
    </row>
    <row r="78" customFormat="false" ht="15" hidden="false" customHeight="false" outlineLevel="0" collapsed="false">
      <c r="A78" s="2" t="s">
        <v>336</v>
      </c>
      <c r="B78" s="21" t="n">
        <f aca="false">Reconciliation!B40</f>
        <v>885000</v>
      </c>
      <c r="C78" s="6" t="n">
        <v>890000</v>
      </c>
      <c r="D78" s="21" t="n">
        <f aca="false">IF(ISNUMBER(B78),B78-C78,"")</f>
        <v>-5000</v>
      </c>
      <c r="E78" s="12" t="str">
        <f aca="false">IF(ISNUMBER(B78),IF(ABS(B78-C78)&lt;=G78,"OK","CHECK"),IF(B78=C78,"OK","CHECK"))</f>
        <v>OK</v>
      </c>
      <c r="F78" s="35"/>
      <c r="G78" s="3" t="n">
        <v>5000.005</v>
      </c>
    </row>
    <row r="79" customFormat="false" ht="15" hidden="false" customHeight="false" outlineLevel="0" collapsed="false">
      <c r="A79" s="2" t="s">
        <v>337</v>
      </c>
      <c r="B79" s="21" t="n">
        <f aca="false">Reconciliation!B41</f>
        <v>1873702.83163905</v>
      </c>
      <c r="C79" s="6" t="n">
        <v>1870000</v>
      </c>
      <c r="D79" s="21" t="n">
        <f aca="false">IF(ISNUMBER(B79),B79-C79,"")</f>
        <v>3702.8316390533</v>
      </c>
      <c r="E79" s="12" t="str">
        <f aca="false">IF(ISNUMBER(B79),IF(ABS(B79-C79)&lt;=G79,"OK","CHECK"),IF(B79=C79,"OK","CHECK"))</f>
        <v>OK</v>
      </c>
      <c r="F79" s="35"/>
      <c r="G79" s="3" t="n">
        <v>5000.005</v>
      </c>
    </row>
    <row r="80" customFormat="false" ht="15" hidden="false" customHeight="false" outlineLevel="0" collapsed="false">
      <c r="A80" s="2" t="s">
        <v>338</v>
      </c>
      <c r="B80" s="21" t="n">
        <f aca="false">Reconciliation!B43</f>
        <v>571317034.001164</v>
      </c>
      <c r="C80" s="6" t="n">
        <v>571320000</v>
      </c>
      <c r="D80" s="21" t="n">
        <f aca="false">IF(ISNUMBER(B80),B80-C80,"")</f>
        <v>-2965.99883651733</v>
      </c>
      <c r="E80" s="12" t="str">
        <f aca="false">IF(ISNUMBER(B80),IF(ABS(B80-C80)&lt;=G80,"OK","CHECK"),IF(B80=C80,"OK","CHECK"))</f>
        <v>OK</v>
      </c>
      <c r="F80" s="35"/>
      <c r="G80" s="3" t="n">
        <v>5000.005</v>
      </c>
    </row>
    <row r="81" customFormat="false" ht="15" hidden="false" customHeight="false" outlineLevel="0" collapsed="false">
      <c r="A81" s="2" t="s">
        <v>339</v>
      </c>
      <c r="B81" s="21" t="n">
        <f aca="false">Reconciliation!B44</f>
        <v>955293858.392197</v>
      </c>
      <c r="C81" s="6" t="n">
        <v>955290000</v>
      </c>
      <c r="D81" s="21" t="n">
        <f aca="false">IF(ISNUMBER(B81),B81-C81,"")</f>
        <v>3858.39219653606</v>
      </c>
      <c r="E81" s="12" t="str">
        <f aca="false">IF(ISNUMBER(B81),IF(ABS(B81-C81)&lt;=G81,"OK","CHECK"),IF(B81=C81,"OK","CHECK"))</f>
        <v>OK</v>
      </c>
      <c r="F81" s="35"/>
      <c r="G81" s="3" t="n">
        <v>5000.005</v>
      </c>
    </row>
    <row r="82" customFormat="false" ht="15" hidden="false" customHeight="false" outlineLevel="0" collapsed="false">
      <c r="A82" s="2" t="s">
        <v>340</v>
      </c>
      <c r="B82" s="21" t="n">
        <f aca="false">Reconciliation!B35</f>
        <v>1543083308.4803</v>
      </c>
      <c r="C82" s="6" t="n">
        <v>1543080000</v>
      </c>
      <c r="D82" s="21" t="n">
        <f aca="false">IF(ISNUMBER(B82),B82-C82,"")</f>
        <v>3308.48030138016</v>
      </c>
      <c r="E82" s="12" t="str">
        <f aca="false">IF(ISNUMBER(B82),IF(ABS(B82-C82)&lt;=G82,"OK","CHECK"),IF(B82=C82,"OK","CHECK"))</f>
        <v>OK</v>
      </c>
      <c r="F82" s="35" t="s">
        <v>341</v>
      </c>
      <c r="G82" s="3" t="n">
        <v>5000.005</v>
      </c>
    </row>
    <row r="83" customFormat="false" ht="15" hidden="false" customHeight="false" outlineLevel="0" collapsed="false">
      <c r="A83" s="2" t="s">
        <v>342</v>
      </c>
      <c r="B83" s="37" t="n">
        <f aca="false">Reconciliation!B47</f>
        <v>0</v>
      </c>
      <c r="C83" s="38" t="n">
        <v>0</v>
      </c>
      <c r="D83" s="37" t="n">
        <f aca="false">IF(ISNUMBER(B83),B83-C83,"")</f>
        <v>0</v>
      </c>
      <c r="E83" s="12" t="str">
        <f aca="false">IF(ISNUMBER(B83),IF(ABS(B83-C83)&lt;=G83,"OK","CHECK"),IF(B83=C83,"OK","CHECK"))</f>
        <v>OK</v>
      </c>
      <c r="F83" s="35" t="s">
        <v>343</v>
      </c>
      <c r="G83" s="3" t="n">
        <v>1.000002E-006</v>
      </c>
    </row>
    <row r="84" customFormat="false" ht="15" hidden="false" customHeight="false" outlineLevel="0" collapsed="false">
      <c r="A84" s="2" t="s">
        <v>344</v>
      </c>
      <c r="B84" s="37" t="n">
        <f aca="false">Reconciliation!B49-Reconciliation!B50</f>
        <v>0</v>
      </c>
      <c r="C84" s="38" t="n">
        <v>0</v>
      </c>
      <c r="D84" s="37" t="n">
        <f aca="false">IF(ISNUMBER(B84),B84-C84,"")</f>
        <v>0</v>
      </c>
      <c r="E84" s="12" t="str">
        <f aca="false">IF(ISNUMBER(B84),IF(ABS(B84-C84)&lt;=G84,"OK","CHECK"),IF(B84=C84,"OK","CHECK"))</f>
        <v>OK</v>
      </c>
      <c r="F84" s="35"/>
      <c r="G84" s="3" t="n">
        <v>1.000002E-006</v>
      </c>
    </row>
    <row r="85" customFormat="false" ht="15" hidden="false" customHeight="false" outlineLevel="0" collapsed="false">
      <c r="A85" s="2" t="s">
        <v>345</v>
      </c>
      <c r="B85" s="20" t="n">
        <f aca="false">Reconciliation!B51</f>
        <v>0.015913449219917</v>
      </c>
      <c r="C85" s="7" t="n">
        <v>0.0159</v>
      </c>
      <c r="D85" s="20" t="n">
        <f aca="false">IF(ISNUMBER(B85),B85-C85,"")</f>
        <v>1.34492199170382E-005</v>
      </c>
      <c r="E85" s="12" t="str">
        <f aca="false">IF(ISNUMBER(B85),IF(ABS(B85-C85)&lt;=G85,"OK","CHECK"),IF(B85=C85,"OK","CHECK"))</f>
        <v>OK</v>
      </c>
      <c r="F85" s="35" t="s">
        <v>346</v>
      </c>
      <c r="G85" s="3" t="n">
        <v>5.0000051E-005</v>
      </c>
    </row>
    <row r="86" customFormat="false" ht="15" hidden="false" customHeight="false" outlineLevel="0" collapsed="false">
      <c r="A86" s="2" t="s">
        <v>347</v>
      </c>
      <c r="B86" s="20" t="n">
        <f aca="false">Stress!C15</f>
        <v>0.0234278</v>
      </c>
      <c r="C86" s="7" t="n">
        <v>0.0234</v>
      </c>
      <c r="D86" s="20" t="n">
        <f aca="false">IF(ISNUMBER(B86),B86-C86,"")</f>
        <v>2.7799999999998E-005</v>
      </c>
      <c r="E86" s="12" t="str">
        <f aca="false">IF(ISNUMBER(B86),IF(ABS(B86-C86)&lt;=G86,"OK","CHECK"),IF(B86=C86,"OK","CHECK"))</f>
        <v>OK</v>
      </c>
      <c r="F86" s="35"/>
      <c r="G86" s="3" t="n">
        <v>5.0000051E-005</v>
      </c>
    </row>
    <row r="87" customFormat="false" ht="15" hidden="false" customHeight="false" outlineLevel="0" collapsed="false">
      <c r="A87" s="2" t="s">
        <v>348</v>
      </c>
      <c r="B87" s="17" t="str">
        <f aca="false">Stress!D15</f>
        <v>H</v>
      </c>
      <c r="C87" s="5" t="s">
        <v>102</v>
      </c>
      <c r="D87" s="17"/>
      <c r="E87" s="12" t="str">
        <f aca="false">IF(B87=C87,"OK","CHECK")</f>
        <v>OK</v>
      </c>
      <c r="F87" s="35"/>
      <c r="G87" s="3"/>
    </row>
    <row r="88" customFormat="false" ht="15" hidden="false" customHeight="false" outlineLevel="0" collapsed="false">
      <c r="A88" s="2" t="s">
        <v>349</v>
      </c>
      <c r="B88" s="20" t="n">
        <f aca="false">Stress!H15</f>
        <v>0.145738910043196</v>
      </c>
      <c r="C88" s="7" t="n">
        <v>0.1457</v>
      </c>
      <c r="D88" s="20" t="n">
        <f aca="false">IF(ISNUMBER(B88),B88-C88,"")</f>
        <v>3.89100431958112E-005</v>
      </c>
      <c r="E88" s="12" t="str">
        <f aca="false">IF(ISNUMBER(B88),IF(ABS(B88-C88)&lt;=G88,"OK","CHECK"),IF(B88=C88,"OK","CHECK"))</f>
        <v>OK</v>
      </c>
      <c r="F88" s="35"/>
      <c r="G88" s="3" t="n">
        <v>5.0000051E-005</v>
      </c>
    </row>
    <row r="89" customFormat="false" ht="15" hidden="false" customHeight="false" outlineLevel="0" collapsed="false">
      <c r="A89" s="2" t="s">
        <v>350</v>
      </c>
      <c r="B89" s="20" t="n">
        <f aca="false">Stress!C16</f>
        <v>0.0567008</v>
      </c>
      <c r="C89" s="7" t="n">
        <v>0.0567</v>
      </c>
      <c r="D89" s="20" t="n">
        <f aca="false">IF(ISNUMBER(B89),B89-C89,"")</f>
        <v>8.00000000002188E-007</v>
      </c>
      <c r="E89" s="12" t="str">
        <f aca="false">IF(ISNUMBER(B89),IF(ABS(B89-C89)&lt;=G89,"OK","CHECK"),IF(B89=C89,"OK","CHECK"))</f>
        <v>OK</v>
      </c>
      <c r="F89" s="35"/>
      <c r="G89" s="3" t="n">
        <v>5.0000051E-005</v>
      </c>
    </row>
    <row r="90" customFormat="false" ht="15" hidden="false" customHeight="false" outlineLevel="0" collapsed="false">
      <c r="A90" s="2" t="s">
        <v>351</v>
      </c>
      <c r="B90" s="17" t="str">
        <f aca="false">Stress!D16</f>
        <v>F</v>
      </c>
      <c r="C90" s="5" t="s">
        <v>98</v>
      </c>
      <c r="D90" s="17"/>
      <c r="E90" s="12" t="str">
        <f aca="false">IF(B90=C90,"OK","CHECK")</f>
        <v>OK</v>
      </c>
      <c r="F90" s="35"/>
      <c r="G90" s="3"/>
    </row>
    <row r="91" customFormat="false" ht="15" hidden="false" customHeight="false" outlineLevel="0" collapsed="false">
      <c r="A91" s="2" t="s">
        <v>352</v>
      </c>
      <c r="B91" s="20" t="n">
        <f aca="false">Stress!H16</f>
        <v>0.043223319937805</v>
      </c>
      <c r="C91" s="7" t="n">
        <v>0.0432</v>
      </c>
      <c r="D91" s="20" t="n">
        <f aca="false">IF(ISNUMBER(B91),B91-C91,"")</f>
        <v>2.33199378049873E-005</v>
      </c>
      <c r="E91" s="12" t="str">
        <f aca="false">IF(ISNUMBER(B91),IF(ABS(B91-C91)&lt;=G91,"OK","CHECK"),IF(B91=C91,"OK","CHECK"))</f>
        <v>OK</v>
      </c>
      <c r="F91" s="35"/>
      <c r="G91" s="3" t="n">
        <v>5.0000051E-005</v>
      </c>
    </row>
    <row r="92" customFormat="false" ht="15" hidden="false" customHeight="false" outlineLevel="0" collapsed="false">
      <c r="A92" s="2" t="s">
        <v>353</v>
      </c>
      <c r="B92" s="20" t="n">
        <f aca="false">Stress!C17</f>
        <v>0.019355</v>
      </c>
      <c r="C92" s="7" t="n">
        <v>0.0194</v>
      </c>
      <c r="D92" s="20" t="n">
        <f aca="false">IF(ISNUMBER(B92),B92-C92,"")</f>
        <v>-4.49999999999999E-005</v>
      </c>
      <c r="E92" s="12" t="str">
        <f aca="false">IF(ISNUMBER(B92),IF(ABS(B92-C92)&lt;=G92,"OK","CHECK"),IF(B92=C92,"OK","CHECK"))</f>
        <v>OK</v>
      </c>
      <c r="F92" s="35"/>
      <c r="G92" s="3" t="n">
        <v>5.0000051E-005</v>
      </c>
    </row>
    <row r="93" customFormat="false" ht="15" hidden="false" customHeight="false" outlineLevel="0" collapsed="false">
      <c r="A93" s="2" t="s">
        <v>354</v>
      </c>
      <c r="B93" s="17" t="str">
        <f aca="false">Stress!D17</f>
        <v>H</v>
      </c>
      <c r="C93" s="5" t="s">
        <v>102</v>
      </c>
      <c r="D93" s="17"/>
      <c r="E93" s="12" t="str">
        <f aca="false">IF(B93=C93,"OK","CHECK")</f>
        <v>OK</v>
      </c>
      <c r="F93" s="35"/>
      <c r="G93" s="3"/>
    </row>
    <row r="94" customFormat="false" ht="15" hidden="false" customHeight="false" outlineLevel="0" collapsed="false">
      <c r="A94" s="2" t="s">
        <v>355</v>
      </c>
      <c r="B94" s="20" t="n">
        <f aca="false">Stress!H17</f>
        <v>0.162305862207389</v>
      </c>
      <c r="C94" s="7" t="n">
        <v>0.1623</v>
      </c>
      <c r="D94" s="20" t="n">
        <f aca="false">IF(ISNUMBER(B94),B94-C94,"")</f>
        <v>5.86220738912902E-006</v>
      </c>
      <c r="E94" s="12" t="str">
        <f aca="false">IF(ISNUMBER(B94),IF(ABS(B94-C94)&lt;=G94,"OK","CHECK"),IF(B94=C94,"OK","CHECK"))</f>
        <v>OK</v>
      </c>
      <c r="F94" s="35"/>
      <c r="G94" s="3" t="n">
        <v>5.0000051E-005</v>
      </c>
    </row>
    <row r="95" customFormat="false" ht="15" hidden="false" customHeight="false" outlineLevel="0" collapsed="false">
      <c r="A95" s="2" t="s">
        <v>356</v>
      </c>
      <c r="B95" s="20" t="n">
        <f aca="false">Stress!C18</f>
        <v>0.0778473</v>
      </c>
      <c r="C95" s="7" t="n">
        <v>0.0778</v>
      </c>
      <c r="D95" s="20" t="n">
        <f aca="false">IF(ISNUMBER(B95),B95-C95,"")</f>
        <v>4.73000000000001E-005</v>
      </c>
      <c r="E95" s="12" t="str">
        <f aca="false">IF(ISNUMBER(B95),IF(ABS(B95-C95)&lt;=G95,"OK","CHECK"),IF(B95=C95,"OK","CHECK"))</f>
        <v>OK</v>
      </c>
      <c r="F95" s="35"/>
      <c r="G95" s="3" t="n">
        <v>5.0000051E-005</v>
      </c>
    </row>
    <row r="96" customFormat="false" ht="15" hidden="false" customHeight="false" outlineLevel="0" collapsed="false">
      <c r="A96" s="2" t="s">
        <v>357</v>
      </c>
      <c r="B96" s="17" t="str">
        <f aca="false">Stress!D18</f>
        <v>E</v>
      </c>
      <c r="C96" s="5" t="s">
        <v>96</v>
      </c>
      <c r="D96" s="17"/>
      <c r="E96" s="12" t="str">
        <f aca="false">IF(B96=C96,"OK","CHECK")</f>
        <v>OK</v>
      </c>
      <c r="F96" s="35"/>
      <c r="G96" s="3"/>
    </row>
    <row r="97" customFormat="false" ht="15" hidden="false" customHeight="false" outlineLevel="0" collapsed="false">
      <c r="A97" s="2" t="s">
        <v>358</v>
      </c>
      <c r="B97" s="20" t="n">
        <f aca="false">Stress!H18</f>
        <v>-0.336861565722774</v>
      </c>
      <c r="C97" s="7" t="n">
        <v>-0.3369</v>
      </c>
      <c r="D97" s="20" t="n">
        <f aca="false">IF(ISNUMBER(B97),B97-C97,"")</f>
        <v>3.84342772260515E-005</v>
      </c>
      <c r="E97" s="12" t="str">
        <f aca="false">IF(ISNUMBER(B97),IF(ABS(B97-C97)&lt;=G97,"OK","CHECK"),IF(B97=C97,"OK","CHECK"))</f>
        <v>OK</v>
      </c>
      <c r="F97" s="35"/>
      <c r="G97" s="3" t="n">
        <v>5.0000051E-005</v>
      </c>
    </row>
    <row r="98" customFormat="false" ht="15" hidden="false" customHeight="false" outlineLevel="0" collapsed="false">
      <c r="A98" s="2" t="s">
        <v>359</v>
      </c>
      <c r="B98" s="20" t="n">
        <f aca="false">Stress!C19</f>
        <v>0.1541628</v>
      </c>
      <c r="C98" s="7" t="n">
        <v>0.1542</v>
      </c>
      <c r="D98" s="20" t="n">
        <f aca="false">IF(ISNUMBER(B98),B98-C98,"")</f>
        <v>-3.7200000000015E-005</v>
      </c>
      <c r="E98" s="12" t="str">
        <f aca="false">IF(ISNUMBER(B98),IF(ABS(B98-C98)&lt;=G98,"OK","CHECK"),IF(B98=C98,"OK","CHECK"))</f>
        <v>OK</v>
      </c>
      <c r="F98" s="35"/>
      <c r="G98" s="3" t="n">
        <v>5.0000051E-005</v>
      </c>
    </row>
    <row r="99" customFormat="false" ht="15" hidden="false" customHeight="false" outlineLevel="0" collapsed="false">
      <c r="A99" s="2" t="s">
        <v>360</v>
      </c>
      <c r="B99" s="17" t="str">
        <f aca="false">Stress!D19</f>
        <v>C</v>
      </c>
      <c r="C99" s="5" t="s">
        <v>92</v>
      </c>
      <c r="D99" s="17"/>
      <c r="E99" s="12" t="str">
        <f aca="false">IF(B99=C99,"OK","CHECK")</f>
        <v>OK</v>
      </c>
      <c r="F99" s="35"/>
      <c r="G99" s="3"/>
    </row>
    <row r="100" customFormat="false" ht="15" hidden="false" customHeight="false" outlineLevel="0" collapsed="false">
      <c r="A100" s="2" t="s">
        <v>361</v>
      </c>
      <c r="B100" s="20" t="n">
        <f aca="false">Stress!H19</f>
        <v>-0.55187284061346</v>
      </c>
      <c r="C100" s="7" t="n">
        <v>-0.5519</v>
      </c>
      <c r="D100" s="20" t="n">
        <f aca="false">IF(ISNUMBER(B100),B100-C100,"")</f>
        <v>2.71593865400765E-005</v>
      </c>
      <c r="E100" s="12" t="str">
        <f aca="false">IF(ISNUMBER(B100),IF(ABS(B100-C100)&lt;=G100,"OK","CHECK"),IF(B100=C100,"OK","CHECK"))</f>
        <v>OK</v>
      </c>
      <c r="F100" s="35"/>
      <c r="G100" s="3" t="n">
        <v>5.0000051E-005</v>
      </c>
    </row>
    <row r="101" customFormat="false" ht="15" hidden="false" customHeight="false" outlineLevel="0" collapsed="false">
      <c r="A101" s="2" t="s">
        <v>362</v>
      </c>
      <c r="B101" s="21" t="n">
        <f aca="false">Stress!E12</f>
        <v>23427800</v>
      </c>
      <c r="C101" s="6" t="n">
        <v>23430000</v>
      </c>
      <c r="D101" s="21" t="n">
        <f aca="false">IF(ISNUMBER(B101),B101-C101,"")</f>
        <v>-2200</v>
      </c>
      <c r="E101" s="12" t="str">
        <f aca="false">IF(ISNUMBER(B101),IF(ABS(B101-C101)&lt;=G101,"OK","CHECK"),IF(B101=C101,"OK","CHECK"))</f>
        <v>OK</v>
      </c>
      <c r="F101" s="35"/>
      <c r="G101" s="3" t="n">
        <v>5000.005</v>
      </c>
    </row>
    <row r="102" customFormat="false" ht="15" hidden="false" customHeight="false" outlineLevel="0" collapsed="false">
      <c r="A102" s="2" t="s">
        <v>363</v>
      </c>
      <c r="B102" s="24" t="n">
        <f aca="false">Stress!B32</f>
        <v>0.624741333333333</v>
      </c>
      <c r="C102" s="8" t="n">
        <v>0.625</v>
      </c>
      <c r="D102" s="24" t="n">
        <f aca="false">IF(ISNUMBER(B102),B102-C102,"")</f>
        <v>-0.000258666666666629</v>
      </c>
      <c r="E102" s="12" t="str">
        <f aca="false">IF(ISNUMBER(B102),IF(ABS(B102-C102)&lt;=G102,"OK","CHECK"),IF(B102=C102,"OK","CHECK"))</f>
        <v>OK</v>
      </c>
      <c r="F102" s="35"/>
      <c r="G102" s="3" t="n">
        <v>0.000500000501</v>
      </c>
    </row>
    <row r="103" customFormat="false" ht="15" hidden="false" customHeight="false" outlineLevel="0" collapsed="false">
      <c r="A103" s="2" t="s">
        <v>364</v>
      </c>
      <c r="B103" s="21" t="n">
        <f aca="false">Stress!B33</f>
        <v>2847300</v>
      </c>
      <c r="C103" s="6" t="n">
        <v>2850000</v>
      </c>
      <c r="D103" s="21" t="n">
        <f aca="false">IF(ISNUMBER(B103),B103-C103,"")</f>
        <v>-2700</v>
      </c>
      <c r="E103" s="12" t="str">
        <f aca="false">IF(ISNUMBER(B103),IF(ABS(B103-C103)&lt;=G103,"OK","CHECK"),IF(B103=C103,"OK","CHECK"))</f>
        <v>OK</v>
      </c>
      <c r="F103" s="35"/>
      <c r="G103" s="3" t="n">
        <v>5000.005</v>
      </c>
    </row>
    <row r="104" customFormat="false" ht="15" hidden="false" customHeight="false" outlineLevel="0" collapsed="false">
      <c r="A104" s="2" t="s">
        <v>365</v>
      </c>
      <c r="B104" s="24" t="n">
        <f aca="false">Stress!B34</f>
        <v>0.142365</v>
      </c>
      <c r="C104" s="8" t="n">
        <v>0.142</v>
      </c>
      <c r="D104" s="24" t="n">
        <f aca="false">IF(ISNUMBER(B104),B104-C104,"")</f>
        <v>0.000365000000000004</v>
      </c>
      <c r="E104" s="12" t="str">
        <f aca="false">IF(ISNUMBER(B104),IF(ABS(B104-C104)&lt;=G104,"OK","CHECK"),IF(B104=C104,"OK","CHECK"))</f>
        <v>OK</v>
      </c>
      <c r="F104" s="35"/>
      <c r="G104" s="3" t="n">
        <v>0.000500000501</v>
      </c>
    </row>
    <row r="105" customFormat="false" ht="15" hidden="false" customHeight="false" outlineLevel="0" collapsed="false">
      <c r="A105" s="2" t="s">
        <v>366</v>
      </c>
      <c r="B105" s="21" t="n">
        <f aca="false">Stress!B35</f>
        <v>17152700</v>
      </c>
      <c r="C105" s="6" t="n">
        <v>17200000</v>
      </c>
      <c r="D105" s="21" t="n">
        <f aca="false">IF(ISNUMBER(B105),B105-C105,"")</f>
        <v>-47300</v>
      </c>
      <c r="E105" s="12" t="str">
        <f aca="false">IF(ISNUMBER(B105),IF(ABS(B105-C105)&lt;=G105,"OK","CHECK"),IF(B105=C105,"OK","CHECK"))</f>
        <v>OK</v>
      </c>
      <c r="F105" s="35"/>
      <c r="G105" s="3" t="n">
        <v>50000.05</v>
      </c>
    </row>
    <row r="106" customFormat="false" ht="15" hidden="false" customHeight="false" outlineLevel="0" collapsed="false">
      <c r="A106" s="2" t="s">
        <v>367</v>
      </c>
      <c r="B106" s="21" t="n">
        <f aca="false">Stress!B36</f>
        <v>145837200</v>
      </c>
      <c r="C106" s="6" t="n">
        <v>145800000</v>
      </c>
      <c r="D106" s="21" t="n">
        <f aca="false">IF(ISNUMBER(B106),B106-C106,"")</f>
        <v>37200</v>
      </c>
      <c r="E106" s="12" t="str">
        <f aca="false">IF(ISNUMBER(B106),IF(ABS(B106-C106)&lt;=G106,"OK","CHECK"),IF(B106=C106,"OK","CHECK"))</f>
        <v>OK</v>
      </c>
      <c r="F106" s="35"/>
      <c r="G106" s="3" t="n">
        <v>50000.05</v>
      </c>
    </row>
    <row r="107" customFormat="false" ht="15" hidden="false" customHeight="false" outlineLevel="0" collapsed="false">
      <c r="A107" s="2" t="s">
        <v>368</v>
      </c>
      <c r="B107" s="17" t="str">
        <f aca="false">Stress!B37</f>
        <v>Yes</v>
      </c>
      <c r="C107" s="5" t="s">
        <v>83</v>
      </c>
      <c r="D107" s="17"/>
      <c r="E107" s="12" t="str">
        <f aca="false">IF(B107=C107,"OK","CHECK")</f>
        <v>OK</v>
      </c>
      <c r="F107" s="35"/>
      <c r="G107" s="3"/>
    </row>
    <row r="108" customFormat="false" ht="15" hidden="false" customHeight="false" outlineLevel="0" collapsed="false">
      <c r="A108" s="2" t="s">
        <v>369</v>
      </c>
      <c r="B108" s="21" t="n">
        <f aca="false">Surveillance!B6</f>
        <v>985866104.44012</v>
      </c>
      <c r="C108" s="6" t="n">
        <v>985900000</v>
      </c>
      <c r="D108" s="21" t="n">
        <f aca="false">IF(ISNUMBER(B108),B108-C108,"")</f>
        <v>-33895.559879899</v>
      </c>
      <c r="E108" s="12" t="str">
        <f aca="false">IF(ISNUMBER(B108),IF(ABS(B108-C108)&lt;=G108,"OK","CHECK"),IF(B108=C108,"OK","CHECK"))</f>
        <v>OK</v>
      </c>
      <c r="F108" s="35"/>
      <c r="G108" s="3" t="n">
        <v>50000.05</v>
      </c>
    </row>
    <row r="109" customFormat="false" ht="15" hidden="false" customHeight="false" outlineLevel="0" collapsed="false">
      <c r="A109" s="2" t="s">
        <v>370</v>
      </c>
      <c r="B109" s="20" t="n">
        <f aca="false">Surveillance!B8</f>
        <v>0.122617111096221</v>
      </c>
      <c r="C109" s="7" t="n">
        <v>0.1226</v>
      </c>
      <c r="D109" s="20" t="n">
        <f aca="false">IF(ISNUMBER(B109),B109-C109,"")</f>
        <v>1.71110962206428E-005</v>
      </c>
      <c r="E109" s="12" t="str">
        <f aca="false">IF(ISNUMBER(B109),IF(ABS(B109-C109)&lt;=G109,"OK","CHECK"),IF(B109=C109,"OK","CHECK"))</f>
        <v>OK</v>
      </c>
      <c r="F109" s="35"/>
      <c r="G109" s="3" t="n">
        <v>5.0000051E-005</v>
      </c>
    </row>
    <row r="110" customFormat="false" ht="15" hidden="false" customHeight="false" outlineLevel="0" collapsed="false">
      <c r="A110" s="2" t="s">
        <v>371</v>
      </c>
      <c r="B110" s="20" t="n">
        <f aca="false">Surveillance!B10</f>
        <v>0.0404889091508716</v>
      </c>
      <c r="C110" s="7" t="n">
        <v>0.0405</v>
      </c>
      <c r="D110" s="20" t="n">
        <f aca="false">IF(ISNUMBER(B110),B110-C110,"")</f>
        <v>-1.10908491283632E-005</v>
      </c>
      <c r="E110" s="12" t="str">
        <f aca="false">IF(ISNUMBER(B110),IF(ABS(B110-C110)&lt;=G110,"OK","CHECK"),IF(B110=C110,"OK","CHECK"))</f>
        <v>OK</v>
      </c>
      <c r="F110" s="35"/>
      <c r="G110" s="3" t="n">
        <v>5.0000051E-005</v>
      </c>
    </row>
    <row r="111" customFormat="false" ht="15" hidden="false" customHeight="false" outlineLevel="0" collapsed="false">
      <c r="A111" s="2" t="s">
        <v>372</v>
      </c>
      <c r="B111" s="20" t="n">
        <f aca="false">Surveillance!B11</f>
        <v>0.012763758491876</v>
      </c>
      <c r="C111" s="7" t="n">
        <v>0.0128</v>
      </c>
      <c r="D111" s="20" t="n">
        <f aca="false">IF(ISNUMBER(B111),B111-C111,"")</f>
        <v>-3.62415081240474E-005</v>
      </c>
      <c r="E111" s="12" t="str">
        <f aca="false">IF(ISNUMBER(B111),IF(ABS(B111-C111)&lt;=G111,"OK","CHECK"),IF(B111=C111,"OK","CHECK"))</f>
        <v>OK</v>
      </c>
      <c r="F111" s="35"/>
      <c r="G111" s="3" t="n">
        <v>5.0000051E-005</v>
      </c>
    </row>
    <row r="112" customFormat="false" ht="15" hidden="false" customHeight="false" outlineLevel="0" collapsed="false">
      <c r="A112" s="2" t="s">
        <v>373</v>
      </c>
      <c r="B112" s="20" t="n">
        <f aca="false">Surveillance!B12</f>
        <v>0.0355863303387678</v>
      </c>
      <c r="C112" s="7" t="n">
        <v>0.0356</v>
      </c>
      <c r="D112" s="20" t="n">
        <f aca="false">IF(ISNUMBER(B112),B112-C112,"")</f>
        <v>-1.36696612322226E-005</v>
      </c>
      <c r="E112" s="12" t="str">
        <f aca="false">IF(ISNUMBER(B112),IF(ABS(B112-C112)&lt;=G112,"OK","CHECK"),IF(B112=C112,"OK","CHECK"))</f>
        <v>OK</v>
      </c>
      <c r="F112" s="35"/>
      <c r="G112" s="3" t="n">
        <v>5.0000051E-005</v>
      </c>
    </row>
    <row r="113" customFormat="false" ht="15" hidden="false" customHeight="false" outlineLevel="0" collapsed="false">
      <c r="A113" s="2" t="s">
        <v>374</v>
      </c>
      <c r="B113" s="24" t="n">
        <f aca="false">Surveillance!B13</f>
        <v>1.06444381700266</v>
      </c>
      <c r="C113" s="8" t="n">
        <v>1.064</v>
      </c>
      <c r="D113" s="24" t="n">
        <f aca="false">IF(ISNUMBER(B113),B113-C113,"")</f>
        <v>0.000443817002659941</v>
      </c>
      <c r="E113" s="12" t="str">
        <f aca="false">IF(ISNUMBER(B113),IF(ABS(B113-C113)&lt;=G113,"OK","CHECK"),IF(B113=C113,"OK","CHECK"))</f>
        <v>OK</v>
      </c>
      <c r="F113" s="35"/>
      <c r="G113" s="3" t="n">
        <v>0.000500000501</v>
      </c>
    </row>
    <row r="114" customFormat="false" ht="15" hidden="false" customHeight="false" outlineLevel="0" collapsed="false">
      <c r="A114" s="2" t="s">
        <v>375</v>
      </c>
      <c r="B114" s="21" t="n">
        <f aca="false">Surveillance!B14</f>
        <v>5303725.7464054</v>
      </c>
      <c r="C114" s="6" t="n">
        <v>5304000</v>
      </c>
      <c r="D114" s="21" t="n">
        <f aca="false">IF(ISNUMBER(B114),B114-C114,"")</f>
        <v>-274.253594600596</v>
      </c>
      <c r="E114" s="12" t="str">
        <f aca="false">IF(ISNUMBER(B114),IF(ABS(B114-C114)&lt;=G114,"OK","CHECK"),IF(B114=C114,"OK","CHECK"))</f>
        <v>OK</v>
      </c>
      <c r="F114" s="35"/>
      <c r="G114" s="3" t="n">
        <v>500.000500000001</v>
      </c>
    </row>
    <row r="115" customFormat="false" ht="15" hidden="false" customHeight="false" outlineLevel="0" collapsed="false">
      <c r="A115" s="2" t="s">
        <v>376</v>
      </c>
      <c r="B115" s="20" t="n">
        <f aca="false">Surveillance!B16</f>
        <v>0.0642350138068915</v>
      </c>
      <c r="C115" s="7" t="n">
        <v>0.0642</v>
      </c>
      <c r="D115" s="20" t="n">
        <f aca="false">IF(ISNUMBER(B115),B115-C115,"")</f>
        <v>3.50138068915123E-005</v>
      </c>
      <c r="E115" s="12" t="str">
        <f aca="false">IF(ISNUMBER(B115),IF(ABS(B115-C115)&lt;=G115,"OK","CHECK"),IF(B115=C115,"OK","CHECK"))</f>
        <v>OK</v>
      </c>
      <c r="F115" s="35"/>
      <c r="G115" s="3" t="n">
        <v>5.0000051E-005</v>
      </c>
    </row>
    <row r="116" customFormat="false" ht="15" hidden="false" customHeight="false" outlineLevel="0" collapsed="false">
      <c r="A116" s="2" t="s">
        <v>377</v>
      </c>
      <c r="B116" s="30" t="n">
        <f aca="false">Surveillance!B17</f>
        <v>17</v>
      </c>
      <c r="C116" s="10" t="n">
        <v>17</v>
      </c>
      <c r="D116" s="30" t="n">
        <f aca="false">IF(ISNUMBER(B116),B116-C116,"")</f>
        <v>0</v>
      </c>
      <c r="E116" s="12" t="str">
        <f aca="false">IF(ISNUMBER(B116),IF(ABS(B116-C116)&lt;=G116,"OK","CHECK"),IF(B116=C116,"OK","CHECK"))</f>
        <v>OK</v>
      </c>
      <c r="F116" s="35"/>
      <c r="G116" s="3" t="n">
        <v>1E-012</v>
      </c>
    </row>
    <row r="117" customFormat="false" ht="15" hidden="false" customHeight="false" outlineLevel="0" collapsed="false">
      <c r="A117" s="2" t="s">
        <v>378</v>
      </c>
      <c r="B117" s="21" t="n">
        <f aca="false">Surveillance!B15</f>
        <v>302210.134135331</v>
      </c>
      <c r="C117" s="6" t="n">
        <v>302210</v>
      </c>
      <c r="D117" s="21" t="n">
        <f aca="false">IF(ISNUMBER(B117),B117-C117,"")</f>
        <v>0.134135331201833</v>
      </c>
      <c r="E117" s="12" t="str">
        <f aca="false">IF(ISNUMBER(B117),IF(ABS(B117-C117)&lt;=G117,"OK","CHECK"),IF(B117=C117,"OK","CHECK"))</f>
        <v>OK</v>
      </c>
      <c r="F117" s="35" t="s">
        <v>379</v>
      </c>
      <c r="G117" s="3" t="n">
        <v>0.500000500001</v>
      </c>
    </row>
    <row r="119" customFormat="false" ht="15" hidden="false" customHeight="false" outlineLevel="0" collapsed="false">
      <c r="A119" s="12" t="s">
        <v>380</v>
      </c>
      <c r="B119" s="12" t="n">
        <f aca="false">COUNTIF(E5:E117,"CHECK")</f>
        <v>0</v>
      </c>
    </row>
    <row r="120" customFormat="false" ht="15" hidden="false" customHeight="false" outlineLevel="0" collapsed="false">
      <c r="A120" s="12" t="s">
        <v>381</v>
      </c>
      <c r="E120" s="12" t="str">
        <f aca="false">IF(COUNTIF(E5:E117,"OK")=113,"ALL OK",COUNTIF(E5:E117,"OK")&amp;" / 113 OK")</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2026-09-23T22:50:23Z</dcterms:created>
  <dc:creator>openpyxl</dc:creator>
  <dc:description/>
  <dc:language>en-US</dc:language>
  <cp:lastModifiedBy/>
  <dcterms:modified xsi:type="dcterms:W3CDTF">2026-09-23T22:50:23Z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