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Cash flows" sheetId="2" state="visible" r:id="rId4"/>
    <sheet name="Grid" sheetId="3" state="visible" r:id="rId5"/>
    <sheet name="Control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<sst xmlns="http://schemas.openxmlformats.org/spreadsheetml/2006/main" count="158" uniqueCount="147">
  <si>
    <t xml:space="preserve">B_Piece_Return.xlsx: the bid</t>
  </si>
  <si>
    <t xml:space="preserve">The first-loss block of Meridian 2026-C1, classes F, G and H. State a required yield and a loss scenario on the Cash flows sheet: the price falls out as the present value of the cash flows at that yield. The Grid sheet runs every scenario the chapter discusses at that price, live.</t>
  </si>
  <si>
    <t xml:space="preserve">Revised 24 September 2026. The first file asked for the price and typed the timing grid in as values; the price now comes from the required yield and the grid is computed. It also adds the outcome of the deal itself. The three loans are written down in year 5, not year 6 as the book says: at 45.37 cents the block returns 8.02 percent on a multiple of 1.70x, not 9.06 percent on 1.78x. The year-6 row is kept beside it.</t>
  </si>
  <si>
    <t xml:space="preserve">The first-loss block: the bid (Chapter 18)</t>
  </si>
  <si>
    <t xml:space="preserve">State a required yield and a loss scenario; the price falls out as the present value of the cash flows at that yield.</t>
  </si>
  <si>
    <t xml:space="preserve">Face of classes F, G and H</t>
  </si>
  <si>
    <t xml:space="preserve">Net pool coupon</t>
  </si>
  <si>
    <t xml:space="preserve">Required yield</t>
  </si>
  <si>
    <t xml:space="preserve">Cumulative pool loss</t>
  </si>
  <si>
    <t xml:space="preserve">Year the loss is written down</t>
  </si>
  <si>
    <t xml:space="preserve">Years of coupon lost to the appraisal reduction before the write-down</t>
  </si>
  <si>
    <t xml:space="preserve">Loss reaching the block</t>
  </si>
  <si>
    <t xml:space="preserve">Year</t>
  </si>
  <si>
    <t xml:space="preserve">Balance earning the coupon</t>
  </si>
  <si>
    <t xml:space="preserve">Interest</t>
  </si>
  <si>
    <t xml:space="preserve">Principal</t>
  </si>
  <si>
    <t xml:space="preserve">Cash flow</t>
  </si>
  <si>
    <t xml:space="preserve">Price: the cash flows discounted at the required yield</t>
  </si>
  <si>
    <t xml:space="preserve">Purchase price</t>
  </si>
  <si>
    <t xml:space="preserve">  cents on the dollar</t>
  </si>
  <si>
    <t xml:space="preserve">Discount to face</t>
  </si>
  <si>
    <t xml:space="preserve">Internal rate of return at that price</t>
  </si>
  <si>
    <t xml:space="preserve">Multiple on the money</t>
  </si>
  <si>
    <t xml:space="preserve">Size against timing, live (Chapter 18)</t>
  </si>
  <si>
    <t xml:space="preserve">Every row is a loss scenario at the price on the Cash flows sheet. Loss and year are steps you can change; the grid below reads them.</t>
  </si>
  <si>
    <t xml:space="preserve">Pool balance</t>
  </si>
  <si>
    <t xml:space="preserve">Price, cents</t>
  </si>
  <si>
    <t xml:space="preserve">Face</t>
  </si>
  <si>
    <t xml:space="preserve">Scenario</t>
  </si>
  <si>
    <t xml:space="preserve">Pool loss</t>
  </si>
  <si>
    <t xml:space="preserve">Year written down</t>
  </si>
  <si>
    <t xml:space="preserve">Years of coupon lost first</t>
  </si>
  <si>
    <t xml:space="preserve">Loss to the block</t>
  </si>
  <si>
    <t xml:space="preserve">Year 0</t>
  </si>
  <si>
    <t xml:space="preserve">Year 1</t>
  </si>
  <si>
    <t xml:space="preserve">Year 2</t>
  </si>
  <si>
    <t xml:space="preserve">Year 3</t>
  </si>
  <si>
    <t xml:space="preserve">Year 4</t>
  </si>
  <si>
    <t xml:space="preserve">Year 5</t>
  </si>
  <si>
    <t xml:space="preserve">Year 6</t>
  </si>
  <si>
    <t xml:space="preserve">Year 7</t>
  </si>
  <si>
    <t xml:space="preserve">Year 8</t>
  </si>
  <si>
    <t xml:space="preserve">Year 9</t>
  </si>
  <si>
    <t xml:space="preserve">Year 10</t>
  </si>
  <si>
    <t xml:space="preserve">Return</t>
  </si>
  <si>
    <t xml:space="preserve">Multiple</t>
  </si>
  <si>
    <t xml:space="preserve">Price at the required yield, cents</t>
  </si>
  <si>
    <t xml:space="preserve">2 per cent in year 2</t>
  </si>
  <si>
    <t xml:space="preserve">2 per cent in year 5</t>
  </si>
  <si>
    <t xml:space="preserve">2 per cent in year 8</t>
  </si>
  <si>
    <t xml:space="preserve">3 per cent in year 2</t>
  </si>
  <si>
    <t xml:space="preserve">3 per cent in year 5</t>
  </si>
  <si>
    <t xml:space="preserve">3 per cent in year 8</t>
  </si>
  <si>
    <t xml:space="preserve">4 per cent in year 2</t>
  </si>
  <si>
    <t xml:space="preserve">4 per cent in year 5</t>
  </si>
  <si>
    <t xml:space="preserve">4 per cent in year 8</t>
  </si>
  <si>
    <t xml:space="preserve">5.5 per cent in year 2</t>
  </si>
  <si>
    <t xml:space="preserve">5.5 per cent in year 5</t>
  </si>
  <si>
    <t xml:space="preserve">5.5 per cent in year 8</t>
  </si>
  <si>
    <t xml:space="preserve">7 per cent in year 2</t>
  </si>
  <si>
    <t xml:space="preserve">7 per cent in year 5</t>
  </si>
  <si>
    <t xml:space="preserve">7 per cent in year 8</t>
  </si>
  <si>
    <t xml:space="preserve">Meridian as it happened: written down in year 5</t>
  </si>
  <si>
    <t xml:space="preserve">The same, dated year 6 as the book does</t>
  </si>
  <si>
    <t xml:space="preserve">Indifference: the loss in year 8 worth 3.0 per cent in year 2</t>
  </si>
  <si>
    <t xml:space="preserve">The loss that takes the return to zero, year 5</t>
  </si>
  <si>
    <t xml:space="preserve">Loss case doubled</t>
  </si>
  <si>
    <t xml:space="preserve">Broad recession, year 5</t>
  </si>
  <si>
    <t xml:space="preserve">Broad recession, three years later</t>
  </si>
  <si>
    <t xml:space="preserve">Broad recession, a third larger</t>
  </si>
  <si>
    <t xml:space="preserve">Lightest, full coupon to the write-down</t>
  </si>
  <si>
    <t xml:space="preserve">Heaviest, full coupon to the write-down</t>
  </si>
  <si>
    <t xml:space="preserve">The grid printed in the book, read from the rows above</t>
  </si>
  <si>
    <t xml:space="preserve">Indifference: the year-8 loss is larger by</t>
  </si>
  <si>
    <t xml:space="preserve">  and returns the same as 3.0 per cent in year 2, difference</t>
  </si>
  <si>
    <t xml:space="preserve">Price moves if the loss arrives three years early, cents</t>
  </si>
  <si>
    <t xml:space="preserve">  three years late</t>
  </si>
  <si>
    <t xml:space="preserve">Price moves if the loss is a third larger, cents</t>
  </si>
  <si>
    <t xml:space="preserve">Return moves: three years early</t>
  </si>
  <si>
    <t xml:space="preserve">  a third larger</t>
  </si>
  <si>
    <t xml:space="preserve">  a third smaller</t>
  </si>
  <si>
    <t xml:space="preserve">Price if the loss case doubles, cents</t>
  </si>
  <si>
    <t xml:space="preserve">  what the doubling costs the issuer</t>
  </si>
  <si>
    <t xml:space="preserve">Recession: return moves if the loss comes three years later</t>
  </si>
  <si>
    <t xml:space="preserve">  if it is a third larger</t>
  </si>
  <si>
    <t xml:space="preserve">Coupon lost before the write-down: overstatement if ignored, lightest case</t>
  </si>
  <si>
    <t xml:space="preserve">  heaviest case</t>
  </si>
  <si>
    <t xml:space="preserve">Meridian: shortfall against the 12.5 per cent underwritten</t>
  </si>
  <si>
    <t xml:space="preserve">First-loss face left after the write-down</t>
  </si>
  <si>
    <t xml:space="preserve">Controls</t>
  </si>
  <si>
    <t xml:space="preserve">Each row recomputes a figure the book prints, from the live formulas, and compares it with the printed value. A corrected figure is compared with its corrected value; the note says what the book prints.</t>
  </si>
  <si>
    <t xml:space="preserve">Figure</t>
  </si>
  <si>
    <t xml:space="preserve">This file</t>
  </si>
  <si>
    <t xml:space="preserve">Expected</t>
  </si>
  <si>
    <t xml:space="preserve">Difference</t>
  </si>
  <si>
    <t xml:space="preserve">Status</t>
  </si>
  <si>
    <t xml:space="preserve">Note</t>
  </si>
  <si>
    <t xml:space="preserve">Tolerance</t>
  </si>
  <si>
    <t xml:space="preserve">Return at that price, base case</t>
  </si>
  <si>
    <t xml:space="preserve">Grid: 2 per cent in year 2</t>
  </si>
  <si>
    <t xml:space="preserve">Grid: 2 per cent in year 5</t>
  </si>
  <si>
    <t xml:space="preserve">Grid: 2 per cent in year 8</t>
  </si>
  <si>
    <t xml:space="preserve">Grid: 3 per cent in year 2</t>
  </si>
  <si>
    <t xml:space="preserve">Grid: 3 per cent in year 5</t>
  </si>
  <si>
    <t xml:space="preserve">Grid: 3 per cent in year 8</t>
  </si>
  <si>
    <t xml:space="preserve">Grid: 4 per cent in year 2</t>
  </si>
  <si>
    <t xml:space="preserve">Grid: 4 per cent in year 5</t>
  </si>
  <si>
    <t xml:space="preserve">Grid: 4 per cent in year 8</t>
  </si>
  <si>
    <t xml:space="preserve">Grid: 5.5 per cent in year 2</t>
  </si>
  <si>
    <t xml:space="preserve">Grid: 5.5 per cent in year 5</t>
  </si>
  <si>
    <t xml:space="preserve">Grid: 5.5 per cent in year 8</t>
  </si>
  <si>
    <t xml:space="preserve">Grid: 7 per cent in year 2</t>
  </si>
  <si>
    <t xml:space="preserve">Grid: 7 per cent in year 5</t>
  </si>
  <si>
    <t xml:space="preserve">Grid: 7 per cent in year 8</t>
  </si>
  <si>
    <t xml:space="preserve">Indifference loss in year 8</t>
  </si>
  <si>
    <t xml:space="preserve">  a loss larger by</t>
  </si>
  <si>
    <t xml:space="preserve">56.0 percent</t>
  </si>
  <si>
    <t xml:space="preserve">  same return as 3.0 in year 2</t>
  </si>
  <si>
    <t xml:space="preserve">Return, 3.0 per cent in year 2</t>
  </si>
  <si>
    <t xml:space="preserve">Loss at which the return is zero, year 5</t>
  </si>
  <si>
    <t xml:space="preserve">  return there</t>
  </si>
  <si>
    <t xml:space="preserve">Price if the loss case doubles</t>
  </si>
  <si>
    <t xml:space="preserve">  cost to the issuer</t>
  </si>
  <si>
    <t xml:space="preserve">Price move, three years early</t>
  </si>
  <si>
    <t xml:space="preserve">Price move, three years late</t>
  </si>
  <si>
    <t xml:space="preserve">Price move, a third larger</t>
  </si>
  <si>
    <t xml:space="preserve">Return move, three years early</t>
  </si>
  <si>
    <t xml:space="preserve">Return move, three years late</t>
  </si>
  <si>
    <t xml:space="preserve">Return move, a third larger</t>
  </si>
  <si>
    <t xml:space="preserve">Return move, a third smaller</t>
  </si>
  <si>
    <t xml:space="preserve">Recession, year 5: return</t>
  </si>
  <si>
    <t xml:space="preserve">Recession: three years later adds</t>
  </si>
  <si>
    <t xml:space="preserve">Recession: a third larger adds</t>
  </si>
  <si>
    <t xml:space="preserve">Coupon effect, lightest case</t>
  </si>
  <si>
    <t xml:space="preserve">Coupon effect, heaviest case</t>
  </si>
  <si>
    <t xml:space="preserve">Meridian, written down in year 5: return (corrected)</t>
  </si>
  <si>
    <t xml:space="preserve">The book prints 9.06 percent: its losses dated year 6</t>
  </si>
  <si>
    <t xml:space="preserve">Meridian, year 5: multiple (corrected)</t>
  </si>
  <si>
    <t xml:space="preserve">The book prints 1.78x</t>
  </si>
  <si>
    <t xml:space="preserve">Meridian, year 5: shortfall (corrected)</t>
  </si>
  <si>
    <t xml:space="preserve">The book prints -3.44 points</t>
  </si>
  <si>
    <t xml:space="preserve">The book's dating, year 6: return</t>
  </si>
  <si>
    <t xml:space="preserve">Reproduced as printed</t>
  </si>
  <si>
    <t xml:space="preserve">The book's dating, year 6: multiple</t>
  </si>
  <si>
    <t xml:space="preserve">First-loss face left</t>
  </si>
  <si>
    <t xml:space="preserve">Failures</t>
  </si>
  <si>
    <t xml:space="preserve">All controls</t>
  </si>
</sst>
</file>

<file path=xl/styles.xml><?xml version="1.0" encoding="utf-8"?>
<styleSheet xmlns="http://schemas.openxmlformats.org/spreadsheetml/2006/main">
  <numFmts count="8">
    <numFmt numFmtId="164" formatCode="General"/>
    <numFmt numFmtId="165" formatCode="#,##0"/>
    <numFmt numFmtId="166" formatCode="0.0000%"/>
    <numFmt numFmtId="167" formatCode="0.00%"/>
    <numFmt numFmtId="168" formatCode="0"/>
    <numFmt numFmtId="169" formatCode="0.00"/>
    <numFmt numFmtId="170" formatCode="0.0%"/>
    <numFmt numFmtId="171" formatCode="0.000000%"/>
  </numFmts>
  <fonts count="9">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sz val="10"/>
      <name val="Arial"/>
      <family val="0"/>
      <charset val="1"/>
    </font>
    <font>
      <sz val="9"/>
      <color rgb="FF666666"/>
      <name val="Arial"/>
      <family val="0"/>
      <charset val="1"/>
    </font>
    <font>
      <sz val="10"/>
      <color rgb="FF0000CC"/>
      <name val="Arial"/>
      <family val="0"/>
      <charset val="1"/>
    </font>
    <font>
      <b val="true"/>
      <sz val="10"/>
      <name val="Arial"/>
      <family val="0"/>
      <charset val="1"/>
    </font>
  </fonts>
  <fills count="4">
    <fill>
      <patternFill patternType="none"/>
    </fill>
    <fill>
      <patternFill patternType="gray125"/>
    </fill>
    <fill>
      <patternFill patternType="solid">
        <fgColor rgb="FFFFF2CC"/>
        <bgColor rgb="FFEEEEEE"/>
      </patternFill>
    </fill>
    <fill>
      <patternFill patternType="solid">
        <fgColor rgb="FFEEEEEE"/>
        <bgColor rgb="FFFFF2CC"/>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7" fillId="2" borderId="0" xfId="0" applyFont="true" applyBorder="false" applyAlignment="false" applyProtection="false">
      <alignment horizontal="general" vertical="bottom" textRotation="0" wrapText="false" indent="0" shrinkToFit="false"/>
      <protection locked="true" hidden="false"/>
    </xf>
    <xf numFmtId="165" fontId="7" fillId="2" borderId="0" xfId="0" applyFont="true" applyBorder="false" applyAlignment="false" applyProtection="false">
      <alignment horizontal="general" vertical="bottom" textRotation="0" wrapText="false" indent="0" shrinkToFit="false"/>
      <protection locked="true" hidden="false"/>
    </xf>
    <xf numFmtId="168" fontId="7" fillId="2"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9" fontId="5"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0" fontId="5" fillId="0" borderId="0" xfId="0" applyFont="true" applyBorder="false" applyAlignment="false" applyProtection="false">
      <alignment horizontal="general" vertical="bottom" textRotation="0" wrapText="false" indent="0" shrinkToFit="false"/>
      <protection locked="true" hidden="false"/>
    </xf>
    <xf numFmtId="171" fontId="5"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EEEEE"/>
      <rgbColor rgb="FFFF0000"/>
      <rgbColor rgb="FF00FF00"/>
      <rgbColor rgb="FF0000CC"/>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8"/>
  </cols>
  <sheetData>
    <row r="1" customFormat="false" ht="16.15" hidden="false" customHeight="false" outlineLevel="0" collapsed="false">
      <c r="A1" s="1" t="s">
        <v>0</v>
      </c>
    </row>
    <row r="3" customFormat="false" ht="42" hidden="false" customHeight="true" outlineLevel="0" collapsed="false">
      <c r="A3" s="2" t="s">
        <v>1</v>
      </c>
    </row>
    <row r="4" customFormat="false" ht="55.5" hidden="false" customHeight="true" outlineLevel="0" collapsed="false">
      <c r="A4" s="2" t="s">
        <v>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5" min="2" style="0" width="16"/>
  </cols>
  <sheetData>
    <row r="1" customFormat="false" ht="16.15" hidden="false" customHeight="false" outlineLevel="0" collapsed="false">
      <c r="A1" s="1" t="s">
        <v>3</v>
      </c>
    </row>
    <row r="2" customFormat="false" ht="15" hidden="false" customHeight="false" outlineLevel="0" collapsed="false">
      <c r="A2" s="3" t="s">
        <v>4</v>
      </c>
    </row>
    <row r="4" customFormat="false" ht="15" hidden="false" customHeight="false" outlineLevel="0" collapsed="false">
      <c r="A4" s="4" t="s">
        <v>5</v>
      </c>
      <c r="B4" s="5" t="n">
        <v>75000000</v>
      </c>
    </row>
    <row r="5" customFormat="false" ht="15" hidden="false" customHeight="false" outlineLevel="0" collapsed="false">
      <c r="A5" s="4" t="s">
        <v>6</v>
      </c>
      <c r="B5" s="6" t="n">
        <v>0.06291575</v>
      </c>
    </row>
    <row r="6" customFormat="false" ht="15" hidden="false" customHeight="false" outlineLevel="0" collapsed="false">
      <c r="A6" s="4" t="s">
        <v>7</v>
      </c>
      <c r="B6" s="7" t="n">
        <v>0.125</v>
      </c>
    </row>
    <row r="7" customFormat="false" ht="15" hidden="false" customHeight="false" outlineLevel="0" collapsed="false">
      <c r="A7" s="4" t="s">
        <v>8</v>
      </c>
      <c r="B7" s="8" t="n">
        <v>30000000</v>
      </c>
    </row>
    <row r="8" customFormat="false" ht="15" hidden="false" customHeight="false" outlineLevel="0" collapsed="false">
      <c r="A8" s="4" t="s">
        <v>9</v>
      </c>
      <c r="B8" s="9" t="n">
        <v>5</v>
      </c>
    </row>
    <row r="9" customFormat="false" ht="15" hidden="false" customHeight="false" outlineLevel="0" collapsed="false">
      <c r="A9" s="4" t="s">
        <v>10</v>
      </c>
      <c r="B9" s="10" t="n">
        <v>2</v>
      </c>
    </row>
    <row r="11" customFormat="false" ht="15" hidden="false" customHeight="false" outlineLevel="0" collapsed="false">
      <c r="A11" s="4" t="s">
        <v>11</v>
      </c>
      <c r="B11" s="11" t="n">
        <f aca="false">MIN(B7,B4)</f>
        <v>30000000</v>
      </c>
    </row>
    <row r="13" customFormat="false" ht="23.85" hidden="false" customHeight="false" outlineLevel="0" collapsed="false">
      <c r="A13" s="12" t="s">
        <v>12</v>
      </c>
      <c r="B13" s="12" t="s">
        <v>13</v>
      </c>
      <c r="C13" s="12" t="s">
        <v>14</v>
      </c>
      <c r="D13" s="12" t="s">
        <v>15</v>
      </c>
      <c r="E13" s="12" t="s">
        <v>16</v>
      </c>
    </row>
    <row r="14" customFormat="false" ht="15" hidden="false" customHeight="false" outlineLevel="0" collapsed="false">
      <c r="A14" s="10" t="n">
        <v>0</v>
      </c>
      <c r="E14" s="11" t="n">
        <f aca="false">-B27</f>
        <v>-34027089.9153766</v>
      </c>
    </row>
    <row r="15" customFormat="false" ht="15" hidden="false" customHeight="false" outlineLevel="0" collapsed="false">
      <c r="A15" s="10" t="n">
        <v>1</v>
      </c>
      <c r="B15" s="11" t="n">
        <f aca="false">IF(A15&lt;=$B$8-$B$9,$B$4,$B$4-$B$11)</f>
        <v>75000000</v>
      </c>
      <c r="C15" s="11" t="n">
        <f aca="false">B15*$B$5</f>
        <v>4718681.25</v>
      </c>
      <c r="D15" s="11" t="n">
        <f aca="false">IF(A15=10,$B$4-$B$11,0)</f>
        <v>0</v>
      </c>
      <c r="E15" s="11" t="n">
        <f aca="false">C15+D15</f>
        <v>4718681.25</v>
      </c>
    </row>
    <row r="16" customFormat="false" ht="15" hidden="false" customHeight="false" outlineLevel="0" collapsed="false">
      <c r="A16" s="10" t="n">
        <v>2</v>
      </c>
      <c r="B16" s="11" t="n">
        <f aca="false">IF(A16&lt;=$B$8-$B$9,$B$4,$B$4-$B$11)</f>
        <v>75000000</v>
      </c>
      <c r="C16" s="11" t="n">
        <f aca="false">B16*$B$5</f>
        <v>4718681.25</v>
      </c>
      <c r="D16" s="11" t="n">
        <f aca="false">IF(A16=10,$B$4-$B$11,0)</f>
        <v>0</v>
      </c>
      <c r="E16" s="11" t="n">
        <f aca="false">C16+D16</f>
        <v>4718681.25</v>
      </c>
    </row>
    <row r="17" customFormat="false" ht="15" hidden="false" customHeight="false" outlineLevel="0" collapsed="false">
      <c r="A17" s="10" t="n">
        <v>3</v>
      </c>
      <c r="B17" s="11" t="n">
        <f aca="false">IF(A17&lt;=$B$8-$B$9,$B$4,$B$4-$B$11)</f>
        <v>75000000</v>
      </c>
      <c r="C17" s="11" t="n">
        <f aca="false">B17*$B$5</f>
        <v>4718681.25</v>
      </c>
      <c r="D17" s="11" t="n">
        <f aca="false">IF(A17=10,$B$4-$B$11,0)</f>
        <v>0</v>
      </c>
      <c r="E17" s="11" t="n">
        <f aca="false">C17+D17</f>
        <v>4718681.25</v>
      </c>
    </row>
    <row r="18" customFormat="false" ht="15" hidden="false" customHeight="false" outlineLevel="0" collapsed="false">
      <c r="A18" s="10" t="n">
        <v>4</v>
      </c>
      <c r="B18" s="11" t="n">
        <f aca="false">IF(A18&lt;=$B$8-$B$9,$B$4,$B$4-$B$11)</f>
        <v>45000000</v>
      </c>
      <c r="C18" s="11" t="n">
        <f aca="false">B18*$B$5</f>
        <v>2831208.75</v>
      </c>
      <c r="D18" s="11" t="n">
        <f aca="false">IF(A18=10,$B$4-$B$11,0)</f>
        <v>0</v>
      </c>
      <c r="E18" s="11" t="n">
        <f aca="false">C18+D18</f>
        <v>2831208.75</v>
      </c>
    </row>
    <row r="19" customFormat="false" ht="15" hidden="false" customHeight="false" outlineLevel="0" collapsed="false">
      <c r="A19" s="10" t="n">
        <v>5</v>
      </c>
      <c r="B19" s="11" t="n">
        <f aca="false">IF(A19&lt;=$B$8-$B$9,$B$4,$B$4-$B$11)</f>
        <v>45000000</v>
      </c>
      <c r="C19" s="11" t="n">
        <f aca="false">B19*$B$5</f>
        <v>2831208.75</v>
      </c>
      <c r="D19" s="11" t="n">
        <f aca="false">IF(A19=10,$B$4-$B$11,0)</f>
        <v>0</v>
      </c>
      <c r="E19" s="11" t="n">
        <f aca="false">C19+D19</f>
        <v>2831208.75</v>
      </c>
    </row>
    <row r="20" customFormat="false" ht="15" hidden="false" customHeight="false" outlineLevel="0" collapsed="false">
      <c r="A20" s="10" t="n">
        <v>6</v>
      </c>
      <c r="B20" s="11" t="n">
        <f aca="false">IF(A20&lt;=$B$8-$B$9,$B$4,$B$4-$B$11)</f>
        <v>45000000</v>
      </c>
      <c r="C20" s="11" t="n">
        <f aca="false">B20*$B$5</f>
        <v>2831208.75</v>
      </c>
      <c r="D20" s="11" t="n">
        <f aca="false">IF(A20=10,$B$4-$B$11,0)</f>
        <v>0</v>
      </c>
      <c r="E20" s="11" t="n">
        <f aca="false">C20+D20</f>
        <v>2831208.75</v>
      </c>
    </row>
    <row r="21" customFormat="false" ht="15" hidden="false" customHeight="false" outlineLevel="0" collapsed="false">
      <c r="A21" s="10" t="n">
        <v>7</v>
      </c>
      <c r="B21" s="11" t="n">
        <f aca="false">IF(A21&lt;=$B$8-$B$9,$B$4,$B$4-$B$11)</f>
        <v>45000000</v>
      </c>
      <c r="C21" s="11" t="n">
        <f aca="false">B21*$B$5</f>
        <v>2831208.75</v>
      </c>
      <c r="D21" s="11" t="n">
        <f aca="false">IF(A21=10,$B$4-$B$11,0)</f>
        <v>0</v>
      </c>
      <c r="E21" s="11" t="n">
        <f aca="false">C21+D21</f>
        <v>2831208.75</v>
      </c>
    </row>
    <row r="22" customFormat="false" ht="15" hidden="false" customHeight="false" outlineLevel="0" collapsed="false">
      <c r="A22" s="10" t="n">
        <v>8</v>
      </c>
      <c r="B22" s="11" t="n">
        <f aca="false">IF(A22&lt;=$B$8-$B$9,$B$4,$B$4-$B$11)</f>
        <v>45000000</v>
      </c>
      <c r="C22" s="11" t="n">
        <f aca="false">B22*$B$5</f>
        <v>2831208.75</v>
      </c>
      <c r="D22" s="11" t="n">
        <f aca="false">IF(A22=10,$B$4-$B$11,0)</f>
        <v>0</v>
      </c>
      <c r="E22" s="11" t="n">
        <f aca="false">C22+D22</f>
        <v>2831208.75</v>
      </c>
    </row>
    <row r="23" customFormat="false" ht="15" hidden="false" customHeight="false" outlineLevel="0" collapsed="false">
      <c r="A23" s="10" t="n">
        <v>9</v>
      </c>
      <c r="B23" s="11" t="n">
        <f aca="false">IF(A23&lt;=$B$8-$B$9,$B$4,$B$4-$B$11)</f>
        <v>45000000</v>
      </c>
      <c r="C23" s="11" t="n">
        <f aca="false">B23*$B$5</f>
        <v>2831208.75</v>
      </c>
      <c r="D23" s="11" t="n">
        <f aca="false">IF(A23=10,$B$4-$B$11,0)</f>
        <v>0</v>
      </c>
      <c r="E23" s="11" t="n">
        <f aca="false">C23+D23</f>
        <v>2831208.75</v>
      </c>
    </row>
    <row r="24" customFormat="false" ht="15" hidden="false" customHeight="false" outlineLevel="0" collapsed="false">
      <c r="A24" s="10" t="n">
        <v>10</v>
      </c>
      <c r="B24" s="11" t="n">
        <f aca="false">IF(A24&lt;=$B$8-$B$9,$B$4,$B$4-$B$11)</f>
        <v>45000000</v>
      </c>
      <c r="C24" s="11" t="n">
        <f aca="false">B24*$B$5</f>
        <v>2831208.75</v>
      </c>
      <c r="D24" s="11" t="n">
        <f aca="false">IF(A24=10,$B$4-$B$11,0)</f>
        <v>45000000</v>
      </c>
      <c r="E24" s="11" t="n">
        <f aca="false">C24+D24</f>
        <v>47831208.75</v>
      </c>
    </row>
    <row r="26" customFormat="false" ht="15" hidden="false" customHeight="false" outlineLevel="0" collapsed="false">
      <c r="A26" s="4" t="s">
        <v>17</v>
      </c>
      <c r="B26" s="11" t="n">
        <f aca="false">NPV(B6,E15:E24)</f>
        <v>34027089.9153766</v>
      </c>
    </row>
    <row r="27" customFormat="false" ht="15" hidden="false" customHeight="false" outlineLevel="0" collapsed="false">
      <c r="A27" s="4" t="s">
        <v>18</v>
      </c>
      <c r="B27" s="11" t="n">
        <f aca="false">B26</f>
        <v>34027089.9153766</v>
      </c>
    </row>
    <row r="28" customFormat="false" ht="15" hidden="false" customHeight="false" outlineLevel="0" collapsed="false">
      <c r="A28" s="13" t="s">
        <v>19</v>
      </c>
      <c r="B28" s="14" t="n">
        <f aca="false">B26/B4*100</f>
        <v>45.3694532205021</v>
      </c>
    </row>
    <row r="29" customFormat="false" ht="15" hidden="false" customHeight="false" outlineLevel="0" collapsed="false">
      <c r="A29" s="4" t="s">
        <v>20</v>
      </c>
      <c r="B29" s="11" t="n">
        <f aca="false">B4-B26</f>
        <v>40972910.0846234</v>
      </c>
    </row>
    <row r="30" customFormat="false" ht="15" hidden="false" customHeight="false" outlineLevel="0" collapsed="false">
      <c r="A30" s="13" t="s">
        <v>21</v>
      </c>
      <c r="B30" s="15" t="n">
        <f aca="false">IRR(E14:E24)</f>
        <v>0.125</v>
      </c>
    </row>
    <row r="31" customFormat="false" ht="15" hidden="false" customHeight="false" outlineLevel="0" collapsed="false">
      <c r="A31" s="4" t="s">
        <v>22</v>
      </c>
      <c r="B31" s="16" t="n">
        <f aca="false">SUM(E15:E24)/B26</f>
        <v>2.32093032922901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19" min="2" style="0" width="12"/>
  </cols>
  <sheetData>
    <row r="1" customFormat="false" ht="16.15" hidden="false" customHeight="false" outlineLevel="0" collapsed="false">
      <c r="A1" s="1" t="s">
        <v>23</v>
      </c>
    </row>
    <row r="2" customFormat="false" ht="15" hidden="false" customHeight="false" outlineLevel="0" collapsed="false">
      <c r="A2" s="3" t="s">
        <v>24</v>
      </c>
    </row>
    <row r="3" customFormat="false" ht="15" hidden="false" customHeight="false" outlineLevel="0" collapsed="false">
      <c r="A3" s="4" t="s">
        <v>25</v>
      </c>
      <c r="B3" s="5" t="n">
        <v>1000000000</v>
      </c>
    </row>
    <row r="4" customFormat="false" ht="15" hidden="false" customHeight="false" outlineLevel="0" collapsed="false">
      <c r="A4" s="4" t="s">
        <v>26</v>
      </c>
      <c r="B4" s="16" t="n">
        <f aca="false">'Cash flows'!B28</f>
        <v>45.3694532205021</v>
      </c>
    </row>
    <row r="5" customFormat="false" ht="15" hidden="false" customHeight="false" outlineLevel="0" collapsed="false">
      <c r="A5" s="4" t="s">
        <v>27</v>
      </c>
      <c r="B5" s="11" t="n">
        <f aca="false">'Cash flows'!B4</f>
        <v>75000000</v>
      </c>
    </row>
    <row r="6" customFormat="false" ht="15" hidden="false" customHeight="false" outlineLevel="0" collapsed="false">
      <c r="A6" s="4" t="s">
        <v>6</v>
      </c>
      <c r="B6" s="17" t="n">
        <f aca="false">'Cash flows'!B5</f>
        <v>0.06291575</v>
      </c>
    </row>
    <row r="7" customFormat="false" ht="15" hidden="false" customHeight="false" outlineLevel="0" collapsed="false">
      <c r="A7" s="4" t="s">
        <v>7</v>
      </c>
      <c r="B7" s="18" t="n">
        <f aca="false">'Cash flows'!B6</f>
        <v>0.125</v>
      </c>
    </row>
    <row r="9" customFormat="false" ht="35.05" hidden="false" customHeight="false" outlineLevel="0" collapsed="false">
      <c r="A9" s="12" t="s">
        <v>28</v>
      </c>
      <c r="B9" s="12" t="s">
        <v>29</v>
      </c>
      <c r="C9" s="12" t="s">
        <v>30</v>
      </c>
      <c r="D9" s="12" t="s">
        <v>31</v>
      </c>
      <c r="E9" s="12" t="s">
        <v>32</v>
      </c>
      <c r="F9" s="12" t="s">
        <v>33</v>
      </c>
      <c r="G9" s="12" t="s">
        <v>34</v>
      </c>
      <c r="H9" s="12" t="s">
        <v>35</v>
      </c>
      <c r="I9" s="12" t="s">
        <v>36</v>
      </c>
      <c r="J9" s="12" t="s">
        <v>37</v>
      </c>
      <c r="K9" s="12" t="s">
        <v>38</v>
      </c>
      <c r="L9" s="12" t="s">
        <v>39</v>
      </c>
      <c r="M9" s="12" t="s">
        <v>40</v>
      </c>
      <c r="N9" s="12" t="s">
        <v>41</v>
      </c>
      <c r="O9" s="12" t="s">
        <v>42</v>
      </c>
      <c r="P9" s="12" t="s">
        <v>43</v>
      </c>
      <c r="Q9" s="12" t="s">
        <v>44</v>
      </c>
      <c r="R9" s="12" t="s">
        <v>45</v>
      </c>
      <c r="S9" s="12" t="s">
        <v>46</v>
      </c>
    </row>
    <row r="10" customFormat="false" ht="15" hidden="false" customHeight="false" outlineLevel="0" collapsed="false">
      <c r="A10" s="4" t="s">
        <v>47</v>
      </c>
      <c r="B10" s="19" t="n">
        <v>0.02</v>
      </c>
      <c r="C10" s="10" t="n">
        <v>2</v>
      </c>
      <c r="D10" s="10" t="n">
        <v>2</v>
      </c>
      <c r="E10" s="11" t="n">
        <f aca="false">MIN(B10*$B$3,$B$5)</f>
        <v>20000000</v>
      </c>
      <c r="F10" s="11" t="n">
        <f aca="false">-$B$5*$B$4/100</f>
        <v>-34027089.9153766</v>
      </c>
      <c r="G10" s="11" t="n">
        <f aca="false">IF(1&lt;=$C10-$D10,$B$5,$B$5-$E10)*$B$6+IF(1=10,$B$5-$E10,0)</f>
        <v>3460366.25</v>
      </c>
      <c r="H10" s="11" t="n">
        <f aca="false">IF(2&lt;=$C10-$D10,$B$5,$B$5-$E10)*$B$6+IF(2=10,$B$5-$E10,0)</f>
        <v>3460366.25</v>
      </c>
      <c r="I10" s="11" t="n">
        <f aca="false">IF(3&lt;=$C10-$D10,$B$5,$B$5-$E10)*$B$6+IF(3=10,$B$5-$E10,0)</f>
        <v>3460366.25</v>
      </c>
      <c r="J10" s="11" t="n">
        <f aca="false">IF(4&lt;=$C10-$D10,$B$5,$B$5-$E10)*$B$6+IF(4=10,$B$5-$E10,0)</f>
        <v>3460366.25</v>
      </c>
      <c r="K10" s="11" t="n">
        <f aca="false">IF(5&lt;=$C10-$D10,$B$5,$B$5-$E10)*$B$6+IF(5=10,$B$5-$E10,0)</f>
        <v>3460366.25</v>
      </c>
      <c r="L10" s="11" t="n">
        <f aca="false">IF(6&lt;=$C10-$D10,$B$5,$B$5-$E10)*$B$6+IF(6=10,$B$5-$E10,0)</f>
        <v>3460366.25</v>
      </c>
      <c r="M10" s="11" t="n">
        <f aca="false">IF(7&lt;=$C10-$D10,$B$5,$B$5-$E10)*$B$6+IF(7=10,$B$5-$E10,0)</f>
        <v>3460366.25</v>
      </c>
      <c r="N10" s="11" t="n">
        <f aca="false">IF(8&lt;=$C10-$D10,$B$5,$B$5-$E10)*$B$6+IF(8=10,$B$5-$E10,0)</f>
        <v>3460366.25</v>
      </c>
      <c r="O10" s="11" t="n">
        <f aca="false">IF(9&lt;=$C10-$D10,$B$5,$B$5-$E10)*$B$6+IF(9=10,$B$5-$E10,0)</f>
        <v>3460366.25</v>
      </c>
      <c r="P10" s="11" t="n">
        <f aca="false">IF(10&lt;=$C10-$D10,$B$5,$B$5-$E10)*$B$6+IF(10=10,$B$5-$E10,0)</f>
        <v>58460366.25</v>
      </c>
      <c r="Q10" s="15" t="n">
        <f aca="false">IRR(F10:P10,IF(SUM(F10:P10)&lt;0,-0.2,0.1))</f>
        <v>0.134442143080954</v>
      </c>
      <c r="R10" s="16" t="n">
        <f aca="false">SUM(G10:P10)/-F10</f>
        <v>2.63330372132437</v>
      </c>
      <c r="S10" s="16" t="n">
        <f aca="false">NPV($B$7,G10:P10)/$B$5*100</f>
        <v>48.1268219623848</v>
      </c>
    </row>
    <row r="11" customFormat="false" ht="15" hidden="false" customHeight="false" outlineLevel="0" collapsed="false">
      <c r="A11" s="4" t="s">
        <v>48</v>
      </c>
      <c r="B11" s="19" t="n">
        <v>0.02</v>
      </c>
      <c r="C11" s="10" t="n">
        <v>5</v>
      </c>
      <c r="D11" s="10" t="n">
        <v>2</v>
      </c>
      <c r="E11" s="11" t="n">
        <f aca="false">MIN(B11*$B$3,$B$5)</f>
        <v>20000000</v>
      </c>
      <c r="F11" s="11" t="n">
        <f aca="false">-$B$5*$B$4/100</f>
        <v>-34027089.9153766</v>
      </c>
      <c r="G11" s="11" t="n">
        <f aca="false">IF(1&lt;=$C11-$D11,$B$5,$B$5-$E11)*$B$6+IF(1=10,$B$5-$E11,0)</f>
        <v>4718681.25</v>
      </c>
      <c r="H11" s="11" t="n">
        <f aca="false">IF(2&lt;=$C11-$D11,$B$5,$B$5-$E11)*$B$6+IF(2=10,$B$5-$E11,0)</f>
        <v>4718681.25</v>
      </c>
      <c r="I11" s="11" t="n">
        <f aca="false">IF(3&lt;=$C11-$D11,$B$5,$B$5-$E11)*$B$6+IF(3=10,$B$5-$E11,0)</f>
        <v>4718681.25</v>
      </c>
      <c r="J11" s="11" t="n">
        <f aca="false">IF(4&lt;=$C11-$D11,$B$5,$B$5-$E11)*$B$6+IF(4=10,$B$5-$E11,0)</f>
        <v>3460366.25</v>
      </c>
      <c r="K11" s="11" t="n">
        <f aca="false">IF(5&lt;=$C11-$D11,$B$5,$B$5-$E11)*$B$6+IF(5=10,$B$5-$E11,0)</f>
        <v>3460366.25</v>
      </c>
      <c r="L11" s="11" t="n">
        <f aca="false">IF(6&lt;=$C11-$D11,$B$5,$B$5-$E11)*$B$6+IF(6=10,$B$5-$E11,0)</f>
        <v>3460366.25</v>
      </c>
      <c r="M11" s="11" t="n">
        <f aca="false">IF(7&lt;=$C11-$D11,$B$5,$B$5-$E11)*$B$6+IF(7=10,$B$5-$E11,0)</f>
        <v>3460366.25</v>
      </c>
      <c r="N11" s="11" t="n">
        <f aca="false">IF(8&lt;=$C11-$D11,$B$5,$B$5-$E11)*$B$6+IF(8=10,$B$5-$E11,0)</f>
        <v>3460366.25</v>
      </c>
      <c r="O11" s="11" t="n">
        <f aca="false">IF(9&lt;=$C11-$D11,$B$5,$B$5-$E11)*$B$6+IF(9=10,$B$5-$E11,0)</f>
        <v>3460366.25</v>
      </c>
      <c r="P11" s="11" t="n">
        <f aca="false">IF(10&lt;=$C11-$D11,$B$5,$B$5-$E11)*$B$6+IF(10=10,$B$5-$E11,0)</f>
        <v>58460366.25</v>
      </c>
      <c r="Q11" s="15" t="n">
        <f aca="false">IRR(F11:P11,IF(SUM(F11:P11)&lt;0,-0.2,0.1))</f>
        <v>0.148988560816648</v>
      </c>
      <c r="R11" s="16" t="n">
        <f aca="false">SUM(G11:P11)/-F11</f>
        <v>2.74424312311829</v>
      </c>
      <c r="S11" s="16" t="n">
        <f aca="false">NPV($B$7,G11:P11)/$B$5*100</f>
        <v>52.1221303117218</v>
      </c>
    </row>
    <row r="12" customFormat="false" ht="15" hidden="false" customHeight="false" outlineLevel="0" collapsed="false">
      <c r="A12" s="4" t="s">
        <v>49</v>
      </c>
      <c r="B12" s="19" t="n">
        <v>0.02</v>
      </c>
      <c r="C12" s="10" t="n">
        <v>8</v>
      </c>
      <c r="D12" s="10" t="n">
        <v>2</v>
      </c>
      <c r="E12" s="11" t="n">
        <f aca="false">MIN(B12*$B$3,$B$5)</f>
        <v>20000000</v>
      </c>
      <c r="F12" s="11" t="n">
        <f aca="false">-$B$5*$B$4/100</f>
        <v>-34027089.9153766</v>
      </c>
      <c r="G12" s="11" t="n">
        <f aca="false">IF(1&lt;=$C12-$D12,$B$5,$B$5-$E12)*$B$6+IF(1=10,$B$5-$E12,0)</f>
        <v>4718681.25</v>
      </c>
      <c r="H12" s="11" t="n">
        <f aca="false">IF(2&lt;=$C12-$D12,$B$5,$B$5-$E12)*$B$6+IF(2=10,$B$5-$E12,0)</f>
        <v>4718681.25</v>
      </c>
      <c r="I12" s="11" t="n">
        <f aca="false">IF(3&lt;=$C12-$D12,$B$5,$B$5-$E12)*$B$6+IF(3=10,$B$5-$E12,0)</f>
        <v>4718681.25</v>
      </c>
      <c r="J12" s="11" t="n">
        <f aca="false">IF(4&lt;=$C12-$D12,$B$5,$B$5-$E12)*$B$6+IF(4=10,$B$5-$E12,0)</f>
        <v>4718681.25</v>
      </c>
      <c r="K12" s="11" t="n">
        <f aca="false">IF(5&lt;=$C12-$D12,$B$5,$B$5-$E12)*$B$6+IF(5=10,$B$5-$E12,0)</f>
        <v>4718681.25</v>
      </c>
      <c r="L12" s="11" t="n">
        <f aca="false">IF(6&lt;=$C12-$D12,$B$5,$B$5-$E12)*$B$6+IF(6=10,$B$5-$E12,0)</f>
        <v>4718681.25</v>
      </c>
      <c r="M12" s="11" t="n">
        <f aca="false">IF(7&lt;=$C12-$D12,$B$5,$B$5-$E12)*$B$6+IF(7=10,$B$5-$E12,0)</f>
        <v>3460366.25</v>
      </c>
      <c r="N12" s="11" t="n">
        <f aca="false">IF(8&lt;=$C12-$D12,$B$5,$B$5-$E12)*$B$6+IF(8=10,$B$5-$E12,0)</f>
        <v>3460366.25</v>
      </c>
      <c r="O12" s="11" t="n">
        <f aca="false">IF(9&lt;=$C12-$D12,$B$5,$B$5-$E12)*$B$6+IF(9=10,$B$5-$E12,0)</f>
        <v>3460366.25</v>
      </c>
      <c r="P12" s="11" t="n">
        <f aca="false">IF(10&lt;=$C12-$D12,$B$5,$B$5-$E12)*$B$6+IF(10=10,$B$5-$E12,0)</f>
        <v>58460366.25</v>
      </c>
      <c r="Q12" s="15" t="n">
        <f aca="false">IRR(F12:P12,IF(SUM(F12:P12)&lt;0,-0.2,0.1))</f>
        <v>0.158915873807329</v>
      </c>
      <c r="R12" s="16" t="n">
        <f aca="false">SUM(G12:P12)/-F12</f>
        <v>2.85518252491222</v>
      </c>
      <c r="S12" s="16" t="n">
        <f aca="false">NPV($B$7,G12:P12)/$B$5*100</f>
        <v>54.9281630618734</v>
      </c>
    </row>
    <row r="13" customFormat="false" ht="15" hidden="false" customHeight="false" outlineLevel="0" collapsed="false">
      <c r="A13" s="4" t="s">
        <v>50</v>
      </c>
      <c r="B13" s="19" t="n">
        <v>0.03</v>
      </c>
      <c r="C13" s="10" t="n">
        <v>2</v>
      </c>
      <c r="D13" s="10" t="n">
        <v>2</v>
      </c>
      <c r="E13" s="11" t="n">
        <f aca="false">MIN(B13*$B$3,$B$5)</f>
        <v>30000000</v>
      </c>
      <c r="F13" s="11" t="n">
        <f aca="false">-$B$5*$B$4/100</f>
        <v>-34027089.9153766</v>
      </c>
      <c r="G13" s="11" t="n">
        <f aca="false">IF(1&lt;=$C13-$D13,$B$5,$B$5-$E13)*$B$6+IF(1=10,$B$5-$E13,0)</f>
        <v>2831208.75</v>
      </c>
      <c r="H13" s="11" t="n">
        <f aca="false">IF(2&lt;=$C13-$D13,$B$5,$B$5-$E13)*$B$6+IF(2=10,$B$5-$E13,0)</f>
        <v>2831208.75</v>
      </c>
      <c r="I13" s="11" t="n">
        <f aca="false">IF(3&lt;=$C13-$D13,$B$5,$B$5-$E13)*$B$6+IF(3=10,$B$5-$E13,0)</f>
        <v>2831208.75</v>
      </c>
      <c r="J13" s="11" t="n">
        <f aca="false">IF(4&lt;=$C13-$D13,$B$5,$B$5-$E13)*$B$6+IF(4=10,$B$5-$E13,0)</f>
        <v>2831208.75</v>
      </c>
      <c r="K13" s="11" t="n">
        <f aca="false">IF(5&lt;=$C13-$D13,$B$5,$B$5-$E13)*$B$6+IF(5=10,$B$5-$E13,0)</f>
        <v>2831208.75</v>
      </c>
      <c r="L13" s="11" t="n">
        <f aca="false">IF(6&lt;=$C13-$D13,$B$5,$B$5-$E13)*$B$6+IF(6=10,$B$5-$E13,0)</f>
        <v>2831208.75</v>
      </c>
      <c r="M13" s="11" t="n">
        <f aca="false">IF(7&lt;=$C13-$D13,$B$5,$B$5-$E13)*$B$6+IF(7=10,$B$5-$E13,0)</f>
        <v>2831208.75</v>
      </c>
      <c r="N13" s="11" t="n">
        <f aca="false">IF(8&lt;=$C13-$D13,$B$5,$B$5-$E13)*$B$6+IF(8=10,$B$5-$E13,0)</f>
        <v>2831208.75</v>
      </c>
      <c r="O13" s="11" t="n">
        <f aca="false">IF(9&lt;=$C13-$D13,$B$5,$B$5-$E13)*$B$6+IF(9=10,$B$5-$E13,0)</f>
        <v>2831208.75</v>
      </c>
      <c r="P13" s="11" t="n">
        <f aca="false">IF(10&lt;=$C13-$D13,$B$5,$B$5-$E13)*$B$6+IF(10=10,$B$5-$E13,0)</f>
        <v>47831208.75</v>
      </c>
      <c r="Q13" s="15" t="n">
        <f aca="false">IRR(F13:P13,IF(SUM(F13:P13)&lt;0,-0.2,0.1))</f>
        <v>0.103136202887252</v>
      </c>
      <c r="R13" s="16" t="n">
        <f aca="false">SUM(G13:P13)/-F13</f>
        <v>2.15452122653812</v>
      </c>
      <c r="S13" s="16" t="n">
        <f aca="false">NPV($B$7,G13:P13)/$B$5*100</f>
        <v>39.3764906964966</v>
      </c>
    </row>
    <row r="14" customFormat="false" ht="15" hidden="false" customHeight="false" outlineLevel="0" collapsed="false">
      <c r="A14" s="4" t="s">
        <v>51</v>
      </c>
      <c r="B14" s="19" t="n">
        <v>0.03</v>
      </c>
      <c r="C14" s="10" t="n">
        <v>5</v>
      </c>
      <c r="D14" s="10" t="n">
        <v>2</v>
      </c>
      <c r="E14" s="11" t="n">
        <f aca="false">MIN(B14*$B$3,$B$5)</f>
        <v>30000000</v>
      </c>
      <c r="F14" s="11" t="n">
        <f aca="false">-$B$5*$B$4/100</f>
        <v>-34027089.9153766</v>
      </c>
      <c r="G14" s="11" t="n">
        <f aca="false">IF(1&lt;=$C14-$D14,$B$5,$B$5-$E14)*$B$6+IF(1=10,$B$5-$E14,0)</f>
        <v>4718681.25</v>
      </c>
      <c r="H14" s="11" t="n">
        <f aca="false">IF(2&lt;=$C14-$D14,$B$5,$B$5-$E14)*$B$6+IF(2=10,$B$5-$E14,0)</f>
        <v>4718681.25</v>
      </c>
      <c r="I14" s="11" t="n">
        <f aca="false">IF(3&lt;=$C14-$D14,$B$5,$B$5-$E14)*$B$6+IF(3=10,$B$5-$E14,0)</f>
        <v>4718681.25</v>
      </c>
      <c r="J14" s="11" t="n">
        <f aca="false">IF(4&lt;=$C14-$D14,$B$5,$B$5-$E14)*$B$6+IF(4=10,$B$5-$E14,0)</f>
        <v>2831208.75</v>
      </c>
      <c r="K14" s="11" t="n">
        <f aca="false">IF(5&lt;=$C14-$D14,$B$5,$B$5-$E14)*$B$6+IF(5=10,$B$5-$E14,0)</f>
        <v>2831208.75</v>
      </c>
      <c r="L14" s="11" t="n">
        <f aca="false">IF(6&lt;=$C14-$D14,$B$5,$B$5-$E14)*$B$6+IF(6=10,$B$5-$E14,0)</f>
        <v>2831208.75</v>
      </c>
      <c r="M14" s="11" t="n">
        <f aca="false">IF(7&lt;=$C14-$D14,$B$5,$B$5-$E14)*$B$6+IF(7=10,$B$5-$E14,0)</f>
        <v>2831208.75</v>
      </c>
      <c r="N14" s="11" t="n">
        <f aca="false">IF(8&lt;=$C14-$D14,$B$5,$B$5-$E14)*$B$6+IF(8=10,$B$5-$E14,0)</f>
        <v>2831208.75</v>
      </c>
      <c r="O14" s="11" t="n">
        <f aca="false">IF(9&lt;=$C14-$D14,$B$5,$B$5-$E14)*$B$6+IF(9=10,$B$5-$E14,0)</f>
        <v>2831208.75</v>
      </c>
      <c r="P14" s="11" t="n">
        <f aca="false">IF(10&lt;=$C14-$D14,$B$5,$B$5-$E14)*$B$6+IF(10=10,$B$5-$E14,0)</f>
        <v>47831208.75</v>
      </c>
      <c r="Q14" s="15" t="n">
        <f aca="false">IRR(F14:P14,IF(SUM(F14:P14)&lt;0,-0.2,0.1))</f>
        <v>0.125</v>
      </c>
      <c r="R14" s="16" t="n">
        <f aca="false">SUM(G14:P14)/-F14</f>
        <v>2.32093032922901</v>
      </c>
      <c r="S14" s="16" t="n">
        <f aca="false">NPV($B$7,G14:P14)/$B$5*100</f>
        <v>45.3694532205021</v>
      </c>
    </row>
    <row r="15" customFormat="false" ht="15" hidden="false" customHeight="false" outlineLevel="0" collapsed="false">
      <c r="A15" s="4" t="s">
        <v>52</v>
      </c>
      <c r="B15" s="19" t="n">
        <v>0.03</v>
      </c>
      <c r="C15" s="10" t="n">
        <v>8</v>
      </c>
      <c r="D15" s="10" t="n">
        <v>2</v>
      </c>
      <c r="E15" s="11" t="n">
        <f aca="false">MIN(B15*$B$3,$B$5)</f>
        <v>30000000</v>
      </c>
      <c r="F15" s="11" t="n">
        <f aca="false">-$B$5*$B$4/100</f>
        <v>-34027089.9153766</v>
      </c>
      <c r="G15" s="11" t="n">
        <f aca="false">IF(1&lt;=$C15-$D15,$B$5,$B$5-$E15)*$B$6+IF(1=10,$B$5-$E15,0)</f>
        <v>4718681.25</v>
      </c>
      <c r="H15" s="11" t="n">
        <f aca="false">IF(2&lt;=$C15-$D15,$B$5,$B$5-$E15)*$B$6+IF(2=10,$B$5-$E15,0)</f>
        <v>4718681.25</v>
      </c>
      <c r="I15" s="11" t="n">
        <f aca="false">IF(3&lt;=$C15-$D15,$B$5,$B$5-$E15)*$B$6+IF(3=10,$B$5-$E15,0)</f>
        <v>4718681.25</v>
      </c>
      <c r="J15" s="11" t="n">
        <f aca="false">IF(4&lt;=$C15-$D15,$B$5,$B$5-$E15)*$B$6+IF(4=10,$B$5-$E15,0)</f>
        <v>4718681.25</v>
      </c>
      <c r="K15" s="11" t="n">
        <f aca="false">IF(5&lt;=$C15-$D15,$B$5,$B$5-$E15)*$B$6+IF(5=10,$B$5-$E15,0)</f>
        <v>4718681.25</v>
      </c>
      <c r="L15" s="11" t="n">
        <f aca="false">IF(6&lt;=$C15-$D15,$B$5,$B$5-$E15)*$B$6+IF(6=10,$B$5-$E15,0)</f>
        <v>4718681.25</v>
      </c>
      <c r="M15" s="11" t="n">
        <f aca="false">IF(7&lt;=$C15-$D15,$B$5,$B$5-$E15)*$B$6+IF(7=10,$B$5-$E15,0)</f>
        <v>2831208.75</v>
      </c>
      <c r="N15" s="11" t="n">
        <f aca="false">IF(8&lt;=$C15-$D15,$B$5,$B$5-$E15)*$B$6+IF(8=10,$B$5-$E15,0)</f>
        <v>2831208.75</v>
      </c>
      <c r="O15" s="11" t="n">
        <f aca="false">IF(9&lt;=$C15-$D15,$B$5,$B$5-$E15)*$B$6+IF(9=10,$B$5-$E15,0)</f>
        <v>2831208.75</v>
      </c>
      <c r="P15" s="11" t="n">
        <f aca="false">IF(10&lt;=$C15-$D15,$B$5,$B$5-$E15)*$B$6+IF(10=10,$B$5-$E15,0)</f>
        <v>47831208.75</v>
      </c>
      <c r="Q15" s="15" t="n">
        <f aca="false">IRR(F15:P15,IF(SUM(F15:P15)&lt;0,-0.2,0.1))</f>
        <v>0.141194809012937</v>
      </c>
      <c r="R15" s="16" t="n">
        <f aca="false">SUM(G15:P15)/-F15</f>
        <v>2.4873394319199</v>
      </c>
      <c r="S15" s="16" t="n">
        <f aca="false">NPV($B$7,G15:P15)/$B$5*100</f>
        <v>49.5785023457296</v>
      </c>
    </row>
    <row r="16" customFormat="false" ht="15" hidden="false" customHeight="false" outlineLevel="0" collapsed="false">
      <c r="A16" s="4" t="s">
        <v>53</v>
      </c>
      <c r="B16" s="19" t="n">
        <v>0.04</v>
      </c>
      <c r="C16" s="10" t="n">
        <v>2</v>
      </c>
      <c r="D16" s="10" t="n">
        <v>2</v>
      </c>
      <c r="E16" s="11" t="n">
        <f aca="false">MIN(B16*$B$3,$B$5)</f>
        <v>40000000</v>
      </c>
      <c r="F16" s="11" t="n">
        <f aca="false">-$B$5*$B$4/100</f>
        <v>-34027089.9153766</v>
      </c>
      <c r="G16" s="11" t="n">
        <f aca="false">IF(1&lt;=$C16-$D16,$B$5,$B$5-$E16)*$B$6+IF(1=10,$B$5-$E16,0)</f>
        <v>2202051.25</v>
      </c>
      <c r="H16" s="11" t="n">
        <f aca="false">IF(2&lt;=$C16-$D16,$B$5,$B$5-$E16)*$B$6+IF(2=10,$B$5-$E16,0)</f>
        <v>2202051.25</v>
      </c>
      <c r="I16" s="11" t="n">
        <f aca="false">IF(3&lt;=$C16-$D16,$B$5,$B$5-$E16)*$B$6+IF(3=10,$B$5-$E16,0)</f>
        <v>2202051.25</v>
      </c>
      <c r="J16" s="11" t="n">
        <f aca="false">IF(4&lt;=$C16-$D16,$B$5,$B$5-$E16)*$B$6+IF(4=10,$B$5-$E16,0)</f>
        <v>2202051.25</v>
      </c>
      <c r="K16" s="11" t="n">
        <f aca="false">IF(5&lt;=$C16-$D16,$B$5,$B$5-$E16)*$B$6+IF(5=10,$B$5-$E16,0)</f>
        <v>2202051.25</v>
      </c>
      <c r="L16" s="11" t="n">
        <f aca="false">IF(6&lt;=$C16-$D16,$B$5,$B$5-$E16)*$B$6+IF(6=10,$B$5-$E16,0)</f>
        <v>2202051.25</v>
      </c>
      <c r="M16" s="11" t="n">
        <f aca="false">IF(7&lt;=$C16-$D16,$B$5,$B$5-$E16)*$B$6+IF(7=10,$B$5-$E16,0)</f>
        <v>2202051.25</v>
      </c>
      <c r="N16" s="11" t="n">
        <f aca="false">IF(8&lt;=$C16-$D16,$B$5,$B$5-$E16)*$B$6+IF(8=10,$B$5-$E16,0)</f>
        <v>2202051.25</v>
      </c>
      <c r="O16" s="11" t="n">
        <f aca="false">IF(9&lt;=$C16-$D16,$B$5,$B$5-$E16)*$B$6+IF(9=10,$B$5-$E16,0)</f>
        <v>2202051.25</v>
      </c>
      <c r="P16" s="11" t="n">
        <f aca="false">IF(10&lt;=$C16-$D16,$B$5,$B$5-$E16)*$B$6+IF(10=10,$B$5-$E16,0)</f>
        <v>37202051.25</v>
      </c>
      <c r="Q16" s="15" t="n">
        <f aca="false">IRR(F16:P16,IF(SUM(F16:P16)&lt;0,-0.2,0.1))</f>
        <v>0.0668154195779116</v>
      </c>
      <c r="R16" s="16" t="n">
        <f aca="false">SUM(G16:P16)/-F16</f>
        <v>1.67573873175187</v>
      </c>
      <c r="S16" s="16" t="n">
        <f aca="false">NPV($B$7,G16:P16)/$B$5*100</f>
        <v>30.6261594306085</v>
      </c>
    </row>
    <row r="17" customFormat="false" ht="15" hidden="false" customHeight="false" outlineLevel="0" collapsed="false">
      <c r="A17" s="4" t="s">
        <v>54</v>
      </c>
      <c r="B17" s="19" t="n">
        <v>0.04</v>
      </c>
      <c r="C17" s="10" t="n">
        <v>5</v>
      </c>
      <c r="D17" s="10" t="n">
        <v>2</v>
      </c>
      <c r="E17" s="11" t="n">
        <f aca="false">MIN(B17*$B$3,$B$5)</f>
        <v>40000000</v>
      </c>
      <c r="F17" s="11" t="n">
        <f aca="false">-$B$5*$B$4/100</f>
        <v>-34027089.9153766</v>
      </c>
      <c r="G17" s="11" t="n">
        <f aca="false">IF(1&lt;=$C17-$D17,$B$5,$B$5-$E17)*$B$6+IF(1=10,$B$5-$E17,0)</f>
        <v>4718681.25</v>
      </c>
      <c r="H17" s="11" t="n">
        <f aca="false">IF(2&lt;=$C17-$D17,$B$5,$B$5-$E17)*$B$6+IF(2=10,$B$5-$E17,0)</f>
        <v>4718681.25</v>
      </c>
      <c r="I17" s="11" t="n">
        <f aca="false">IF(3&lt;=$C17-$D17,$B$5,$B$5-$E17)*$B$6+IF(3=10,$B$5-$E17,0)</f>
        <v>4718681.25</v>
      </c>
      <c r="J17" s="11" t="n">
        <f aca="false">IF(4&lt;=$C17-$D17,$B$5,$B$5-$E17)*$B$6+IF(4=10,$B$5-$E17,0)</f>
        <v>2202051.25</v>
      </c>
      <c r="K17" s="11" t="n">
        <f aca="false">IF(5&lt;=$C17-$D17,$B$5,$B$5-$E17)*$B$6+IF(5=10,$B$5-$E17,0)</f>
        <v>2202051.25</v>
      </c>
      <c r="L17" s="11" t="n">
        <f aca="false">IF(6&lt;=$C17-$D17,$B$5,$B$5-$E17)*$B$6+IF(6=10,$B$5-$E17,0)</f>
        <v>2202051.25</v>
      </c>
      <c r="M17" s="11" t="n">
        <f aca="false">IF(7&lt;=$C17-$D17,$B$5,$B$5-$E17)*$B$6+IF(7=10,$B$5-$E17,0)</f>
        <v>2202051.25</v>
      </c>
      <c r="N17" s="11" t="n">
        <f aca="false">IF(8&lt;=$C17-$D17,$B$5,$B$5-$E17)*$B$6+IF(8=10,$B$5-$E17,0)</f>
        <v>2202051.25</v>
      </c>
      <c r="O17" s="11" t="n">
        <f aca="false">IF(9&lt;=$C17-$D17,$B$5,$B$5-$E17)*$B$6+IF(9=10,$B$5-$E17,0)</f>
        <v>2202051.25</v>
      </c>
      <c r="P17" s="11" t="n">
        <f aca="false">IF(10&lt;=$C17-$D17,$B$5,$B$5-$E17)*$B$6+IF(10=10,$B$5-$E17,0)</f>
        <v>37202051.25</v>
      </c>
      <c r="Q17" s="15" t="n">
        <f aca="false">IRR(F17:P17,IF(SUM(F17:P17)&lt;0,-0.2,0.1))</f>
        <v>0.0961850578366838</v>
      </c>
      <c r="R17" s="16" t="n">
        <f aca="false">SUM(G17:P17)/-F17</f>
        <v>1.89761753533972</v>
      </c>
      <c r="S17" s="16" t="n">
        <f aca="false">NPV($B$7,G17:P17)/$B$5*100</f>
        <v>38.6167761292825</v>
      </c>
    </row>
    <row r="18" customFormat="false" ht="15" hidden="false" customHeight="false" outlineLevel="0" collapsed="false">
      <c r="A18" s="4" t="s">
        <v>55</v>
      </c>
      <c r="B18" s="19" t="n">
        <v>0.04</v>
      </c>
      <c r="C18" s="10" t="n">
        <v>8</v>
      </c>
      <c r="D18" s="10" t="n">
        <v>2</v>
      </c>
      <c r="E18" s="11" t="n">
        <f aca="false">MIN(B18*$B$3,$B$5)</f>
        <v>40000000</v>
      </c>
      <c r="F18" s="11" t="n">
        <f aca="false">-$B$5*$B$4/100</f>
        <v>-34027089.9153766</v>
      </c>
      <c r="G18" s="11" t="n">
        <f aca="false">IF(1&lt;=$C18-$D18,$B$5,$B$5-$E18)*$B$6+IF(1=10,$B$5-$E18,0)</f>
        <v>4718681.25</v>
      </c>
      <c r="H18" s="11" t="n">
        <f aca="false">IF(2&lt;=$C18-$D18,$B$5,$B$5-$E18)*$B$6+IF(2=10,$B$5-$E18,0)</f>
        <v>4718681.25</v>
      </c>
      <c r="I18" s="11" t="n">
        <f aca="false">IF(3&lt;=$C18-$D18,$B$5,$B$5-$E18)*$B$6+IF(3=10,$B$5-$E18,0)</f>
        <v>4718681.25</v>
      </c>
      <c r="J18" s="11" t="n">
        <f aca="false">IF(4&lt;=$C18-$D18,$B$5,$B$5-$E18)*$B$6+IF(4=10,$B$5-$E18,0)</f>
        <v>4718681.25</v>
      </c>
      <c r="K18" s="11" t="n">
        <f aca="false">IF(5&lt;=$C18-$D18,$B$5,$B$5-$E18)*$B$6+IF(5=10,$B$5-$E18,0)</f>
        <v>4718681.25</v>
      </c>
      <c r="L18" s="11" t="n">
        <f aca="false">IF(6&lt;=$C18-$D18,$B$5,$B$5-$E18)*$B$6+IF(6=10,$B$5-$E18,0)</f>
        <v>4718681.25</v>
      </c>
      <c r="M18" s="11" t="n">
        <f aca="false">IF(7&lt;=$C18-$D18,$B$5,$B$5-$E18)*$B$6+IF(7=10,$B$5-$E18,0)</f>
        <v>2202051.25</v>
      </c>
      <c r="N18" s="11" t="n">
        <f aca="false">IF(8&lt;=$C18-$D18,$B$5,$B$5-$E18)*$B$6+IF(8=10,$B$5-$E18,0)</f>
        <v>2202051.25</v>
      </c>
      <c r="O18" s="11" t="n">
        <f aca="false">IF(9&lt;=$C18-$D18,$B$5,$B$5-$E18)*$B$6+IF(9=10,$B$5-$E18,0)</f>
        <v>2202051.25</v>
      </c>
      <c r="P18" s="11" t="n">
        <f aca="false">IF(10&lt;=$C18-$D18,$B$5,$B$5-$E18)*$B$6+IF(10=10,$B$5-$E18,0)</f>
        <v>37202051.25</v>
      </c>
      <c r="Q18" s="15" t="n">
        <f aca="false">IRR(F18:P18,IF(SUM(F18:P18)&lt;0,-0.2,0.1))</f>
        <v>0.120171224820955</v>
      </c>
      <c r="R18" s="16" t="n">
        <f aca="false">SUM(G18:P18)/-F18</f>
        <v>2.11949633892757</v>
      </c>
      <c r="S18" s="16" t="n">
        <f aca="false">NPV($B$7,G18:P18)/$B$5*100</f>
        <v>44.2288416295857</v>
      </c>
    </row>
    <row r="19" customFormat="false" ht="15" hidden="false" customHeight="false" outlineLevel="0" collapsed="false">
      <c r="A19" s="4" t="s">
        <v>56</v>
      </c>
      <c r="B19" s="19" t="n">
        <v>0.055</v>
      </c>
      <c r="C19" s="10" t="n">
        <v>2</v>
      </c>
      <c r="D19" s="10" t="n">
        <v>2</v>
      </c>
      <c r="E19" s="11" t="n">
        <f aca="false">MIN(B19*$B$3,$B$5)</f>
        <v>55000000</v>
      </c>
      <c r="F19" s="11" t="n">
        <f aca="false">-$B$5*$B$4/100</f>
        <v>-34027089.9153766</v>
      </c>
      <c r="G19" s="11" t="n">
        <f aca="false">IF(1&lt;=$C19-$D19,$B$5,$B$5-$E19)*$B$6+IF(1=10,$B$5-$E19,0)</f>
        <v>1258315</v>
      </c>
      <c r="H19" s="11" t="n">
        <f aca="false">IF(2&lt;=$C19-$D19,$B$5,$B$5-$E19)*$B$6+IF(2=10,$B$5-$E19,0)</f>
        <v>1258315</v>
      </c>
      <c r="I19" s="11" t="n">
        <f aca="false">IF(3&lt;=$C19-$D19,$B$5,$B$5-$E19)*$B$6+IF(3=10,$B$5-$E19,0)</f>
        <v>1258315</v>
      </c>
      <c r="J19" s="11" t="n">
        <f aca="false">IF(4&lt;=$C19-$D19,$B$5,$B$5-$E19)*$B$6+IF(4=10,$B$5-$E19,0)</f>
        <v>1258315</v>
      </c>
      <c r="K19" s="11" t="n">
        <f aca="false">IF(5&lt;=$C19-$D19,$B$5,$B$5-$E19)*$B$6+IF(5=10,$B$5-$E19,0)</f>
        <v>1258315</v>
      </c>
      <c r="L19" s="11" t="n">
        <f aca="false">IF(6&lt;=$C19-$D19,$B$5,$B$5-$E19)*$B$6+IF(6=10,$B$5-$E19,0)</f>
        <v>1258315</v>
      </c>
      <c r="M19" s="11" t="n">
        <f aca="false">IF(7&lt;=$C19-$D19,$B$5,$B$5-$E19)*$B$6+IF(7=10,$B$5-$E19,0)</f>
        <v>1258315</v>
      </c>
      <c r="N19" s="11" t="n">
        <f aca="false">IF(8&lt;=$C19-$D19,$B$5,$B$5-$E19)*$B$6+IF(8=10,$B$5-$E19,0)</f>
        <v>1258315</v>
      </c>
      <c r="O19" s="11" t="n">
        <f aca="false">IF(9&lt;=$C19-$D19,$B$5,$B$5-$E19)*$B$6+IF(9=10,$B$5-$E19,0)</f>
        <v>1258315</v>
      </c>
      <c r="P19" s="11" t="n">
        <f aca="false">IF(10&lt;=$C19-$D19,$B$5,$B$5-$E19)*$B$6+IF(10=10,$B$5-$E19,0)</f>
        <v>21258315</v>
      </c>
      <c r="Q19" s="15" t="n">
        <f aca="false">IRR(F19:P19,IF(SUM(F19:P19)&lt;0,-0.2,0.1))</f>
        <v>-0.00522139002121766</v>
      </c>
      <c r="R19" s="16" t="n">
        <f aca="false">SUM(G19:P19)/-F19</f>
        <v>0.957564989572497</v>
      </c>
      <c r="S19" s="16" t="n">
        <f aca="false">NPV($B$7,G19:P19)/$B$5*100</f>
        <v>17.5006625317763</v>
      </c>
    </row>
    <row r="20" customFormat="false" ht="15" hidden="false" customHeight="false" outlineLevel="0" collapsed="false">
      <c r="A20" s="4" t="s">
        <v>57</v>
      </c>
      <c r="B20" s="19" t="n">
        <v>0.055</v>
      </c>
      <c r="C20" s="10" t="n">
        <v>5</v>
      </c>
      <c r="D20" s="10" t="n">
        <v>2</v>
      </c>
      <c r="E20" s="11" t="n">
        <f aca="false">MIN(B20*$B$3,$B$5)</f>
        <v>55000000</v>
      </c>
      <c r="F20" s="11" t="n">
        <f aca="false">-$B$5*$B$4/100</f>
        <v>-34027089.9153766</v>
      </c>
      <c r="G20" s="11" t="n">
        <f aca="false">IF(1&lt;=$C20-$D20,$B$5,$B$5-$E20)*$B$6+IF(1=10,$B$5-$E20,0)</f>
        <v>4718681.25</v>
      </c>
      <c r="H20" s="11" t="n">
        <f aca="false">IF(2&lt;=$C20-$D20,$B$5,$B$5-$E20)*$B$6+IF(2=10,$B$5-$E20,0)</f>
        <v>4718681.25</v>
      </c>
      <c r="I20" s="11" t="n">
        <f aca="false">IF(3&lt;=$C20-$D20,$B$5,$B$5-$E20)*$B$6+IF(3=10,$B$5-$E20,0)</f>
        <v>4718681.25</v>
      </c>
      <c r="J20" s="11" t="n">
        <f aca="false">IF(4&lt;=$C20-$D20,$B$5,$B$5-$E20)*$B$6+IF(4=10,$B$5-$E20,0)</f>
        <v>1258315</v>
      </c>
      <c r="K20" s="11" t="n">
        <f aca="false">IF(5&lt;=$C20-$D20,$B$5,$B$5-$E20)*$B$6+IF(5=10,$B$5-$E20,0)</f>
        <v>1258315</v>
      </c>
      <c r="L20" s="11" t="n">
        <f aca="false">IF(6&lt;=$C20-$D20,$B$5,$B$5-$E20)*$B$6+IF(6=10,$B$5-$E20,0)</f>
        <v>1258315</v>
      </c>
      <c r="M20" s="11" t="n">
        <f aca="false">IF(7&lt;=$C20-$D20,$B$5,$B$5-$E20)*$B$6+IF(7=10,$B$5-$E20,0)</f>
        <v>1258315</v>
      </c>
      <c r="N20" s="11" t="n">
        <f aca="false">IF(8&lt;=$C20-$D20,$B$5,$B$5-$E20)*$B$6+IF(8=10,$B$5-$E20,0)</f>
        <v>1258315</v>
      </c>
      <c r="O20" s="11" t="n">
        <f aca="false">IF(9&lt;=$C20-$D20,$B$5,$B$5-$E20)*$B$6+IF(9=10,$B$5-$E20,0)</f>
        <v>1258315</v>
      </c>
      <c r="P20" s="11" t="n">
        <f aca="false">IF(10&lt;=$C20-$D20,$B$5,$B$5-$E20)*$B$6+IF(10=10,$B$5-$E20,0)</f>
        <v>21258315</v>
      </c>
      <c r="Q20" s="15" t="n">
        <f aca="false">IRR(F20:P20,IF(SUM(F20:P20)&lt;0,-0.2,0.1))</f>
        <v>0.0365031304455011</v>
      </c>
      <c r="R20" s="16" t="n">
        <f aca="false">SUM(G20:P20)/-F20</f>
        <v>1.26264834450579</v>
      </c>
      <c r="S20" s="16" t="n">
        <f aca="false">NPV($B$7,G20:P20)/$B$5*100</f>
        <v>28.487760492453</v>
      </c>
    </row>
    <row r="21" customFormat="false" ht="15" hidden="false" customHeight="false" outlineLevel="0" collapsed="false">
      <c r="A21" s="4" t="s">
        <v>58</v>
      </c>
      <c r="B21" s="19" t="n">
        <v>0.055</v>
      </c>
      <c r="C21" s="10" t="n">
        <v>8</v>
      </c>
      <c r="D21" s="10" t="n">
        <v>2</v>
      </c>
      <c r="E21" s="11" t="n">
        <f aca="false">MIN(B21*$B$3,$B$5)</f>
        <v>55000000</v>
      </c>
      <c r="F21" s="11" t="n">
        <f aca="false">-$B$5*$B$4/100</f>
        <v>-34027089.9153766</v>
      </c>
      <c r="G21" s="11" t="n">
        <f aca="false">IF(1&lt;=$C21-$D21,$B$5,$B$5-$E21)*$B$6+IF(1=10,$B$5-$E21,0)</f>
        <v>4718681.25</v>
      </c>
      <c r="H21" s="11" t="n">
        <f aca="false">IF(2&lt;=$C21-$D21,$B$5,$B$5-$E21)*$B$6+IF(2=10,$B$5-$E21,0)</f>
        <v>4718681.25</v>
      </c>
      <c r="I21" s="11" t="n">
        <f aca="false">IF(3&lt;=$C21-$D21,$B$5,$B$5-$E21)*$B$6+IF(3=10,$B$5-$E21,0)</f>
        <v>4718681.25</v>
      </c>
      <c r="J21" s="11" t="n">
        <f aca="false">IF(4&lt;=$C21-$D21,$B$5,$B$5-$E21)*$B$6+IF(4=10,$B$5-$E21,0)</f>
        <v>4718681.25</v>
      </c>
      <c r="K21" s="11" t="n">
        <f aca="false">IF(5&lt;=$C21-$D21,$B$5,$B$5-$E21)*$B$6+IF(5=10,$B$5-$E21,0)</f>
        <v>4718681.25</v>
      </c>
      <c r="L21" s="11" t="n">
        <f aca="false">IF(6&lt;=$C21-$D21,$B$5,$B$5-$E21)*$B$6+IF(6=10,$B$5-$E21,0)</f>
        <v>4718681.25</v>
      </c>
      <c r="M21" s="11" t="n">
        <f aca="false">IF(7&lt;=$C21-$D21,$B$5,$B$5-$E21)*$B$6+IF(7=10,$B$5-$E21,0)</f>
        <v>1258315</v>
      </c>
      <c r="N21" s="11" t="n">
        <f aca="false">IF(8&lt;=$C21-$D21,$B$5,$B$5-$E21)*$B$6+IF(8=10,$B$5-$E21,0)</f>
        <v>1258315</v>
      </c>
      <c r="O21" s="11" t="n">
        <f aca="false">IF(9&lt;=$C21-$D21,$B$5,$B$5-$E21)*$B$6+IF(9=10,$B$5-$E21,0)</f>
        <v>1258315</v>
      </c>
      <c r="P21" s="11" t="n">
        <f aca="false">IF(10&lt;=$C21-$D21,$B$5,$B$5-$E21)*$B$6+IF(10=10,$B$5-$E21,0)</f>
        <v>21258315</v>
      </c>
      <c r="Q21" s="15" t="n">
        <f aca="false">IRR(F21:P21,IF(SUM(F21:P21)&lt;0,-0.2,0.1))</f>
        <v>0.0781403522360549</v>
      </c>
      <c r="R21" s="16" t="n">
        <f aca="false">SUM(G21:P21)/-F21</f>
        <v>1.56773169943909</v>
      </c>
      <c r="S21" s="16" t="n">
        <f aca="false">NPV($B$7,G21:P21)/$B$5*100</f>
        <v>36.20435055537</v>
      </c>
    </row>
    <row r="22" customFormat="false" ht="15" hidden="false" customHeight="false" outlineLevel="0" collapsed="false">
      <c r="A22" s="4" t="s">
        <v>59</v>
      </c>
      <c r="B22" s="19" t="n">
        <v>0.07</v>
      </c>
      <c r="C22" s="10" t="n">
        <v>2</v>
      </c>
      <c r="D22" s="10" t="n">
        <v>2</v>
      </c>
      <c r="E22" s="11" t="n">
        <f aca="false">MIN(B22*$B$3,$B$5)</f>
        <v>70000000</v>
      </c>
      <c r="F22" s="11" t="n">
        <f aca="false">-$B$5*$B$4/100</f>
        <v>-34027089.9153766</v>
      </c>
      <c r="G22" s="11" t="n">
        <f aca="false">IF(1&lt;=$C22-$D22,$B$5,$B$5-$E22)*$B$6+IF(1=10,$B$5-$E22,0)</f>
        <v>314578.75</v>
      </c>
      <c r="H22" s="11" t="n">
        <f aca="false">IF(2&lt;=$C22-$D22,$B$5,$B$5-$E22)*$B$6+IF(2=10,$B$5-$E22,0)</f>
        <v>314578.75</v>
      </c>
      <c r="I22" s="11" t="n">
        <f aca="false">IF(3&lt;=$C22-$D22,$B$5,$B$5-$E22)*$B$6+IF(3=10,$B$5-$E22,0)</f>
        <v>314578.75</v>
      </c>
      <c r="J22" s="11" t="n">
        <f aca="false">IF(4&lt;=$C22-$D22,$B$5,$B$5-$E22)*$B$6+IF(4=10,$B$5-$E22,0)</f>
        <v>314578.75</v>
      </c>
      <c r="K22" s="11" t="n">
        <f aca="false">IF(5&lt;=$C22-$D22,$B$5,$B$5-$E22)*$B$6+IF(5=10,$B$5-$E22,0)</f>
        <v>314578.75</v>
      </c>
      <c r="L22" s="11" t="n">
        <f aca="false">IF(6&lt;=$C22-$D22,$B$5,$B$5-$E22)*$B$6+IF(6=10,$B$5-$E22,0)</f>
        <v>314578.75</v>
      </c>
      <c r="M22" s="11" t="n">
        <f aca="false">IF(7&lt;=$C22-$D22,$B$5,$B$5-$E22)*$B$6+IF(7=10,$B$5-$E22,0)</f>
        <v>314578.75</v>
      </c>
      <c r="N22" s="11" t="n">
        <f aca="false">IF(8&lt;=$C22-$D22,$B$5,$B$5-$E22)*$B$6+IF(8=10,$B$5-$E22,0)</f>
        <v>314578.75</v>
      </c>
      <c r="O22" s="11" t="n">
        <f aca="false">IF(9&lt;=$C22-$D22,$B$5,$B$5-$E22)*$B$6+IF(9=10,$B$5-$E22,0)</f>
        <v>314578.75</v>
      </c>
      <c r="P22" s="11" t="n">
        <f aca="false">IF(10&lt;=$C22-$D22,$B$5,$B$5-$E22)*$B$6+IF(10=10,$B$5-$E22,0)</f>
        <v>5314578.75</v>
      </c>
      <c r="Q22" s="15" t="n">
        <f aca="false">IRR(F22:P22,IF(SUM(F22:P22)&lt;0,-0.2,0.1))</f>
        <v>-0.150203908625097</v>
      </c>
      <c r="R22" s="16" t="n">
        <f aca="false">SUM(G22:P22)/-F22</f>
        <v>0.239391247393124</v>
      </c>
      <c r="S22" s="16" t="n">
        <f aca="false">NPV($B$7,G22:P22)/$B$5*100</f>
        <v>4.37516563294407</v>
      </c>
    </row>
    <row r="23" customFormat="false" ht="15" hidden="false" customHeight="false" outlineLevel="0" collapsed="false">
      <c r="A23" s="4" t="s">
        <v>60</v>
      </c>
      <c r="B23" s="19" t="n">
        <v>0.07</v>
      </c>
      <c r="C23" s="10" t="n">
        <v>5</v>
      </c>
      <c r="D23" s="10" t="n">
        <v>2</v>
      </c>
      <c r="E23" s="11" t="n">
        <f aca="false">MIN(B23*$B$3,$B$5)</f>
        <v>70000000</v>
      </c>
      <c r="F23" s="11" t="n">
        <f aca="false">-$B$5*$B$4/100</f>
        <v>-34027089.9153766</v>
      </c>
      <c r="G23" s="11" t="n">
        <f aca="false">IF(1&lt;=$C23-$D23,$B$5,$B$5-$E23)*$B$6+IF(1=10,$B$5-$E23,0)</f>
        <v>4718681.25</v>
      </c>
      <c r="H23" s="11" t="n">
        <f aca="false">IF(2&lt;=$C23-$D23,$B$5,$B$5-$E23)*$B$6+IF(2=10,$B$5-$E23,0)</f>
        <v>4718681.25</v>
      </c>
      <c r="I23" s="11" t="n">
        <f aca="false">IF(3&lt;=$C23-$D23,$B$5,$B$5-$E23)*$B$6+IF(3=10,$B$5-$E23,0)</f>
        <v>4718681.25</v>
      </c>
      <c r="J23" s="11" t="n">
        <f aca="false">IF(4&lt;=$C23-$D23,$B$5,$B$5-$E23)*$B$6+IF(4=10,$B$5-$E23,0)</f>
        <v>314578.75</v>
      </c>
      <c r="K23" s="11" t="n">
        <f aca="false">IF(5&lt;=$C23-$D23,$B$5,$B$5-$E23)*$B$6+IF(5=10,$B$5-$E23,0)</f>
        <v>314578.75</v>
      </c>
      <c r="L23" s="11" t="n">
        <f aca="false">IF(6&lt;=$C23-$D23,$B$5,$B$5-$E23)*$B$6+IF(6=10,$B$5-$E23,0)</f>
        <v>314578.75</v>
      </c>
      <c r="M23" s="11" t="n">
        <f aca="false">IF(7&lt;=$C23-$D23,$B$5,$B$5-$E23)*$B$6+IF(7=10,$B$5-$E23,0)</f>
        <v>314578.75</v>
      </c>
      <c r="N23" s="11" t="n">
        <f aca="false">IF(8&lt;=$C23-$D23,$B$5,$B$5-$E23)*$B$6+IF(8=10,$B$5-$E23,0)</f>
        <v>314578.75</v>
      </c>
      <c r="O23" s="11" t="n">
        <f aca="false">IF(9&lt;=$C23-$D23,$B$5,$B$5-$E23)*$B$6+IF(9=10,$B$5-$E23,0)</f>
        <v>314578.75</v>
      </c>
      <c r="P23" s="11" t="n">
        <f aca="false">IF(10&lt;=$C23-$D23,$B$5,$B$5-$E23)*$B$6+IF(10=10,$B$5-$E23,0)</f>
        <v>5314578.75</v>
      </c>
      <c r="Q23" s="15" t="n">
        <f aca="false">IRR(F23:P23,IF(SUM(F23:P23)&lt;0,-0.2,0.1))</f>
        <v>-0.0886169293648918</v>
      </c>
      <c r="R23" s="16" t="n">
        <f aca="false">SUM(G23:P23)/-F23</f>
        <v>0.627679153671864</v>
      </c>
      <c r="S23" s="16" t="n">
        <f aca="false">NPV($B$7,G23:P23)/$B$5*100</f>
        <v>18.3587448556235</v>
      </c>
    </row>
    <row r="24" customFormat="false" ht="15" hidden="false" customHeight="false" outlineLevel="0" collapsed="false">
      <c r="A24" s="4" t="s">
        <v>61</v>
      </c>
      <c r="B24" s="19" t="n">
        <v>0.07</v>
      </c>
      <c r="C24" s="10" t="n">
        <v>8</v>
      </c>
      <c r="D24" s="10" t="n">
        <v>2</v>
      </c>
      <c r="E24" s="11" t="n">
        <f aca="false">MIN(B24*$B$3,$B$5)</f>
        <v>70000000</v>
      </c>
      <c r="F24" s="11" t="n">
        <f aca="false">-$B$5*$B$4/100</f>
        <v>-34027089.9153766</v>
      </c>
      <c r="G24" s="11" t="n">
        <f aca="false">IF(1&lt;=$C24-$D24,$B$5,$B$5-$E24)*$B$6+IF(1=10,$B$5-$E24,0)</f>
        <v>4718681.25</v>
      </c>
      <c r="H24" s="11" t="n">
        <f aca="false">IF(2&lt;=$C24-$D24,$B$5,$B$5-$E24)*$B$6+IF(2=10,$B$5-$E24,0)</f>
        <v>4718681.25</v>
      </c>
      <c r="I24" s="11" t="n">
        <f aca="false">IF(3&lt;=$C24-$D24,$B$5,$B$5-$E24)*$B$6+IF(3=10,$B$5-$E24,0)</f>
        <v>4718681.25</v>
      </c>
      <c r="J24" s="11" t="n">
        <f aca="false">IF(4&lt;=$C24-$D24,$B$5,$B$5-$E24)*$B$6+IF(4=10,$B$5-$E24,0)</f>
        <v>4718681.25</v>
      </c>
      <c r="K24" s="11" t="n">
        <f aca="false">IF(5&lt;=$C24-$D24,$B$5,$B$5-$E24)*$B$6+IF(5=10,$B$5-$E24,0)</f>
        <v>4718681.25</v>
      </c>
      <c r="L24" s="11" t="n">
        <f aca="false">IF(6&lt;=$C24-$D24,$B$5,$B$5-$E24)*$B$6+IF(6=10,$B$5-$E24,0)</f>
        <v>4718681.25</v>
      </c>
      <c r="M24" s="11" t="n">
        <f aca="false">IF(7&lt;=$C24-$D24,$B$5,$B$5-$E24)*$B$6+IF(7=10,$B$5-$E24,0)</f>
        <v>314578.75</v>
      </c>
      <c r="N24" s="11" t="n">
        <f aca="false">IF(8&lt;=$C24-$D24,$B$5,$B$5-$E24)*$B$6+IF(8=10,$B$5-$E24,0)</f>
        <v>314578.75</v>
      </c>
      <c r="O24" s="11" t="n">
        <f aca="false">IF(9&lt;=$C24-$D24,$B$5,$B$5-$E24)*$B$6+IF(9=10,$B$5-$E24,0)</f>
        <v>314578.75</v>
      </c>
      <c r="P24" s="11" t="n">
        <f aca="false">IF(10&lt;=$C24-$D24,$B$5,$B$5-$E24)*$B$6+IF(10=10,$B$5-$E24,0)</f>
        <v>5314578.75</v>
      </c>
      <c r="Q24" s="15" t="n">
        <f aca="false">IRR(F24:P24,IF(SUM(F24:P24)&lt;0,-0.2,0.1))</f>
        <v>0.00344358094368192</v>
      </c>
      <c r="R24" s="16" t="n">
        <f aca="false">SUM(G24:P24)/-F24</f>
        <v>1.0159670599506</v>
      </c>
      <c r="S24" s="16" t="n">
        <f aca="false">NPV($B$7,G24:P24)/$B$5*100</f>
        <v>28.1798594811542</v>
      </c>
    </row>
    <row r="25" customFormat="false" ht="15" hidden="false" customHeight="false" outlineLevel="0" collapsed="false">
      <c r="A25" s="4" t="s">
        <v>62</v>
      </c>
      <c r="B25" s="19" t="n">
        <v>0.0447061416078034</v>
      </c>
      <c r="C25" s="10" t="n">
        <v>5</v>
      </c>
      <c r="D25" s="10" t="n">
        <v>2</v>
      </c>
      <c r="E25" s="11" t="n">
        <f aca="false">MIN(B25*$B$3,$B$5)</f>
        <v>44706141.6078034</v>
      </c>
      <c r="F25" s="11" t="n">
        <f aca="false">-$B$5*$B$4/100</f>
        <v>-34027089.9153766</v>
      </c>
      <c r="G25" s="11" t="n">
        <f aca="false">IF(1&lt;=$C25-$D25,$B$5,$B$5-$E25)*$B$6+IF(1=10,$B$5-$E25,0)</f>
        <v>4718681.25</v>
      </c>
      <c r="H25" s="11" t="n">
        <f aca="false">IF(2&lt;=$C25-$D25,$B$5,$B$5-$E25)*$B$6+IF(2=10,$B$5-$E25,0)</f>
        <v>4718681.25</v>
      </c>
      <c r="I25" s="11" t="n">
        <f aca="false">IF(3&lt;=$C25-$D25,$B$5,$B$5-$E25)*$B$6+IF(3=10,$B$5-$E25,0)</f>
        <v>4718681.25</v>
      </c>
      <c r="J25" s="11" t="n">
        <f aca="false">IF(4&lt;=$C25-$D25,$B$5,$B$5-$E25)*$B$6+IF(4=10,$B$5-$E25,0)</f>
        <v>1905960.82113884</v>
      </c>
      <c r="K25" s="11" t="n">
        <f aca="false">IF(5&lt;=$C25-$D25,$B$5,$B$5-$E25)*$B$6+IF(5=10,$B$5-$E25,0)</f>
        <v>1905960.82113884</v>
      </c>
      <c r="L25" s="11" t="n">
        <f aca="false">IF(6&lt;=$C25-$D25,$B$5,$B$5-$E25)*$B$6+IF(6=10,$B$5-$E25,0)</f>
        <v>1905960.82113884</v>
      </c>
      <c r="M25" s="11" t="n">
        <f aca="false">IF(7&lt;=$C25-$D25,$B$5,$B$5-$E25)*$B$6+IF(7=10,$B$5-$E25,0)</f>
        <v>1905960.82113884</v>
      </c>
      <c r="N25" s="11" t="n">
        <f aca="false">IF(8&lt;=$C25-$D25,$B$5,$B$5-$E25)*$B$6+IF(8=10,$B$5-$E25,0)</f>
        <v>1905960.82113884</v>
      </c>
      <c r="O25" s="11" t="n">
        <f aca="false">IF(9&lt;=$C25-$D25,$B$5,$B$5-$E25)*$B$6+IF(9=10,$B$5-$E25,0)</f>
        <v>1905960.82113884</v>
      </c>
      <c r="P25" s="11" t="n">
        <f aca="false">IF(10&lt;=$C25-$D25,$B$5,$B$5-$E25)*$B$6+IF(10=10,$B$5-$E25,0)</f>
        <v>32199819.2133354</v>
      </c>
      <c r="Q25" s="15" t="n">
        <f aca="false">IRR(F25:P25,IF(SUM(F25:P25)&lt;0,-0.2,0.1))</f>
        <v>0.0802126340823326</v>
      </c>
      <c r="R25" s="16" t="n">
        <f aca="false">SUM(G25:P25)/-F25</f>
        <v>1.69840054009593</v>
      </c>
      <c r="S25" s="16" t="n">
        <f aca="false">NPV($B$7,G25:P25)/$B$5*100</f>
        <v>35.4388706669775</v>
      </c>
    </row>
    <row r="26" customFormat="false" ht="15" hidden="false" customHeight="false" outlineLevel="0" collapsed="false">
      <c r="A26" s="4" t="s">
        <v>63</v>
      </c>
      <c r="B26" s="19" t="n">
        <v>0.0447061416078034</v>
      </c>
      <c r="C26" s="10" t="n">
        <v>6</v>
      </c>
      <c r="D26" s="10" t="n">
        <v>2</v>
      </c>
      <c r="E26" s="11" t="n">
        <f aca="false">MIN(B26*$B$3,$B$5)</f>
        <v>44706141.6078034</v>
      </c>
      <c r="F26" s="11" t="n">
        <f aca="false">-$B$5*$B$4/100</f>
        <v>-34027089.9153766</v>
      </c>
      <c r="G26" s="11" t="n">
        <f aca="false">IF(1&lt;=$C26-$D26,$B$5,$B$5-$E26)*$B$6+IF(1=10,$B$5-$E26,0)</f>
        <v>4718681.25</v>
      </c>
      <c r="H26" s="11" t="n">
        <f aca="false">IF(2&lt;=$C26-$D26,$B$5,$B$5-$E26)*$B$6+IF(2=10,$B$5-$E26,0)</f>
        <v>4718681.25</v>
      </c>
      <c r="I26" s="11" t="n">
        <f aca="false">IF(3&lt;=$C26-$D26,$B$5,$B$5-$E26)*$B$6+IF(3=10,$B$5-$E26,0)</f>
        <v>4718681.25</v>
      </c>
      <c r="J26" s="11" t="n">
        <f aca="false">IF(4&lt;=$C26-$D26,$B$5,$B$5-$E26)*$B$6+IF(4=10,$B$5-$E26,0)</f>
        <v>4718681.25</v>
      </c>
      <c r="K26" s="11" t="n">
        <f aca="false">IF(5&lt;=$C26-$D26,$B$5,$B$5-$E26)*$B$6+IF(5=10,$B$5-$E26,0)</f>
        <v>1905960.82113884</v>
      </c>
      <c r="L26" s="11" t="n">
        <f aca="false">IF(6&lt;=$C26-$D26,$B$5,$B$5-$E26)*$B$6+IF(6=10,$B$5-$E26,0)</f>
        <v>1905960.82113884</v>
      </c>
      <c r="M26" s="11" t="n">
        <f aca="false">IF(7&lt;=$C26-$D26,$B$5,$B$5-$E26)*$B$6+IF(7=10,$B$5-$E26,0)</f>
        <v>1905960.82113884</v>
      </c>
      <c r="N26" s="11" t="n">
        <f aca="false">IF(8&lt;=$C26-$D26,$B$5,$B$5-$E26)*$B$6+IF(8=10,$B$5-$E26,0)</f>
        <v>1905960.82113884</v>
      </c>
      <c r="O26" s="11" t="n">
        <f aca="false">IF(9&lt;=$C26-$D26,$B$5,$B$5-$E26)*$B$6+IF(9=10,$B$5-$E26,0)</f>
        <v>1905960.82113884</v>
      </c>
      <c r="P26" s="11" t="n">
        <f aca="false">IF(10&lt;=$C26-$D26,$B$5,$B$5-$E26)*$B$6+IF(10=10,$B$5-$E26,0)</f>
        <v>32199819.2133354</v>
      </c>
      <c r="Q26" s="15" t="n">
        <f aca="false">IRR(F26:P26,IF(SUM(F26:P26)&lt;0,-0.2,0.1))</f>
        <v>0.090595488794197</v>
      </c>
      <c r="R26" s="16" t="n">
        <f aca="false">SUM(G26:P26)/-F26</f>
        <v>1.781061750204</v>
      </c>
      <c r="S26" s="16" t="n">
        <f aca="false">NPV($B$7,G26:P26)/$B$5*100</f>
        <v>37.780160689152</v>
      </c>
    </row>
    <row r="27" customFormat="false" ht="15" hidden="false" customHeight="false" outlineLevel="0" collapsed="false">
      <c r="A27" s="4" t="s">
        <v>64</v>
      </c>
      <c r="B27" s="19" t="n">
        <v>0.0468070675052382</v>
      </c>
      <c r="C27" s="10" t="n">
        <v>8</v>
      </c>
      <c r="D27" s="10" t="n">
        <v>2</v>
      </c>
      <c r="E27" s="11" t="n">
        <f aca="false">MIN(B27*$B$3,$B$5)</f>
        <v>46807067.5052382</v>
      </c>
      <c r="F27" s="11" t="n">
        <f aca="false">-$B$5*$B$4/100</f>
        <v>-34027089.9153766</v>
      </c>
      <c r="G27" s="11" t="n">
        <f aca="false">IF(1&lt;=$C27-$D27,$B$5,$B$5-$E27)*$B$6+IF(1=10,$B$5-$E27,0)</f>
        <v>4718681.25</v>
      </c>
      <c r="H27" s="11" t="n">
        <f aca="false">IF(2&lt;=$C27-$D27,$B$5,$B$5-$E27)*$B$6+IF(2=10,$B$5-$E27,0)</f>
        <v>4718681.25</v>
      </c>
      <c r="I27" s="11" t="n">
        <f aca="false">IF(3&lt;=$C27-$D27,$B$5,$B$5-$E27)*$B$6+IF(3=10,$B$5-$E27,0)</f>
        <v>4718681.25</v>
      </c>
      <c r="J27" s="11" t="n">
        <f aca="false">IF(4&lt;=$C27-$D27,$B$5,$B$5-$E27)*$B$6+IF(4=10,$B$5-$E27,0)</f>
        <v>4718681.25</v>
      </c>
      <c r="K27" s="11" t="n">
        <f aca="false">IF(5&lt;=$C27-$D27,$B$5,$B$5-$E27)*$B$6+IF(5=10,$B$5-$E27,0)</f>
        <v>4718681.25</v>
      </c>
      <c r="L27" s="11" t="n">
        <f aca="false">IF(6&lt;=$C27-$D27,$B$5,$B$5-$E27)*$B$6+IF(6=10,$B$5-$E27,0)</f>
        <v>4718681.25</v>
      </c>
      <c r="M27" s="11" t="n">
        <f aca="false">IF(7&lt;=$C27-$D27,$B$5,$B$5-$E27)*$B$6+IF(7=10,$B$5-$E27,0)</f>
        <v>1773779.49260731</v>
      </c>
      <c r="N27" s="11" t="n">
        <f aca="false">IF(8&lt;=$C27-$D27,$B$5,$B$5-$E27)*$B$6+IF(8=10,$B$5-$E27,0)</f>
        <v>1773779.49260731</v>
      </c>
      <c r="O27" s="11" t="n">
        <f aca="false">IF(9&lt;=$C27-$D27,$B$5,$B$5-$E27)*$B$6+IF(9=10,$B$5-$E27,0)</f>
        <v>1773779.49260731</v>
      </c>
      <c r="P27" s="11" t="n">
        <f aca="false">IF(10&lt;=$C27-$D27,$B$5,$B$5-$E27)*$B$6+IF(10=10,$B$5-$E27,0)</f>
        <v>29966711.9873692</v>
      </c>
      <c r="Q27" s="15" t="n">
        <f aca="false">IRR(F27:P27,IF(SUM(F27:P27)&lt;0,-0.2,0.1))</f>
        <v>0.103136202887252</v>
      </c>
      <c r="R27" s="16" t="n">
        <f aca="false">SUM(G27:P27)/-F27</f>
        <v>1.86910306239414</v>
      </c>
      <c r="S27" s="16" t="n">
        <f aca="false">NPV($B$7,G27:P27)/$B$5*100</f>
        <v>40.5872914670946</v>
      </c>
    </row>
    <row r="28" customFormat="false" ht="15" hidden="false" customHeight="false" outlineLevel="0" collapsed="false">
      <c r="A28" s="4" t="s">
        <v>65</v>
      </c>
      <c r="B28" s="19" t="n">
        <v>0.0612045926392314</v>
      </c>
      <c r="C28" s="10" t="n">
        <v>5</v>
      </c>
      <c r="D28" s="10" t="n">
        <v>2</v>
      </c>
      <c r="E28" s="11" t="n">
        <f aca="false">MIN(B28*$B$3,$B$5)</f>
        <v>61204592.6392314</v>
      </c>
      <c r="F28" s="11" t="n">
        <f aca="false">-$B$5*$B$4/100</f>
        <v>-34027089.9153766</v>
      </c>
      <c r="G28" s="11" t="n">
        <f aca="false">IF(1&lt;=$C28-$D28,$B$5,$B$5-$E28)*$B$6+IF(1=10,$B$5-$E28,0)</f>
        <v>4718681.25</v>
      </c>
      <c r="H28" s="11" t="n">
        <f aca="false">IF(2&lt;=$C28-$D28,$B$5,$B$5-$E28)*$B$6+IF(2=10,$B$5-$E28,0)</f>
        <v>4718681.25</v>
      </c>
      <c r="I28" s="11" t="n">
        <f aca="false">IF(3&lt;=$C28-$D28,$B$5,$B$5-$E28)*$B$6+IF(3=10,$B$5-$E28,0)</f>
        <v>4718681.25</v>
      </c>
      <c r="J28" s="11" t="n">
        <f aca="false">IF(4&lt;=$C28-$D28,$B$5,$B$5-$E28)*$B$6+IF(4=10,$B$5-$E28,0)</f>
        <v>867948.40065828</v>
      </c>
      <c r="K28" s="11" t="n">
        <f aca="false">IF(5&lt;=$C28-$D28,$B$5,$B$5-$E28)*$B$6+IF(5=10,$B$5-$E28,0)</f>
        <v>867948.40065828</v>
      </c>
      <c r="L28" s="11" t="n">
        <f aca="false">IF(6&lt;=$C28-$D28,$B$5,$B$5-$E28)*$B$6+IF(6=10,$B$5-$E28,0)</f>
        <v>867948.40065828</v>
      </c>
      <c r="M28" s="11" t="n">
        <f aca="false">IF(7&lt;=$C28-$D28,$B$5,$B$5-$E28)*$B$6+IF(7=10,$B$5-$E28,0)</f>
        <v>867948.40065828</v>
      </c>
      <c r="N28" s="11" t="n">
        <f aca="false">IF(8&lt;=$C28-$D28,$B$5,$B$5-$E28)*$B$6+IF(8=10,$B$5-$E28,0)</f>
        <v>867948.40065828</v>
      </c>
      <c r="O28" s="11" t="n">
        <f aca="false">IF(9&lt;=$C28-$D28,$B$5,$B$5-$E28)*$B$6+IF(9=10,$B$5-$E28,0)</f>
        <v>867948.40065828</v>
      </c>
      <c r="P28" s="11" t="n">
        <f aca="false">IF(10&lt;=$C28-$D28,$B$5,$B$5-$E28)*$B$6+IF(10=10,$B$5-$E28,0)</f>
        <v>14663355.7614269</v>
      </c>
      <c r="Q28" s="15" t="n">
        <f aca="false">IRR(F28:P28,IF(SUM(F28:P28)&lt;0,-0.2,0.1))</f>
        <v>7.12782057093305E-017</v>
      </c>
      <c r="R28" s="16" t="n">
        <f aca="false">SUM(G28:P28)/-F28</f>
        <v>1</v>
      </c>
      <c r="S28" s="16" t="n">
        <f aca="false">NPV($B$7,G28:P28)/$B$5*100</f>
        <v>24.2979994349242</v>
      </c>
    </row>
    <row r="29" customFormat="false" ht="15" hidden="false" customHeight="false" outlineLevel="0" collapsed="false">
      <c r="A29" s="4" t="s">
        <v>66</v>
      </c>
      <c r="B29" s="19" t="n">
        <v>0.06</v>
      </c>
      <c r="C29" s="10" t="n">
        <v>5</v>
      </c>
      <c r="D29" s="10" t="n">
        <v>2</v>
      </c>
      <c r="E29" s="11" t="n">
        <f aca="false">MIN(B29*$B$3,$B$5)</f>
        <v>60000000</v>
      </c>
      <c r="F29" s="11" t="n">
        <f aca="false">-$B$5*$B$4/100</f>
        <v>-34027089.9153766</v>
      </c>
      <c r="G29" s="11" t="n">
        <f aca="false">IF(1&lt;=$C29-$D29,$B$5,$B$5-$E29)*$B$6+IF(1=10,$B$5-$E29,0)</f>
        <v>4718681.25</v>
      </c>
      <c r="H29" s="11" t="n">
        <f aca="false">IF(2&lt;=$C29-$D29,$B$5,$B$5-$E29)*$B$6+IF(2=10,$B$5-$E29,0)</f>
        <v>4718681.25</v>
      </c>
      <c r="I29" s="11" t="n">
        <f aca="false">IF(3&lt;=$C29-$D29,$B$5,$B$5-$E29)*$B$6+IF(3=10,$B$5-$E29,0)</f>
        <v>4718681.25</v>
      </c>
      <c r="J29" s="11" t="n">
        <f aca="false">IF(4&lt;=$C29-$D29,$B$5,$B$5-$E29)*$B$6+IF(4=10,$B$5-$E29,0)</f>
        <v>943736.25</v>
      </c>
      <c r="K29" s="11" t="n">
        <f aca="false">IF(5&lt;=$C29-$D29,$B$5,$B$5-$E29)*$B$6+IF(5=10,$B$5-$E29,0)</f>
        <v>943736.25</v>
      </c>
      <c r="L29" s="11" t="n">
        <f aca="false">IF(6&lt;=$C29-$D29,$B$5,$B$5-$E29)*$B$6+IF(6=10,$B$5-$E29,0)</f>
        <v>943736.25</v>
      </c>
      <c r="M29" s="11" t="n">
        <f aca="false">IF(7&lt;=$C29-$D29,$B$5,$B$5-$E29)*$B$6+IF(7=10,$B$5-$E29,0)</f>
        <v>943736.25</v>
      </c>
      <c r="N29" s="11" t="n">
        <f aca="false">IF(8&lt;=$C29-$D29,$B$5,$B$5-$E29)*$B$6+IF(8=10,$B$5-$E29,0)</f>
        <v>943736.25</v>
      </c>
      <c r="O29" s="11" t="n">
        <f aca="false">IF(9&lt;=$C29-$D29,$B$5,$B$5-$E29)*$B$6+IF(9=10,$B$5-$E29,0)</f>
        <v>943736.25</v>
      </c>
      <c r="P29" s="11" t="n">
        <f aca="false">IF(10&lt;=$C29-$D29,$B$5,$B$5-$E29)*$B$6+IF(10=10,$B$5-$E29,0)</f>
        <v>15943736.25</v>
      </c>
      <c r="Q29" s="15" t="n">
        <f aca="false">IRR(F29:P29,IF(SUM(F29:P29)&lt;0,-0.2,0.1))</f>
        <v>0.0080247742121199</v>
      </c>
      <c r="R29" s="16" t="n">
        <f aca="false">SUM(G29:P29)/-F29</f>
        <v>1.05099194756115</v>
      </c>
      <c r="S29" s="16" t="n">
        <f aca="false">NPV($B$7,G29:P29)/$B$5*100</f>
        <v>25.1114219468432</v>
      </c>
    </row>
    <row r="30" customFormat="false" ht="15" hidden="false" customHeight="false" outlineLevel="0" collapsed="false">
      <c r="A30" s="4" t="s">
        <v>67</v>
      </c>
      <c r="B30" s="19" t="n">
        <v>0.0778473</v>
      </c>
      <c r="C30" s="10" t="n">
        <v>5</v>
      </c>
      <c r="D30" s="10" t="n">
        <v>2</v>
      </c>
      <c r="E30" s="11" t="n">
        <f aca="false">MIN(B30*$B$3,$B$5)</f>
        <v>75000000</v>
      </c>
      <c r="F30" s="11" t="n">
        <f aca="false">-$B$5*$B$4/100</f>
        <v>-34027089.9153766</v>
      </c>
      <c r="G30" s="11" t="n">
        <f aca="false">IF(1&lt;=$C30-$D30,$B$5,$B$5-$E30)*$B$6+IF(1=10,$B$5-$E30,0)</f>
        <v>4718681.25</v>
      </c>
      <c r="H30" s="11" t="n">
        <f aca="false">IF(2&lt;=$C30-$D30,$B$5,$B$5-$E30)*$B$6+IF(2=10,$B$5-$E30,0)</f>
        <v>4718681.25</v>
      </c>
      <c r="I30" s="11" t="n">
        <f aca="false">IF(3&lt;=$C30-$D30,$B$5,$B$5-$E30)*$B$6+IF(3=10,$B$5-$E30,0)</f>
        <v>4718681.25</v>
      </c>
      <c r="J30" s="11" t="n">
        <f aca="false">IF(4&lt;=$C30-$D30,$B$5,$B$5-$E30)*$B$6+IF(4=10,$B$5-$E30,0)</f>
        <v>0</v>
      </c>
      <c r="K30" s="11" t="n">
        <f aca="false">IF(5&lt;=$C30-$D30,$B$5,$B$5-$E30)*$B$6+IF(5=10,$B$5-$E30,0)</f>
        <v>0</v>
      </c>
      <c r="L30" s="11" t="n">
        <f aca="false">IF(6&lt;=$C30-$D30,$B$5,$B$5-$E30)*$B$6+IF(6=10,$B$5-$E30,0)</f>
        <v>0</v>
      </c>
      <c r="M30" s="11" t="n">
        <f aca="false">IF(7&lt;=$C30-$D30,$B$5,$B$5-$E30)*$B$6+IF(7=10,$B$5-$E30,0)</f>
        <v>0</v>
      </c>
      <c r="N30" s="11" t="n">
        <f aca="false">IF(8&lt;=$C30-$D30,$B$5,$B$5-$E30)*$B$6+IF(8=10,$B$5-$E30,0)</f>
        <v>0</v>
      </c>
      <c r="O30" s="11" t="n">
        <f aca="false">IF(9&lt;=$C30-$D30,$B$5,$B$5-$E30)*$B$6+IF(9=10,$B$5-$E30,0)</f>
        <v>0</v>
      </c>
      <c r="P30" s="11" t="n">
        <f aca="false">IF(10&lt;=$C30-$D30,$B$5,$B$5-$E30)*$B$6+IF(10=10,$B$5-$E30,0)</f>
        <v>0</v>
      </c>
      <c r="Q30" s="15" t="n">
        <f aca="false">IRR(F30:P30,IF(SUM(F30:P30)&lt;0,-0.2,0.1))</f>
        <v>-0.336861565722785</v>
      </c>
      <c r="R30" s="16" t="n">
        <f aca="false">SUM(G30:P30)/-F30</f>
        <v>0.416022756727221</v>
      </c>
      <c r="S30" s="16" t="n">
        <f aca="false">NPV($B$7,G30:P30)/$B$5*100</f>
        <v>14.9824063100137</v>
      </c>
    </row>
    <row r="31" customFormat="false" ht="15" hidden="false" customHeight="false" outlineLevel="0" collapsed="false">
      <c r="A31" s="4" t="s">
        <v>68</v>
      </c>
      <c r="B31" s="19" t="n">
        <v>0.0778473</v>
      </c>
      <c r="C31" s="10" t="n">
        <v>8</v>
      </c>
      <c r="D31" s="10" t="n">
        <v>2</v>
      </c>
      <c r="E31" s="11" t="n">
        <f aca="false">MIN(B31*$B$3,$B$5)</f>
        <v>75000000</v>
      </c>
      <c r="F31" s="11" t="n">
        <f aca="false">-$B$5*$B$4/100</f>
        <v>-34027089.9153766</v>
      </c>
      <c r="G31" s="11" t="n">
        <f aca="false">IF(1&lt;=$C31-$D31,$B$5,$B$5-$E31)*$B$6+IF(1=10,$B$5-$E31,0)</f>
        <v>4718681.25</v>
      </c>
      <c r="H31" s="11" t="n">
        <f aca="false">IF(2&lt;=$C31-$D31,$B$5,$B$5-$E31)*$B$6+IF(2=10,$B$5-$E31,0)</f>
        <v>4718681.25</v>
      </c>
      <c r="I31" s="11" t="n">
        <f aca="false">IF(3&lt;=$C31-$D31,$B$5,$B$5-$E31)*$B$6+IF(3=10,$B$5-$E31,0)</f>
        <v>4718681.25</v>
      </c>
      <c r="J31" s="11" t="n">
        <f aca="false">IF(4&lt;=$C31-$D31,$B$5,$B$5-$E31)*$B$6+IF(4=10,$B$5-$E31,0)</f>
        <v>4718681.25</v>
      </c>
      <c r="K31" s="11" t="n">
        <f aca="false">IF(5&lt;=$C31-$D31,$B$5,$B$5-$E31)*$B$6+IF(5=10,$B$5-$E31,0)</f>
        <v>4718681.25</v>
      </c>
      <c r="L31" s="11" t="n">
        <f aca="false">IF(6&lt;=$C31-$D31,$B$5,$B$5-$E31)*$B$6+IF(6=10,$B$5-$E31,0)</f>
        <v>4718681.25</v>
      </c>
      <c r="M31" s="11" t="n">
        <f aca="false">IF(7&lt;=$C31-$D31,$B$5,$B$5-$E31)*$B$6+IF(7=10,$B$5-$E31,0)</f>
        <v>0</v>
      </c>
      <c r="N31" s="11" t="n">
        <f aca="false">IF(8&lt;=$C31-$D31,$B$5,$B$5-$E31)*$B$6+IF(8=10,$B$5-$E31,0)</f>
        <v>0</v>
      </c>
      <c r="O31" s="11" t="n">
        <f aca="false">IF(9&lt;=$C31-$D31,$B$5,$B$5-$E31)*$B$6+IF(9=10,$B$5-$E31,0)</f>
        <v>0</v>
      </c>
      <c r="P31" s="11" t="n">
        <f aca="false">IF(10&lt;=$C31-$D31,$B$5,$B$5-$E31)*$B$6+IF(10=10,$B$5-$E31,0)</f>
        <v>0</v>
      </c>
      <c r="Q31" s="15" t="n">
        <f aca="false">IRR(F31:P31,IF(SUM(F31:P31)&lt;0,-0.2,0.1))</f>
        <v>-0.0501321829237631</v>
      </c>
      <c r="R31" s="16" t="n">
        <f aca="false">SUM(G31:P31)/-F31</f>
        <v>0.832045513454442</v>
      </c>
      <c r="S31" s="16" t="n">
        <f aca="false">NPV($B$7,G31:P31)/$B$5*100</f>
        <v>25.5050291230823</v>
      </c>
    </row>
    <row r="32" customFormat="false" ht="15" hidden="false" customHeight="false" outlineLevel="0" collapsed="false">
      <c r="A32" s="4" t="s">
        <v>69</v>
      </c>
      <c r="B32" s="19" t="n">
        <v>0.1037964</v>
      </c>
      <c r="C32" s="10" t="n">
        <v>5</v>
      </c>
      <c r="D32" s="10" t="n">
        <v>2</v>
      </c>
      <c r="E32" s="11" t="n">
        <f aca="false">MIN(B32*$B$3,$B$5)</f>
        <v>75000000</v>
      </c>
      <c r="F32" s="11" t="n">
        <f aca="false">-$B$5*$B$4/100</f>
        <v>-34027089.9153766</v>
      </c>
      <c r="G32" s="11" t="n">
        <f aca="false">IF(1&lt;=$C32-$D32,$B$5,$B$5-$E32)*$B$6+IF(1=10,$B$5-$E32,0)</f>
        <v>4718681.25</v>
      </c>
      <c r="H32" s="11" t="n">
        <f aca="false">IF(2&lt;=$C32-$D32,$B$5,$B$5-$E32)*$B$6+IF(2=10,$B$5-$E32,0)</f>
        <v>4718681.25</v>
      </c>
      <c r="I32" s="11" t="n">
        <f aca="false">IF(3&lt;=$C32-$D32,$B$5,$B$5-$E32)*$B$6+IF(3=10,$B$5-$E32,0)</f>
        <v>4718681.25</v>
      </c>
      <c r="J32" s="11" t="n">
        <f aca="false">IF(4&lt;=$C32-$D32,$B$5,$B$5-$E32)*$B$6+IF(4=10,$B$5-$E32,0)</f>
        <v>0</v>
      </c>
      <c r="K32" s="11" t="n">
        <f aca="false">IF(5&lt;=$C32-$D32,$B$5,$B$5-$E32)*$B$6+IF(5=10,$B$5-$E32,0)</f>
        <v>0</v>
      </c>
      <c r="L32" s="11" t="n">
        <f aca="false">IF(6&lt;=$C32-$D32,$B$5,$B$5-$E32)*$B$6+IF(6=10,$B$5-$E32,0)</f>
        <v>0</v>
      </c>
      <c r="M32" s="11" t="n">
        <f aca="false">IF(7&lt;=$C32-$D32,$B$5,$B$5-$E32)*$B$6+IF(7=10,$B$5-$E32,0)</f>
        <v>0</v>
      </c>
      <c r="N32" s="11" t="n">
        <f aca="false">IF(8&lt;=$C32-$D32,$B$5,$B$5-$E32)*$B$6+IF(8=10,$B$5-$E32,0)</f>
        <v>0</v>
      </c>
      <c r="O32" s="11" t="n">
        <f aca="false">IF(9&lt;=$C32-$D32,$B$5,$B$5-$E32)*$B$6+IF(9=10,$B$5-$E32,0)</f>
        <v>0</v>
      </c>
      <c r="P32" s="11" t="n">
        <f aca="false">IF(10&lt;=$C32-$D32,$B$5,$B$5-$E32)*$B$6+IF(10=10,$B$5-$E32,0)</f>
        <v>0</v>
      </c>
      <c r="Q32" s="15" t="n">
        <f aca="false">IRR(F32:P32,IF(SUM(F32:P32)&lt;0,-0.2,0.1))</f>
        <v>-0.336861565722785</v>
      </c>
      <c r="R32" s="16" t="n">
        <f aca="false">SUM(G32:P32)/-F32</f>
        <v>0.416022756727221</v>
      </c>
      <c r="S32" s="16" t="n">
        <f aca="false">NPV($B$7,G32:P32)/$B$5*100</f>
        <v>14.9824063100137</v>
      </c>
    </row>
    <row r="33" customFormat="false" ht="15" hidden="false" customHeight="false" outlineLevel="0" collapsed="false">
      <c r="A33" s="4" t="s">
        <v>70</v>
      </c>
      <c r="B33" s="19" t="n">
        <v>0.02</v>
      </c>
      <c r="C33" s="10" t="n">
        <v>8</v>
      </c>
      <c r="D33" s="10" t="n">
        <v>0</v>
      </c>
      <c r="E33" s="11" t="n">
        <f aca="false">MIN(B33*$B$3,$B$5)</f>
        <v>20000000</v>
      </c>
      <c r="F33" s="11" t="n">
        <f aca="false">-$B$5*$B$4/100</f>
        <v>-34027089.9153766</v>
      </c>
      <c r="G33" s="11" t="n">
        <f aca="false">IF(1&lt;=$C33-$D33,$B$5,$B$5-$E33)*$B$6+IF(1=10,$B$5-$E33,0)</f>
        <v>4718681.25</v>
      </c>
      <c r="H33" s="11" t="n">
        <f aca="false">IF(2&lt;=$C33-$D33,$B$5,$B$5-$E33)*$B$6+IF(2=10,$B$5-$E33,0)</f>
        <v>4718681.25</v>
      </c>
      <c r="I33" s="11" t="n">
        <f aca="false">IF(3&lt;=$C33-$D33,$B$5,$B$5-$E33)*$B$6+IF(3=10,$B$5-$E33,0)</f>
        <v>4718681.25</v>
      </c>
      <c r="J33" s="11" t="n">
        <f aca="false">IF(4&lt;=$C33-$D33,$B$5,$B$5-$E33)*$B$6+IF(4=10,$B$5-$E33,0)</f>
        <v>4718681.25</v>
      </c>
      <c r="K33" s="11" t="n">
        <f aca="false">IF(5&lt;=$C33-$D33,$B$5,$B$5-$E33)*$B$6+IF(5=10,$B$5-$E33,0)</f>
        <v>4718681.25</v>
      </c>
      <c r="L33" s="11" t="n">
        <f aca="false">IF(6&lt;=$C33-$D33,$B$5,$B$5-$E33)*$B$6+IF(6=10,$B$5-$E33,0)</f>
        <v>4718681.25</v>
      </c>
      <c r="M33" s="11" t="n">
        <f aca="false">IF(7&lt;=$C33-$D33,$B$5,$B$5-$E33)*$B$6+IF(7=10,$B$5-$E33,0)</f>
        <v>4718681.25</v>
      </c>
      <c r="N33" s="11" t="n">
        <f aca="false">IF(8&lt;=$C33-$D33,$B$5,$B$5-$E33)*$B$6+IF(8=10,$B$5-$E33,0)</f>
        <v>4718681.25</v>
      </c>
      <c r="O33" s="11" t="n">
        <f aca="false">IF(9&lt;=$C33-$D33,$B$5,$B$5-$E33)*$B$6+IF(9=10,$B$5-$E33,0)</f>
        <v>3460366.25</v>
      </c>
      <c r="P33" s="11" t="n">
        <f aca="false">IF(10&lt;=$C33-$D33,$B$5,$B$5-$E33)*$B$6+IF(10=10,$B$5-$E33,0)</f>
        <v>58460366.25</v>
      </c>
      <c r="Q33" s="15" t="n">
        <f aca="false">IRR(F33:P33,IF(SUM(F33:P33)&lt;0,-0.2,0.1))</f>
        <v>0.163412798121196</v>
      </c>
      <c r="R33" s="16" t="n">
        <f aca="false">SUM(G33:P33)/-F33</f>
        <v>2.92914212610817</v>
      </c>
      <c r="S33" s="16" t="n">
        <f aca="false">NPV($B$7,G33:P33)/$B$5*100</f>
        <v>56.3176896623923</v>
      </c>
    </row>
    <row r="34" customFormat="false" ht="15" hidden="false" customHeight="false" outlineLevel="0" collapsed="false">
      <c r="A34" s="4" t="s">
        <v>71</v>
      </c>
      <c r="B34" s="19" t="n">
        <v>0.07</v>
      </c>
      <c r="C34" s="10" t="n">
        <v>5</v>
      </c>
      <c r="D34" s="10" t="n">
        <v>0</v>
      </c>
      <c r="E34" s="11" t="n">
        <f aca="false">MIN(B34*$B$3,$B$5)</f>
        <v>70000000</v>
      </c>
      <c r="F34" s="11" t="n">
        <f aca="false">-$B$5*$B$4/100</f>
        <v>-34027089.9153766</v>
      </c>
      <c r="G34" s="11" t="n">
        <f aca="false">IF(1&lt;=$C34-$D34,$B$5,$B$5-$E34)*$B$6+IF(1=10,$B$5-$E34,0)</f>
        <v>4718681.25</v>
      </c>
      <c r="H34" s="11" t="n">
        <f aca="false">IF(2&lt;=$C34-$D34,$B$5,$B$5-$E34)*$B$6+IF(2=10,$B$5-$E34,0)</f>
        <v>4718681.25</v>
      </c>
      <c r="I34" s="11" t="n">
        <f aca="false">IF(3&lt;=$C34-$D34,$B$5,$B$5-$E34)*$B$6+IF(3=10,$B$5-$E34,0)</f>
        <v>4718681.25</v>
      </c>
      <c r="J34" s="11" t="n">
        <f aca="false">IF(4&lt;=$C34-$D34,$B$5,$B$5-$E34)*$B$6+IF(4=10,$B$5-$E34,0)</f>
        <v>4718681.25</v>
      </c>
      <c r="K34" s="11" t="n">
        <f aca="false">IF(5&lt;=$C34-$D34,$B$5,$B$5-$E34)*$B$6+IF(5=10,$B$5-$E34,0)</f>
        <v>4718681.25</v>
      </c>
      <c r="L34" s="11" t="n">
        <f aca="false">IF(6&lt;=$C34-$D34,$B$5,$B$5-$E34)*$B$6+IF(6=10,$B$5-$E34,0)</f>
        <v>314578.75</v>
      </c>
      <c r="M34" s="11" t="n">
        <f aca="false">IF(7&lt;=$C34-$D34,$B$5,$B$5-$E34)*$B$6+IF(7=10,$B$5-$E34,0)</f>
        <v>314578.75</v>
      </c>
      <c r="N34" s="11" t="n">
        <f aca="false">IF(8&lt;=$C34-$D34,$B$5,$B$5-$E34)*$B$6+IF(8=10,$B$5-$E34,0)</f>
        <v>314578.75</v>
      </c>
      <c r="O34" s="11" t="n">
        <f aca="false">IF(9&lt;=$C34-$D34,$B$5,$B$5-$E34)*$B$6+IF(9=10,$B$5-$E34,0)</f>
        <v>314578.75</v>
      </c>
      <c r="P34" s="11" t="n">
        <f aca="false">IF(10&lt;=$C34-$D34,$B$5,$B$5-$E34)*$B$6+IF(10=10,$B$5-$E34,0)</f>
        <v>5314578.75</v>
      </c>
      <c r="Q34" s="15" t="n">
        <f aca="false">IRR(F34:P34,IF(SUM(F34:P34)&lt;0,-0.2,0.1))</f>
        <v>-0.0261558862927323</v>
      </c>
      <c r="R34" s="16" t="n">
        <f aca="false">SUM(G34:P34)/-F34</f>
        <v>0.88653775785769</v>
      </c>
      <c r="S34" s="16" t="n">
        <f aca="false">NPV($B$7,G34:P34)/$B$5*100</f>
        <v>25.2833095455139</v>
      </c>
    </row>
    <row r="37" customFormat="false" ht="15" hidden="false" customHeight="false" outlineLevel="0" collapsed="false">
      <c r="A37" s="13" t="s">
        <v>72</v>
      </c>
    </row>
    <row r="38" customFormat="false" ht="15" hidden="false" customHeight="false" outlineLevel="0" collapsed="false">
      <c r="A38" s="12" t="s">
        <v>8</v>
      </c>
      <c r="B38" s="12" t="s">
        <v>35</v>
      </c>
      <c r="C38" s="12" t="s">
        <v>38</v>
      </c>
      <c r="D38" s="12" t="s">
        <v>41</v>
      </c>
    </row>
    <row r="39" customFormat="false" ht="15" hidden="false" customHeight="false" outlineLevel="0" collapsed="false">
      <c r="A39" s="20" t="n">
        <f aca="false">B10</f>
        <v>0.02</v>
      </c>
      <c r="B39" s="18" t="n">
        <f aca="false">Q10</f>
        <v>0.134442143080954</v>
      </c>
      <c r="C39" s="18" t="n">
        <f aca="false">Q11</f>
        <v>0.148988560816648</v>
      </c>
      <c r="D39" s="18" t="n">
        <f aca="false">Q12</f>
        <v>0.158915873807329</v>
      </c>
    </row>
    <row r="40" customFormat="false" ht="15" hidden="false" customHeight="false" outlineLevel="0" collapsed="false">
      <c r="A40" s="20" t="n">
        <f aca="false">B13</f>
        <v>0.03</v>
      </c>
      <c r="B40" s="18" t="n">
        <f aca="false">Q13</f>
        <v>0.103136202887252</v>
      </c>
      <c r="C40" s="18" t="n">
        <f aca="false">Q14</f>
        <v>0.125</v>
      </c>
      <c r="D40" s="18" t="n">
        <f aca="false">Q15</f>
        <v>0.141194809012937</v>
      </c>
    </row>
    <row r="41" customFormat="false" ht="15" hidden="false" customHeight="false" outlineLevel="0" collapsed="false">
      <c r="A41" s="20" t="n">
        <f aca="false">B16</f>
        <v>0.04</v>
      </c>
      <c r="B41" s="18" t="n">
        <f aca="false">Q16</f>
        <v>0.0668154195779116</v>
      </c>
      <c r="C41" s="18" t="n">
        <f aca="false">Q17</f>
        <v>0.0961850578366838</v>
      </c>
      <c r="D41" s="18" t="n">
        <f aca="false">Q18</f>
        <v>0.120171224820955</v>
      </c>
    </row>
    <row r="42" customFormat="false" ht="15" hidden="false" customHeight="false" outlineLevel="0" collapsed="false">
      <c r="A42" s="20" t="n">
        <f aca="false">B19</f>
        <v>0.055</v>
      </c>
      <c r="B42" s="18" t="n">
        <f aca="false">Q19</f>
        <v>-0.00522139002121766</v>
      </c>
      <c r="C42" s="18" t="n">
        <f aca="false">Q20</f>
        <v>0.0365031304455011</v>
      </c>
      <c r="D42" s="18" t="n">
        <f aca="false">Q21</f>
        <v>0.0781403522360549</v>
      </c>
    </row>
    <row r="43" customFormat="false" ht="15" hidden="false" customHeight="false" outlineLevel="0" collapsed="false">
      <c r="A43" s="20" t="n">
        <f aca="false">B22</f>
        <v>0.07</v>
      </c>
      <c r="B43" s="18" t="n">
        <f aca="false">Q22</f>
        <v>-0.150203908625097</v>
      </c>
      <c r="C43" s="18" t="n">
        <f aca="false">Q23</f>
        <v>-0.0886169293648918</v>
      </c>
      <c r="D43" s="18" t="n">
        <f aca="false">Q24</f>
        <v>0.00344358094368192</v>
      </c>
    </row>
    <row r="45" customFormat="false" ht="15" hidden="false" customHeight="false" outlineLevel="0" collapsed="false">
      <c r="A45" s="4" t="s">
        <v>73</v>
      </c>
      <c r="B45" s="20" t="n">
        <f aca="false">B27/B13-1</f>
        <v>0.560235583507939</v>
      </c>
    </row>
    <row r="46" customFormat="false" ht="15" hidden="false" customHeight="false" outlineLevel="0" collapsed="false">
      <c r="A46" s="4" t="s">
        <v>74</v>
      </c>
      <c r="B46" s="21" t="n">
        <f aca="false">Q27-Q13</f>
        <v>4.44089209850063E-016</v>
      </c>
    </row>
    <row r="47" customFormat="false" ht="15" hidden="false" customHeight="false" outlineLevel="0" collapsed="false">
      <c r="A47" s="4" t="s">
        <v>75</v>
      </c>
      <c r="B47" s="16" t="n">
        <f aca="false">ABS(S13-S14)</f>
        <v>5.99296252400549</v>
      </c>
    </row>
    <row r="48" customFormat="false" ht="15" hidden="false" customHeight="false" outlineLevel="0" collapsed="false">
      <c r="A48" s="4" t="s">
        <v>76</v>
      </c>
      <c r="B48" s="16" t="n">
        <f aca="false">ABS(S15-S14)</f>
        <v>4.20904912522745</v>
      </c>
    </row>
    <row r="49" customFormat="false" ht="15" hidden="false" customHeight="false" outlineLevel="0" collapsed="false">
      <c r="A49" s="4" t="s">
        <v>77</v>
      </c>
      <c r="B49" s="16" t="n">
        <f aca="false">ABS(S17-S14)</f>
        <v>6.75267709121965</v>
      </c>
    </row>
    <row r="50" customFormat="false" ht="15" hidden="false" customHeight="false" outlineLevel="0" collapsed="false">
      <c r="A50" s="4" t="s">
        <v>78</v>
      </c>
      <c r="B50" s="18" t="n">
        <f aca="false">Q13-Q14</f>
        <v>-0.021863797112748</v>
      </c>
    </row>
    <row r="51" customFormat="false" ht="15" hidden="false" customHeight="false" outlineLevel="0" collapsed="false">
      <c r="A51" s="4" t="s">
        <v>76</v>
      </c>
      <c r="B51" s="18" t="n">
        <f aca="false">Q15-Q14</f>
        <v>0.0161948090129373</v>
      </c>
    </row>
    <row r="52" customFormat="false" ht="15" hidden="false" customHeight="false" outlineLevel="0" collapsed="false">
      <c r="A52" s="4" t="s">
        <v>79</v>
      </c>
      <c r="B52" s="18" t="n">
        <f aca="false">Q17-Q14</f>
        <v>-0.0288149421633161</v>
      </c>
    </row>
    <row r="53" customFormat="false" ht="15" hidden="false" customHeight="false" outlineLevel="0" collapsed="false">
      <c r="A53" s="4" t="s">
        <v>80</v>
      </c>
      <c r="B53" s="18" t="n">
        <f aca="false">Q11-Q14</f>
        <v>0.0239885608166479</v>
      </c>
    </row>
    <row r="54" customFormat="false" ht="15" hidden="false" customHeight="false" outlineLevel="0" collapsed="false">
      <c r="A54" s="4" t="s">
        <v>81</v>
      </c>
      <c r="B54" s="16" t="n">
        <f aca="false">S29</f>
        <v>25.1114219468432</v>
      </c>
    </row>
    <row r="55" customFormat="false" ht="15" hidden="false" customHeight="false" outlineLevel="0" collapsed="false">
      <c r="A55" s="4" t="s">
        <v>82</v>
      </c>
      <c r="B55" s="11" t="n">
        <f aca="false">(S14-S29)/100*B5</f>
        <v>15193523.4552442</v>
      </c>
    </row>
    <row r="56" customFormat="false" ht="15" hidden="false" customHeight="false" outlineLevel="0" collapsed="false">
      <c r="A56" s="4" t="s">
        <v>83</v>
      </c>
      <c r="B56" s="18" t="n">
        <f aca="false">Q31-Q30</f>
        <v>0.286729382799021</v>
      </c>
    </row>
    <row r="57" customFormat="false" ht="15" hidden="false" customHeight="false" outlineLevel="0" collapsed="false">
      <c r="A57" s="4" t="s">
        <v>84</v>
      </c>
      <c r="B57" s="18" t="n">
        <f aca="false">Q32-Q30</f>
        <v>0</v>
      </c>
    </row>
    <row r="58" customFormat="false" ht="15" hidden="false" customHeight="false" outlineLevel="0" collapsed="false">
      <c r="A58" s="4" t="s">
        <v>85</v>
      </c>
      <c r="B58" s="18" t="n">
        <f aca="false">Q33-Q12</f>
        <v>0.0044969243138672</v>
      </c>
    </row>
    <row r="59" customFormat="false" ht="15" hidden="false" customHeight="false" outlineLevel="0" collapsed="false">
      <c r="A59" s="4" t="s">
        <v>86</v>
      </c>
      <c r="B59" s="18" t="n">
        <f aca="false">Q34-Q23</f>
        <v>0.0624610430721595</v>
      </c>
    </row>
    <row r="60" customFormat="false" ht="15" hidden="false" customHeight="false" outlineLevel="0" collapsed="false">
      <c r="A60" s="4" t="s">
        <v>87</v>
      </c>
      <c r="B60" s="18" t="n">
        <f aca="false">Q25-B7</f>
        <v>-0.0447873659176674</v>
      </c>
    </row>
    <row r="61" customFormat="false" ht="15" hidden="false" customHeight="false" outlineLevel="0" collapsed="false">
      <c r="A61" s="4" t="s">
        <v>88</v>
      </c>
      <c r="B61" s="11" t="n">
        <f aca="false">B5-E25</f>
        <v>30293858.3921966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3" min="2" style="0" width="16"/>
    <col collapsed="false" customWidth="true" hidden="false" outlineLevel="0" max="4" min="4" style="0" width="12"/>
    <col collapsed="false" customWidth="true" hidden="false" outlineLevel="0" max="5" min="5" style="0" width="9"/>
    <col collapsed="false" customWidth="true" hidden="false" outlineLevel="0" max="6" min="6" style="0" width="52"/>
    <col collapsed="false" customWidth="true" hidden="false" outlineLevel="0" max="7" min="7" style="0" width="10"/>
  </cols>
  <sheetData>
    <row r="1" customFormat="false" ht="16.15" hidden="false" customHeight="false" outlineLevel="0" collapsed="false">
      <c r="A1" s="1" t="s">
        <v>89</v>
      </c>
    </row>
    <row r="2" customFormat="false" ht="15" hidden="false" customHeight="false" outlineLevel="0" collapsed="false">
      <c r="A2" s="3" t="s">
        <v>90</v>
      </c>
    </row>
    <row r="4" customFormat="false" ht="15" hidden="false" customHeight="false" outlineLevel="0" collapsed="false">
      <c r="A4" s="12" t="s">
        <v>91</v>
      </c>
      <c r="B4" s="12" t="s">
        <v>92</v>
      </c>
      <c r="C4" s="12" t="s">
        <v>93</v>
      </c>
      <c r="D4" s="12" t="s">
        <v>94</v>
      </c>
      <c r="E4" s="12" t="s">
        <v>95</v>
      </c>
      <c r="F4" s="12" t="s">
        <v>96</v>
      </c>
      <c r="G4" s="12" t="s">
        <v>97</v>
      </c>
    </row>
    <row r="5" customFormat="false" ht="15" hidden="false" customHeight="false" outlineLevel="0" collapsed="false">
      <c r="A5" s="2" t="s">
        <v>26</v>
      </c>
      <c r="B5" s="16" t="n">
        <f aca="false">'Cash flows'!B28</f>
        <v>45.3694532205021</v>
      </c>
      <c r="C5" s="22" t="n">
        <v>45.37</v>
      </c>
      <c r="D5" s="16" t="n">
        <f aca="false">IF(ISNUMBER(B5),B5-C5,"")</f>
        <v>-0.000546779497874184</v>
      </c>
      <c r="E5" s="13" t="str">
        <f aca="false">IF(ISNUMBER(B5),IF(ABS(B5-C5)&lt;=G5,"OK","CHECK"),IF(B5=C5,"OK","CHECK"))</f>
        <v>OK</v>
      </c>
      <c r="F5" s="23"/>
      <c r="G5" s="3" t="n">
        <v>0.005000005001</v>
      </c>
    </row>
    <row r="6" customFormat="false" ht="15" hidden="false" customHeight="false" outlineLevel="0" collapsed="false">
      <c r="A6" s="2" t="s">
        <v>18</v>
      </c>
      <c r="B6" s="11" t="n">
        <f aca="false">'Cash flows'!B27</f>
        <v>34027089.9153766</v>
      </c>
      <c r="C6" s="5" t="n">
        <v>34030000</v>
      </c>
      <c r="D6" s="11" t="n">
        <f aca="false">IF(ISNUMBER(B6),B6-C6,"")</f>
        <v>-2910.0846234113</v>
      </c>
      <c r="E6" s="13" t="str">
        <f aca="false">IF(ISNUMBER(B6),IF(ABS(B6-C6)&lt;=G6,"OK","CHECK"),IF(B6=C6,"OK","CHECK"))</f>
        <v>OK</v>
      </c>
      <c r="F6" s="23"/>
      <c r="G6" s="3" t="n">
        <v>5000.005</v>
      </c>
    </row>
    <row r="7" customFormat="false" ht="15" hidden="false" customHeight="false" outlineLevel="0" collapsed="false">
      <c r="A7" s="2" t="s">
        <v>20</v>
      </c>
      <c r="B7" s="11" t="n">
        <f aca="false">'Cash flows'!B29</f>
        <v>40972910.0846234</v>
      </c>
      <c r="C7" s="5" t="n">
        <v>40970000</v>
      </c>
      <c r="D7" s="11" t="n">
        <f aca="false">IF(ISNUMBER(B7),B7-C7,"")</f>
        <v>2910.0846234113</v>
      </c>
      <c r="E7" s="13" t="str">
        <f aca="false">IF(ISNUMBER(B7),IF(ABS(B7-C7)&lt;=G7,"OK","CHECK"),IF(B7=C7,"OK","CHECK"))</f>
        <v>OK</v>
      </c>
      <c r="F7" s="23"/>
      <c r="G7" s="3" t="n">
        <v>5000.005</v>
      </c>
    </row>
    <row r="8" customFormat="false" ht="15" hidden="false" customHeight="false" outlineLevel="0" collapsed="false">
      <c r="A8" s="2" t="s">
        <v>98</v>
      </c>
      <c r="B8" s="18" t="n">
        <f aca="false">'Cash flows'!B30</f>
        <v>0.125</v>
      </c>
      <c r="C8" s="19" t="n">
        <v>0.125</v>
      </c>
      <c r="D8" s="18" t="n">
        <f aca="false">IF(ISNUMBER(B8),B8-C8,"")</f>
        <v>0</v>
      </c>
      <c r="E8" s="13" t="str">
        <f aca="false">IF(ISNUMBER(B8),IF(ABS(B8-C8)&lt;=G8,"OK","CHECK"),IF(B8=C8,"OK","CHECK"))</f>
        <v>OK</v>
      </c>
      <c r="F8" s="23"/>
      <c r="G8" s="3" t="n">
        <v>5.0000051E-005</v>
      </c>
    </row>
    <row r="9" customFormat="false" ht="15" hidden="false" customHeight="false" outlineLevel="0" collapsed="false">
      <c r="A9" s="2" t="s">
        <v>99</v>
      </c>
      <c r="B9" s="18" t="n">
        <f aca="false">Grid!Q10</f>
        <v>0.134442143080954</v>
      </c>
      <c r="C9" s="19" t="n">
        <v>0.1344</v>
      </c>
      <c r="D9" s="18" t="n">
        <f aca="false">IF(ISNUMBER(B9),B9-C9,"")</f>
        <v>4.21430809539602E-005</v>
      </c>
      <c r="E9" s="13" t="str">
        <f aca="false">IF(ISNUMBER(B9),IF(ABS(B9-C9)&lt;=G9,"OK","CHECK"),IF(B9=C9,"OK","CHECK"))</f>
        <v>OK</v>
      </c>
      <c r="F9" s="23"/>
      <c r="G9" s="3" t="n">
        <v>5.0000051E-005</v>
      </c>
    </row>
    <row r="10" customFormat="false" ht="15" hidden="false" customHeight="false" outlineLevel="0" collapsed="false">
      <c r="A10" s="2" t="s">
        <v>100</v>
      </c>
      <c r="B10" s="18" t="n">
        <f aca="false">Grid!Q11</f>
        <v>0.148988560816648</v>
      </c>
      <c r="C10" s="19" t="n">
        <v>0.149</v>
      </c>
      <c r="D10" s="18" t="n">
        <f aca="false">IF(ISNUMBER(B10),B10-C10,"")</f>
        <v>-1.14391833521132E-005</v>
      </c>
      <c r="E10" s="13" t="str">
        <f aca="false">IF(ISNUMBER(B10),IF(ABS(B10-C10)&lt;=G10,"OK","CHECK"),IF(B10=C10,"OK","CHECK"))</f>
        <v>OK</v>
      </c>
      <c r="F10" s="23"/>
      <c r="G10" s="3" t="n">
        <v>5.0000051E-005</v>
      </c>
    </row>
    <row r="11" customFormat="false" ht="15" hidden="false" customHeight="false" outlineLevel="0" collapsed="false">
      <c r="A11" s="2" t="s">
        <v>101</v>
      </c>
      <c r="B11" s="18" t="n">
        <f aca="false">Grid!Q12</f>
        <v>0.158915873807329</v>
      </c>
      <c r="C11" s="19" t="n">
        <v>0.1589</v>
      </c>
      <c r="D11" s="18" t="n">
        <f aca="false">IF(ISNUMBER(B11),B11-C11,"")</f>
        <v>1.58738073291476E-005</v>
      </c>
      <c r="E11" s="13" t="str">
        <f aca="false">IF(ISNUMBER(B11),IF(ABS(B11-C11)&lt;=G11,"OK","CHECK"),IF(B11=C11,"OK","CHECK"))</f>
        <v>OK</v>
      </c>
      <c r="F11" s="23"/>
      <c r="G11" s="3" t="n">
        <v>5.0000051E-005</v>
      </c>
    </row>
    <row r="12" customFormat="false" ht="15" hidden="false" customHeight="false" outlineLevel="0" collapsed="false">
      <c r="A12" s="2" t="s">
        <v>102</v>
      </c>
      <c r="B12" s="18" t="n">
        <f aca="false">Grid!Q13</f>
        <v>0.103136202887252</v>
      </c>
      <c r="C12" s="19" t="n">
        <v>0.1031</v>
      </c>
      <c r="D12" s="18" t="n">
        <f aca="false">IF(ISNUMBER(B12),B12-C12,"")</f>
        <v>3.62028872519377E-005</v>
      </c>
      <c r="E12" s="13" t="str">
        <f aca="false">IF(ISNUMBER(B12),IF(ABS(B12-C12)&lt;=G12,"OK","CHECK"),IF(B12=C12,"OK","CHECK"))</f>
        <v>OK</v>
      </c>
      <c r="F12" s="23"/>
      <c r="G12" s="3" t="n">
        <v>5.0000051E-005</v>
      </c>
    </row>
    <row r="13" customFormat="false" ht="15" hidden="false" customHeight="false" outlineLevel="0" collapsed="false">
      <c r="A13" s="2" t="s">
        <v>103</v>
      </c>
      <c r="B13" s="18" t="n">
        <f aca="false">Grid!Q14</f>
        <v>0.125</v>
      </c>
      <c r="C13" s="19" t="n">
        <v>0.125</v>
      </c>
      <c r="D13" s="18" t="n">
        <f aca="false">IF(ISNUMBER(B13),B13-C13,"")</f>
        <v>0</v>
      </c>
      <c r="E13" s="13" t="str">
        <f aca="false">IF(ISNUMBER(B13),IF(ABS(B13-C13)&lt;=G13,"OK","CHECK"),IF(B13=C13,"OK","CHECK"))</f>
        <v>OK</v>
      </c>
      <c r="F13" s="23"/>
      <c r="G13" s="3" t="n">
        <v>5.0000051E-005</v>
      </c>
    </row>
    <row r="14" customFormat="false" ht="15" hidden="false" customHeight="false" outlineLevel="0" collapsed="false">
      <c r="A14" s="2" t="s">
        <v>104</v>
      </c>
      <c r="B14" s="18" t="n">
        <f aca="false">Grid!Q15</f>
        <v>0.141194809012937</v>
      </c>
      <c r="C14" s="19" t="n">
        <v>0.1412</v>
      </c>
      <c r="D14" s="18" t="n">
        <f aca="false">IF(ISNUMBER(B14),B14-C14,"")</f>
        <v>-5.19098706275312E-006</v>
      </c>
      <c r="E14" s="13" t="str">
        <f aca="false">IF(ISNUMBER(B14),IF(ABS(B14-C14)&lt;=G14,"OK","CHECK"),IF(B14=C14,"OK","CHECK"))</f>
        <v>OK</v>
      </c>
      <c r="F14" s="23"/>
      <c r="G14" s="3" t="n">
        <v>5.0000051E-005</v>
      </c>
    </row>
    <row r="15" customFormat="false" ht="15" hidden="false" customHeight="false" outlineLevel="0" collapsed="false">
      <c r="A15" s="2" t="s">
        <v>105</v>
      </c>
      <c r="B15" s="18" t="n">
        <f aca="false">Grid!Q16</f>
        <v>0.0668154195779116</v>
      </c>
      <c r="C15" s="19" t="n">
        <v>0.0668</v>
      </c>
      <c r="D15" s="18" t="n">
        <f aca="false">IF(ISNUMBER(B15),B15-C15,"")</f>
        <v>1.54195779116378E-005</v>
      </c>
      <c r="E15" s="13" t="str">
        <f aca="false">IF(ISNUMBER(B15),IF(ABS(B15-C15)&lt;=G15,"OK","CHECK"),IF(B15=C15,"OK","CHECK"))</f>
        <v>OK</v>
      </c>
      <c r="F15" s="23"/>
      <c r="G15" s="3" t="n">
        <v>5.0000051E-005</v>
      </c>
    </row>
    <row r="16" customFormat="false" ht="15" hidden="false" customHeight="false" outlineLevel="0" collapsed="false">
      <c r="A16" s="2" t="s">
        <v>106</v>
      </c>
      <c r="B16" s="18" t="n">
        <f aca="false">Grid!Q17</f>
        <v>0.0961850578366838</v>
      </c>
      <c r="C16" s="19" t="n">
        <v>0.0962</v>
      </c>
      <c r="D16" s="18" t="n">
        <f aca="false">IF(ISNUMBER(B16),B16-C16,"")</f>
        <v>-1.49421633161562E-005</v>
      </c>
      <c r="E16" s="13" t="str">
        <f aca="false">IF(ISNUMBER(B16),IF(ABS(B16-C16)&lt;=G16,"OK","CHECK"),IF(B16=C16,"OK","CHECK"))</f>
        <v>OK</v>
      </c>
      <c r="F16" s="23"/>
      <c r="G16" s="3" t="n">
        <v>5.0000051E-005</v>
      </c>
    </row>
    <row r="17" customFormat="false" ht="15" hidden="false" customHeight="false" outlineLevel="0" collapsed="false">
      <c r="A17" s="2" t="s">
        <v>107</v>
      </c>
      <c r="B17" s="18" t="n">
        <f aca="false">Grid!Q18</f>
        <v>0.120171224820955</v>
      </c>
      <c r="C17" s="19" t="n">
        <v>0.1202</v>
      </c>
      <c r="D17" s="18" t="n">
        <f aca="false">IF(ISNUMBER(B17),B17-C17,"")</f>
        <v>-2.8775179044746E-005</v>
      </c>
      <c r="E17" s="13" t="str">
        <f aca="false">IF(ISNUMBER(B17),IF(ABS(B17-C17)&lt;=G17,"OK","CHECK"),IF(B17=C17,"OK","CHECK"))</f>
        <v>OK</v>
      </c>
      <c r="F17" s="23"/>
      <c r="G17" s="3" t="n">
        <v>5.0000051E-005</v>
      </c>
    </row>
    <row r="18" customFormat="false" ht="15" hidden="false" customHeight="false" outlineLevel="0" collapsed="false">
      <c r="A18" s="2" t="s">
        <v>108</v>
      </c>
      <c r="B18" s="18" t="n">
        <f aca="false">Grid!Q19</f>
        <v>-0.00522139002121766</v>
      </c>
      <c r="C18" s="19" t="n">
        <v>-0.0052</v>
      </c>
      <c r="D18" s="18" t="n">
        <f aca="false">IF(ISNUMBER(B18),B18-C18,"")</f>
        <v>-2.13900212176644E-005</v>
      </c>
      <c r="E18" s="13" t="str">
        <f aca="false">IF(ISNUMBER(B18),IF(ABS(B18-C18)&lt;=G18,"OK","CHECK"),IF(B18=C18,"OK","CHECK"))</f>
        <v>OK</v>
      </c>
      <c r="F18" s="23"/>
      <c r="G18" s="3" t="n">
        <v>5.0000051E-005</v>
      </c>
    </row>
    <row r="19" customFormat="false" ht="15" hidden="false" customHeight="false" outlineLevel="0" collapsed="false">
      <c r="A19" s="2" t="s">
        <v>109</v>
      </c>
      <c r="B19" s="18" t="n">
        <f aca="false">Grid!Q20</f>
        <v>0.0365031304455011</v>
      </c>
      <c r="C19" s="19" t="n">
        <v>0.0365</v>
      </c>
      <c r="D19" s="18" t="n">
        <f aca="false">IF(ISNUMBER(B19),B19-C19,"")</f>
        <v>3.13044550107749E-006</v>
      </c>
      <c r="E19" s="13" t="str">
        <f aca="false">IF(ISNUMBER(B19),IF(ABS(B19-C19)&lt;=G19,"OK","CHECK"),IF(B19=C19,"OK","CHECK"))</f>
        <v>OK</v>
      </c>
      <c r="F19" s="23"/>
      <c r="G19" s="3" t="n">
        <v>5.0000051E-005</v>
      </c>
    </row>
    <row r="20" customFormat="false" ht="15" hidden="false" customHeight="false" outlineLevel="0" collapsed="false">
      <c r="A20" s="2" t="s">
        <v>110</v>
      </c>
      <c r="B20" s="18" t="n">
        <f aca="false">Grid!Q21</f>
        <v>0.0781403522360549</v>
      </c>
      <c r="C20" s="19" t="n">
        <v>0.0781</v>
      </c>
      <c r="D20" s="18" t="n">
        <f aca="false">IF(ISNUMBER(B20),B20-C20,"")</f>
        <v>4.03522360548914E-005</v>
      </c>
      <c r="E20" s="13" t="str">
        <f aca="false">IF(ISNUMBER(B20),IF(ABS(B20-C20)&lt;=G20,"OK","CHECK"),IF(B20=C20,"OK","CHECK"))</f>
        <v>OK</v>
      </c>
      <c r="F20" s="23"/>
      <c r="G20" s="3" t="n">
        <v>5.0000051E-005</v>
      </c>
    </row>
    <row r="21" customFormat="false" ht="15" hidden="false" customHeight="false" outlineLevel="0" collapsed="false">
      <c r="A21" s="2" t="s">
        <v>111</v>
      </c>
      <c r="B21" s="18" t="n">
        <f aca="false">Grid!Q22</f>
        <v>-0.150203908625097</v>
      </c>
      <c r="C21" s="19" t="n">
        <v>-0.1502</v>
      </c>
      <c r="D21" s="18" t="n">
        <f aca="false">IF(ISNUMBER(B21),B21-C21,"")</f>
        <v>-3.90862509730416E-006</v>
      </c>
      <c r="E21" s="13" t="str">
        <f aca="false">IF(ISNUMBER(B21),IF(ABS(B21-C21)&lt;=G21,"OK","CHECK"),IF(B21=C21,"OK","CHECK"))</f>
        <v>OK</v>
      </c>
      <c r="F21" s="23"/>
      <c r="G21" s="3" t="n">
        <v>5.0000051E-005</v>
      </c>
    </row>
    <row r="22" customFormat="false" ht="15" hidden="false" customHeight="false" outlineLevel="0" collapsed="false">
      <c r="A22" s="2" t="s">
        <v>112</v>
      </c>
      <c r="B22" s="18" t="n">
        <f aca="false">Grid!Q23</f>
        <v>-0.0886169293648918</v>
      </c>
      <c r="C22" s="19" t="n">
        <v>-0.0886</v>
      </c>
      <c r="D22" s="18" t="n">
        <f aca="false">IF(ISNUMBER(B22),B22-C22,"")</f>
        <v>-1.69293648917962E-005</v>
      </c>
      <c r="E22" s="13" t="str">
        <f aca="false">IF(ISNUMBER(B22),IF(ABS(B22-C22)&lt;=G22,"OK","CHECK"),IF(B22=C22,"OK","CHECK"))</f>
        <v>OK</v>
      </c>
      <c r="F22" s="23"/>
      <c r="G22" s="3" t="n">
        <v>5.0000051E-005</v>
      </c>
    </row>
    <row r="23" customFormat="false" ht="15" hidden="false" customHeight="false" outlineLevel="0" collapsed="false">
      <c r="A23" s="2" t="s">
        <v>113</v>
      </c>
      <c r="B23" s="18" t="n">
        <f aca="false">Grid!Q24</f>
        <v>0.00344358094368192</v>
      </c>
      <c r="C23" s="19" t="n">
        <v>0.0034</v>
      </c>
      <c r="D23" s="18" t="n">
        <f aca="false">IF(ISNUMBER(B23),B23-C23,"")</f>
        <v>4.35809436819244E-005</v>
      </c>
      <c r="E23" s="13" t="str">
        <f aca="false">IF(ISNUMBER(B23),IF(ABS(B23-C23)&lt;=G23,"OK","CHECK"),IF(B23=C23,"OK","CHECK"))</f>
        <v>OK</v>
      </c>
      <c r="F23" s="23"/>
      <c r="G23" s="3" t="n">
        <v>5.0000051E-005</v>
      </c>
    </row>
    <row r="24" customFormat="false" ht="15" hidden="false" customHeight="false" outlineLevel="0" collapsed="false">
      <c r="A24" s="2" t="s">
        <v>114</v>
      </c>
      <c r="B24" s="18" t="n">
        <f aca="false">Grid!B27</f>
        <v>0.0468070675052382</v>
      </c>
      <c r="C24" s="19" t="n">
        <v>0.0468</v>
      </c>
      <c r="D24" s="18" t="n">
        <f aca="false">IF(ISNUMBER(B24),B24-C24,"")</f>
        <v>7.06750523814942E-006</v>
      </c>
      <c r="E24" s="13" t="str">
        <f aca="false">IF(ISNUMBER(B24),IF(ABS(B24-C24)&lt;=G24,"OK","CHECK"),IF(B24=C24,"OK","CHECK"))</f>
        <v>OK</v>
      </c>
      <c r="F24" s="23"/>
      <c r="G24" s="3" t="n">
        <v>5.0000051E-005</v>
      </c>
    </row>
    <row r="25" customFormat="false" ht="15" hidden="false" customHeight="false" outlineLevel="0" collapsed="false">
      <c r="A25" s="2" t="s">
        <v>115</v>
      </c>
      <c r="B25" s="20" t="n">
        <f aca="false">Grid!B45</f>
        <v>0.560235583507939</v>
      </c>
      <c r="C25" s="24" t="n">
        <v>0.56</v>
      </c>
      <c r="D25" s="20" t="n">
        <f aca="false">IF(ISNUMBER(B25),B25-C25,"")</f>
        <v>0.000235583507938397</v>
      </c>
      <c r="E25" s="13" t="str">
        <f aca="false">IF(ISNUMBER(B25),IF(ABS(B25-C25)&lt;=G25,"OK","CHECK"),IF(B25=C25,"OK","CHECK"))</f>
        <v>OK</v>
      </c>
      <c r="F25" s="23" t="s">
        <v>116</v>
      </c>
      <c r="G25" s="3" t="n">
        <v>0.000500000501</v>
      </c>
    </row>
    <row r="26" customFormat="false" ht="15" hidden="false" customHeight="false" outlineLevel="0" collapsed="false">
      <c r="A26" s="2" t="s">
        <v>117</v>
      </c>
      <c r="B26" s="21" t="n">
        <f aca="false">Grid!B46</f>
        <v>4.44089209850063E-016</v>
      </c>
      <c r="C26" s="25" t="n">
        <v>0</v>
      </c>
      <c r="D26" s="21" t="n">
        <f aca="false">IF(ISNUMBER(B26),B26-C26,"")</f>
        <v>4.44089209850063E-016</v>
      </c>
      <c r="E26" s="13" t="str">
        <f aca="false">IF(ISNUMBER(B26),IF(ABS(B26-C26)&lt;=G26,"OK","CHECK"),IF(B26=C26,"OK","CHECK"))</f>
        <v>OK</v>
      </c>
      <c r="F26" s="23"/>
      <c r="G26" s="3" t="n">
        <v>1.001001E-009</v>
      </c>
    </row>
    <row r="27" customFormat="false" ht="15" hidden="false" customHeight="false" outlineLevel="0" collapsed="false">
      <c r="A27" s="2" t="s">
        <v>118</v>
      </c>
      <c r="B27" s="18" t="n">
        <f aca="false">Grid!Q13</f>
        <v>0.103136202887252</v>
      </c>
      <c r="C27" s="19" t="n">
        <v>0.1031</v>
      </c>
      <c r="D27" s="18" t="n">
        <f aca="false">IF(ISNUMBER(B27),B27-C27,"")</f>
        <v>3.62028872519377E-005</v>
      </c>
      <c r="E27" s="13" t="str">
        <f aca="false">IF(ISNUMBER(B27),IF(ABS(B27-C27)&lt;=G27,"OK","CHECK"),IF(B27=C27,"OK","CHECK"))</f>
        <v>OK</v>
      </c>
      <c r="F27" s="23"/>
      <c r="G27" s="3" t="n">
        <v>5.0000051E-005</v>
      </c>
    </row>
    <row r="28" customFormat="false" ht="15" hidden="false" customHeight="false" outlineLevel="0" collapsed="false">
      <c r="A28" s="2" t="s">
        <v>119</v>
      </c>
      <c r="B28" s="18" t="n">
        <f aca="false">Grid!B28</f>
        <v>0.0612045926392314</v>
      </c>
      <c r="C28" s="19" t="n">
        <v>0.0612</v>
      </c>
      <c r="D28" s="18" t="n">
        <f aca="false">IF(ISNUMBER(B28),B28-C28,"")</f>
        <v>4.59263923136E-006</v>
      </c>
      <c r="E28" s="13" t="str">
        <f aca="false">IF(ISNUMBER(B28),IF(ABS(B28-C28)&lt;=G28,"OK","CHECK"),IF(B28=C28,"OK","CHECK"))</f>
        <v>OK</v>
      </c>
      <c r="F28" s="23"/>
      <c r="G28" s="3" t="n">
        <v>5.0000051E-005</v>
      </c>
    </row>
    <row r="29" customFormat="false" ht="15" hidden="false" customHeight="false" outlineLevel="0" collapsed="false">
      <c r="A29" s="2" t="s">
        <v>120</v>
      </c>
      <c r="B29" s="21" t="n">
        <f aca="false">Grid!Q28</f>
        <v>7.12782057093305E-017</v>
      </c>
      <c r="C29" s="25" t="n">
        <v>0</v>
      </c>
      <c r="D29" s="21" t="n">
        <f aca="false">IF(ISNUMBER(B29),B29-C29,"")</f>
        <v>7.12782057093305E-017</v>
      </c>
      <c r="E29" s="13" t="str">
        <f aca="false">IF(ISNUMBER(B29),IF(ABS(B29-C29)&lt;=G29,"OK","CHECK"),IF(B29=C29,"OK","CHECK"))</f>
        <v>OK</v>
      </c>
      <c r="F29" s="23"/>
      <c r="G29" s="3" t="n">
        <v>1.000011E-007</v>
      </c>
    </row>
    <row r="30" customFormat="false" ht="15" hidden="false" customHeight="false" outlineLevel="0" collapsed="false">
      <c r="A30" s="2" t="s">
        <v>121</v>
      </c>
      <c r="B30" s="16" t="n">
        <f aca="false">Grid!B54</f>
        <v>25.1114219468432</v>
      </c>
      <c r="C30" s="22" t="n">
        <v>25.11</v>
      </c>
      <c r="D30" s="16" t="n">
        <f aca="false">IF(ISNUMBER(B30),B30-C30,"")</f>
        <v>0.00142194684318397</v>
      </c>
      <c r="E30" s="13" t="str">
        <f aca="false">IF(ISNUMBER(B30),IF(ABS(B30-C30)&lt;=G30,"OK","CHECK"),IF(B30=C30,"OK","CHECK"))</f>
        <v>OK</v>
      </c>
      <c r="F30" s="23"/>
      <c r="G30" s="3" t="n">
        <v>0.005000005001</v>
      </c>
    </row>
    <row r="31" customFormat="false" ht="15" hidden="false" customHeight="false" outlineLevel="0" collapsed="false">
      <c r="A31" s="2" t="s">
        <v>122</v>
      </c>
      <c r="B31" s="11" t="n">
        <f aca="false">Grid!B55</f>
        <v>15193523.4552442</v>
      </c>
      <c r="C31" s="5" t="n">
        <v>15190000</v>
      </c>
      <c r="D31" s="11" t="n">
        <f aca="false">IF(ISNUMBER(B31),B31-C31,"")</f>
        <v>3523.45524420403</v>
      </c>
      <c r="E31" s="13" t="str">
        <f aca="false">IF(ISNUMBER(B31),IF(ABS(B31-C31)&lt;=G31,"OK","CHECK"),IF(B31=C31,"OK","CHECK"))</f>
        <v>OK</v>
      </c>
      <c r="F31" s="23"/>
      <c r="G31" s="3" t="n">
        <v>5000.005</v>
      </c>
    </row>
    <row r="32" customFormat="false" ht="15" hidden="false" customHeight="false" outlineLevel="0" collapsed="false">
      <c r="A32" s="2" t="s">
        <v>123</v>
      </c>
      <c r="B32" s="16" t="n">
        <f aca="false">Grid!B47</f>
        <v>5.99296252400549</v>
      </c>
      <c r="C32" s="22" t="n">
        <v>5.99</v>
      </c>
      <c r="D32" s="16" t="n">
        <f aca="false">IF(ISNUMBER(B32),B32-C32,"")</f>
        <v>0.00296252400548447</v>
      </c>
      <c r="E32" s="13" t="str">
        <f aca="false">IF(ISNUMBER(B32),IF(ABS(B32-C32)&lt;=G32,"OK","CHECK"),IF(B32=C32,"OK","CHECK"))</f>
        <v>OK</v>
      </c>
      <c r="F32" s="23"/>
      <c r="G32" s="3" t="n">
        <v>0.005000005001</v>
      </c>
    </row>
    <row r="33" customFormat="false" ht="15" hidden="false" customHeight="false" outlineLevel="0" collapsed="false">
      <c r="A33" s="2" t="s">
        <v>124</v>
      </c>
      <c r="B33" s="16" t="n">
        <f aca="false">Grid!B48</f>
        <v>4.20904912522745</v>
      </c>
      <c r="C33" s="22" t="n">
        <v>4.21</v>
      </c>
      <c r="D33" s="16" t="n">
        <f aca="false">IF(ISNUMBER(B33),B33-C33,"")</f>
        <v>-0.000950874772555288</v>
      </c>
      <c r="E33" s="13" t="str">
        <f aca="false">IF(ISNUMBER(B33),IF(ABS(B33-C33)&lt;=G33,"OK","CHECK"),IF(B33=C33,"OK","CHECK"))</f>
        <v>OK</v>
      </c>
      <c r="F33" s="23"/>
      <c r="G33" s="3" t="n">
        <v>0.005000005001</v>
      </c>
    </row>
    <row r="34" customFormat="false" ht="15" hidden="false" customHeight="false" outlineLevel="0" collapsed="false">
      <c r="A34" s="2" t="s">
        <v>125</v>
      </c>
      <c r="B34" s="16" t="n">
        <f aca="false">Grid!B49</f>
        <v>6.75267709121965</v>
      </c>
      <c r="C34" s="22" t="n">
        <v>6.75</v>
      </c>
      <c r="D34" s="16" t="n">
        <f aca="false">IF(ISNUMBER(B34),B34-C34,"")</f>
        <v>0.00267709121964543</v>
      </c>
      <c r="E34" s="13" t="str">
        <f aca="false">IF(ISNUMBER(B34),IF(ABS(B34-C34)&lt;=G34,"OK","CHECK"),IF(B34=C34,"OK","CHECK"))</f>
        <v>OK</v>
      </c>
      <c r="F34" s="23"/>
      <c r="G34" s="3" t="n">
        <v>0.005000005001</v>
      </c>
    </row>
    <row r="35" customFormat="false" ht="15" hidden="false" customHeight="false" outlineLevel="0" collapsed="false">
      <c r="A35" s="2" t="s">
        <v>126</v>
      </c>
      <c r="B35" s="18" t="n">
        <f aca="false">Grid!B50</f>
        <v>-0.021863797112748</v>
      </c>
      <c r="C35" s="19" t="n">
        <v>-0.0219</v>
      </c>
      <c r="D35" s="18" t="n">
        <f aca="false">IF(ISNUMBER(B35),B35-C35,"")</f>
        <v>3.62028872519897E-005</v>
      </c>
      <c r="E35" s="13" t="str">
        <f aca="false">IF(ISNUMBER(B35),IF(ABS(B35-C35)&lt;=G35,"OK","CHECK"),IF(B35=C35,"OK","CHECK"))</f>
        <v>OK</v>
      </c>
      <c r="F35" s="23"/>
      <c r="G35" s="3" t="n">
        <v>5.0000051E-005</v>
      </c>
    </row>
    <row r="36" customFormat="false" ht="15" hidden="false" customHeight="false" outlineLevel="0" collapsed="false">
      <c r="A36" s="2" t="s">
        <v>127</v>
      </c>
      <c r="B36" s="18" t="n">
        <f aca="false">Grid!B51</f>
        <v>0.0161948090129373</v>
      </c>
      <c r="C36" s="19" t="n">
        <v>0.0162</v>
      </c>
      <c r="D36" s="18" t="n">
        <f aca="false">IF(ISNUMBER(B36),B36-C36,"")</f>
        <v>-5.19098706270454E-006</v>
      </c>
      <c r="E36" s="13" t="str">
        <f aca="false">IF(ISNUMBER(B36),IF(ABS(B36-C36)&lt;=G36,"OK","CHECK"),IF(B36=C36,"OK","CHECK"))</f>
        <v>OK</v>
      </c>
      <c r="F36" s="23"/>
      <c r="G36" s="3" t="n">
        <v>5.0000051E-005</v>
      </c>
    </row>
    <row r="37" customFormat="false" ht="15" hidden="false" customHeight="false" outlineLevel="0" collapsed="false">
      <c r="A37" s="2" t="s">
        <v>128</v>
      </c>
      <c r="B37" s="18" t="n">
        <f aca="false">Grid!B52</f>
        <v>-0.0288149421633161</v>
      </c>
      <c r="C37" s="19" t="n">
        <v>-0.0288</v>
      </c>
      <c r="D37" s="18" t="n">
        <f aca="false">IF(ISNUMBER(B37),B37-C37,"")</f>
        <v>-1.49421633161076E-005</v>
      </c>
      <c r="E37" s="13" t="str">
        <f aca="false">IF(ISNUMBER(B37),IF(ABS(B37-C37)&lt;=G37,"OK","CHECK"),IF(B37=C37,"OK","CHECK"))</f>
        <v>OK</v>
      </c>
      <c r="F37" s="23"/>
      <c r="G37" s="3" t="n">
        <v>5.0000051E-005</v>
      </c>
    </row>
    <row r="38" customFormat="false" ht="15" hidden="false" customHeight="false" outlineLevel="0" collapsed="false">
      <c r="A38" s="2" t="s">
        <v>129</v>
      </c>
      <c r="B38" s="18" t="n">
        <f aca="false">Grid!B53</f>
        <v>0.0239885608166479</v>
      </c>
      <c r="C38" s="19" t="n">
        <v>0.024</v>
      </c>
      <c r="D38" s="18" t="n">
        <f aca="false">IF(ISNUMBER(B38),B38-C38,"")</f>
        <v>-1.14391833520647E-005</v>
      </c>
      <c r="E38" s="13" t="str">
        <f aca="false">IF(ISNUMBER(B38),IF(ABS(B38-C38)&lt;=G38,"OK","CHECK"),IF(B38=C38,"OK","CHECK"))</f>
        <v>OK</v>
      </c>
      <c r="F38" s="23"/>
      <c r="G38" s="3" t="n">
        <v>5.0000051E-005</v>
      </c>
    </row>
    <row r="39" customFormat="false" ht="15" hidden="false" customHeight="false" outlineLevel="0" collapsed="false">
      <c r="A39" s="2" t="s">
        <v>130</v>
      </c>
      <c r="B39" s="18" t="n">
        <f aca="false">Grid!Q30</f>
        <v>-0.336861565722785</v>
      </c>
      <c r="C39" s="19" t="n">
        <v>-0.3369</v>
      </c>
      <c r="D39" s="18" t="n">
        <f aca="false">IF(ISNUMBER(B39),B39-C39,"")</f>
        <v>3.84342772155044E-005</v>
      </c>
      <c r="E39" s="13" t="str">
        <f aca="false">IF(ISNUMBER(B39),IF(ABS(B39-C39)&lt;=G39,"OK","CHECK"),IF(B39=C39,"OK","CHECK"))</f>
        <v>OK</v>
      </c>
      <c r="F39" s="23"/>
      <c r="G39" s="3" t="n">
        <v>5.0000051E-005</v>
      </c>
    </row>
    <row r="40" customFormat="false" ht="15" hidden="false" customHeight="false" outlineLevel="0" collapsed="false">
      <c r="A40" s="2" t="s">
        <v>131</v>
      </c>
      <c r="B40" s="18" t="n">
        <f aca="false">Grid!B56</f>
        <v>0.286729382799021</v>
      </c>
      <c r="C40" s="19" t="n">
        <v>0.2867</v>
      </c>
      <c r="D40" s="18" t="n">
        <f aca="false">IF(ISNUMBER(B40),B40-C40,"")</f>
        <v>2.93827990213713E-005</v>
      </c>
      <c r="E40" s="13" t="str">
        <f aca="false">IF(ISNUMBER(B40),IF(ABS(B40-C40)&lt;=G40,"OK","CHECK"),IF(B40=C40,"OK","CHECK"))</f>
        <v>OK</v>
      </c>
      <c r="F40" s="23"/>
      <c r="G40" s="3" t="n">
        <v>5.0000051E-005</v>
      </c>
    </row>
    <row r="41" customFormat="false" ht="15" hidden="false" customHeight="false" outlineLevel="0" collapsed="false">
      <c r="A41" s="2" t="s">
        <v>132</v>
      </c>
      <c r="B41" s="18" t="n">
        <f aca="false">Grid!B57</f>
        <v>0</v>
      </c>
      <c r="C41" s="19" t="n">
        <v>0</v>
      </c>
      <c r="D41" s="18" t="n">
        <f aca="false">IF(ISNUMBER(B41),B41-C41,"")</f>
        <v>0</v>
      </c>
      <c r="E41" s="13" t="str">
        <f aca="false">IF(ISNUMBER(B41),IF(ABS(B41-C41)&lt;=G41,"OK","CHECK"),IF(B41=C41,"OK","CHECK"))</f>
        <v>OK</v>
      </c>
      <c r="F41" s="23"/>
      <c r="G41" s="3" t="n">
        <v>5.0000051E-005</v>
      </c>
    </row>
    <row r="42" customFormat="false" ht="15" hidden="false" customHeight="false" outlineLevel="0" collapsed="false">
      <c r="A42" s="2" t="s">
        <v>133</v>
      </c>
      <c r="B42" s="18" t="n">
        <f aca="false">Grid!B58</f>
        <v>0.0044969243138672</v>
      </c>
      <c r="C42" s="19" t="n">
        <v>0.0045</v>
      </c>
      <c r="D42" s="18" t="n">
        <f aca="false">IF(ISNUMBER(B42),B42-C42,"")</f>
        <v>-3.07568613280417E-006</v>
      </c>
      <c r="E42" s="13" t="str">
        <f aca="false">IF(ISNUMBER(B42),IF(ABS(B42-C42)&lt;=G42,"OK","CHECK"),IF(B42=C42,"OK","CHECK"))</f>
        <v>OK</v>
      </c>
      <c r="F42" s="23"/>
      <c r="G42" s="3" t="n">
        <v>5.0000051E-005</v>
      </c>
    </row>
    <row r="43" customFormat="false" ht="15" hidden="false" customHeight="false" outlineLevel="0" collapsed="false">
      <c r="A43" s="2" t="s">
        <v>134</v>
      </c>
      <c r="B43" s="18" t="n">
        <f aca="false">Grid!B59</f>
        <v>0.0624610430721595</v>
      </c>
      <c r="C43" s="19" t="n">
        <v>0.0625</v>
      </c>
      <c r="D43" s="18" t="n">
        <f aca="false">IF(ISNUMBER(B43),B43-C43,"")</f>
        <v>-3.89569278404639E-005</v>
      </c>
      <c r="E43" s="13" t="str">
        <f aca="false">IF(ISNUMBER(B43),IF(ABS(B43-C43)&lt;=G43,"OK","CHECK"),IF(B43=C43,"OK","CHECK"))</f>
        <v>OK</v>
      </c>
      <c r="F43" s="23"/>
      <c r="G43" s="3" t="n">
        <v>5.0000051E-005</v>
      </c>
    </row>
    <row r="44" customFormat="false" ht="15" hidden="false" customHeight="false" outlineLevel="0" collapsed="false">
      <c r="A44" s="2" t="s">
        <v>135</v>
      </c>
      <c r="B44" s="18" t="n">
        <f aca="false">Grid!Q25</f>
        <v>0.0802126340823326</v>
      </c>
      <c r="C44" s="19" t="n">
        <v>0.0802</v>
      </c>
      <c r="D44" s="18" t="n">
        <f aca="false">IF(ISNUMBER(B44),B44-C44,"")</f>
        <v>1.26340823326104E-005</v>
      </c>
      <c r="E44" s="13" t="str">
        <f aca="false">IF(ISNUMBER(B44),IF(ABS(B44-C44)&lt;=G44,"OK","CHECK"),IF(B44=C44,"OK","CHECK"))</f>
        <v>OK</v>
      </c>
      <c r="F44" s="23" t="s">
        <v>136</v>
      </c>
      <c r="G44" s="3" t="n">
        <v>5.0000051E-005</v>
      </c>
    </row>
    <row r="45" customFormat="false" ht="15" hidden="false" customHeight="false" outlineLevel="0" collapsed="false">
      <c r="A45" s="2" t="s">
        <v>137</v>
      </c>
      <c r="B45" s="16" t="n">
        <f aca="false">Grid!R25</f>
        <v>1.69840054009593</v>
      </c>
      <c r="C45" s="22" t="n">
        <v>1.7</v>
      </c>
      <c r="D45" s="16" t="n">
        <f aca="false">IF(ISNUMBER(B45),B45-C45,"")</f>
        <v>-0.00159945990406785</v>
      </c>
      <c r="E45" s="13" t="str">
        <f aca="false">IF(ISNUMBER(B45),IF(ABS(B45-C45)&lt;=G45,"OK","CHECK"),IF(B45=C45,"OK","CHECK"))</f>
        <v>OK</v>
      </c>
      <c r="F45" s="23" t="s">
        <v>138</v>
      </c>
      <c r="G45" s="3" t="n">
        <v>0.005000005001</v>
      </c>
    </row>
    <row r="46" customFormat="false" ht="15" hidden="false" customHeight="false" outlineLevel="0" collapsed="false">
      <c r="A46" s="2" t="s">
        <v>139</v>
      </c>
      <c r="B46" s="18" t="n">
        <f aca="false">Grid!B60</f>
        <v>-0.0447873659176674</v>
      </c>
      <c r="C46" s="19" t="n">
        <v>-0.0448</v>
      </c>
      <c r="D46" s="18" t="n">
        <f aca="false">IF(ISNUMBER(B46),B46-C46,"")</f>
        <v>1.26340823326035E-005</v>
      </c>
      <c r="E46" s="13" t="str">
        <f aca="false">IF(ISNUMBER(B46),IF(ABS(B46-C46)&lt;=G46,"OK","CHECK"),IF(B46=C46,"OK","CHECK"))</f>
        <v>OK</v>
      </c>
      <c r="F46" s="23" t="s">
        <v>140</v>
      </c>
      <c r="G46" s="3" t="n">
        <v>5.0000051E-005</v>
      </c>
    </row>
    <row r="47" customFormat="false" ht="15" hidden="false" customHeight="false" outlineLevel="0" collapsed="false">
      <c r="A47" s="2" t="s">
        <v>141</v>
      </c>
      <c r="B47" s="18" t="n">
        <f aca="false">Grid!Q26</f>
        <v>0.090595488794197</v>
      </c>
      <c r="C47" s="19" t="n">
        <v>0.0906</v>
      </c>
      <c r="D47" s="18" t="n">
        <f aca="false">IF(ISNUMBER(B47),B47-C47,"")</f>
        <v>-4.51120580298448E-006</v>
      </c>
      <c r="E47" s="13" t="str">
        <f aca="false">IF(ISNUMBER(B47),IF(ABS(B47-C47)&lt;=G47,"OK","CHECK"),IF(B47=C47,"OK","CHECK"))</f>
        <v>OK</v>
      </c>
      <c r="F47" s="23" t="s">
        <v>142</v>
      </c>
      <c r="G47" s="3" t="n">
        <v>5.0000051E-005</v>
      </c>
    </row>
    <row r="48" customFormat="false" ht="15" hidden="false" customHeight="false" outlineLevel="0" collapsed="false">
      <c r="A48" s="2" t="s">
        <v>143</v>
      </c>
      <c r="B48" s="16" t="n">
        <f aca="false">Grid!R26</f>
        <v>1.781061750204</v>
      </c>
      <c r="C48" s="22" t="n">
        <v>1.78</v>
      </c>
      <c r="D48" s="16" t="n">
        <f aca="false">IF(ISNUMBER(B48),B48-C48,"")</f>
        <v>0.00106175020400268</v>
      </c>
      <c r="E48" s="13" t="str">
        <f aca="false">IF(ISNUMBER(B48),IF(ABS(B48-C48)&lt;=G48,"OK","CHECK"),IF(B48=C48,"OK","CHECK"))</f>
        <v>OK</v>
      </c>
      <c r="F48" s="23" t="s">
        <v>142</v>
      </c>
      <c r="G48" s="3" t="n">
        <v>0.005000005001</v>
      </c>
    </row>
    <row r="49" customFormat="false" ht="15" hidden="false" customHeight="false" outlineLevel="0" collapsed="false">
      <c r="A49" s="2" t="s">
        <v>144</v>
      </c>
      <c r="B49" s="11" t="n">
        <f aca="false">Grid!B61</f>
        <v>30293858.3921966</v>
      </c>
      <c r="C49" s="5" t="n">
        <v>30290000</v>
      </c>
      <c r="D49" s="11" t="n">
        <f aca="false">IF(ISNUMBER(B49),B49-C49,"")</f>
        <v>3858.39219656587</v>
      </c>
      <c r="E49" s="13" t="str">
        <f aca="false">IF(ISNUMBER(B49),IF(ABS(B49-C49)&lt;=G49,"OK","CHECK"),IF(B49=C49,"OK","CHECK"))</f>
        <v>OK</v>
      </c>
      <c r="F49" s="23"/>
      <c r="G49" s="3" t="n">
        <v>5000.005</v>
      </c>
    </row>
    <row r="51" customFormat="false" ht="15" hidden="false" customHeight="false" outlineLevel="0" collapsed="false">
      <c r="A51" s="13" t="s">
        <v>145</v>
      </c>
      <c r="B51" s="13" t="n">
        <f aca="false">COUNTIF(E5:E49,"CHECK")</f>
        <v>0</v>
      </c>
    </row>
    <row r="52" customFormat="false" ht="15" hidden="false" customHeight="false" outlineLevel="0" collapsed="false">
      <c r="A52" s="13" t="s">
        <v>146</v>
      </c>
      <c r="E52" s="13" t="str">
        <f aca="false">IF(COUNTIF(E5:E49,"OK")=45,"ALL OK",COUNTIF(E5:E49,"OK")&amp;" / 45 OK")</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2026-09-23T22:50:23Z</dcterms:created>
  <dc:creator>openpyxl</dc:creator>
  <dc:description/>
  <dc:language>en-US</dc:language>
  <cp:lastModifiedBy/>
  <dcterms:modified xsi:type="dcterms:W3CDTF">2026-09-23T22:50:24Z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