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ARA and ASER" sheetId="2" state="visible" r:id="rId4"/>
    <sheet name="Control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<sst xmlns="http://schemas.openxmlformats.org/spreadsheetml/2006/main" count="94" uniqueCount="86">
  <si>
    <t xml:space="preserve">ARA_And_Control.xlsx: losing money before losing money</t>
  </si>
  <si>
    <t xml:space="preserve">The three appraisal reductions of Meridian 2026-C1, the monthly interest shortfall each creates at its own loan's net coupon, the spill from class H into class G, the exact cumulative reduction at which control of the deal changes hands, and the month-by-month shortfall to the last liquidation.</t>
  </si>
  <si>
    <t xml:space="preserve">Revised 24 September 2026. The haircut, the top-of-pool fees and the net pool coupon were constants buried in the formulas; they are inputs now. The controlling class is computed for any cumulative reduction, not assumed to be H or G. Added: the months in special servicing, the month-by-month shortfall and the $2.99 million receivable of Chapter 8.</t>
  </si>
  <si>
    <t xml:space="preserve">Appraisal reductions, the interest shortfall and control (Chapters 13 and 14)</t>
  </si>
  <si>
    <t xml:space="preserve">Three loans, three reductions. The shortfall runs from the bottom class up; control moves on a bright line.</t>
  </si>
  <si>
    <t xml:space="preserve">Appraisal reduction: share of the new appraisal counted</t>
  </si>
  <si>
    <t xml:space="preserve">Top-of-pool fees, a year</t>
  </si>
  <si>
    <t xml:space="preserve">Net pool coupon (the class coupon cap)</t>
  </si>
  <si>
    <t xml:space="preserve">Control threshold: share of original balance still standing</t>
  </si>
  <si>
    <t xml:space="preserve">Class</t>
  </si>
  <si>
    <t xml:space="preserve">Original balance</t>
  </si>
  <si>
    <t xml:space="preserve">Name</t>
  </si>
  <si>
    <t xml:space="preserve">Bottom class</t>
  </si>
  <si>
    <t xml:space="preserve">H</t>
  </si>
  <si>
    <t xml:space="preserve">Class above it</t>
  </si>
  <si>
    <t xml:space="preserve">G</t>
  </si>
  <si>
    <t xml:space="preserve">Class above that</t>
  </si>
  <si>
    <t xml:space="preserve">F</t>
  </si>
  <si>
    <t xml:space="preserve">Loan</t>
  </si>
  <si>
    <t xml:space="preserve">Balance at transfer</t>
  </si>
  <si>
    <t xml:space="preserve">Coupon</t>
  </si>
  <si>
    <t xml:space="preserve">Months before the appraisal</t>
  </si>
  <si>
    <t xml:space="preserve">New appraisal</t>
  </si>
  <si>
    <t xml:space="preserve">Months in special servicing</t>
  </si>
  <si>
    <t xml:space="preserve">Appraisal reduction</t>
  </si>
  <si>
    <t xml:space="preserve">Monthly shortfall</t>
  </si>
  <si>
    <t xml:space="preserve">Cumulative reductions</t>
  </si>
  <si>
    <t xml:space="preserve">Controlling class after it</t>
  </si>
  <si>
    <t xml:space="preserve">Bottom class still standing</t>
  </si>
  <si>
    <t xml:space="preserve">Marlowe Tower</t>
  </si>
  <si>
    <t xml:space="preserve">Oakfield Corporate Center</t>
  </si>
  <si>
    <t xml:space="preserve">Beaumont Plaza</t>
  </si>
  <si>
    <t xml:space="preserve">Cumulative appraisal reductions</t>
  </si>
  <si>
    <t xml:space="preserve">Reductions at which control leaves the bottom class</t>
  </si>
  <si>
    <t xml:space="preserve">Further reductions needed after the first loan</t>
  </si>
  <si>
    <t xml:space="preserve">Bottom class notional for control, after the first loan</t>
  </si>
  <si>
    <t xml:space="preserve">  share of its original balance</t>
  </si>
  <si>
    <t xml:space="preserve">Controlling class now</t>
  </si>
  <si>
    <t xml:space="preserve">Combined monthly shortfall</t>
  </si>
  <si>
    <t xml:space="preserve">Bottom class monthly coupon</t>
  </si>
  <si>
    <t xml:space="preserve">Spill into the class above</t>
  </si>
  <si>
    <t xml:space="preserve">  share of that class's coupon</t>
  </si>
  <si>
    <t xml:space="preserve">First loan's shortfall, share of the bottom class's coupon</t>
  </si>
  <si>
    <t xml:space="preserve">Control migrates on a bright line (Chapter 14)</t>
  </si>
  <si>
    <t xml:space="preserve">Bottom class notional</t>
  </si>
  <si>
    <t xml:space="preserve">Share of original</t>
  </si>
  <si>
    <t xml:space="preserve">Controlling class</t>
  </si>
  <si>
    <t xml:space="preserve">Month by month from the transfer: who is not paid</t>
  </si>
  <si>
    <t xml:space="preserve">Month</t>
  </si>
  <si>
    <t xml:space="preserve">Shortfall in force</t>
  </si>
  <si>
    <t xml:space="preserve">Borne by the bottom class</t>
  </si>
  <si>
    <t xml:space="preserve">Borne by the class above</t>
  </si>
  <si>
    <t xml:space="preserve">Bottom class, cumulative</t>
  </si>
  <si>
    <t xml:space="preserve">Coupon the bottom class does not receive, to the last liquidation</t>
  </si>
  <si>
    <t xml:space="preserve">Months in which it receives nothing</t>
  </si>
  <si>
    <t xml:space="preserve">Months in which the class above is short</t>
  </si>
  <si>
    <t xml:space="preserve">Controls</t>
  </si>
  <si>
    <t xml:space="preserve">Each row recomputes a figure the book prints, from the live formulas, and compares it with the printed value. A corrected figure is compared with its corrected value; the note says what the book prints.</t>
  </si>
  <si>
    <t xml:space="preserve">Figure</t>
  </si>
  <si>
    <t xml:space="preserve">This file</t>
  </si>
  <si>
    <t xml:space="preserve">Expected</t>
  </si>
  <si>
    <t xml:space="preserve">Difference</t>
  </si>
  <si>
    <t xml:space="preserve">Status</t>
  </si>
  <si>
    <t xml:space="preserve">Note</t>
  </si>
  <si>
    <t xml:space="preserve">Tolerance</t>
  </si>
  <si>
    <t xml:space="preserve">Appraisal reduction, Marlowe Tower</t>
  </si>
  <si>
    <t xml:space="preserve">Reductions at which control passes</t>
  </si>
  <si>
    <t xml:space="preserve">Further reductions after Marlowe</t>
  </si>
  <si>
    <t xml:space="preserve">Class H notional after Marlowe</t>
  </si>
  <si>
    <t xml:space="preserve">  share of original</t>
  </si>
  <si>
    <t xml:space="preserve">Controlling class after Marlowe</t>
  </si>
  <si>
    <t xml:space="preserve">Cumulative after Oakfield</t>
  </si>
  <si>
    <t xml:space="preserve">Controlling class after Oakfield</t>
  </si>
  <si>
    <t xml:space="preserve">Marlowe shortfall a month</t>
  </si>
  <si>
    <t xml:space="preserve">  share of class H coupon</t>
  </si>
  <si>
    <t xml:space="preserve">Class H monthly coupon</t>
  </si>
  <si>
    <t xml:space="preserve">Spill into class G</t>
  </si>
  <si>
    <t xml:space="preserve">  share of class G coupon</t>
  </si>
  <si>
    <t xml:space="preserve">Migration table: one million past the line, share left</t>
  </si>
  <si>
    <t xml:space="preserve">Migration table: controlling class there</t>
  </si>
  <si>
    <t xml:space="preserve">Class H coupon receivable to the last liquidation</t>
  </si>
  <si>
    <t xml:space="preserve">Chapter 8</t>
  </si>
  <si>
    <t xml:space="preserve">Months from the appraisal to the last liquidation</t>
  </si>
  <si>
    <t xml:space="preserve">"over the 18 months"</t>
  </si>
  <si>
    <t xml:space="preserve">Failures</t>
  </si>
  <si>
    <t xml:space="preserve">All controls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</si>
</sst>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%"/>
    <numFmt numFmtId="166" formatCode="0.000%"/>
    <numFmt numFmtId="167" formatCode="0.0000%"/>
    <numFmt numFmtId="168" formatCode="#,##0"/>
    <numFmt numFmtId="169" formatCode="0.00%"/>
    <numFmt numFmtId="170" formatCode="0"/>
    <numFmt numFmtId="171" formatCode="0.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0"/>
      <name val="Arial"/>
      <family val="0"/>
      <charset val="1"/>
    </font>
    <font>
      <sz val="9"/>
      <color rgb="FF666666"/>
      <name val="Arial"/>
      <family val="0"/>
      <charset val="1"/>
    </font>
    <font>
      <sz val="10"/>
      <color rgb="FF0000CC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EEEEEE"/>
      </patternFill>
    </fill>
    <fill>
      <patternFill patternType="solid">
        <fgColor rgb="FFEEEEEE"/>
        <bgColor rgb="FFFFF2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8"/>
  </cols>
  <sheetData>
    <row r="1" customFormat="false" ht="16.15" hidden="false" customHeight="false" outlineLevel="0" collapsed="false">
      <c r="A1" s="1" t="s">
        <v>0</v>
      </c>
    </row>
    <row r="3" customFormat="false" ht="42" hidden="false" customHeight="true" outlineLevel="0" collapsed="false">
      <c r="A3" s="2" t="s">
        <v>1</v>
      </c>
    </row>
    <row r="4" customFormat="false" ht="42" hidden="false" customHeight="true" outlineLevel="0" collapsed="false">
      <c r="A4" s="2" t="s">
        <v>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11" min="2" style="0" width="15"/>
  </cols>
  <sheetData>
    <row r="1" customFormat="false" ht="16.15" hidden="false" customHeight="false" outlineLevel="0" collapsed="false">
      <c r="A1" s="1" t="s">
        <v>3</v>
      </c>
    </row>
    <row r="2" customFormat="false" ht="15" hidden="false" customHeight="false" outlineLevel="0" collapsed="false">
      <c r="A2" s="3" t="s">
        <v>4</v>
      </c>
    </row>
    <row r="4" customFormat="false" ht="15" hidden="false" customHeight="false" outlineLevel="0" collapsed="false">
      <c r="A4" s="4" t="s">
        <v>5</v>
      </c>
      <c r="B4" s="5" t="n">
        <v>0.9</v>
      </c>
    </row>
    <row r="5" customFormat="false" ht="15" hidden="false" customHeight="false" outlineLevel="0" collapsed="false">
      <c r="A5" s="4" t="s">
        <v>6</v>
      </c>
      <c r="B5" s="6" t="n">
        <v>0.00045</v>
      </c>
    </row>
    <row r="6" customFormat="false" ht="15" hidden="false" customHeight="false" outlineLevel="0" collapsed="false">
      <c r="A6" s="4" t="s">
        <v>7</v>
      </c>
      <c r="B6" s="7" t="n">
        <v>0.06291575</v>
      </c>
    </row>
    <row r="7" customFormat="false" ht="15" hidden="false" customHeight="false" outlineLevel="0" collapsed="false">
      <c r="A7" s="4" t="s">
        <v>8</v>
      </c>
      <c r="B7" s="8" t="n">
        <v>0.25</v>
      </c>
    </row>
    <row r="8" customFormat="false" ht="15" hidden="false" customHeight="false" outlineLevel="0" collapsed="false">
      <c r="A8" s="9" t="s">
        <v>9</v>
      </c>
      <c r="B8" s="9" t="s">
        <v>10</v>
      </c>
      <c r="C8" s="9" t="s">
        <v>11</v>
      </c>
    </row>
    <row r="9" customFormat="false" ht="15" hidden="false" customHeight="false" outlineLevel="0" collapsed="false">
      <c r="A9" s="4" t="s">
        <v>12</v>
      </c>
      <c r="B9" s="10" t="n">
        <v>37500000</v>
      </c>
      <c r="C9" s="11" t="s">
        <v>13</v>
      </c>
    </row>
    <row r="10" customFormat="false" ht="15" hidden="false" customHeight="false" outlineLevel="0" collapsed="false">
      <c r="A10" s="4" t="s">
        <v>14</v>
      </c>
      <c r="B10" s="12" t="n">
        <v>15000000</v>
      </c>
      <c r="C10" s="11" t="s">
        <v>15</v>
      </c>
    </row>
    <row r="11" customFormat="false" ht="15" hidden="false" customHeight="false" outlineLevel="0" collapsed="false">
      <c r="A11" s="4" t="s">
        <v>16</v>
      </c>
      <c r="B11" s="12" t="n">
        <v>22500000</v>
      </c>
      <c r="C11" s="11" t="s">
        <v>17</v>
      </c>
    </row>
    <row r="13" customFormat="false" ht="23.85" hidden="false" customHeight="false" outlineLevel="0" collapsed="false">
      <c r="A13" s="9" t="s">
        <v>18</v>
      </c>
      <c r="B13" s="9" t="s">
        <v>19</v>
      </c>
      <c r="C13" s="9" t="s">
        <v>20</v>
      </c>
      <c r="D13" s="9" t="s">
        <v>21</v>
      </c>
      <c r="E13" s="9" t="s">
        <v>22</v>
      </c>
      <c r="F13" s="9" t="s">
        <v>23</v>
      </c>
      <c r="G13" s="9" t="s">
        <v>24</v>
      </c>
      <c r="H13" s="9" t="s">
        <v>25</v>
      </c>
      <c r="I13" s="9" t="s">
        <v>26</v>
      </c>
      <c r="J13" s="9" t="s">
        <v>27</v>
      </c>
      <c r="K13" s="9" t="s">
        <v>28</v>
      </c>
    </row>
    <row r="14" customFormat="false" ht="15" hidden="false" customHeight="false" outlineLevel="0" collapsed="false">
      <c r="A14" s="11" t="s">
        <v>29</v>
      </c>
      <c r="B14" s="12" t="n">
        <v>61000000</v>
      </c>
      <c r="C14" s="13" t="n">
        <v>0.0635</v>
      </c>
      <c r="D14" s="14" t="n">
        <v>4</v>
      </c>
      <c r="E14" s="10" t="n">
        <v>47500000</v>
      </c>
      <c r="F14" s="14" t="n">
        <v>22</v>
      </c>
      <c r="G14" s="15" t="n">
        <f aca="false">IF(A14="",0,MAX(0,B14+B14*C14*D14/12-$B$4*E14))</f>
        <v>19541166.6666667</v>
      </c>
      <c r="H14" s="15" t="n">
        <f aca="false">IF(A14="",0,G14*(C14-$B$5)/12)</f>
        <v>102672.546527778</v>
      </c>
      <c r="I14" s="15" t="n">
        <f aca="false">SUM($G$14:G14)</f>
        <v>19541166.6666667</v>
      </c>
      <c r="J14" s="4" t="str">
        <f aca="false">IF(A14="","",IF(($B$9-MIN(I14,$B$9))/$B$9&gt;=$B$7,$C$9,IF(($B$10-MIN(MAX(0,I14-$B$9),$B$10))/$B$10&gt;=$B$7,$C$10,IF(($B$11-MIN(MAX(0,I14-$B$9-$B$10),$B$11))/$B$11&gt;=$B$7,$C$11,"above "&amp;$C$11))))</f>
        <v>H</v>
      </c>
      <c r="K14" s="16" t="n">
        <f aca="false">MAX(0,$B$9-I14)/$B$9</f>
        <v>0.478902222222222</v>
      </c>
    </row>
    <row r="15" customFormat="false" ht="15" hidden="false" customHeight="false" outlineLevel="0" collapsed="false">
      <c r="A15" s="11" t="s">
        <v>30</v>
      </c>
      <c r="B15" s="12" t="n">
        <v>28024570.3832812</v>
      </c>
      <c r="C15" s="13" t="n">
        <v>0.0685</v>
      </c>
      <c r="D15" s="14" t="n">
        <v>4</v>
      </c>
      <c r="E15" s="10" t="n">
        <v>18500000</v>
      </c>
      <c r="F15" s="14" t="n">
        <v>17</v>
      </c>
      <c r="G15" s="15" t="n">
        <f aca="false">IF(A15="",0,MAX(0,B15+B15*C15*D15/12-$B$4*E15))</f>
        <v>12014464.7403661</v>
      </c>
      <c r="H15" s="15" t="n">
        <f aca="false">IF(A15="",0,G15*(C15-$B$5)/12)</f>
        <v>68132.0271318263</v>
      </c>
      <c r="I15" s="15" t="n">
        <f aca="false">SUM($G$14:G15)</f>
        <v>31555631.4070328</v>
      </c>
      <c r="J15" s="4" t="str">
        <f aca="false">IF(A15="","",IF(($B$9-MIN(I15,$B$9))/$B$9&gt;=$B$7,$C$9,IF(($B$10-MIN(MAX(0,I15-$B$9),$B$10))/$B$10&gt;=$B$7,$C$10,IF(($B$11-MIN(MAX(0,I15-$B$9-$B$10),$B$11))/$B$11&gt;=$B$7,$C$11,"above "&amp;$C$11))))</f>
        <v>G</v>
      </c>
      <c r="K15" s="16" t="n">
        <f aca="false">MAX(0,$B$9-I15)/$B$9</f>
        <v>0.158516495812459</v>
      </c>
    </row>
    <row r="16" customFormat="false" ht="15" hidden="false" customHeight="false" outlineLevel="0" collapsed="false">
      <c r="A16" s="11" t="s">
        <v>31</v>
      </c>
      <c r="B16" s="12" t="n">
        <v>31859483.2708513</v>
      </c>
      <c r="C16" s="13" t="n">
        <v>0.067</v>
      </c>
      <c r="D16" s="14" t="n">
        <v>4</v>
      </c>
      <c r="E16" s="10" t="n">
        <v>26900000</v>
      </c>
      <c r="F16" s="14" t="n">
        <v>14</v>
      </c>
      <c r="G16" s="15" t="n">
        <f aca="false">IF(A16="",0,MAX(0,B16+B16*C16*D16/12-$B$4*E16))</f>
        <v>8361011.73056695</v>
      </c>
      <c r="H16" s="15" t="n">
        <f aca="false">IF(A16="",0,G16*(C16-$B$5)/12)</f>
        <v>46368.7775557692</v>
      </c>
      <c r="I16" s="15" t="n">
        <f aca="false">SUM($G$14:G16)</f>
        <v>39916643.1375997</v>
      </c>
      <c r="J16" s="4" t="str">
        <f aca="false">IF(A16="","",IF(($B$9-MIN(I16,$B$9))/$B$9&gt;=$B$7,$C$9,IF(($B$10-MIN(MAX(0,I16-$B$9),$B$10))/$B$10&gt;=$B$7,$C$10,IF(($B$11-MIN(MAX(0,I16-$B$9-$B$10),$B$11))/$B$11&gt;=$B$7,$C$11,"above "&amp;$C$11))))</f>
        <v>G</v>
      </c>
      <c r="K16" s="16" t="n">
        <f aca="false">MAX(0,$B$9-I16)/$B$9</f>
        <v>0</v>
      </c>
    </row>
    <row r="17" customFormat="false" ht="15" hidden="false" customHeight="false" outlineLevel="0" collapsed="false">
      <c r="G17" s="15" t="n">
        <f aca="false">IF(A17="",0,MAX(0,B17+B17*C17*D17/12-$B$4*E17))</f>
        <v>0</v>
      </c>
      <c r="H17" s="15" t="n">
        <f aca="false">IF(A17="",0,G17*(C17-$B$5)/12)</f>
        <v>0</v>
      </c>
      <c r="I17" s="15" t="n">
        <f aca="false">SUM($G$14:G17)</f>
        <v>39916643.1375997</v>
      </c>
      <c r="J17" s="4" t="str">
        <f aca="false">IF(A17="","",IF(($B$9-MIN(I17,$B$9))/$B$9&gt;=$B$7,$C$9,IF(($B$10-MIN(MAX(0,I17-$B$9),$B$10))/$B$10&gt;=$B$7,$C$10,IF(($B$11-MIN(MAX(0,I17-$B$9-$B$10),$B$11))/$B$11&gt;=$B$7,$C$11,"above "&amp;$C$11))))</f>
        <v/>
      </c>
      <c r="K17" s="16" t="n">
        <f aca="false">MAX(0,$B$9-I17)/$B$9</f>
        <v>0</v>
      </c>
    </row>
    <row r="18" customFormat="false" ht="15" hidden="false" customHeight="false" outlineLevel="0" collapsed="false">
      <c r="G18" s="15" t="n">
        <f aca="false">IF(A18="",0,MAX(0,B18+B18*C18*D18/12-$B$4*E18))</f>
        <v>0</v>
      </c>
      <c r="H18" s="15" t="n">
        <f aca="false">IF(A18="",0,G18*(C18-$B$5)/12)</f>
        <v>0</v>
      </c>
      <c r="I18" s="15" t="n">
        <f aca="false">SUM($G$14:G18)</f>
        <v>39916643.1375997</v>
      </c>
      <c r="J18" s="4" t="str">
        <f aca="false">IF(A18="","",IF(($B$9-MIN(I18,$B$9))/$B$9&gt;=$B$7,$C$9,IF(($B$10-MIN(MAX(0,I18-$B$9),$B$10))/$B$10&gt;=$B$7,$C$10,IF(($B$11-MIN(MAX(0,I18-$B$9-$B$10),$B$11))/$B$11&gt;=$B$7,$C$11,"above "&amp;$C$11))))</f>
        <v/>
      </c>
      <c r="K18" s="16" t="n">
        <f aca="false">MAX(0,$B$9-I18)/$B$9</f>
        <v>0</v>
      </c>
    </row>
    <row r="21" customFormat="false" ht="15" hidden="false" customHeight="false" outlineLevel="0" collapsed="false">
      <c r="A21" s="4" t="s">
        <v>32</v>
      </c>
      <c r="B21" s="15" t="n">
        <f aca="false">SUM(G14:G18)</f>
        <v>39916643.1375997</v>
      </c>
    </row>
    <row r="22" customFormat="false" ht="15" hidden="false" customHeight="false" outlineLevel="0" collapsed="false">
      <c r="A22" s="4" t="s">
        <v>33</v>
      </c>
      <c r="B22" s="15" t="n">
        <f aca="false">B9*(1-B7)</f>
        <v>28125000</v>
      </c>
    </row>
    <row r="23" customFormat="false" ht="15" hidden="false" customHeight="false" outlineLevel="0" collapsed="false">
      <c r="A23" s="4" t="s">
        <v>34</v>
      </c>
      <c r="B23" s="15" t="n">
        <f aca="false">B22-G14</f>
        <v>8583833.33333334</v>
      </c>
    </row>
    <row r="24" customFormat="false" ht="15" hidden="false" customHeight="false" outlineLevel="0" collapsed="false">
      <c r="A24" s="4" t="s">
        <v>35</v>
      </c>
      <c r="B24" s="15" t="n">
        <f aca="false">MAX(0,B9-G14)</f>
        <v>17958833.3333333</v>
      </c>
    </row>
    <row r="25" customFormat="false" ht="15" hidden="false" customHeight="false" outlineLevel="0" collapsed="false">
      <c r="A25" s="4" t="s">
        <v>36</v>
      </c>
      <c r="B25" s="16" t="n">
        <f aca="false">K14</f>
        <v>0.478902222222222</v>
      </c>
    </row>
    <row r="26" customFormat="false" ht="15" hidden="false" customHeight="false" outlineLevel="0" collapsed="false">
      <c r="A26" s="17" t="s">
        <v>37</v>
      </c>
      <c r="B26" s="17" t="str">
        <f aca="false">IF(($B$9-MIN(B21,$B$9))/$B$9&gt;=$B$7,$C$9,IF(($B$10-MIN(MAX(0,B21-$B$9),$B$10))/$B$10&gt;=$B$7,$C$10,IF(($B$11-MIN(MAX(0,B21-$B$9-$B$10),$B$11))/$B$11&gt;=$B$7,$C$11,"above "&amp;$C$11)))</f>
        <v>G</v>
      </c>
    </row>
    <row r="27" customFormat="false" ht="15" hidden="false" customHeight="false" outlineLevel="0" collapsed="false">
      <c r="A27" s="4" t="s">
        <v>38</v>
      </c>
      <c r="B27" s="15" t="n">
        <f aca="false">SUM(H14:H18)</f>
        <v>217173.351215373</v>
      </c>
    </row>
    <row r="28" customFormat="false" ht="15" hidden="false" customHeight="false" outlineLevel="0" collapsed="false">
      <c r="A28" s="4" t="s">
        <v>39</v>
      </c>
      <c r="B28" s="15" t="n">
        <f aca="false">B9*B6/12</f>
        <v>196611.71875</v>
      </c>
    </row>
    <row r="29" customFormat="false" ht="15" hidden="false" customHeight="false" outlineLevel="0" collapsed="false">
      <c r="A29" s="17" t="s">
        <v>40</v>
      </c>
      <c r="B29" s="18" t="n">
        <f aca="false">MAX(0,B27-B28)</f>
        <v>20561.6324653733</v>
      </c>
    </row>
    <row r="30" customFormat="false" ht="15" hidden="false" customHeight="false" outlineLevel="0" collapsed="false">
      <c r="A30" s="4" t="s">
        <v>41</v>
      </c>
      <c r="B30" s="16" t="n">
        <f aca="false">B29/(B10*B6/12)</f>
        <v>0.261449731939914</v>
      </c>
    </row>
    <row r="31" customFormat="false" ht="15" hidden="false" customHeight="false" outlineLevel="0" collapsed="false">
      <c r="A31" s="4" t="s">
        <v>42</v>
      </c>
      <c r="B31" s="16" t="n">
        <f aca="false">H14/B28</f>
        <v>0.522209699302462</v>
      </c>
    </row>
    <row r="33" customFormat="false" ht="15" hidden="false" customHeight="false" outlineLevel="0" collapsed="false">
      <c r="A33" s="17" t="s">
        <v>43</v>
      </c>
    </row>
    <row r="34" customFormat="false" ht="23.85" hidden="false" customHeight="false" outlineLevel="0" collapsed="false">
      <c r="A34" s="9" t="s">
        <v>26</v>
      </c>
      <c r="B34" s="9" t="s">
        <v>44</v>
      </c>
      <c r="C34" s="9" t="s">
        <v>45</v>
      </c>
      <c r="D34" s="9" t="s">
        <v>46</v>
      </c>
    </row>
    <row r="35" customFormat="false" ht="15" hidden="false" customHeight="false" outlineLevel="0" collapsed="false">
      <c r="A35" s="15" t="n">
        <f aca="false">0</f>
        <v>0</v>
      </c>
      <c r="B35" s="15" t="n">
        <f aca="false">MAX(0,$B$9-A35)</f>
        <v>37500000</v>
      </c>
      <c r="C35" s="16" t="n">
        <f aca="false">B35/$B$9</f>
        <v>1</v>
      </c>
      <c r="D35" s="4" t="str">
        <f aca="false">IF(($B$9-MIN(A35,$B$9))/$B$9&gt;=$B$7,$C$9,IF(($B$10-MIN(MAX(0,A35-$B$9),$B$10))/$B$10&gt;=$B$7,$C$10,IF(($B$11-MIN(MAX(0,A35-$B$9-$B$10),$B$11))/$B$11&gt;=$B$7,$C$11,"above "&amp;$C$11)))</f>
        <v>H</v>
      </c>
    </row>
    <row r="36" customFormat="false" ht="15" hidden="false" customHeight="false" outlineLevel="0" collapsed="false">
      <c r="A36" s="15" t="n">
        <f aca="false">G14</f>
        <v>19541166.6666667</v>
      </c>
      <c r="B36" s="15" t="n">
        <f aca="false">MAX(0,$B$9-A36)</f>
        <v>17958833.3333333</v>
      </c>
      <c r="C36" s="16" t="n">
        <f aca="false">B36/$B$9</f>
        <v>0.478902222222222</v>
      </c>
      <c r="D36" s="4" t="str">
        <f aca="false">IF(($B$9-MIN(A36,$B$9))/$B$9&gt;=$B$7,$C$9,IF(($B$10-MIN(MAX(0,A36-$B$9),$B$10))/$B$10&gt;=$B$7,$C$10,IF(($B$11-MIN(MAX(0,A36-$B$9-$B$10),$B$11))/$B$11&gt;=$B$7,$C$11,"above "&amp;$C$11)))</f>
        <v>H</v>
      </c>
    </row>
    <row r="37" customFormat="false" ht="15" hidden="false" customHeight="false" outlineLevel="0" collapsed="false">
      <c r="A37" s="15" t="n">
        <f aca="false">B22</f>
        <v>28125000</v>
      </c>
      <c r="B37" s="15" t="n">
        <f aca="false">MAX(0,$B$9-A37)</f>
        <v>9375000</v>
      </c>
      <c r="C37" s="16" t="n">
        <f aca="false">B37/$B$9</f>
        <v>0.25</v>
      </c>
      <c r="D37" s="4" t="str">
        <f aca="false">IF(($B$9-MIN(A37,$B$9))/$B$9&gt;=$B$7,$C$9,IF(($B$10-MIN(MAX(0,A37-$B$9),$B$10))/$B$10&gt;=$B$7,$C$10,IF(($B$11-MIN(MAX(0,A37-$B$9-$B$10),$B$11))/$B$11&gt;=$B$7,$C$11,"above "&amp;$C$11)))</f>
        <v>H</v>
      </c>
    </row>
    <row r="38" customFormat="false" ht="15" hidden="false" customHeight="false" outlineLevel="0" collapsed="false">
      <c r="A38" s="15" t="n">
        <f aca="false">B22+1000000</f>
        <v>29125000</v>
      </c>
      <c r="B38" s="15" t="n">
        <f aca="false">MAX(0,$B$9-A38)</f>
        <v>8375000</v>
      </c>
      <c r="C38" s="16" t="n">
        <f aca="false">B38/$B$9</f>
        <v>0.223333333333333</v>
      </c>
      <c r="D38" s="4" t="str">
        <f aca="false">IF(($B$9-MIN(A38,$B$9))/$B$9&gt;=$B$7,$C$9,IF(($B$10-MIN(MAX(0,A38-$B$9),$B$10))/$B$10&gt;=$B$7,$C$10,IF(($B$11-MIN(MAX(0,A38-$B$9-$B$10),$B$11))/$B$11&gt;=$B$7,$C$11,"above "&amp;$C$11)))</f>
        <v>G</v>
      </c>
    </row>
    <row r="40" customFormat="false" ht="15" hidden="false" customHeight="false" outlineLevel="0" collapsed="false">
      <c r="A40" s="17" t="s">
        <v>47</v>
      </c>
    </row>
    <row r="41" customFormat="false" ht="23.85" hidden="false" customHeight="false" outlineLevel="0" collapsed="false">
      <c r="A41" s="9" t="s">
        <v>48</v>
      </c>
      <c r="B41" s="9" t="s">
        <v>49</v>
      </c>
      <c r="C41" s="9" t="s">
        <v>50</v>
      </c>
      <c r="D41" s="9" t="s">
        <v>51</v>
      </c>
      <c r="E41" s="9" t="s">
        <v>52</v>
      </c>
    </row>
    <row r="42" customFormat="false" ht="15" hidden="false" customHeight="false" outlineLevel="0" collapsed="false">
      <c r="A42" s="14" t="n">
        <v>1</v>
      </c>
      <c r="B42" s="15" t="n">
        <f aca="false">SUMPRODUCT((A42&gt;$D$14:$D$18)*(A42&lt;=$F$14:$F$18)*$H$14:$H$18)</f>
        <v>0</v>
      </c>
      <c r="C42" s="15" t="n">
        <f aca="false">MIN(B42,$B$28)</f>
        <v>0</v>
      </c>
      <c r="D42" s="15" t="n">
        <f aca="false">MIN(B42-C42,$B$10*$B$6/12)</f>
        <v>0</v>
      </c>
      <c r="E42" s="15" t="n">
        <f aca="false">SUM($C$42:C42)</f>
        <v>0</v>
      </c>
    </row>
    <row r="43" customFormat="false" ht="15" hidden="false" customHeight="false" outlineLevel="0" collapsed="false">
      <c r="A43" s="14" t="n">
        <v>2</v>
      </c>
      <c r="B43" s="15" t="n">
        <f aca="false">SUMPRODUCT((A43&gt;$D$14:$D$18)*(A43&lt;=$F$14:$F$18)*$H$14:$H$18)</f>
        <v>0</v>
      </c>
      <c r="C43" s="15" t="n">
        <f aca="false">MIN(B43,$B$28)</f>
        <v>0</v>
      </c>
      <c r="D43" s="15" t="n">
        <f aca="false">MIN(B43-C43,$B$10*$B$6/12)</f>
        <v>0</v>
      </c>
      <c r="E43" s="15" t="n">
        <f aca="false">SUM($C$42:C43)</f>
        <v>0</v>
      </c>
    </row>
    <row r="44" customFormat="false" ht="15" hidden="false" customHeight="false" outlineLevel="0" collapsed="false">
      <c r="A44" s="14" t="n">
        <v>3</v>
      </c>
      <c r="B44" s="15" t="n">
        <f aca="false">SUMPRODUCT((A44&gt;$D$14:$D$18)*(A44&lt;=$F$14:$F$18)*$H$14:$H$18)</f>
        <v>0</v>
      </c>
      <c r="C44" s="15" t="n">
        <f aca="false">MIN(B44,$B$28)</f>
        <v>0</v>
      </c>
      <c r="D44" s="15" t="n">
        <f aca="false">MIN(B44-C44,$B$10*$B$6/12)</f>
        <v>0</v>
      </c>
      <c r="E44" s="15" t="n">
        <f aca="false">SUM($C$42:C44)</f>
        <v>0</v>
      </c>
    </row>
    <row r="45" customFormat="false" ht="15" hidden="false" customHeight="false" outlineLevel="0" collapsed="false">
      <c r="A45" s="14" t="n">
        <v>4</v>
      </c>
      <c r="B45" s="15" t="n">
        <f aca="false">SUMPRODUCT((A45&gt;$D$14:$D$18)*(A45&lt;=$F$14:$F$18)*$H$14:$H$18)</f>
        <v>0</v>
      </c>
      <c r="C45" s="15" t="n">
        <f aca="false">MIN(B45,$B$28)</f>
        <v>0</v>
      </c>
      <c r="D45" s="15" t="n">
        <f aca="false">MIN(B45-C45,$B$10*$B$6/12)</f>
        <v>0</v>
      </c>
      <c r="E45" s="15" t="n">
        <f aca="false">SUM($C$42:C45)</f>
        <v>0</v>
      </c>
    </row>
    <row r="46" customFormat="false" ht="15" hidden="false" customHeight="false" outlineLevel="0" collapsed="false">
      <c r="A46" s="14" t="n">
        <v>5</v>
      </c>
      <c r="B46" s="15" t="n">
        <f aca="false">SUMPRODUCT((A46&gt;$D$14:$D$18)*(A46&lt;=$F$14:$F$18)*$H$14:$H$18)</f>
        <v>217173.351215373</v>
      </c>
      <c r="C46" s="15" t="n">
        <f aca="false">MIN(B46,$B$28)</f>
        <v>196611.71875</v>
      </c>
      <c r="D46" s="15" t="n">
        <f aca="false">MIN(B46-C46,$B$10*$B$6/12)</f>
        <v>20561.6324653733</v>
      </c>
      <c r="E46" s="15" t="n">
        <f aca="false">SUM($C$42:C46)</f>
        <v>196611.71875</v>
      </c>
    </row>
    <row r="47" customFormat="false" ht="15" hidden="false" customHeight="false" outlineLevel="0" collapsed="false">
      <c r="A47" s="14" t="n">
        <v>6</v>
      </c>
      <c r="B47" s="15" t="n">
        <f aca="false">SUMPRODUCT((A47&gt;$D$14:$D$18)*(A47&lt;=$F$14:$F$18)*$H$14:$H$18)</f>
        <v>217173.351215373</v>
      </c>
      <c r="C47" s="15" t="n">
        <f aca="false">MIN(B47,$B$28)</f>
        <v>196611.71875</v>
      </c>
      <c r="D47" s="15" t="n">
        <f aca="false">MIN(B47-C47,$B$10*$B$6/12)</f>
        <v>20561.6324653733</v>
      </c>
      <c r="E47" s="15" t="n">
        <f aca="false">SUM($C$42:C47)</f>
        <v>393223.4375</v>
      </c>
    </row>
    <row r="48" customFormat="false" ht="15" hidden="false" customHeight="false" outlineLevel="0" collapsed="false">
      <c r="A48" s="14" t="n">
        <v>7</v>
      </c>
      <c r="B48" s="15" t="n">
        <f aca="false">SUMPRODUCT((A48&gt;$D$14:$D$18)*(A48&lt;=$F$14:$F$18)*$H$14:$H$18)</f>
        <v>217173.351215373</v>
      </c>
      <c r="C48" s="15" t="n">
        <f aca="false">MIN(B48,$B$28)</f>
        <v>196611.71875</v>
      </c>
      <c r="D48" s="15" t="n">
        <f aca="false">MIN(B48-C48,$B$10*$B$6/12)</f>
        <v>20561.6324653733</v>
      </c>
      <c r="E48" s="15" t="n">
        <f aca="false">SUM($C$42:C48)</f>
        <v>589835.15625</v>
      </c>
    </row>
    <row r="49" customFormat="false" ht="15" hidden="false" customHeight="false" outlineLevel="0" collapsed="false">
      <c r="A49" s="14" t="n">
        <v>8</v>
      </c>
      <c r="B49" s="15" t="n">
        <f aca="false">SUMPRODUCT((A49&gt;$D$14:$D$18)*(A49&lt;=$F$14:$F$18)*$H$14:$H$18)</f>
        <v>217173.351215373</v>
      </c>
      <c r="C49" s="15" t="n">
        <f aca="false">MIN(B49,$B$28)</f>
        <v>196611.71875</v>
      </c>
      <c r="D49" s="15" t="n">
        <f aca="false">MIN(B49-C49,$B$10*$B$6/12)</f>
        <v>20561.6324653733</v>
      </c>
      <c r="E49" s="15" t="n">
        <f aca="false">SUM($C$42:C49)</f>
        <v>786446.875</v>
      </c>
    </row>
    <row r="50" customFormat="false" ht="15" hidden="false" customHeight="false" outlineLevel="0" collapsed="false">
      <c r="A50" s="14" t="n">
        <v>9</v>
      </c>
      <c r="B50" s="15" t="n">
        <f aca="false">SUMPRODUCT((A50&gt;$D$14:$D$18)*(A50&lt;=$F$14:$F$18)*$H$14:$H$18)</f>
        <v>217173.351215373</v>
      </c>
      <c r="C50" s="15" t="n">
        <f aca="false">MIN(B50,$B$28)</f>
        <v>196611.71875</v>
      </c>
      <c r="D50" s="15" t="n">
        <f aca="false">MIN(B50-C50,$B$10*$B$6/12)</f>
        <v>20561.6324653733</v>
      </c>
      <c r="E50" s="15" t="n">
        <f aca="false">SUM($C$42:C50)</f>
        <v>983058.59375</v>
      </c>
    </row>
    <row r="51" customFormat="false" ht="15" hidden="false" customHeight="false" outlineLevel="0" collapsed="false">
      <c r="A51" s="14" t="n">
        <v>10</v>
      </c>
      <c r="B51" s="15" t="n">
        <f aca="false">SUMPRODUCT((A51&gt;$D$14:$D$18)*(A51&lt;=$F$14:$F$18)*$H$14:$H$18)</f>
        <v>217173.351215373</v>
      </c>
      <c r="C51" s="15" t="n">
        <f aca="false">MIN(B51,$B$28)</f>
        <v>196611.71875</v>
      </c>
      <c r="D51" s="15" t="n">
        <f aca="false">MIN(B51-C51,$B$10*$B$6/12)</f>
        <v>20561.6324653733</v>
      </c>
      <c r="E51" s="15" t="n">
        <f aca="false">SUM($C$42:C51)</f>
        <v>1179670.3125</v>
      </c>
    </row>
    <row r="52" customFormat="false" ht="15" hidden="false" customHeight="false" outlineLevel="0" collapsed="false">
      <c r="A52" s="14" t="n">
        <v>11</v>
      </c>
      <c r="B52" s="15" t="n">
        <f aca="false">SUMPRODUCT((A52&gt;$D$14:$D$18)*(A52&lt;=$F$14:$F$18)*$H$14:$H$18)</f>
        <v>217173.351215373</v>
      </c>
      <c r="C52" s="15" t="n">
        <f aca="false">MIN(B52,$B$28)</f>
        <v>196611.71875</v>
      </c>
      <c r="D52" s="15" t="n">
        <f aca="false">MIN(B52-C52,$B$10*$B$6/12)</f>
        <v>20561.6324653733</v>
      </c>
      <c r="E52" s="15" t="n">
        <f aca="false">SUM($C$42:C52)</f>
        <v>1376282.03125</v>
      </c>
    </row>
    <row r="53" customFormat="false" ht="15" hidden="false" customHeight="false" outlineLevel="0" collapsed="false">
      <c r="A53" s="14" t="n">
        <v>12</v>
      </c>
      <c r="B53" s="15" t="n">
        <f aca="false">SUMPRODUCT((A53&gt;$D$14:$D$18)*(A53&lt;=$F$14:$F$18)*$H$14:$H$18)</f>
        <v>217173.351215373</v>
      </c>
      <c r="C53" s="15" t="n">
        <f aca="false">MIN(B53,$B$28)</f>
        <v>196611.71875</v>
      </c>
      <c r="D53" s="15" t="n">
        <f aca="false">MIN(B53-C53,$B$10*$B$6/12)</f>
        <v>20561.6324653733</v>
      </c>
      <c r="E53" s="15" t="n">
        <f aca="false">SUM($C$42:C53)</f>
        <v>1572893.75</v>
      </c>
    </row>
    <row r="54" customFormat="false" ht="15" hidden="false" customHeight="false" outlineLevel="0" collapsed="false">
      <c r="A54" s="14" t="n">
        <v>13</v>
      </c>
      <c r="B54" s="15" t="n">
        <f aca="false">SUMPRODUCT((A54&gt;$D$14:$D$18)*(A54&lt;=$F$14:$F$18)*$H$14:$H$18)</f>
        <v>217173.351215373</v>
      </c>
      <c r="C54" s="15" t="n">
        <f aca="false">MIN(B54,$B$28)</f>
        <v>196611.71875</v>
      </c>
      <c r="D54" s="15" t="n">
        <f aca="false">MIN(B54-C54,$B$10*$B$6/12)</f>
        <v>20561.6324653733</v>
      </c>
      <c r="E54" s="15" t="n">
        <f aca="false">SUM($C$42:C54)</f>
        <v>1769505.46875</v>
      </c>
    </row>
    <row r="55" customFormat="false" ht="15" hidden="false" customHeight="false" outlineLevel="0" collapsed="false">
      <c r="A55" s="14" t="n">
        <v>14</v>
      </c>
      <c r="B55" s="15" t="n">
        <f aca="false">SUMPRODUCT((A55&gt;$D$14:$D$18)*(A55&lt;=$F$14:$F$18)*$H$14:$H$18)</f>
        <v>217173.351215373</v>
      </c>
      <c r="C55" s="15" t="n">
        <f aca="false">MIN(B55,$B$28)</f>
        <v>196611.71875</v>
      </c>
      <c r="D55" s="15" t="n">
        <f aca="false">MIN(B55-C55,$B$10*$B$6/12)</f>
        <v>20561.6324653733</v>
      </c>
      <c r="E55" s="15" t="n">
        <f aca="false">SUM($C$42:C55)</f>
        <v>1966117.1875</v>
      </c>
    </row>
    <row r="56" customFormat="false" ht="15" hidden="false" customHeight="false" outlineLevel="0" collapsed="false">
      <c r="A56" s="14" t="n">
        <v>15</v>
      </c>
      <c r="B56" s="15" t="n">
        <f aca="false">SUMPRODUCT((A56&gt;$D$14:$D$18)*(A56&lt;=$F$14:$F$18)*$H$14:$H$18)</f>
        <v>170804.573659604</v>
      </c>
      <c r="C56" s="15" t="n">
        <f aca="false">MIN(B56,$B$28)</f>
        <v>170804.573659604</v>
      </c>
      <c r="D56" s="15" t="n">
        <f aca="false">MIN(B56-C56,$B$10*$B$6/12)</f>
        <v>0</v>
      </c>
      <c r="E56" s="15" t="n">
        <f aca="false">SUM($C$42:C56)</f>
        <v>2136921.7611596</v>
      </c>
    </row>
    <row r="57" customFormat="false" ht="15" hidden="false" customHeight="false" outlineLevel="0" collapsed="false">
      <c r="A57" s="14" t="n">
        <v>16</v>
      </c>
      <c r="B57" s="15" t="n">
        <f aca="false">SUMPRODUCT((A57&gt;$D$14:$D$18)*(A57&lt;=$F$14:$F$18)*$H$14:$H$18)</f>
        <v>170804.573659604</v>
      </c>
      <c r="C57" s="15" t="n">
        <f aca="false">MIN(B57,$B$28)</f>
        <v>170804.573659604</v>
      </c>
      <c r="D57" s="15" t="n">
        <f aca="false">MIN(B57-C57,$B$10*$B$6/12)</f>
        <v>0</v>
      </c>
      <c r="E57" s="15" t="n">
        <f aca="false">SUM($C$42:C57)</f>
        <v>2307726.33481921</v>
      </c>
    </row>
    <row r="58" customFormat="false" ht="15" hidden="false" customHeight="false" outlineLevel="0" collapsed="false">
      <c r="A58" s="14" t="n">
        <v>17</v>
      </c>
      <c r="B58" s="15" t="n">
        <f aca="false">SUMPRODUCT((A58&gt;$D$14:$D$18)*(A58&lt;=$F$14:$F$18)*$H$14:$H$18)</f>
        <v>170804.573659604</v>
      </c>
      <c r="C58" s="15" t="n">
        <f aca="false">MIN(B58,$B$28)</f>
        <v>170804.573659604</v>
      </c>
      <c r="D58" s="15" t="n">
        <f aca="false">MIN(B58-C58,$B$10*$B$6/12)</f>
        <v>0</v>
      </c>
      <c r="E58" s="15" t="n">
        <f aca="false">SUM($C$42:C58)</f>
        <v>2478530.90847881</v>
      </c>
    </row>
    <row r="59" customFormat="false" ht="15" hidden="false" customHeight="false" outlineLevel="0" collapsed="false">
      <c r="A59" s="14" t="n">
        <v>18</v>
      </c>
      <c r="B59" s="15" t="n">
        <f aca="false">SUMPRODUCT((A59&gt;$D$14:$D$18)*(A59&lt;=$F$14:$F$18)*$H$14:$H$18)</f>
        <v>102672.546527778</v>
      </c>
      <c r="C59" s="15" t="n">
        <f aca="false">MIN(B59,$B$28)</f>
        <v>102672.546527778</v>
      </c>
      <c r="D59" s="15" t="n">
        <f aca="false">MIN(B59-C59,$B$10*$B$6/12)</f>
        <v>0</v>
      </c>
      <c r="E59" s="15" t="n">
        <f aca="false">SUM($C$42:C59)</f>
        <v>2581203.45500659</v>
      </c>
    </row>
    <row r="60" customFormat="false" ht="15" hidden="false" customHeight="false" outlineLevel="0" collapsed="false">
      <c r="A60" s="14" t="n">
        <v>19</v>
      </c>
      <c r="B60" s="15" t="n">
        <f aca="false">SUMPRODUCT((A60&gt;$D$14:$D$18)*(A60&lt;=$F$14:$F$18)*$H$14:$H$18)</f>
        <v>102672.546527778</v>
      </c>
      <c r="C60" s="15" t="n">
        <f aca="false">MIN(B60,$B$28)</f>
        <v>102672.546527778</v>
      </c>
      <c r="D60" s="15" t="n">
        <f aca="false">MIN(B60-C60,$B$10*$B$6/12)</f>
        <v>0</v>
      </c>
      <c r="E60" s="15" t="n">
        <f aca="false">SUM($C$42:C60)</f>
        <v>2683876.00153437</v>
      </c>
    </row>
    <row r="61" customFormat="false" ht="15" hidden="false" customHeight="false" outlineLevel="0" collapsed="false">
      <c r="A61" s="14" t="n">
        <v>20</v>
      </c>
      <c r="B61" s="15" t="n">
        <f aca="false">SUMPRODUCT((A61&gt;$D$14:$D$18)*(A61&lt;=$F$14:$F$18)*$H$14:$H$18)</f>
        <v>102672.546527778</v>
      </c>
      <c r="C61" s="15" t="n">
        <f aca="false">MIN(B61,$B$28)</f>
        <v>102672.546527778</v>
      </c>
      <c r="D61" s="15" t="n">
        <f aca="false">MIN(B61-C61,$B$10*$B$6/12)</f>
        <v>0</v>
      </c>
      <c r="E61" s="15" t="n">
        <f aca="false">SUM($C$42:C61)</f>
        <v>2786548.54806214</v>
      </c>
    </row>
    <row r="62" customFormat="false" ht="15" hidden="false" customHeight="false" outlineLevel="0" collapsed="false">
      <c r="A62" s="14" t="n">
        <v>21</v>
      </c>
      <c r="B62" s="15" t="n">
        <f aca="false">SUMPRODUCT((A62&gt;$D$14:$D$18)*(A62&lt;=$F$14:$F$18)*$H$14:$H$18)</f>
        <v>102672.546527778</v>
      </c>
      <c r="C62" s="15" t="n">
        <f aca="false">MIN(B62,$B$28)</f>
        <v>102672.546527778</v>
      </c>
      <c r="D62" s="15" t="n">
        <f aca="false">MIN(B62-C62,$B$10*$B$6/12)</f>
        <v>0</v>
      </c>
      <c r="E62" s="15" t="n">
        <f aca="false">SUM($C$42:C62)</f>
        <v>2889221.09458992</v>
      </c>
    </row>
    <row r="63" customFormat="false" ht="15" hidden="false" customHeight="false" outlineLevel="0" collapsed="false">
      <c r="A63" s="14" t="n">
        <v>22</v>
      </c>
      <c r="B63" s="15" t="n">
        <f aca="false">SUMPRODUCT((A63&gt;$D$14:$D$18)*(A63&lt;=$F$14:$F$18)*$H$14:$H$18)</f>
        <v>102672.546527778</v>
      </c>
      <c r="C63" s="15" t="n">
        <f aca="false">MIN(B63,$B$28)</f>
        <v>102672.546527778</v>
      </c>
      <c r="D63" s="15" t="n">
        <f aca="false">MIN(B63-C63,$B$10*$B$6/12)</f>
        <v>0</v>
      </c>
      <c r="E63" s="15" t="n">
        <f aca="false">SUM($C$42:C63)</f>
        <v>2991893.6411177</v>
      </c>
    </row>
    <row r="64" customFormat="false" ht="15" hidden="false" customHeight="false" outlineLevel="0" collapsed="false">
      <c r="A64" s="14" t="n">
        <v>23</v>
      </c>
      <c r="B64" s="15" t="n">
        <f aca="false">SUMPRODUCT((A64&gt;$D$14:$D$18)*(A64&lt;=$F$14:$F$18)*$H$14:$H$18)</f>
        <v>0</v>
      </c>
      <c r="C64" s="15" t="n">
        <f aca="false">MIN(B64,$B$28)</f>
        <v>0</v>
      </c>
      <c r="D64" s="15" t="n">
        <f aca="false">MIN(B64-C64,$B$10*$B$6/12)</f>
        <v>0</v>
      </c>
      <c r="E64" s="15" t="n">
        <f aca="false">SUM($C$42:C64)</f>
        <v>2991893.6411177</v>
      </c>
    </row>
    <row r="65" customFormat="false" ht="15" hidden="false" customHeight="false" outlineLevel="0" collapsed="false">
      <c r="A65" s="14" t="n">
        <v>24</v>
      </c>
      <c r="B65" s="15" t="n">
        <f aca="false">SUMPRODUCT((A65&gt;$D$14:$D$18)*(A65&lt;=$F$14:$F$18)*$H$14:$H$18)</f>
        <v>0</v>
      </c>
      <c r="C65" s="15" t="n">
        <f aca="false">MIN(B65,$B$28)</f>
        <v>0</v>
      </c>
      <c r="D65" s="15" t="n">
        <f aca="false">MIN(B65-C65,$B$10*$B$6/12)</f>
        <v>0</v>
      </c>
      <c r="E65" s="15" t="n">
        <f aca="false">SUM($C$42:C65)</f>
        <v>2991893.6411177</v>
      </c>
    </row>
    <row r="67" customFormat="false" ht="15" hidden="false" customHeight="false" outlineLevel="0" collapsed="false">
      <c r="A67" s="4" t="s">
        <v>53</v>
      </c>
      <c r="B67" s="18" t="n">
        <f aca="false">SUM(C42:C65)</f>
        <v>2991893.6411177</v>
      </c>
    </row>
    <row r="68" customFormat="false" ht="15" hidden="false" customHeight="false" outlineLevel="0" collapsed="false">
      <c r="A68" s="4" t="s">
        <v>54</v>
      </c>
      <c r="B68" s="19" t="n">
        <f aca="false">SUMPRODUCT(--(C42:C65&gt;=$B$28-0.01))</f>
        <v>10</v>
      </c>
    </row>
    <row r="69" customFormat="false" ht="15" hidden="false" customHeight="false" outlineLevel="0" collapsed="false">
      <c r="A69" s="4" t="s">
        <v>55</v>
      </c>
      <c r="B69" s="19" t="n">
        <f aca="false">COUNTIF(D42:D65,"&gt;0")</f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3" min="2" style="0" width="16"/>
    <col collapsed="false" customWidth="true" hidden="false" outlineLevel="0" max="4" min="4" style="0" width="12"/>
    <col collapsed="false" customWidth="true" hidden="false" outlineLevel="0" max="5" min="5" style="0" width="9"/>
    <col collapsed="false" customWidth="true" hidden="false" outlineLevel="0" max="6" min="6" style="0" width="52"/>
    <col collapsed="false" customWidth="true" hidden="false" outlineLevel="0" max="7" min="7" style="0" width="10"/>
  </cols>
  <sheetData>
    <row r="1" customFormat="false" ht="16.15" hidden="false" customHeight="false" outlineLevel="0" collapsed="false">
      <c r="A1" s="1" t="s">
        <v>56</v>
      </c>
    </row>
    <row r="2" customFormat="false" ht="15" hidden="false" customHeight="false" outlineLevel="0" collapsed="false">
      <c r="A2" s="3" t="s">
        <v>57</v>
      </c>
    </row>
    <row r="4" customFormat="false" ht="15" hidden="false" customHeight="false" outlineLevel="0" collapsed="false">
      <c r="A4" s="9" t="s">
        <v>58</v>
      </c>
      <c r="B4" s="9" t="s">
        <v>59</v>
      </c>
      <c r="C4" s="9" t="s">
        <v>60</v>
      </c>
      <c r="D4" s="9" t="s">
        <v>61</v>
      </c>
      <c r="E4" s="9" t="s">
        <v>62</v>
      </c>
      <c r="F4" s="9" t="s">
        <v>63</v>
      </c>
      <c r="G4" s="9" t="s">
        <v>64</v>
      </c>
    </row>
    <row r="5" customFormat="false" ht="15" hidden="false" customHeight="false" outlineLevel="0" collapsed="false">
      <c r="A5" s="2" t="s">
        <v>65</v>
      </c>
      <c r="B5" s="15" t="n">
        <f aca="false">'ARA and ASER'!G14</f>
        <v>19541166.6666667</v>
      </c>
      <c r="C5" s="12" t="n">
        <v>19540000</v>
      </c>
      <c r="D5" s="15" t="n">
        <f aca="false">IF(ISNUMBER(B5),B5-C5,"")</f>
        <v>1166.66666666418</v>
      </c>
      <c r="E5" s="17" t="str">
        <f aca="false">IF(ISNUMBER(B5),IF(ABS(B5-C5)&lt;=G5,"OK","CHECK"),IF(B5=C5,"OK","CHECK"))</f>
        <v>OK</v>
      </c>
      <c r="F5" s="20"/>
      <c r="G5" s="3" t="n">
        <v>5000.005</v>
      </c>
    </row>
    <row r="6" customFormat="false" ht="15" hidden="false" customHeight="false" outlineLevel="0" collapsed="false">
      <c r="A6" s="2" t="s">
        <v>32</v>
      </c>
      <c r="B6" s="15" t="n">
        <f aca="false">'ARA and ASER'!B21</f>
        <v>39916643.1375997</v>
      </c>
      <c r="C6" s="12" t="n">
        <v>39920000</v>
      </c>
      <c r="D6" s="15" t="n">
        <f aca="false">IF(ISNUMBER(B6),B6-C6,"")</f>
        <v>-3356.8624002561</v>
      </c>
      <c r="E6" s="17" t="str">
        <f aca="false">IF(ISNUMBER(B6),IF(ABS(B6-C6)&lt;=G6,"OK","CHECK"),IF(B6=C6,"OK","CHECK"))</f>
        <v>OK</v>
      </c>
      <c r="F6" s="20"/>
      <c r="G6" s="3" t="n">
        <v>5000.005</v>
      </c>
    </row>
    <row r="7" customFormat="false" ht="15" hidden="false" customHeight="false" outlineLevel="0" collapsed="false">
      <c r="A7" s="2" t="s">
        <v>66</v>
      </c>
      <c r="B7" s="15" t="n">
        <f aca="false">'ARA and ASER'!B22</f>
        <v>28125000</v>
      </c>
      <c r="C7" s="12" t="n">
        <v>28130000</v>
      </c>
      <c r="D7" s="15" t="n">
        <f aca="false">IF(ISNUMBER(B7),B7-C7,"")</f>
        <v>-5000</v>
      </c>
      <c r="E7" s="17" t="str">
        <f aca="false">IF(ISNUMBER(B7),IF(ABS(B7-C7)&lt;=G7,"OK","CHECK"),IF(B7=C7,"OK","CHECK"))</f>
        <v>OK</v>
      </c>
      <c r="F7" s="20"/>
      <c r="G7" s="3" t="n">
        <v>5000.005</v>
      </c>
    </row>
    <row r="8" customFormat="false" ht="15" hidden="false" customHeight="false" outlineLevel="0" collapsed="false">
      <c r="A8" s="2" t="s">
        <v>67</v>
      </c>
      <c r="B8" s="15" t="n">
        <f aca="false">'ARA and ASER'!B23</f>
        <v>8583833.33333334</v>
      </c>
      <c r="C8" s="12" t="n">
        <v>8580000</v>
      </c>
      <c r="D8" s="15" t="n">
        <f aca="false">IF(ISNUMBER(B8),B8-C8,"")</f>
        <v>3833.33333333582</v>
      </c>
      <c r="E8" s="17" t="str">
        <f aca="false">IF(ISNUMBER(B8),IF(ABS(B8-C8)&lt;=G8,"OK","CHECK"),IF(B8=C8,"OK","CHECK"))</f>
        <v>OK</v>
      </c>
      <c r="F8" s="20"/>
      <c r="G8" s="3" t="n">
        <v>5000.005</v>
      </c>
    </row>
    <row r="9" customFormat="false" ht="15" hidden="false" customHeight="false" outlineLevel="0" collapsed="false">
      <c r="A9" s="2" t="s">
        <v>68</v>
      </c>
      <c r="B9" s="15" t="n">
        <f aca="false">'ARA and ASER'!B24</f>
        <v>17958833.3333333</v>
      </c>
      <c r="C9" s="12" t="n">
        <v>17960000</v>
      </c>
      <c r="D9" s="15" t="n">
        <f aca="false">IF(ISNUMBER(B9),B9-C9,"")</f>
        <v>-1166.66666666418</v>
      </c>
      <c r="E9" s="17" t="str">
        <f aca="false">IF(ISNUMBER(B9),IF(ABS(B9-C9)&lt;=G9,"OK","CHECK"),IF(B9=C9,"OK","CHECK"))</f>
        <v>OK</v>
      </c>
      <c r="F9" s="20"/>
      <c r="G9" s="3" t="n">
        <v>5000.005</v>
      </c>
    </row>
    <row r="10" customFormat="false" ht="15" hidden="false" customHeight="false" outlineLevel="0" collapsed="false">
      <c r="A10" s="2" t="s">
        <v>69</v>
      </c>
      <c r="B10" s="16" t="n">
        <f aca="false">'ARA and ASER'!B25</f>
        <v>0.478902222222222</v>
      </c>
      <c r="C10" s="21" t="n">
        <v>0.479</v>
      </c>
      <c r="D10" s="16" t="n">
        <f aca="false">IF(ISNUMBER(B10),B10-C10,"")</f>
        <v>-9.77777777776967E-005</v>
      </c>
      <c r="E10" s="17" t="str">
        <f aca="false">IF(ISNUMBER(B10),IF(ABS(B10-C10)&lt;=G10,"OK","CHECK"),IF(B10=C10,"OK","CHECK"))</f>
        <v>OK</v>
      </c>
      <c r="F10" s="20"/>
      <c r="G10" s="3" t="n">
        <v>0.000500000501</v>
      </c>
    </row>
    <row r="11" customFormat="false" ht="15" hidden="false" customHeight="false" outlineLevel="0" collapsed="false">
      <c r="A11" s="2" t="s">
        <v>70</v>
      </c>
      <c r="B11" s="4" t="str">
        <f aca="false">'ARA and ASER'!J14</f>
        <v>H</v>
      </c>
      <c r="C11" s="11" t="s">
        <v>13</v>
      </c>
      <c r="D11" s="4"/>
      <c r="E11" s="17" t="str">
        <f aca="false">IF(B11=C11,"OK","CHECK")</f>
        <v>OK</v>
      </c>
      <c r="F11" s="20"/>
      <c r="G11" s="3"/>
    </row>
    <row r="12" customFormat="false" ht="15" hidden="false" customHeight="false" outlineLevel="0" collapsed="false">
      <c r="A12" s="2" t="s">
        <v>71</v>
      </c>
      <c r="B12" s="15" t="n">
        <f aca="false">'ARA and ASER'!I15</f>
        <v>31555631.4070328</v>
      </c>
      <c r="C12" s="12" t="n">
        <v>31560000</v>
      </c>
      <c r="D12" s="15" t="n">
        <f aca="false">IF(ISNUMBER(B12),B12-C12,"")</f>
        <v>-4368.59296720475</v>
      </c>
      <c r="E12" s="17" t="str">
        <f aca="false">IF(ISNUMBER(B12),IF(ABS(B12-C12)&lt;=G12,"OK","CHECK"),IF(B12=C12,"OK","CHECK"))</f>
        <v>OK</v>
      </c>
      <c r="F12" s="20"/>
      <c r="G12" s="3" t="n">
        <v>5000.005</v>
      </c>
    </row>
    <row r="13" customFormat="false" ht="15" hidden="false" customHeight="false" outlineLevel="0" collapsed="false">
      <c r="A13" s="2" t="s">
        <v>72</v>
      </c>
      <c r="B13" s="4" t="str">
        <f aca="false">'ARA and ASER'!J15</f>
        <v>G</v>
      </c>
      <c r="C13" s="11" t="s">
        <v>15</v>
      </c>
      <c r="D13" s="4"/>
      <c r="E13" s="17" t="str">
        <f aca="false">IF(B13=C13,"OK","CHECK")</f>
        <v>OK</v>
      </c>
      <c r="F13" s="20"/>
      <c r="G13" s="3"/>
    </row>
    <row r="14" customFormat="false" ht="15" hidden="false" customHeight="false" outlineLevel="0" collapsed="false">
      <c r="A14" s="2" t="s">
        <v>37</v>
      </c>
      <c r="B14" s="4" t="str">
        <f aca="false">'ARA and ASER'!B26</f>
        <v>G</v>
      </c>
      <c r="C14" s="11" t="s">
        <v>15</v>
      </c>
      <c r="D14" s="4"/>
      <c r="E14" s="17" t="str">
        <f aca="false">IF(B14=C14,"OK","CHECK")</f>
        <v>OK</v>
      </c>
      <c r="F14" s="20"/>
      <c r="G14" s="3"/>
    </row>
    <row r="15" customFormat="false" ht="15" hidden="false" customHeight="false" outlineLevel="0" collapsed="false">
      <c r="A15" s="2" t="s">
        <v>73</v>
      </c>
      <c r="B15" s="15" t="n">
        <f aca="false">'ARA and ASER'!H14</f>
        <v>102672.546527778</v>
      </c>
      <c r="C15" s="12" t="n">
        <v>102673</v>
      </c>
      <c r="D15" s="15" t="n">
        <f aca="false">IF(ISNUMBER(B15),B15-C15,"")</f>
        <v>-0.453472222245182</v>
      </c>
      <c r="E15" s="17" t="str">
        <f aca="false">IF(ISNUMBER(B15),IF(ABS(B15-C15)&lt;=G15,"OK","CHECK"),IF(B15=C15,"OK","CHECK"))</f>
        <v>OK</v>
      </c>
      <c r="F15" s="20"/>
      <c r="G15" s="3" t="n">
        <v>0.500000500001</v>
      </c>
    </row>
    <row r="16" customFormat="false" ht="15" hidden="false" customHeight="false" outlineLevel="0" collapsed="false">
      <c r="A16" s="2" t="s">
        <v>74</v>
      </c>
      <c r="B16" s="16" t="n">
        <f aca="false">'ARA and ASER'!B31</f>
        <v>0.522209699302462</v>
      </c>
      <c r="C16" s="21" t="n">
        <v>0.522</v>
      </c>
      <c r="D16" s="16" t="n">
        <f aca="false">IF(ISNUMBER(B16),B16-C16,"")</f>
        <v>0.000209699302462285</v>
      </c>
      <c r="E16" s="17" t="str">
        <f aca="false">IF(ISNUMBER(B16),IF(ABS(B16-C16)&lt;=G16,"OK","CHECK"),IF(B16=C16,"OK","CHECK"))</f>
        <v>OK</v>
      </c>
      <c r="F16" s="20"/>
      <c r="G16" s="3" t="n">
        <v>0.000500000501</v>
      </c>
    </row>
    <row r="17" customFormat="false" ht="15" hidden="false" customHeight="false" outlineLevel="0" collapsed="false">
      <c r="A17" s="2" t="s">
        <v>38</v>
      </c>
      <c r="B17" s="15" t="n">
        <f aca="false">'ARA and ASER'!B27</f>
        <v>217173.351215373</v>
      </c>
      <c r="C17" s="12" t="n">
        <v>217173</v>
      </c>
      <c r="D17" s="15" t="n">
        <f aca="false">IF(ISNUMBER(B17),B17-C17,"")</f>
        <v>0.35121537320083</v>
      </c>
      <c r="E17" s="17" t="str">
        <f aca="false">IF(ISNUMBER(B17),IF(ABS(B17-C17)&lt;=G17,"OK","CHECK"),IF(B17=C17,"OK","CHECK"))</f>
        <v>OK</v>
      </c>
      <c r="F17" s="20"/>
      <c r="G17" s="3" t="n">
        <v>0.500000500001</v>
      </c>
    </row>
    <row r="18" customFormat="false" ht="15" hidden="false" customHeight="false" outlineLevel="0" collapsed="false">
      <c r="A18" s="2" t="s">
        <v>75</v>
      </c>
      <c r="B18" s="15" t="n">
        <f aca="false">'ARA and ASER'!B28</f>
        <v>196611.71875</v>
      </c>
      <c r="C18" s="12" t="n">
        <v>196612</v>
      </c>
      <c r="D18" s="15" t="n">
        <f aca="false">IF(ISNUMBER(B18),B18-C18,"")</f>
        <v>-0.281250000087312</v>
      </c>
      <c r="E18" s="17" t="str">
        <f aca="false">IF(ISNUMBER(B18),IF(ABS(B18-C18)&lt;=G18,"OK","CHECK"),IF(B18=C18,"OK","CHECK"))</f>
        <v>OK</v>
      </c>
      <c r="F18" s="20"/>
      <c r="G18" s="3" t="n">
        <v>0.500000500001</v>
      </c>
    </row>
    <row r="19" customFormat="false" ht="15" hidden="false" customHeight="false" outlineLevel="0" collapsed="false">
      <c r="A19" s="2" t="s">
        <v>76</v>
      </c>
      <c r="B19" s="15" t="n">
        <f aca="false">'ARA and ASER'!B29</f>
        <v>20561.6324653733</v>
      </c>
      <c r="C19" s="12" t="n">
        <v>20562</v>
      </c>
      <c r="D19" s="15" t="n">
        <f aca="false">IF(ISNUMBER(B19),B19-C19,"")</f>
        <v>-0.367534626711858</v>
      </c>
      <c r="E19" s="17" t="str">
        <f aca="false">IF(ISNUMBER(B19),IF(ABS(B19-C19)&lt;=G19,"OK","CHECK"),IF(B19=C19,"OK","CHECK"))</f>
        <v>OK</v>
      </c>
      <c r="F19" s="20"/>
      <c r="G19" s="3" t="n">
        <v>0.500000500001</v>
      </c>
    </row>
    <row r="20" customFormat="false" ht="15" hidden="false" customHeight="false" outlineLevel="0" collapsed="false">
      <c r="A20" s="2" t="s">
        <v>77</v>
      </c>
      <c r="B20" s="16" t="n">
        <f aca="false">'ARA and ASER'!B30</f>
        <v>0.261449731939914</v>
      </c>
      <c r="C20" s="21" t="n">
        <v>0.261</v>
      </c>
      <c r="D20" s="16" t="n">
        <f aca="false">IF(ISNUMBER(B20),B20-C20,"")</f>
        <v>0.000449731939913878</v>
      </c>
      <c r="E20" s="17" t="str">
        <f aca="false">IF(ISNUMBER(B20),IF(ABS(B20-C20)&lt;=G20,"OK","CHECK"),IF(B20=C20,"OK","CHECK"))</f>
        <v>OK</v>
      </c>
      <c r="F20" s="20"/>
      <c r="G20" s="3" t="n">
        <v>0.000500000501</v>
      </c>
    </row>
    <row r="21" customFormat="false" ht="15" hidden="false" customHeight="false" outlineLevel="0" collapsed="false">
      <c r="A21" s="2" t="s">
        <v>78</v>
      </c>
      <c r="B21" s="16" t="n">
        <f aca="false">'ARA and ASER'!C38</f>
        <v>0.223333333333333</v>
      </c>
      <c r="C21" s="21" t="n">
        <v>0.223</v>
      </c>
      <c r="D21" s="16" t="n">
        <f aca="false">IF(ISNUMBER(B21),B21-C21,"")</f>
        <v>0.000333333333333324</v>
      </c>
      <c r="E21" s="17" t="str">
        <f aca="false">IF(ISNUMBER(B21),IF(ABS(B21-C21)&lt;=G21,"OK","CHECK"),IF(B21=C21,"OK","CHECK"))</f>
        <v>OK</v>
      </c>
      <c r="F21" s="20"/>
      <c r="G21" s="3" t="n">
        <v>0.000500000501</v>
      </c>
    </row>
    <row r="22" customFormat="false" ht="15" hidden="false" customHeight="false" outlineLevel="0" collapsed="false">
      <c r="A22" s="2" t="s">
        <v>79</v>
      </c>
      <c r="B22" s="4" t="str">
        <f aca="false">'ARA and ASER'!D38</f>
        <v>G</v>
      </c>
      <c r="C22" s="11" t="s">
        <v>15</v>
      </c>
      <c r="D22" s="4"/>
      <c r="E22" s="17" t="str">
        <f aca="false">IF(B22=C22,"OK","CHECK")</f>
        <v>OK</v>
      </c>
      <c r="F22" s="20"/>
      <c r="G22" s="3"/>
    </row>
    <row r="23" customFormat="false" ht="15" hidden="false" customHeight="false" outlineLevel="0" collapsed="false">
      <c r="A23" s="2" t="s">
        <v>80</v>
      </c>
      <c r="B23" s="15" t="n">
        <f aca="false">'ARA and ASER'!B67</f>
        <v>2991893.6411177</v>
      </c>
      <c r="C23" s="12" t="n">
        <v>2990000</v>
      </c>
      <c r="D23" s="15" t="n">
        <f aca="false">IF(ISNUMBER(B23),B23-C23,"")</f>
        <v>1893.64111769991</v>
      </c>
      <c r="E23" s="17" t="str">
        <f aca="false">IF(ISNUMBER(B23),IF(ABS(B23-C23)&lt;=G23,"OK","CHECK"),IF(B23=C23,"OK","CHECK"))</f>
        <v>OK</v>
      </c>
      <c r="F23" s="20" t="s">
        <v>81</v>
      </c>
      <c r="G23" s="3" t="n">
        <v>5000.005</v>
      </c>
    </row>
    <row r="24" customFormat="false" ht="15" hidden="false" customHeight="false" outlineLevel="0" collapsed="false">
      <c r="A24" s="2" t="s">
        <v>82</v>
      </c>
      <c r="B24" s="19" t="n">
        <f aca="false">MAX('ARA and ASER'!F14:F18)-'ARA and ASER'!D14</f>
        <v>18</v>
      </c>
      <c r="C24" s="14" t="n">
        <v>18</v>
      </c>
      <c r="D24" s="19" t="n">
        <f aca="false">IF(ISNUMBER(B24),B24-C24,"")</f>
        <v>0</v>
      </c>
      <c r="E24" s="17" t="str">
        <f aca="false">IF(ISNUMBER(B24),IF(ABS(B24-C24)&lt;=G24,"OK","CHECK"),IF(B24=C24,"OK","CHECK"))</f>
        <v>OK</v>
      </c>
      <c r="F24" s="20" t="s">
        <v>83</v>
      </c>
      <c r="G24" s="3" t="n">
        <v>1E-012</v>
      </c>
    </row>
    <row r="26" customFormat="false" ht="15" hidden="false" customHeight="false" outlineLevel="0" collapsed="false">
      <c r="A26" s="17" t="s">
        <v>84</v>
      </c>
      <c r="B26" s="17" t="n">
        <f aca="false">COUNTIF(E5:E24,"CHECK")</f>
        <v>0</v>
      </c>
    </row>
    <row r="27" customFormat="false" ht="15" hidden="false" customHeight="false" outlineLevel="0" collapsed="false">
      <c r="A27" s="17" t="s">
        <v>85</v>
      </c>
      <c r="E27" s="17" t="str">
        <f aca="false">IF(COUNTIF(E5:E24,"OK")=20,"ALL OK",COUNTIF(E5:E24,"OK")&amp;" / 20 OK")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2026-09-23T22:50:23Z</dcterms:created>
  <dc:creator>openpyxl</dc:creator>
  <dc:description/>
  <dc:language>en-US</dc:language>
  <cp:lastModifiedBy/>
  <dcterms:modified xsi:type="dcterms:W3CDTF">2026-09-23T22:50:23Z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