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Read me" sheetId="1" state="visible" r:id="rId1"/>
    <sheet xmlns:r="http://schemas.openxmlformats.org/officeDocument/2006/relationships" name="The situation" sheetId="2" state="visible" r:id="rId2"/>
    <sheet xmlns:r="http://schemas.openxmlformats.org/officeDocument/2006/relationships" name="The process" sheetId="3" state="visible" r:id="rId3"/>
    <sheet xmlns:r="http://schemas.openxmlformats.org/officeDocument/2006/relationships" name="Price and structure" sheetId="4" state="visible" r:id="rId4"/>
    <sheet xmlns:r="http://schemas.openxmlformats.org/officeDocument/2006/relationships" name="The election" sheetId="5" state="visible" r:id="rId5"/>
    <sheet xmlns:r="http://schemas.openxmlformats.org/officeDocument/2006/relationships" name="What deserved scrutiny" sheetId="6" state="visible" r:id="rId6"/>
    <sheet xmlns:r="http://schemas.openxmlformats.org/officeDocument/2006/relationships" name="Checks" sheetId="7" state="visible" r:id="rId7"/>
  </sheets>
  <definedNames/>
  <calcPr calcId="124519" fullCalcOnLoad="1" refMode="A1" iterate="0" iterateCount="100" iterateDelta="0.0001"/>
</workbook>
</file>

<file path=xl/styles.xml><?xml version="1.0" encoding="utf-8"?>
<styleSheet xmlns="http://schemas.openxmlformats.org/spreadsheetml/2006/main">
  <numFmts count="5">
    <numFmt numFmtId="164" formatCode="#,##0;\(#,##0\);\-"/>
    <numFmt numFmtId="165" formatCode="#,##0.00;\(#,##0.00\);\-"/>
    <numFmt numFmtId="166" formatCode="0.00\x"/>
    <numFmt numFmtId="167" formatCode="0.0%"/>
    <numFmt numFmtId="168" formatCode="0.0000%"/>
  </numFmts>
  <fonts count="18">
    <font>
      <name val="Calibri"/>
      <charset val="1"/>
      <family val="2"/>
      <color theme="1"/>
      <sz val="11"/>
    </font>
    <font>
      <name val="Arial"/>
      <family val="0"/>
      <sz val="10"/>
    </font>
    <font>
      <name val="Arial"/>
      <family val="0"/>
      <sz val="10"/>
    </font>
    <font>
      <name val="Arial"/>
      <family val="0"/>
      <sz val="10"/>
    </font>
    <font>
      <name val="Arial"/>
      <charset val="1"/>
      <family val="0"/>
      <b val="1"/>
      <color rgb="FF14171D"/>
      <sz val="14"/>
    </font>
    <font>
      <name val="Arial"/>
      <charset val="1"/>
      <family val="0"/>
      <i val="1"/>
      <color rgb="FF595959"/>
      <sz val="10"/>
    </font>
    <font>
      <name val="Arial"/>
      <charset val="1"/>
      <family val="0"/>
      <sz val="10"/>
    </font>
    <font>
      <name val="Arial"/>
      <charset val="1"/>
      <family val="0"/>
      <b val="1"/>
      <color rgb="FF8C5A00"/>
      <sz val="11"/>
    </font>
    <font>
      <name val="Arial"/>
      <charset val="1"/>
      <family val="0"/>
      <color rgb="FF0000FF"/>
      <sz val="10"/>
    </font>
    <font>
      <name val="Arial"/>
      <charset val="1"/>
      <family val="0"/>
      <b val="1"/>
      <color rgb="FFFFFFFF"/>
      <sz val="10"/>
    </font>
    <font>
      <name val="Arial"/>
      <charset val="1"/>
      <family val="0"/>
      <b val="1"/>
      <sz val="10"/>
    </font>
    <font>
      <name val="Arial"/>
      <charset val="1"/>
      <family val="0"/>
      <color rgb="FF008000"/>
      <sz val="10"/>
    </font>
    <font>
      <name val="Arial"/>
      <charset val="1"/>
      <family val="0"/>
      <i val="1"/>
      <sz val="9"/>
    </font>
    <font>
      <name val="Arial"/>
      <charset val="1"/>
      <family val="0"/>
      <color rgb="FF8C5A00"/>
      <sz val="9"/>
    </font>
    <font>
      <name val="Arial"/>
      <charset val="1"/>
      <family val="0"/>
      <sz val="9"/>
    </font>
    <font>
      <name val="Arial"/>
      <charset val="1"/>
      <family val="0"/>
      <color rgb="FF0000FF"/>
      <sz val="9"/>
    </font>
    <font>
      <name val="Arial"/>
      <charset val="1"/>
      <family val="0"/>
      <color rgb="FF008000"/>
      <sz val="9"/>
    </font>
    <font>
      <name val="Arial"/>
      <charset val="1"/>
      <family val="0"/>
      <b val="1"/>
      <sz val="9"/>
    </font>
  </fonts>
  <fills count="5">
    <fill>
      <patternFill/>
    </fill>
    <fill>
      <patternFill patternType="gray125"/>
    </fill>
    <fill>
      <patternFill patternType="solid">
        <fgColor rgb="FF14171D"/>
        <bgColor rgb="FF000000"/>
      </patternFill>
    </fill>
    <fill>
      <patternFill patternType="solid">
        <fgColor rgb="FFFFFF00"/>
        <bgColor rgb="FFFFFF00"/>
      </patternFill>
    </fill>
    <fill>
      <patternFill patternType="solid">
        <fgColor rgb="FFF2F2F2"/>
        <bgColor rgb="FFFFFFFF"/>
      </patternFill>
    </fill>
  </fills>
  <borders count="2">
    <border>
      <left/>
      <right/>
      <top/>
      <bottom/>
      <diagonal/>
    </border>
    <border>
      <left/>
      <right/>
      <top style="medium">
        <color rgb="FF808080"/>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98">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bottom" indent="1"/>
    </xf>
    <xf numFmtId="164" fontId="8" fillId="0" borderId="0" applyAlignment="1" pivotButton="0" quotePrefix="0" xfId="0">
      <alignment horizontal="general" vertical="bottom"/>
    </xf>
    <xf numFmtId="1" fontId="8" fillId="0" borderId="0" applyAlignment="1" pivotButton="0" quotePrefix="0" xfId="0">
      <alignment horizontal="general" vertical="bottom"/>
    </xf>
    <xf numFmtId="0" fontId="9" fillId="2" borderId="0" applyAlignment="1" pivotButton="0" quotePrefix="0" xfId="0">
      <alignment horizontal="left" vertical="center" wrapText="1"/>
    </xf>
    <xf numFmtId="0" fontId="9" fillId="2" borderId="0" applyAlignment="1" pivotButton="0" quotePrefix="0" xfId="0">
      <alignment horizontal="center" vertical="center" wrapText="1"/>
    </xf>
    <xf numFmtId="165" fontId="8" fillId="0" borderId="0" applyAlignment="1" pivotButton="0" quotePrefix="0" xfId="0">
      <alignment horizontal="general" vertical="bottom"/>
    </xf>
    <xf numFmtId="165" fontId="8" fillId="3" borderId="0" applyAlignment="1" pivotButton="0" quotePrefix="0" xfId="0">
      <alignment horizontal="general" vertical="bottom"/>
    </xf>
    <xf numFmtId="166" fontId="8" fillId="0" borderId="0" applyAlignment="1" pivotButton="0" quotePrefix="0" xfId="0">
      <alignment horizontal="general" vertical="bottom"/>
    </xf>
    <xf numFmtId="165" fontId="10" fillId="0" borderId="0" applyAlignment="1" pivotButton="0" quotePrefix="0" xfId="0">
      <alignment horizontal="general" vertical="bottom"/>
    </xf>
    <xf numFmtId="164" fontId="8" fillId="3" borderId="0" applyAlignment="1" pivotButton="0" quotePrefix="0" xfId="0">
      <alignment horizontal="general" vertical="bottom"/>
    </xf>
    <xf numFmtId="1" fontId="6" fillId="0" borderId="0" applyAlignment="1" pivotButton="0" quotePrefix="0" xfId="0">
      <alignment horizontal="general" vertical="bottom"/>
    </xf>
    <xf numFmtId="1" fontId="8" fillId="3" borderId="0" applyAlignment="1" pivotButton="0" quotePrefix="0" xfId="0">
      <alignment horizontal="general" vertical="bottom"/>
    </xf>
    <xf numFmtId="0" fontId="10" fillId="0" borderId="0" applyAlignment="1" pivotButton="0" quotePrefix="0" xfId="0">
      <alignment horizontal="general" vertical="bottom" indent="1"/>
    </xf>
    <xf numFmtId="166" fontId="10" fillId="0" borderId="0" applyAlignment="1" pivotButton="0" quotePrefix="0" xfId="0">
      <alignment horizontal="general" vertical="bottom"/>
    </xf>
    <xf numFmtId="10" fontId="6" fillId="0" borderId="0" applyAlignment="1" pivotButton="0" quotePrefix="0" xfId="0">
      <alignment horizontal="general" vertical="bottom"/>
    </xf>
    <xf numFmtId="0" fontId="10" fillId="0" borderId="0" applyAlignment="1" pivotButton="0" quotePrefix="0" xfId="0">
      <alignment horizontal="general" vertical="bottom"/>
    </xf>
    <xf numFmtId="166" fontId="8" fillId="3" borderId="0" applyAlignment="1" pivotButton="0" quotePrefix="0" xfId="0">
      <alignment horizontal="general" vertical="bottom"/>
    </xf>
    <xf numFmtId="165" fontId="6" fillId="0" borderId="0" applyAlignment="1" pivotButton="0" quotePrefix="0" xfId="0">
      <alignment horizontal="general" vertical="bottom"/>
    </xf>
    <xf numFmtId="166" fontId="6" fillId="0" borderId="0" applyAlignment="1" pivotButton="0" quotePrefix="0" xfId="0">
      <alignment horizontal="general" vertical="bottom"/>
    </xf>
    <xf numFmtId="0" fontId="5" fillId="0" borderId="0" applyAlignment="1" pivotButton="0" quotePrefix="0" xfId="0">
      <alignment horizontal="general" vertical="bottom" indent="1"/>
    </xf>
    <xf numFmtId="165" fontId="11" fillId="0" borderId="0" applyAlignment="1" pivotButton="0" quotePrefix="0" xfId="0">
      <alignment horizontal="general" vertical="bottom"/>
    </xf>
    <xf numFmtId="167" fontId="6" fillId="0" borderId="0" applyAlignment="1" pivotButton="0" quotePrefix="0" xfId="0">
      <alignment horizontal="general" vertical="bottom"/>
    </xf>
    <xf numFmtId="0" fontId="6" fillId="4" borderId="0" applyAlignment="1" pivotButton="0" quotePrefix="0" xfId="0">
      <alignment horizontal="general" vertical="bottom" indent="1"/>
    </xf>
    <xf numFmtId="0" fontId="0" fillId="4" borderId="0" applyAlignment="1" pivotButton="0" quotePrefix="0" xfId="0">
      <alignment horizontal="general" vertical="bottom"/>
    </xf>
    <xf numFmtId="1" fontId="8" fillId="4" borderId="0" applyAlignment="1" pivotButton="0" quotePrefix="0" xfId="0">
      <alignment horizontal="general" vertical="bottom"/>
    </xf>
    <xf numFmtId="167" fontId="6" fillId="4" borderId="0" applyAlignment="1" pivotButton="0" quotePrefix="0" xfId="0">
      <alignment horizontal="general" vertical="bottom"/>
    </xf>
    <xf numFmtId="0" fontId="8" fillId="0" borderId="0" applyAlignment="1" pivotButton="0" quotePrefix="0" xfId="0">
      <alignment horizontal="general" vertical="bottom"/>
    </xf>
    <xf numFmtId="1" fontId="10" fillId="0" borderId="0" applyAlignment="1" pivotButton="0" quotePrefix="0" xfId="0">
      <alignment horizontal="general" vertical="bottom"/>
    </xf>
    <xf numFmtId="167" fontId="10" fillId="0" borderId="0" applyAlignment="1" pivotButton="0" quotePrefix="0" xfId="0">
      <alignment horizontal="general" vertical="bottom"/>
    </xf>
    <xf numFmtId="0" fontId="10" fillId="0" borderId="1" applyAlignment="1" pivotButton="0" quotePrefix="0" xfId="0">
      <alignment horizontal="general" vertical="bottom" indent="1"/>
    </xf>
    <xf numFmtId="165" fontId="10" fillId="0" borderId="1" applyAlignment="1" pivotButton="0" quotePrefix="0" xfId="0">
      <alignment horizontal="general" vertical="bottom"/>
    </xf>
    <xf numFmtId="0" fontId="6" fillId="0" borderId="0" applyAlignment="1" pivotButton="0" quotePrefix="0" xfId="0">
      <alignment horizontal="general" vertical="bottom"/>
    </xf>
    <xf numFmtId="10" fontId="8" fillId="3" borderId="0" applyAlignment="1" pivotButton="0" quotePrefix="0" xfId="0">
      <alignment horizontal="general" vertical="bottom"/>
    </xf>
    <xf numFmtId="10" fontId="8" fillId="0" borderId="0" applyAlignment="1" pivotButton="0" quotePrefix="0" xfId="0">
      <alignment horizontal="general" vertical="bottom"/>
    </xf>
    <xf numFmtId="167" fontId="8" fillId="3" borderId="0" applyAlignment="1" pivotButton="0" quotePrefix="0" xfId="0">
      <alignment horizontal="general" vertical="bottom"/>
    </xf>
    <xf numFmtId="167" fontId="8" fillId="0" borderId="0" applyAlignment="1" pivotButton="0" quotePrefix="0" xfId="0">
      <alignment horizontal="general" vertical="bottom"/>
    </xf>
    <xf numFmtId="1" fontId="11" fillId="0" borderId="0" applyAlignment="1" pivotButton="0" quotePrefix="0" xfId="0">
      <alignment horizontal="general" vertical="bottom"/>
    </xf>
    <xf numFmtId="0" fontId="10" fillId="0" borderId="1" applyAlignment="1" pivotButton="0" quotePrefix="0" xfId="0">
      <alignment horizontal="general" vertical="bottom"/>
    </xf>
    <xf numFmtId="167" fontId="10" fillId="0" borderId="1" applyAlignment="1" pivotButton="0" quotePrefix="0" xfId="0">
      <alignment horizontal="general" vertical="bottom"/>
    </xf>
    <xf numFmtId="164" fontId="11" fillId="0" borderId="0" applyAlignment="1" pivotButton="0" quotePrefix="0" xfId="0">
      <alignment horizontal="general" vertical="bottom"/>
    </xf>
    <xf numFmtId="168" fontId="6" fillId="0" borderId="0" applyAlignment="1" pivotButton="0" quotePrefix="0" xfId="0">
      <alignment horizontal="general" vertical="bottom"/>
    </xf>
    <xf numFmtId="0" fontId="10" fillId="4" borderId="0" applyAlignment="1" pivotButton="0" quotePrefix="0" xfId="0">
      <alignment horizontal="general" vertical="bottom"/>
    </xf>
    <xf numFmtId="0" fontId="12" fillId="4" borderId="0" applyAlignment="1" pivotButton="0" quotePrefix="0" xfId="0">
      <alignment horizontal="general" vertical="bottom"/>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14" fillId="0" borderId="0" applyAlignment="1" pivotButton="0" quotePrefix="0" xfId="0">
      <alignment horizontal="general" vertical="bottom"/>
    </xf>
    <xf numFmtId="165" fontId="15" fillId="0" borderId="0" applyAlignment="1" pivotButton="0" quotePrefix="0" xfId="0">
      <alignment horizontal="general" vertical="bottom"/>
    </xf>
    <xf numFmtId="165" fontId="16" fillId="0" borderId="0" applyAlignment="1" pivotButton="0" quotePrefix="0" xfId="0">
      <alignment horizontal="general" vertical="bottom"/>
    </xf>
    <xf numFmtId="165" fontId="14" fillId="0" borderId="0" applyAlignment="1" pivotButton="0" quotePrefix="0" xfId="0">
      <alignment horizontal="general" vertical="bottom"/>
    </xf>
    <xf numFmtId="0" fontId="17" fillId="0" borderId="0" applyAlignment="1" pivotButton="0" quotePrefix="0" xfId="0">
      <alignment horizontal="general" vertical="bottom"/>
    </xf>
    <xf numFmtId="0" fontId="13" fillId="4" borderId="0" applyAlignment="1" pivotButton="0" quotePrefix="0" xfId="0">
      <alignment horizontal="general" vertical="bottom"/>
    </xf>
    <xf numFmtId="0"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6" fillId="4" borderId="0" applyAlignment="1" pivotButton="0" quotePrefix="0" xfId="0">
      <alignment horizontal="general" vertical="bottom"/>
    </xf>
    <xf numFmtId="164" fontId="14" fillId="4" borderId="0" applyAlignment="1" pivotButton="0" quotePrefix="0" xfId="0">
      <alignment horizontal="general" vertical="bottom"/>
    </xf>
    <xf numFmtId="0" fontId="17" fillId="4" borderId="0" applyAlignment="1" pivotButton="0" quotePrefix="0" xfId="0">
      <alignment horizontal="general" vertical="bottom"/>
    </xf>
    <xf numFmtId="164" fontId="15" fillId="0" borderId="0" applyAlignment="1" pivotButton="0" quotePrefix="0" xfId="0">
      <alignment horizontal="general" vertical="bottom"/>
    </xf>
    <xf numFmtId="164" fontId="16" fillId="0" borderId="0" applyAlignment="1" pivotButton="0" quotePrefix="0" xfId="0">
      <alignment horizontal="general" vertical="bottom"/>
    </xf>
    <xf numFmtId="164" fontId="14" fillId="0" borderId="0" applyAlignment="1" pivotButton="0" quotePrefix="0" xfId="0">
      <alignment horizontal="general" vertical="bottom"/>
    </xf>
    <xf numFmtId="165" fontId="15" fillId="4" borderId="0" applyAlignment="1" pivotButton="0" quotePrefix="0" xfId="0">
      <alignment horizontal="general" vertical="bottom"/>
    </xf>
    <xf numFmtId="165" fontId="16" fillId="4" borderId="0" applyAlignment="1" pivotButton="0" quotePrefix="0" xfId="0">
      <alignment horizontal="general" vertical="bottom"/>
    </xf>
    <xf numFmtId="165" fontId="14" fillId="4" borderId="0" applyAlignment="1" pivotButton="0" quotePrefix="0" xfId="0">
      <alignment horizontal="general" vertical="bottom"/>
    </xf>
    <xf numFmtId="167" fontId="15" fillId="4" borderId="0" applyAlignment="1" pivotButton="0" quotePrefix="0" xfId="0">
      <alignment horizontal="general" vertical="bottom"/>
    </xf>
    <xf numFmtId="167" fontId="16" fillId="4" borderId="0" applyAlignment="1" pivotButton="0" quotePrefix="0" xfId="0">
      <alignment horizontal="general" vertical="bottom"/>
    </xf>
    <xf numFmtId="167" fontId="14" fillId="4" borderId="0" applyAlignment="1" pivotButton="0" quotePrefix="0" xfId="0">
      <alignment horizontal="general" vertical="bottom"/>
    </xf>
    <xf numFmtId="167" fontId="15" fillId="0" borderId="0" applyAlignment="1" pivotButton="0" quotePrefix="0" xfId="0">
      <alignment horizontal="general" vertical="bottom"/>
    </xf>
    <xf numFmtId="167" fontId="16" fillId="0" borderId="0" applyAlignment="1" pivotButton="0" quotePrefix="0" xfId="0">
      <alignment horizontal="general" vertical="bottom"/>
    </xf>
    <xf numFmtId="167" fontId="14" fillId="0" borderId="0" applyAlignment="1" pivotButton="0" quotePrefix="0" xfId="0">
      <alignment horizontal="general" vertical="bottom"/>
    </xf>
    <xf numFmtId="1" fontId="15" fillId="4" borderId="0" applyAlignment="1" pivotButton="0" quotePrefix="0" xfId="0">
      <alignment horizontal="general" vertical="bottom"/>
    </xf>
    <xf numFmtId="1" fontId="16" fillId="4" borderId="0" applyAlignment="1" pivotButton="0" quotePrefix="0" xfId="0">
      <alignment horizontal="general" vertical="bottom"/>
    </xf>
    <xf numFmtId="1" fontId="14" fillId="4" borderId="0" applyAlignment="1" pivotButton="0" quotePrefix="0" xfId="0">
      <alignment horizontal="general" vertical="bottom"/>
    </xf>
    <xf numFmtId="1" fontId="15" fillId="0" borderId="0" applyAlignment="1" pivotButton="0" quotePrefix="0" xfId="0">
      <alignment horizontal="general" vertical="bottom"/>
    </xf>
    <xf numFmtId="1" fontId="16" fillId="0" borderId="0" applyAlignment="1" pivotButton="0" quotePrefix="0" xfId="0">
      <alignment horizontal="general" vertical="bottom"/>
    </xf>
    <xf numFmtId="1" fontId="14" fillId="0" borderId="0" applyAlignment="1" pivotButton="0" quotePrefix="0" xfId="0">
      <alignment horizontal="general" vertical="bottom"/>
    </xf>
    <xf numFmtId="166" fontId="15" fillId="4" borderId="0" applyAlignment="1" pivotButton="0" quotePrefix="0" xfId="0">
      <alignment horizontal="general" vertical="bottom"/>
    </xf>
    <xf numFmtId="166" fontId="16" fillId="4" borderId="0" applyAlignment="1" pivotButton="0" quotePrefix="0" xfId="0">
      <alignment horizontal="general" vertical="bottom"/>
    </xf>
    <xf numFmtId="166" fontId="14" fillId="4" borderId="0" applyAlignment="1" pivotButton="0" quotePrefix="0" xfId="0">
      <alignment horizontal="general" vertical="bottom"/>
    </xf>
    <xf numFmtId="166" fontId="15" fillId="0" borderId="0" applyAlignment="1" pivotButton="0" quotePrefix="0" xfId="0">
      <alignment horizontal="general" vertical="bottom"/>
    </xf>
    <xf numFmtId="166" fontId="16" fillId="0" borderId="0" applyAlignment="1" pivotButton="0" quotePrefix="0" xfId="0">
      <alignment horizontal="general" vertical="bottom"/>
    </xf>
    <xf numFmtId="166" fontId="14"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bottom" indent="1"/>
    </xf>
    <xf numFmtId="164" fontId="8" fillId="0" borderId="0" applyAlignment="1" pivotButton="0" quotePrefix="0" xfId="0">
      <alignment horizontal="general" vertical="bottom"/>
    </xf>
    <xf numFmtId="1" fontId="8" fillId="0" borderId="0" applyAlignment="1" pivotButton="0" quotePrefix="0" xfId="0">
      <alignment horizontal="general" vertical="bottom"/>
    </xf>
    <xf numFmtId="0" fontId="9" fillId="2" borderId="0" applyAlignment="1" pivotButton="0" quotePrefix="0" xfId="0">
      <alignment horizontal="left" vertical="center" wrapText="1"/>
    </xf>
    <xf numFmtId="0" fontId="9" fillId="2" borderId="0" applyAlignment="1" pivotButton="0" quotePrefix="0" xfId="0">
      <alignment horizontal="center" vertical="center" wrapText="1"/>
    </xf>
    <xf numFmtId="165" fontId="8" fillId="0" borderId="0" applyAlignment="1" pivotButton="0" quotePrefix="0" xfId="0">
      <alignment horizontal="general" vertical="bottom"/>
    </xf>
    <xf numFmtId="165" fontId="8" fillId="3" borderId="0" applyAlignment="1" pivotButton="0" quotePrefix="0" xfId="0">
      <alignment horizontal="general" vertical="bottom"/>
    </xf>
    <xf numFmtId="166" fontId="8" fillId="0" borderId="0" applyAlignment="1" pivotButton="0" quotePrefix="0" xfId="0">
      <alignment horizontal="general" vertical="bottom"/>
    </xf>
    <xf numFmtId="165" fontId="10" fillId="0" borderId="0" applyAlignment="1" pivotButton="0" quotePrefix="0" xfId="0">
      <alignment horizontal="general" vertical="bottom"/>
    </xf>
    <xf numFmtId="164" fontId="8" fillId="3" borderId="0" applyAlignment="1" pivotButton="0" quotePrefix="0" xfId="0">
      <alignment horizontal="general" vertical="bottom"/>
    </xf>
    <xf numFmtId="1" fontId="6" fillId="0" borderId="0" applyAlignment="1" pivotButton="0" quotePrefix="0" xfId="0">
      <alignment horizontal="general" vertical="bottom"/>
    </xf>
    <xf numFmtId="1" fontId="8" fillId="3" borderId="0" applyAlignment="1" pivotButton="0" quotePrefix="0" xfId="0">
      <alignment horizontal="general" vertical="bottom"/>
    </xf>
    <xf numFmtId="0" fontId="10" fillId="0" borderId="0" applyAlignment="1" pivotButton="0" quotePrefix="0" xfId="0">
      <alignment horizontal="general" vertical="bottom" indent="1"/>
    </xf>
    <xf numFmtId="166" fontId="10" fillId="0" borderId="0" applyAlignment="1" pivotButton="0" quotePrefix="0" xfId="0">
      <alignment horizontal="general" vertical="bottom"/>
    </xf>
    <xf numFmtId="10" fontId="6" fillId="0" borderId="0" applyAlignment="1" pivotButton="0" quotePrefix="0" xfId="0">
      <alignment horizontal="general" vertical="bottom"/>
    </xf>
    <xf numFmtId="0" fontId="10" fillId="0" borderId="0" applyAlignment="1" pivotButton="0" quotePrefix="0" xfId="0">
      <alignment horizontal="general" vertical="bottom"/>
    </xf>
    <xf numFmtId="166" fontId="8" fillId="3" borderId="0" applyAlignment="1" pivotButton="0" quotePrefix="0" xfId="0">
      <alignment horizontal="general" vertical="bottom"/>
    </xf>
    <xf numFmtId="165" fontId="6" fillId="0" borderId="0" applyAlignment="1" pivotButton="0" quotePrefix="0" xfId="0">
      <alignment horizontal="general" vertical="bottom"/>
    </xf>
    <xf numFmtId="166" fontId="6" fillId="0" borderId="0" applyAlignment="1" pivotButton="0" quotePrefix="0" xfId="0">
      <alignment horizontal="general" vertical="bottom"/>
    </xf>
    <xf numFmtId="0" fontId="5" fillId="0" borderId="0" applyAlignment="1" pivotButton="0" quotePrefix="0" xfId="0">
      <alignment horizontal="general" vertical="bottom" indent="1"/>
    </xf>
    <xf numFmtId="165" fontId="11" fillId="0" borderId="0" applyAlignment="1" pivotButton="0" quotePrefix="0" xfId="0">
      <alignment horizontal="general" vertical="bottom"/>
    </xf>
    <xf numFmtId="167" fontId="6" fillId="0" borderId="0" applyAlignment="1" pivotButton="0" quotePrefix="0" xfId="0">
      <alignment horizontal="general" vertical="bottom"/>
    </xf>
    <xf numFmtId="0" fontId="6" fillId="4" borderId="0" applyAlignment="1" pivotButton="0" quotePrefix="0" xfId="0">
      <alignment horizontal="general" vertical="bottom" indent="1"/>
    </xf>
    <xf numFmtId="0" fontId="0" fillId="4" borderId="0" applyAlignment="1" pivotButton="0" quotePrefix="0" xfId="0">
      <alignment horizontal="general" vertical="bottom"/>
    </xf>
    <xf numFmtId="1" fontId="8" fillId="4" borderId="0" applyAlignment="1" pivotButton="0" quotePrefix="0" xfId="0">
      <alignment horizontal="general" vertical="bottom"/>
    </xf>
    <xf numFmtId="167" fontId="6" fillId="4" borderId="0" applyAlignment="1" pivotButton="0" quotePrefix="0" xfId="0">
      <alignment horizontal="general" vertical="bottom"/>
    </xf>
    <xf numFmtId="0" fontId="8" fillId="0" borderId="0" applyAlignment="1" pivotButton="0" quotePrefix="0" xfId="0">
      <alignment horizontal="general" vertical="bottom"/>
    </xf>
    <xf numFmtId="1" fontId="10" fillId="0" borderId="0" applyAlignment="1" pivotButton="0" quotePrefix="0" xfId="0">
      <alignment horizontal="general" vertical="bottom"/>
    </xf>
    <xf numFmtId="167" fontId="10" fillId="0" borderId="0" applyAlignment="1" pivotButton="0" quotePrefix="0" xfId="0">
      <alignment horizontal="general" vertical="bottom"/>
    </xf>
    <xf numFmtId="0" fontId="6" fillId="0" borderId="0" applyAlignment="1" pivotButton="0" quotePrefix="0" xfId="0">
      <alignment horizontal="general" vertical="bottom" indent="1"/>
    </xf>
    <xf numFmtId="1" fontId="8" fillId="0" borderId="0" applyAlignment="1" pivotButton="0" quotePrefix="0" xfId="0">
      <alignment horizontal="general" vertical="bottom"/>
    </xf>
    <xf numFmtId="0" fontId="10" fillId="0" borderId="0" applyAlignment="1" pivotButton="0" quotePrefix="0" xfId="0">
      <alignment horizontal="general" vertical="bottom" indent="1"/>
    </xf>
    <xf numFmtId="1" fontId="10" fillId="0" borderId="0" applyAlignment="1" pivotButton="0" quotePrefix="0" xfId="0">
      <alignment horizontal="general" vertical="bottom"/>
    </xf>
    <xf numFmtId="0" fontId="10" fillId="0" borderId="1" applyAlignment="1" pivotButton="0" quotePrefix="0" xfId="0">
      <alignment horizontal="general" vertical="bottom" indent="1"/>
    </xf>
    <xf numFmtId="165" fontId="10" fillId="0" borderId="1" applyAlignment="1" pivotButton="0" quotePrefix="0" xfId="0">
      <alignment horizontal="general" vertical="bottom"/>
    </xf>
    <xf numFmtId="0" fontId="6" fillId="0" borderId="0" applyAlignment="1" pivotButton="0" quotePrefix="0" xfId="0">
      <alignment horizontal="general" vertical="bottom"/>
    </xf>
    <xf numFmtId="10" fontId="8" fillId="3" borderId="0" applyAlignment="1" pivotButton="0" quotePrefix="0" xfId="0">
      <alignment horizontal="general" vertical="bottom"/>
    </xf>
    <xf numFmtId="10" fontId="8" fillId="0" borderId="0" applyAlignment="1" pivotButton="0" quotePrefix="0" xfId="0">
      <alignment horizontal="general" vertical="bottom"/>
    </xf>
    <xf numFmtId="167" fontId="8" fillId="3" borderId="0" applyAlignment="1" pivotButton="0" quotePrefix="0" xfId="0">
      <alignment horizontal="general" vertical="bottom"/>
    </xf>
    <xf numFmtId="167" fontId="8" fillId="0" borderId="0" applyAlignment="1" pivotButton="0" quotePrefix="0" xfId="0">
      <alignment horizontal="general" vertical="bottom"/>
    </xf>
    <xf numFmtId="167" fontId="8" fillId="3" borderId="0" applyAlignment="1" pivotButton="0" quotePrefix="0" xfId="0">
      <alignment horizontal="general" vertical="bottom"/>
    </xf>
    <xf numFmtId="1" fontId="11" fillId="0" borderId="0" applyAlignment="1" pivotButton="0" quotePrefix="0" xfId="0">
      <alignment horizontal="general" vertical="bottom"/>
    </xf>
    <xf numFmtId="0" fontId="10" fillId="0" borderId="1" applyAlignment="1" pivotButton="0" quotePrefix="0" xfId="0">
      <alignment horizontal="general" vertical="bottom"/>
    </xf>
    <xf numFmtId="167" fontId="10" fillId="0" borderId="1" applyAlignment="1" pivotButton="0" quotePrefix="0" xfId="0">
      <alignment horizontal="general" vertical="bottom"/>
    </xf>
    <xf numFmtId="164" fontId="11" fillId="0" borderId="0" applyAlignment="1" pivotButton="0" quotePrefix="0" xfId="0">
      <alignment horizontal="general" vertical="bottom"/>
    </xf>
    <xf numFmtId="168" fontId="6" fillId="0" borderId="0" applyAlignment="1" pivotButton="0" quotePrefix="0" xfId="0">
      <alignment horizontal="general" vertical="bottom"/>
    </xf>
    <xf numFmtId="165" fontId="10" fillId="0" borderId="0" applyAlignment="1" pivotButton="0" quotePrefix="0" xfId="0">
      <alignment horizontal="general" vertical="bottom"/>
    </xf>
    <xf numFmtId="165" fontId="8" fillId="3" borderId="0" applyAlignment="1" pivotButton="0" quotePrefix="0" xfId="0">
      <alignment horizontal="general" vertical="bottom"/>
    </xf>
    <xf numFmtId="0" fontId="7" fillId="0" borderId="0" applyAlignment="1" pivotButton="0" quotePrefix="0" xfId="0">
      <alignment horizontal="general" vertical="bottom"/>
    </xf>
    <xf numFmtId="167" fontId="10" fillId="0" borderId="0" applyAlignment="1" pivotButton="0" quotePrefix="0" xfId="0">
      <alignment horizontal="general" vertical="bottom"/>
    </xf>
    <xf numFmtId="0" fontId="10" fillId="4" borderId="0" applyAlignment="1" pivotButton="0" quotePrefix="0" xfId="0">
      <alignment horizontal="general" vertical="bottom"/>
    </xf>
    <xf numFmtId="0" fontId="12" fillId="4" borderId="0" applyAlignment="1" pivotButton="0" quotePrefix="0" xfId="0">
      <alignment horizontal="general" vertical="bottom"/>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14" fillId="0" borderId="0" applyAlignment="1" pivotButton="0" quotePrefix="0" xfId="0">
      <alignment horizontal="general" vertical="bottom"/>
    </xf>
    <xf numFmtId="165" fontId="15" fillId="0" borderId="0" applyAlignment="1" pivotButton="0" quotePrefix="0" xfId="0">
      <alignment horizontal="general" vertical="bottom"/>
    </xf>
    <xf numFmtId="165" fontId="16" fillId="0" borderId="0" applyAlignment="1" pivotButton="0" quotePrefix="0" xfId="0">
      <alignment horizontal="general" vertical="bottom"/>
    </xf>
    <xf numFmtId="165" fontId="14" fillId="0" borderId="0" applyAlignment="1" pivotButton="0" quotePrefix="0" xfId="0">
      <alignment horizontal="general" vertical="bottom"/>
    </xf>
    <xf numFmtId="0" fontId="17" fillId="0" borderId="0" applyAlignment="1" pivotButton="0" quotePrefix="0" xfId="0">
      <alignment horizontal="general" vertical="bottom"/>
    </xf>
    <xf numFmtId="0" fontId="13" fillId="4" borderId="0" applyAlignment="1" pivotButton="0" quotePrefix="0" xfId="0">
      <alignment horizontal="general" vertical="bottom"/>
    </xf>
    <xf numFmtId="0"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6" fillId="4" borderId="0" applyAlignment="1" pivotButton="0" quotePrefix="0" xfId="0">
      <alignment horizontal="general" vertical="bottom"/>
    </xf>
    <xf numFmtId="164" fontId="14" fillId="4" borderId="0" applyAlignment="1" pivotButton="0" quotePrefix="0" xfId="0">
      <alignment horizontal="general" vertical="bottom"/>
    </xf>
    <xf numFmtId="0" fontId="17" fillId="4" borderId="0" applyAlignment="1" pivotButton="0" quotePrefix="0" xfId="0">
      <alignment horizontal="general" vertical="bottom"/>
    </xf>
    <xf numFmtId="164" fontId="15" fillId="0" borderId="0" applyAlignment="1" pivotButton="0" quotePrefix="0" xfId="0">
      <alignment horizontal="general" vertical="bottom"/>
    </xf>
    <xf numFmtId="164" fontId="16" fillId="0" borderId="0" applyAlignment="1" pivotButton="0" quotePrefix="0" xfId="0">
      <alignment horizontal="general" vertical="bottom"/>
    </xf>
    <xf numFmtId="164" fontId="14" fillId="0" borderId="0" applyAlignment="1" pivotButton="0" quotePrefix="0" xfId="0">
      <alignment horizontal="general" vertical="bottom"/>
    </xf>
    <xf numFmtId="165" fontId="15" fillId="4" borderId="0" applyAlignment="1" pivotButton="0" quotePrefix="0" xfId="0">
      <alignment horizontal="general" vertical="bottom"/>
    </xf>
    <xf numFmtId="165" fontId="16" fillId="4" borderId="0" applyAlignment="1" pivotButton="0" quotePrefix="0" xfId="0">
      <alignment horizontal="general" vertical="bottom"/>
    </xf>
    <xf numFmtId="165" fontId="14" fillId="4" borderId="0" applyAlignment="1" pivotButton="0" quotePrefix="0" xfId="0">
      <alignment horizontal="general" vertical="bottom"/>
    </xf>
    <xf numFmtId="167" fontId="15" fillId="4" borderId="0" applyAlignment="1" pivotButton="0" quotePrefix="0" xfId="0">
      <alignment horizontal="general" vertical="bottom"/>
    </xf>
    <xf numFmtId="167" fontId="16" fillId="4" borderId="0" applyAlignment="1" pivotButton="0" quotePrefix="0" xfId="0">
      <alignment horizontal="general" vertical="bottom"/>
    </xf>
    <xf numFmtId="167" fontId="14" fillId="4" borderId="0" applyAlignment="1" pivotButton="0" quotePrefix="0" xfId="0">
      <alignment horizontal="general" vertical="bottom"/>
    </xf>
    <xf numFmtId="167" fontId="15" fillId="0" borderId="0" applyAlignment="1" pivotButton="0" quotePrefix="0" xfId="0">
      <alignment horizontal="general" vertical="bottom"/>
    </xf>
    <xf numFmtId="167" fontId="16" fillId="0" borderId="0" applyAlignment="1" pivotButton="0" quotePrefix="0" xfId="0">
      <alignment horizontal="general" vertical="bottom"/>
    </xf>
    <xf numFmtId="167" fontId="14" fillId="0" borderId="0" applyAlignment="1" pivotButton="0" quotePrefix="0" xfId="0">
      <alignment horizontal="general" vertical="bottom"/>
    </xf>
    <xf numFmtId="1" fontId="15" fillId="4" borderId="0" applyAlignment="1" pivotButton="0" quotePrefix="0" xfId="0">
      <alignment horizontal="general" vertical="bottom"/>
    </xf>
    <xf numFmtId="1" fontId="16" fillId="4" borderId="0" applyAlignment="1" pivotButton="0" quotePrefix="0" xfId="0">
      <alignment horizontal="general" vertical="bottom"/>
    </xf>
    <xf numFmtId="1" fontId="14" fillId="4" borderId="0" applyAlignment="1" pivotButton="0" quotePrefix="0" xfId="0">
      <alignment horizontal="general" vertical="bottom"/>
    </xf>
    <xf numFmtId="1" fontId="15" fillId="0" borderId="0" applyAlignment="1" pivotButton="0" quotePrefix="0" xfId="0">
      <alignment horizontal="general" vertical="bottom"/>
    </xf>
    <xf numFmtId="1" fontId="16" fillId="0" borderId="0" applyAlignment="1" pivotButton="0" quotePrefix="0" xfId="0">
      <alignment horizontal="general" vertical="bottom"/>
    </xf>
    <xf numFmtId="1" fontId="14" fillId="0" borderId="0" applyAlignment="1" pivotButton="0" quotePrefix="0" xfId="0">
      <alignment horizontal="general" vertical="bottom"/>
    </xf>
    <xf numFmtId="166" fontId="15" fillId="4" borderId="0" applyAlignment="1" pivotButton="0" quotePrefix="0" xfId="0">
      <alignment horizontal="general" vertical="bottom"/>
    </xf>
    <xf numFmtId="166" fontId="16" fillId="4" borderId="0" applyAlignment="1" pivotButton="0" quotePrefix="0" xfId="0">
      <alignment horizontal="general" vertical="bottom"/>
    </xf>
    <xf numFmtId="166" fontId="14" fillId="4" borderId="0" applyAlignment="1" pivotButton="0" quotePrefix="0" xfId="0">
      <alignment horizontal="general" vertical="bottom"/>
    </xf>
    <xf numFmtId="166" fontId="15" fillId="0" borderId="0" applyAlignment="1" pivotButton="0" quotePrefix="0" xfId="0">
      <alignment horizontal="general" vertical="bottom"/>
    </xf>
    <xf numFmtId="166" fontId="16" fillId="0" borderId="0" applyAlignment="1" pivotButton="0" quotePrefix="0" xfId="0">
      <alignment horizontal="general" vertical="bottom"/>
    </xf>
    <xf numFmtId="166" fontId="14" fillId="0" borderId="0" applyAlignment="1" pivotButton="0" quotePrefix="0" xfId="0">
      <alignment horizontal="general" vertical="bottom"/>
    </xf>
    <xf numFmtId="0" fontId="13" fillId="0" borderId="0" applyAlignment="1" pivotButton="0" quotePrefix="0" xfId="0">
      <alignment horizontal="general" vertical="bottom"/>
    </xf>
    <xf numFmtId="0" fontId="14" fillId="0" borderId="0" applyAlignment="1" pivotButton="0" quotePrefix="0" xfId="0">
      <alignment horizontal="general" vertical="bottom"/>
    </xf>
    <xf numFmtId="165" fontId="15" fillId="0" borderId="0" applyAlignment="1" pivotButton="0" quotePrefix="0" xfId="0">
      <alignment horizontal="general" vertical="bottom"/>
    </xf>
    <xf numFmtId="165" fontId="16" fillId="0" borderId="0" applyAlignment="1" pivotButton="0" quotePrefix="0" xfId="0">
      <alignment horizontal="general" vertical="bottom"/>
    </xf>
    <xf numFmtId="165" fontId="14" fillId="0" borderId="0" applyAlignment="1" pivotButton="0" quotePrefix="0" xfId="0">
      <alignment horizontal="general" vertical="bottom"/>
    </xf>
    <xf numFmtId="0" fontId="17" fillId="0" borderId="0" applyAlignment="1" pivotButton="0" quotePrefix="0" xfId="0">
      <alignment horizontal="general" vertical="bottom"/>
    </xf>
    <xf numFmtId="0" fontId="13" fillId="4" borderId="0" applyAlignment="1" pivotButton="0" quotePrefix="0" xfId="0">
      <alignment horizontal="general" vertical="bottom"/>
    </xf>
    <xf numFmtId="0" fontId="14" fillId="4" borderId="0" applyAlignment="1" pivotButton="0" quotePrefix="0" xfId="0">
      <alignment horizontal="general" vertical="bottom"/>
    </xf>
    <xf numFmtId="167" fontId="15" fillId="4" borderId="0" applyAlignment="1" pivotButton="0" quotePrefix="0" xfId="0">
      <alignment horizontal="general" vertical="bottom"/>
    </xf>
    <xf numFmtId="167" fontId="16" fillId="4" borderId="0" applyAlignment="1" pivotButton="0" quotePrefix="0" xfId="0">
      <alignment horizontal="general" vertical="bottom"/>
    </xf>
    <xf numFmtId="167" fontId="14" fillId="4" borderId="0" applyAlignment="1" pivotButton="0" quotePrefix="0" xfId="0">
      <alignment horizontal="general" vertical="bottom"/>
    </xf>
    <xf numFmtId="0" fontId="17" fillId="4" borderId="0" applyAlignment="1" pivotButton="0" quotePrefix="0" xfId="0">
      <alignment horizontal="general" vertical="bottom"/>
    </xf>
    <xf numFmtId="1" fontId="15" fillId="0" borderId="0" applyAlignment="1" pivotButton="0" quotePrefix="0" xfId="0">
      <alignment horizontal="general" vertical="bottom"/>
    </xf>
    <xf numFmtId="1" fontId="16" fillId="0" borderId="0" applyAlignment="1" pivotButton="0" quotePrefix="0" xfId="0">
      <alignment horizontal="general" vertical="bottom"/>
    </xf>
    <xf numFmtId="1" fontId="14" fillId="0" borderId="0" applyAlignment="1" pivotButton="0" quotePrefix="0" xfId="0">
      <alignment horizontal="general" vertical="bottom"/>
    </xf>
    <xf numFmtId="0" fontId="13" fillId="0" borderId="0" pivotButton="0" quotePrefix="0" xfId="0"/>
    <xf numFmtId="165" fontId="15" fillId="0" borderId="0"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A42"/>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112" customWidth="1" style="86" min="1" max="1"/>
  </cols>
  <sheetData>
    <row r="1" ht="17.35" customHeight="1" s="87">
      <c r="A1" s="88" t="inlineStr">
        <is>
          <t>The Thalia Transaction</t>
        </is>
      </c>
    </row>
    <row r="2" ht="15" customHeight="1" s="87">
      <c r="A2" s="89" t="inlineStr">
        <is>
          <t>Companion workbook 1 — The Continuation Fund Handbook, Julian R. Sterling</t>
        </is>
      </c>
    </row>
    <row r="3"/>
    <row r="4" ht="15" customHeight="1" s="87">
      <c r="A4" s="90" t="inlineStr">
        <is>
          <t>Chapter 18 follows one transaction from first discussion to closing, and every number in it is stated in prose. This workbook takes them out of the prose and puts them where they can be tested, changed and argued with.
Six sheets, in the order the chapter runs.
The situation — Thalia Systems at entry and today, the value bridge between the two, and the four options the investment committee weighed at month minus five.
The process — the sale process the sponsor ran and declined, then the continuation funnel: ten approached down to three final bids, with the spread narrowing from sixteen per cent to four. The chapter calls that the signature of genuine independent work, and the sheet computes it rather than asserting it.
Price and structure — enterprise value, equity, the independent valuation range and where the agreed price sits inside it, the leverage change, and the terms of the new vehicle.
The election — roll, sell and default, and the sources and uses that follow. This is the sheet where the chapter's separate figures turn out to tie to each other: the syndicate's EUR 209.2 million, the sellers' EUR 190.7 million and the crystallised carry of EUR 31.2 million are three statements of the same arithmetic, and the carry itself is derived from the fund's cost and holdback.
What deserved scrutiny — the chapter names three things a good advisory committee would have pressed on. The sheet quantifies each, including the one the chapter leaves qualitative.
Checks — every figure the chapter prints that this workbook recomputes, with the printed value beside the computed one and a tolerance set line by line.
Blue is an input, black and green are formulas, yellow marks the assumptions that move the outcome. Nothing is locked and nothing is hidden.</t>
        </is>
      </c>
    </row>
    <row r="5" ht="15" customHeight="1" s="87"/>
    <row r="6" ht="15" customHeight="1" s="87"/>
    <row r="7" ht="15" customHeight="1" s="87"/>
    <row r="8" ht="15" customHeight="1" s="87"/>
    <row r="9" ht="15" customHeight="1" s="87"/>
    <row r="10" ht="15" customHeight="1" s="87"/>
    <row r="11" ht="15" customHeight="1" s="87"/>
    <row r="12" ht="15" customHeight="1" s="87"/>
    <row r="13" ht="15" customHeight="1" s="87"/>
    <row r="14" ht="15" customHeight="1" s="87"/>
    <row r="15" ht="15" customHeight="1" s="87"/>
    <row r="16" ht="15" customHeight="1" s="87"/>
    <row r="17" ht="15" customHeight="1" s="87"/>
    <row r="18" ht="15" customHeight="1" s="87"/>
    <row r="19" ht="15" customHeight="1" s="87"/>
    <row r="20" ht="15" customHeight="1" s="87"/>
    <row r="21" ht="15" customHeight="1" s="87"/>
    <row r="22" ht="15" customHeight="1" s="87"/>
    <row r="23" ht="15" customHeight="1" s="87"/>
    <row r="24" ht="15" customHeight="1" s="87"/>
    <row r="25" ht="15" customHeight="1" s="87"/>
    <row r="26" ht="15" customHeight="1" s="87"/>
    <row r="27" ht="15" customHeight="1" s="87"/>
    <row r="28" ht="15" customHeight="1" s="87"/>
    <row r="29" ht="15" customHeight="1" s="87"/>
    <row r="30" ht="15" customHeight="1" s="87"/>
    <row r="31" ht="15" customHeight="1" s="87"/>
    <row r="32" ht="15" customHeight="1" s="87"/>
    <row r="33" ht="15" customHeight="1" s="87"/>
    <row r="34" ht="15" customHeight="1" s="87"/>
    <row r="35" ht="15" customHeight="1" s="87"/>
    <row r="36" ht="15" customHeight="1" s="87"/>
    <row r="37" ht="15" customHeight="1" s="87"/>
    <row r="38" ht="15" customHeight="1" s="87"/>
    <row r="39" ht="15" customHeight="1" s="87"/>
    <row r="40" ht="15" customHeight="1" s="87"/>
    <row r="41"/>
    <row r="42" ht="150" customHeight="1" s="87">
      <c r="A42" s="90" t="inlineStr">
        <is>
          <t>Revised 26 September 2026 to match the corrected manuscript: the carry is now derived from the printed cost (EUR 136 million) and holdback (EUR 62.5 million), the carry split and the sellers' EUR 190.7 million are checked, and the third-party bid is six months before the agreed price. Earlier, 23 September 2026, four corrections. The funnel counted five independent bidders; two of the five had co-invested with Meridian before, so three are independent, which still meets Chapter 16's marker (The process, rows 25 to 28). The final-round conversion divided the three final bids by the one withdrawal (3.0); it is three of four shortlisted, 75 per cent. The EUR 10 million investor realises EUR 4.2 million before the carry and EUR 3.8 million after it, the basis of the sellers' EUR 190.7 million (The election, rows 59 to 61). And the month-thirty deployment clock needs eighteen months nobody states, while Chapter 17's clock makes the asset exit-ready at month twenty-four (What deserved scrutiny, rows 55 to 58). Forty-eight checks.</t>
        </is>
      </c>
    </row>
  </sheetData>
  <mergeCells count="1">
    <mergeCell ref="A4:A4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J5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6" customWidth="1" style="86" min="1" max="1"/>
    <col width="6" customWidth="1" style="86" min="2" max="2"/>
    <col width="15" customWidth="1" style="86" min="3" max="8"/>
    <col width="3" customWidth="1" style="86" min="9" max="9"/>
    <col width="60" customWidth="1" style="86" min="10" max="10"/>
  </cols>
  <sheetData>
    <row r="1" ht="17.35" customHeight="1" s="87">
      <c r="A1" s="88" t="inlineStr">
        <is>
          <t>The situation</t>
        </is>
      </c>
    </row>
    <row r="2" ht="15" customHeight="1" s="87">
      <c r="A2" s="89" t="inlineStr">
        <is>
          <t>Meridian III, ninth year, two assets left. The larger is Thalia Systems.</t>
        </is>
      </c>
    </row>
    <row r="3"/>
    <row r="4" ht="15" customHeight="1" s="87">
      <c r="A4" s="91" t="inlineStr">
        <is>
          <t>The fund</t>
        </is>
      </c>
      <c r="J4" s="91" t="inlineStr">
        <is>
          <t>What the situation sheet is for</t>
        </is>
      </c>
    </row>
    <row r="5" ht="15" customHeight="1" s="87">
      <c r="A5" s="92" t="inlineStr">
        <is>
          <t>Meridian III fund size (EUR m)</t>
        </is>
      </c>
      <c r="C5" s="93" t="n">
        <v>850</v>
      </c>
      <c r="J5" s="90" t="inlineStr">
        <is>
          <t>Chapter 18 opens with a company that has done well and a fund that has run out of time. Both halves matter, and the sheet separates them.
The entry check is the first thing worth doing on any transaction described this way. Eleven times EBITDA of EUR 12.7 million is EUR 139.7 million, which is the EUR 140 million the chapter prints. Two numbers stated separately, consistent with each other. When they are not, one of them is a rounding and the other is a mistake, and it is worth knowing which.
The value bridge at the bottom is not in the chapter and is the single most useful thing to compute about a continuation candidate. Enterprise value went from EUR 140 million to EUR 449.5 million — a little over three times. Earnings did nearly two and a half times of that; the multiple did about a third. Most of the value came from the business rather than from the market, which is the profile that makes a sponsor want to keep an asset and makes a buyer willing to pay for a pipeline.
The growth test beneath the earnings line is the one that decides whether the pipeline thesis is ambitious. Thalia compounded earnings at roughly fourteen per cent a year for seven years, through organic growth and four small acquisitions. The three-year case asks for about thirteen per cent a year. The sponsor is not asking rolling investors to believe in an acceleration — it is asking them to believe the same rate continues, with two more acquisitions and a second country. That is a materially easier thing to underwrite than a hockey stick, and it is worth establishing before reading anything else.
The four options are laid out because the chapter's most important sentence is about the first one: the committee decides to test the market first, and that is the decision that will define the transaction's credibility eleven months later. A sale now at thirteen to fourteen times is already a strong outcome against a EUR 140 million entry — the sheet computes it at more than twice the entry enterprise value. Declining a good outcome and saying so in writing is what makes the later price defensible.</t>
        </is>
      </c>
    </row>
    <row r="6" ht="15" customHeight="1" s="87">
      <c r="A6" s="92" t="inlineStr">
        <is>
          <t>Vintage</t>
        </is>
      </c>
      <c r="C6" s="94" t="n">
        <v>2016</v>
      </c>
    </row>
    <row r="7" ht="15" customHeight="1" s="87">
      <c r="A7" s="92" t="inlineStr">
        <is>
          <t>Year of life at the decision</t>
        </is>
      </c>
      <c r="C7" s="94" t="n">
        <v>9</v>
      </c>
    </row>
    <row r="8" ht="15" customHeight="1" s="87">
      <c r="A8" s="92" t="inlineStr">
        <is>
          <t>Months of life remaining</t>
        </is>
      </c>
      <c r="C8" s="94" t="n">
        <v>14</v>
      </c>
    </row>
    <row r="9" ht="15" customHeight="1" s="87">
      <c r="A9" s="92" t="inlineStr">
        <is>
          <t>Extensions available</t>
        </is>
      </c>
      <c r="C9" s="94" t="n">
        <v>1</v>
      </c>
    </row>
    <row r="10" ht="15" customHeight="1" s="87">
      <c r="A10" s="92" t="inlineStr">
        <is>
          <t>Assets remaining</t>
        </is>
      </c>
      <c r="C10" s="94" t="n">
        <v>2</v>
      </c>
    </row>
    <row r="11" ht="15" customHeight="1" s="87"/>
    <row r="12" ht="15" customHeight="1" s="87">
      <c r="A12" s="91" t="inlineStr">
        <is>
          <t>Thalia Systems — at entry and today</t>
        </is>
      </c>
    </row>
    <row r="13" ht="27.75" customHeight="1" s="87">
      <c r="A13" s="95" t="n"/>
      <c r="B13" s="96" t="n"/>
      <c r="C13" s="96" t="inlineStr">
        <is>
          <t>At entry (2018)</t>
        </is>
      </c>
      <c r="D13" s="96" t="inlineStr">
        <is>
          <t>Today</t>
        </is>
      </c>
      <c r="E13" s="96" t="inlineStr">
        <is>
          <t>Sponsor's three-year case</t>
        </is>
      </c>
    </row>
    <row r="14" ht="15" customHeight="1" s="87">
      <c r="A14" s="92" t="inlineStr">
        <is>
          <t>EBITDA (EUR m)</t>
        </is>
      </c>
      <c r="C14" s="97" t="n">
        <v>12.7</v>
      </c>
      <c r="D14" s="98" t="n">
        <v>31</v>
      </c>
      <c r="E14" s="97" t="n">
        <v>45</v>
      </c>
    </row>
    <row r="15" ht="15" customHeight="1" s="87">
      <c r="A15" s="92" t="inlineStr">
        <is>
          <t>Entry multiple</t>
        </is>
      </c>
      <c r="C15" s="99" t="n">
        <v>11</v>
      </c>
    </row>
    <row r="16" ht="15" customHeight="1" s="87">
      <c r="A16" s="92" t="inlineStr">
        <is>
          <t>Enterprise value (EUR m)</t>
        </is>
      </c>
      <c r="C16" s="100">
        <f>C14*C15</f>
        <v/>
      </c>
    </row>
    <row r="17" ht="15" customHeight="1" s="87">
      <c r="A17" s="92" t="inlineStr">
        <is>
          <t>Enterprise value as the chapter prints it</t>
        </is>
      </c>
      <c r="C17" s="93" t="n">
        <v>140</v>
      </c>
    </row>
    <row r="18" ht="15" customHeight="1" s="87">
      <c r="A18" s="92" t="inlineStr">
        <is>
          <t>Net debt (EUR m)</t>
        </is>
      </c>
      <c r="D18" s="101" t="n">
        <v>95</v>
      </c>
    </row>
    <row r="19" ht="15" customHeight="1" s="87">
      <c r="A19" s="92" t="inlineStr">
        <is>
          <t>Small acquisitions since entry</t>
        </is>
      </c>
      <c r="D19" s="94" t="n">
        <v>4</v>
      </c>
    </row>
    <row r="20" ht="15" customHeight="1" s="87">
      <c r="A20" s="92" t="inlineStr">
        <is>
          <t>Years held — not stated in the chapter</t>
        </is>
      </c>
      <c r="C20" s="102">
        <f>D20</f>
        <v/>
      </c>
      <c r="D20" s="103" t="n">
        <v>7</v>
      </c>
    </row>
    <row r="21" ht="15" customHeight="1" s="87"/>
    <row r="22" ht="15" customHeight="1" s="87">
      <c r="A22" s="91" t="inlineStr">
        <is>
          <t>How the earnings got there, and where they are going</t>
        </is>
      </c>
    </row>
    <row r="23" ht="15" customHeight="1" s="87">
      <c r="A23" s="104" t="inlineStr">
        <is>
          <t>EBITDA growth since entry</t>
        </is>
      </c>
      <c r="C23" s="105">
        <f>D14/C14</f>
        <v/>
      </c>
    </row>
    <row r="24" ht="15" customHeight="1" s="87">
      <c r="A24" s="92" t="inlineStr">
        <is>
          <t>Compound annual growth since entry</t>
        </is>
      </c>
      <c r="C24" s="106">
        <f>(D14/C14)^(1/C20)-1</f>
        <v/>
      </c>
    </row>
    <row r="25" ht="15" customHeight="1" s="87">
      <c r="A25" s="104" t="inlineStr">
        <is>
          <t>Growth required for the three-year case</t>
        </is>
      </c>
      <c r="C25" s="105">
        <f>E14/D14</f>
        <v/>
      </c>
    </row>
    <row r="26" ht="15" customHeight="1" s="87">
      <c r="A26" s="92" t="inlineStr">
        <is>
          <t>Compound annual growth required</t>
        </is>
      </c>
      <c r="C26" s="106">
        <f>(E14/D14)^(1/3)-1</f>
        <v/>
      </c>
    </row>
    <row r="27" ht="15" customHeight="1" s="87">
      <c r="A27" s="104" t="inlineStr">
        <is>
          <t>Is the case slower or faster than what has been delivered?</t>
        </is>
      </c>
      <c r="C27" s="107">
        <f>IF(C26&lt;=C24,"slower than delivered to date","faster than delivered to date")</f>
        <v/>
      </c>
    </row>
    <row r="28" ht="15" customHeight="1" s="87">
      <c r="A28" s="92" t="inlineStr">
        <is>
          <t>Same test if the asset has been held six years instead of seven</t>
        </is>
      </c>
      <c r="C28" s="106">
        <f>(D14/C14)^(1/6)-1</f>
        <v/>
      </c>
    </row>
    <row r="29" ht="15" customHeight="1" s="87">
      <c r="A29" s="91" t="inlineStr">
        <is>
          <t>The four options at month minus five</t>
        </is>
      </c>
    </row>
    <row r="30" ht="27.75" customHeight="1" s="87">
      <c r="A30" s="95" t="inlineStr">
        <is>
          <t>Option</t>
        </is>
      </c>
      <c r="B30" s="96" t="n"/>
      <c r="C30" s="96" t="inlineStr">
        <is>
          <t>Multiple low</t>
        </is>
      </c>
      <c r="D30" s="96" t="inlineStr">
        <is>
          <t>Multiple high</t>
        </is>
      </c>
      <c r="E30" s="96" t="inlineStr">
        <is>
          <t>EV low</t>
        </is>
      </c>
      <c r="F30" s="96" t="inlineStr">
        <is>
          <t>EV high</t>
        </is>
      </c>
      <c r="G30" s="96" t="inlineStr">
        <is>
          <t>Equity low</t>
        </is>
      </c>
      <c r="H30" s="96" t="inlineStr">
        <is>
          <t>Equity high</t>
        </is>
      </c>
    </row>
    <row r="31" ht="15" customHeight="1" s="87">
      <c r="A31" s="92" t="inlineStr">
        <is>
          <t>Sell now</t>
        </is>
      </c>
      <c r="C31" s="108" t="n">
        <v>13</v>
      </c>
      <c r="D31" s="108" t="n">
        <v>14</v>
      </c>
      <c r="E31" s="109">
        <f>C31*$D$14</f>
        <v/>
      </c>
      <c r="F31" s="109">
        <f>D31*$D$14</f>
        <v/>
      </c>
      <c r="G31" s="109">
        <f>E31-$D$18</f>
        <v/>
      </c>
      <c r="H31" s="109">
        <f>F31-$D$18</f>
        <v/>
      </c>
    </row>
    <row r="32" ht="15" customHeight="1" s="87">
      <c r="A32" s="92" t="inlineStr">
        <is>
          <t>Ask for an extension</t>
        </is>
      </c>
      <c r="C32" s="89" t="inlineStr">
        <is>
          <t>no liquidity, no fresh capital, no reset economics</t>
        </is>
      </c>
    </row>
    <row r="33" ht="15" customHeight="1" s="87">
      <c r="A33" s="92" t="inlineStr">
        <is>
          <t>Sell a minority stake</t>
        </is>
      </c>
      <c r="C33" s="89" t="inlineStr">
        <is>
          <t>some liquidity, fund-life problem unsolved</t>
        </is>
      </c>
    </row>
    <row r="34" ht="15" customHeight="1" s="87">
      <c r="A34" s="92" t="inlineStr">
        <is>
          <t>Continuation vehicle</t>
        </is>
      </c>
      <c r="C34" s="89" t="inlineStr">
        <is>
          <t>liquidity, capital for the acquisitions, and time</t>
        </is>
      </c>
    </row>
    <row r="35" ht="15" customHeight="1" s="87"/>
    <row r="36" ht="15" customHeight="1" s="87">
      <c r="A36" s="92" t="inlineStr">
        <is>
          <t>Equity at the low end against the entry enterprise value</t>
        </is>
      </c>
      <c r="C36" s="110">
        <f>G31/C17</f>
        <v/>
      </c>
    </row>
    <row r="37" ht="15" customHeight="1" s="87">
      <c r="A37" s="92" t="inlineStr">
        <is>
          <t>Equity at the high end against the entry enterprise value</t>
        </is>
      </c>
      <c r="C37" s="110">
        <f>H31/C17</f>
        <v/>
      </c>
    </row>
    <row r="38" ht="15" customHeight="1" s="87"/>
    <row r="39" ht="15" customHeight="1" s="87">
      <c r="A39" s="111" t="inlineStr">
        <is>
          <t>The acquisition pipeline is not reflected in that price</t>
        </is>
      </c>
    </row>
    <row r="40" ht="15" customHeight="1" s="87"/>
    <row r="41" ht="15" customHeight="1" s="87">
      <c r="A41" s="91" t="inlineStr">
        <is>
          <t>The value bridge from entry to the continuation price</t>
        </is>
      </c>
    </row>
    <row r="42" ht="15" customHeight="1" s="87">
      <c r="A42" s="92" t="inlineStr">
        <is>
          <t>Enterprise value at entry (EUR m)</t>
        </is>
      </c>
      <c r="C42" s="109">
        <f>C16</f>
        <v/>
      </c>
    </row>
    <row r="43" ht="15" customHeight="1" s="87">
      <c r="A43" s="92" t="inlineStr">
        <is>
          <t>Enterprise value at the continuation price (EUR m)</t>
        </is>
      </c>
      <c r="C43" s="112">
        <f>'Price and structure'!C12</f>
        <v/>
      </c>
    </row>
    <row r="44" ht="15" customHeight="1" s="87">
      <c r="A44" s="104" t="inlineStr">
        <is>
          <t>Total enterprise value multiple</t>
        </is>
      </c>
      <c r="C44" s="105">
        <f>C43/C42</f>
        <v/>
      </c>
    </row>
    <row r="45" ht="15" customHeight="1" s="87">
      <c r="A45" s="92" t="inlineStr">
        <is>
          <t>of which, earnings growth</t>
        </is>
      </c>
      <c r="C45" s="110">
        <f>D14/C14</f>
        <v/>
      </c>
    </row>
    <row r="46" ht="15" customHeight="1" s="87">
      <c r="A46" s="92" t="inlineStr">
        <is>
          <t>of which, multiple expansion</t>
        </is>
      </c>
      <c r="C46" s="110">
        <f>'Price and structure'!C11/C15</f>
        <v/>
      </c>
    </row>
    <row r="47" ht="15" customHeight="1" s="87">
      <c r="A47" s="104" t="inlineStr">
        <is>
          <t>Cross-check: the two multiplied</t>
        </is>
      </c>
      <c r="C47" s="105">
        <f>C45*C46</f>
        <v/>
      </c>
    </row>
    <row r="48" ht="15" customHeight="1" s="87">
      <c r="A48" s="92" t="inlineStr">
        <is>
          <t>Earnings growth as a share of the total</t>
        </is>
      </c>
      <c r="C48" s="113">
        <f>LN(C45)/LN(C44)</f>
        <v/>
      </c>
    </row>
    <row r="49" ht="15" customHeight="1" s="87">
      <c r="A49" s="92" t="inlineStr">
        <is>
          <t>Multiple expansion as a share of the total</t>
        </is>
      </c>
      <c r="C49" s="113">
        <f>LN(C46)/LN(C44)</f>
        <v/>
      </c>
    </row>
    <row r="50" ht="15" customHeight="1" s="87"/>
    <row r="51" ht="15" customHeight="1" s="87"/>
    <row r="52" ht="15" customHeight="1" s="87"/>
  </sheetData>
  <mergeCells count="1">
    <mergeCell ref="J5:J5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H5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0" customWidth="1" style="86" min="1" max="1"/>
    <col width="6" customWidth="1" style="86" min="2" max="2"/>
    <col width="15" customWidth="1" style="86" min="3" max="6"/>
    <col width="3" customWidth="1" style="86" min="7" max="7"/>
    <col width="60" customWidth="1" style="86" min="8" max="8"/>
  </cols>
  <sheetData>
    <row r="1" ht="17.35" customHeight="1" s="87">
      <c r="A1" s="88" t="inlineStr">
        <is>
          <t>The process</t>
        </is>
      </c>
    </row>
    <row r="2" ht="15" customHeight="1" s="87">
      <c r="A2" s="89" t="inlineStr">
        <is>
          <t>A sale process run and declined, then the continuation funnel.</t>
        </is>
      </c>
    </row>
    <row r="3"/>
    <row r="4" ht="15" customHeight="1" s="87">
      <c r="A4" s="91" t="inlineStr">
        <is>
          <t>Month minus 4 to minus 2 — the sale process</t>
        </is>
      </c>
      <c r="H4" s="91" t="inlineStr">
        <is>
          <t>Reading a funnel</t>
        </is>
      </c>
    </row>
    <row r="5" ht="15" customHeight="1" s="87">
      <c r="A5" s="92" t="inlineStr">
        <is>
          <t>Parties approached</t>
        </is>
      </c>
      <c r="C5" s="94" t="n">
        <v>9</v>
      </c>
      <c r="H5" s="90" t="inlineStr">
        <is>
          <t>Appendix B asks for the funnel in one long question: how many parties were approached, signed confidentiality agreements, accessed diligence, bid in round one, were shortlisted, and bid in round two. This sheet is that question with the arithmetic attached.
The single most important number on it is the count of independent parties that put a price on the asset. Five bid, but two of them had co-invested with Meridian before, and Chapter 16 counts bidders like that as not independent: three. That still meets the chapter's own marker, at least three independent capable bidders, and the buyer list of ten, eight of them independent, meets Appendix C's four. (Revised 23 September 2026: the first version counted five.) That is the difference between a price and a negotiation.
The spread is the second. A first round from 13.0 to 15.1 times is a sixteen per cent range: five parties, working independently, disagreeing by a sixth about what the asset is worth. A final round from 14.1 to 14.6 is four per cent. Chapter 7 puts the test plainly — a first-round range of 12.9 to 15.4 narrowing to 13.8 to 14.4 indicates genuine discovery; a first round already clustered at 14.2 to 14.5 indicates that a number was signalled. Change the first-round inputs to a tight range and watch the verdict line turn.
The sale process at the top of the sheet is the part most transactions do not have, and it is worth its own note. Nine parties approached, four bid, best offer 13.2 times with a substantial earn-out and a twelve-month exclusivity request from a bidder who could not fund quickly. The sponsor declined — and recorded it.
Appendix H, mistake seven: failing to disclose a prior sale process, with the remedy that buyers assume the worst about what is missing. Here the sponsor did the opposite. It ran a real sale, turned down a real bid, and put both in the information memorandum. The exercise at the end of Chapter 18 asks what changes if that process had never happened, and the honest answer is that nothing else on this sheet would carry the same weight.
One withdrawal is on the funnel deliberately. A bidder left in the second round saying the second-country expansion was harder than presented, and the sponsor disclosed the withdrawal and the reason. The chapter's phrasing is worth keeping: a decision that costs nothing and is worth a great deal.</t>
        </is>
      </c>
    </row>
    <row r="6" ht="15" customHeight="1" s="87">
      <c r="A6" s="92" t="inlineStr">
        <is>
          <t>Parties that bid</t>
        </is>
      </c>
      <c r="C6" s="94" t="n">
        <v>4</v>
      </c>
    </row>
    <row r="7" ht="15" customHeight="1" s="87">
      <c r="A7" s="92" t="inlineStr">
        <is>
          <t>Best offer, multiple of earnings</t>
        </is>
      </c>
      <c r="C7" s="108" t="n">
        <v>13.2</v>
      </c>
    </row>
    <row r="8" ht="15" customHeight="1" s="87">
      <c r="A8" s="92" t="inlineStr">
        <is>
          <t>Bid conversion</t>
        </is>
      </c>
      <c r="C8" s="113">
        <f>C6/C5</f>
        <v/>
      </c>
    </row>
    <row r="9" ht="15" customHeight="1" s="87">
      <c r="A9" s="104" t="inlineStr">
        <is>
          <t>Enterprise value implied (EUR m)</t>
        </is>
      </c>
      <c r="C9" s="100">
        <f>C7*'The situation'!D14</f>
        <v/>
      </c>
    </row>
    <row r="10" ht="15" customHeight="1" s="87">
      <c r="A10" s="104" t="inlineStr">
        <is>
          <t>Equity implied (EUR m)</t>
        </is>
      </c>
      <c r="C10" s="100">
        <f>C9-'The situation'!D18</f>
        <v/>
      </c>
    </row>
    <row r="11" ht="15" customHeight="1" s="87">
      <c r="A11" s="92" t="inlineStr">
        <is>
          <t>Structure attached</t>
        </is>
      </c>
      <c r="C11" s="89" t="inlineStr">
        <is>
          <t>substantial earn-out, twelve-month exclusivity</t>
        </is>
      </c>
    </row>
    <row r="12" ht="15" customHeight="1" s="87">
      <c r="A12" s="92" t="inlineStr">
        <is>
          <t>Sponsor's decision</t>
        </is>
      </c>
      <c r="C12" s="89" t="inlineStr">
        <is>
          <t>declined, and recorded the process for disclosure</t>
        </is>
      </c>
    </row>
    <row r="13" ht="15" customHeight="1" s="87"/>
    <row r="14" ht="15" customHeight="1" s="87">
      <c r="A14" s="91" t="inlineStr">
        <is>
          <t>The continuation funnel</t>
        </is>
      </c>
    </row>
    <row r="15" ht="27.75" customHeight="1" s="87">
      <c r="A15" s="95" t="inlineStr">
        <is>
          <t>Stage</t>
        </is>
      </c>
      <c r="B15" s="96" t="n"/>
      <c r="C15" s="96" t="inlineStr">
        <is>
          <t>Parties</t>
        </is>
      </c>
      <c r="D15" s="96" t="inlineStr">
        <is>
          <t>Conversion from the stage above</t>
        </is>
      </c>
      <c r="E15" s="96" t="inlineStr">
        <is>
          <t>Conversion from the top</t>
        </is>
      </c>
    </row>
    <row r="16" ht="15" customHeight="1" s="87">
      <c r="A16" s="114" t="inlineStr">
        <is>
          <t>Approached</t>
        </is>
      </c>
      <c r="B16" s="115" t="n"/>
      <c r="C16" s="116" t="n">
        <v>10</v>
      </c>
      <c r="D16" s="115" t="n"/>
      <c r="E16" s="117">
        <f>C16/$C$16</f>
        <v/>
      </c>
    </row>
    <row r="17" ht="15" customHeight="1" s="87">
      <c r="A17" s="92" t="inlineStr">
        <is>
          <t>Signed confidentiality agreements</t>
        </is>
      </c>
      <c r="C17" s="94" t="n">
        <v>8</v>
      </c>
      <c r="D17" s="113">
        <f>C17/C16</f>
        <v/>
      </c>
      <c r="E17" s="113">
        <f>C17/$C$16</f>
        <v/>
      </c>
    </row>
    <row r="18" ht="15" customHeight="1" s="87">
      <c r="A18" s="114" t="inlineStr">
        <is>
          <t>Accessed the data room</t>
        </is>
      </c>
      <c r="B18" s="115" t="n"/>
      <c r="C18" s="116" t="n">
        <v>7</v>
      </c>
      <c r="D18" s="117">
        <f>C18/C17</f>
        <v/>
      </c>
      <c r="E18" s="117">
        <f>C18/$C$16</f>
        <v/>
      </c>
    </row>
    <row r="19" ht="15" customHeight="1" s="87">
      <c r="A19" s="92" t="inlineStr">
        <is>
          <t>Submitted indications</t>
        </is>
      </c>
      <c r="C19" s="94" t="n">
        <v>5</v>
      </c>
      <c r="D19" s="113">
        <f>C19/C18</f>
        <v/>
      </c>
      <c r="E19" s="113">
        <f>C19/$C$16</f>
        <v/>
      </c>
    </row>
    <row r="20" ht="15" customHeight="1" s="87">
      <c r="A20" s="114" t="inlineStr">
        <is>
          <t>Shortlisted</t>
        </is>
      </c>
      <c r="B20" s="115" t="n"/>
      <c r="C20" s="116" t="n">
        <v>4</v>
      </c>
      <c r="D20" s="117">
        <f>C20/C19</f>
        <v/>
      </c>
      <c r="E20" s="117">
        <f>C20/$C$16</f>
        <v/>
      </c>
    </row>
    <row r="21" ht="15" customHeight="1" s="87">
      <c r="A21" s="92" t="inlineStr">
        <is>
          <t>Withdrew during the second round</t>
        </is>
      </c>
      <c r="C21" s="94" t="n">
        <v>1</v>
      </c>
      <c r="E21" s="113">
        <f>C21/$C$16</f>
        <v/>
      </c>
    </row>
    <row r="22" ht="15" customHeight="1" s="87">
      <c r="A22" s="114" t="inlineStr">
        <is>
          <t>Submitted final bids</t>
        </is>
      </c>
      <c r="B22" s="115" t="n"/>
      <c r="C22" s="116" t="n">
        <v>3</v>
      </c>
      <c r="D22" s="117">
        <f>C22/C20</f>
        <v/>
      </c>
      <c r="E22" s="117">
        <f>C22/$C$16</f>
        <v/>
      </c>
    </row>
    <row r="23" ht="15" customHeight="1" s="87">
      <c r="A23" s="92" t="inlineStr">
        <is>
          <t>Prior co-investors on the shortlist</t>
        </is>
      </c>
      <c r="C23" s="94" t="n">
        <v>2</v>
      </c>
    </row>
    <row r="24" ht="15" customHeight="1" s="87">
      <c r="A24" s="92" t="inlineStr">
        <is>
          <t>Given exclusivity ahead of the others?</t>
        </is>
      </c>
      <c r="C24" s="118" t="inlineStr">
        <is>
          <t>no</t>
        </is>
      </c>
    </row>
    <row r="25" ht="15" customHeight="1" s="87">
      <c r="A25" s="104" t="inlineStr">
        <is>
          <t>Parties that priced the asset (first-round indications)</t>
        </is>
      </c>
      <c r="C25" s="119">
        <f>C19</f>
        <v/>
      </c>
    </row>
    <row r="26" ht="15" customHeight="1" s="87">
      <c r="A26" s="104" t="inlineStr">
        <is>
          <t>of which with no prior co-investment with the sponsor</t>
        </is>
      </c>
      <c r="C26" s="119">
        <f>C19-C23</f>
        <v/>
      </c>
    </row>
    <row r="27" ht="15" customHeight="1" s="87">
      <c r="A27" s="104" t="inlineStr">
        <is>
          <t>Chapter 16 asks for at least three independent capable bidders: met?</t>
        </is>
      </c>
      <c r="C27" s="107">
        <f>IF(C26&gt;=3,"yes","no")</f>
        <v/>
      </c>
    </row>
    <row r="28" ht="15" customHeight="1" s="87">
      <c r="A28" s="104" t="inlineStr">
        <is>
          <t>Independent parties on the buyer list (Appendix C asks for at least four)</t>
        </is>
      </c>
      <c r="C28" s="119">
        <f>C16-C23</f>
        <v/>
      </c>
    </row>
    <row r="29" ht="15" customHeight="1" s="87">
      <c r="A29" s="91" t="inlineStr">
        <is>
          <t>Price discovery — the spread, round by round</t>
        </is>
      </c>
    </row>
    <row r="30" ht="27.75" customHeight="1" s="87">
      <c r="A30" s="95" t="inlineStr">
        <is>
          <t>Round</t>
        </is>
      </c>
      <c r="B30" s="96" t="n"/>
      <c r="C30" s="96" t="inlineStr">
        <is>
          <t>Low multiple</t>
        </is>
      </c>
      <c r="D30" s="96" t="inlineStr">
        <is>
          <t>High multiple</t>
        </is>
      </c>
      <c r="E30" s="96" t="inlineStr">
        <is>
          <t>Spread</t>
        </is>
      </c>
      <c r="F30" s="96" t="inlineStr">
        <is>
          <t>EV low (EUR m)</t>
        </is>
      </c>
      <c r="G30" s="96" t="inlineStr">
        <is>
          <t>EV high (EUR m)</t>
        </is>
      </c>
    </row>
    <row r="31" ht="15" customHeight="1" s="87">
      <c r="A31" s="92" t="inlineStr">
        <is>
          <t>First round indications</t>
        </is>
      </c>
      <c r="C31" s="108" t="n">
        <v>13</v>
      </c>
      <c r="D31" s="108" t="n">
        <v>15.1</v>
      </c>
      <c r="E31" s="113">
        <f>D31/C31-1</f>
        <v/>
      </c>
      <c r="F31" s="109">
        <f>C31*'The situation'!$D$14</f>
        <v/>
      </c>
      <c r="G31" s="109">
        <f>D31*'The situation'!$D$14</f>
        <v/>
      </c>
    </row>
    <row r="32" ht="15" customHeight="1" s="87">
      <c r="A32" s="92" t="inlineStr">
        <is>
          <t>Final bids</t>
        </is>
      </c>
      <c r="C32" s="108" t="n">
        <v>14.1</v>
      </c>
      <c r="D32" s="108" t="n">
        <v>14.6</v>
      </c>
      <c r="E32" s="113">
        <f>D32/C32-1</f>
        <v/>
      </c>
      <c r="F32" s="109">
        <f>C32*'The situation'!$D$14</f>
        <v/>
      </c>
      <c r="G32" s="109">
        <f>D32*'The situation'!$D$14</f>
        <v/>
      </c>
    </row>
    <row r="33" ht="15" customHeight="1" s="87">
      <c r="A33" s="92" t="inlineStr">
        <is>
          <t>Middle final bid</t>
        </is>
      </c>
      <c r="C33" s="99" t="n">
        <v>14.4</v>
      </c>
    </row>
    <row r="34" ht="15" customHeight="1" s="87"/>
    <row r="35" ht="15" customHeight="1" s="87">
      <c r="A35" s="104" t="inlineStr">
        <is>
          <t>Spread in the first round</t>
        </is>
      </c>
      <c r="C35" s="120">
        <f>E31</f>
        <v/>
      </c>
    </row>
    <row r="36" ht="15" customHeight="1" s="87">
      <c r="A36" s="104" t="inlineStr">
        <is>
          <t>Spread in the final round</t>
        </is>
      </c>
      <c r="C36" s="120">
        <f>E32</f>
        <v/>
      </c>
    </row>
    <row r="37" ht="15" customHeight="1" s="87">
      <c r="A37" s="104" t="inlineStr">
        <is>
          <t>Narrowing</t>
        </is>
      </c>
      <c r="C37" s="120">
        <f>C35-C36</f>
        <v/>
      </c>
    </row>
    <row r="38" ht="15" customHeight="1" s="87">
      <c r="A38" s="104" t="inlineStr">
        <is>
          <t>Verdict on the funnel</t>
        </is>
      </c>
      <c r="C38" s="107">
        <f>IF(AND(C26&gt;=3,C35&gt;=0.1,C36&lt;=0.06),"discovery — a wide first round narrowing to a tight one","not the signature of independent work")</f>
        <v/>
      </c>
    </row>
    <row r="39" ht="15" customHeight="1" s="87"/>
    <row r="40" ht="15" customHeight="1" s="87">
      <c r="A40" s="92" t="inlineStr">
        <is>
          <t>Second-round period given (weeks)</t>
        </is>
      </c>
      <c r="C40" s="103" t="n">
        <v>7</v>
      </c>
    </row>
    <row r="41" ht="15" customHeight="1" s="87">
      <c r="A41" s="92" t="inlineStr">
        <is>
          <t>Appendix C minimum (weeks)</t>
        </is>
      </c>
      <c r="C41" s="94" t="n">
        <v>6</v>
      </c>
    </row>
    <row r="42" ht="15" customHeight="1" s="87">
      <c r="A42" s="92" t="inlineStr">
        <is>
          <t>Below which the book says time converts into discount (weeks)</t>
        </is>
      </c>
      <c r="C42" s="94" t="n">
        <v>5</v>
      </c>
    </row>
    <row r="43" ht="15" customHeight="1" s="87">
      <c r="A43" s="104" t="inlineStr">
        <is>
          <t>Verdict on the time given</t>
        </is>
      </c>
      <c r="C43" s="107">
        <f>IF(C40&gt;=C41,"adequate",IF(C40&gt;=C42,"short","compressed — expect a discount"))</f>
        <v/>
      </c>
    </row>
    <row r="44" ht="15" customHeight="1" s="87">
      <c r="A44" s="92" t="inlineStr">
        <is>
          <t>Preparation before launch (weeks)</t>
        </is>
      </c>
      <c r="C44" s="94" t="n">
        <v>7</v>
      </c>
    </row>
    <row r="45" ht="15" customHeight="1" s="87">
      <c r="A45" s="92" t="inlineStr">
        <is>
          <t>Election window given (days)</t>
        </is>
      </c>
      <c r="C45" s="103" t="n">
        <v>35</v>
      </c>
    </row>
    <row r="46" ht="15" customHeight="1" s="87">
      <c r="A46" s="92" t="inlineStr">
        <is>
          <t>Advisory committee asked for at least (days)</t>
        </is>
      </c>
      <c r="C46" s="94" t="n">
        <v>30</v>
      </c>
    </row>
    <row r="47" ht="15" customHeight="1" s="87">
      <c r="A47" s="104" t="inlineStr">
        <is>
          <t>Window meets the request?</t>
        </is>
      </c>
      <c r="C47" s="107">
        <f>IF(C45&gt;=C46,"yes, with "&amp;TEXT(C45-C46,"0")&amp;" days to spare","no")</f>
        <v/>
      </c>
    </row>
    <row r="48" ht="15" customHeight="1" s="87"/>
    <row r="49">
      <c r="A49" s="121" t="inlineStr">
        <is>
          <t>Sale process ends, best third-party bid on the table (month)</t>
        </is>
      </c>
      <c r="C49" s="122" t="n">
        <v>-2</v>
      </c>
    </row>
    <row r="50">
      <c r="A50" s="121" t="inlineStr">
        <is>
          <t>Price agreed after the final negotiation (month)</t>
        </is>
      </c>
      <c r="C50" s="122" t="n">
        <v>4</v>
      </c>
    </row>
    <row r="51">
      <c r="A51" s="123" t="inlineStr">
        <is>
          <t>Months between the third-party bid and the agreed price (Chapter 18: six)</t>
        </is>
      </c>
      <c r="C51" s="124">
        <f>C50-C49</f>
        <v/>
      </c>
    </row>
  </sheetData>
  <mergeCells count="1">
    <mergeCell ref="H5:H48"/>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G5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6" customWidth="1" style="86" min="1" max="1"/>
    <col width="6" customWidth="1" style="86" min="2" max="2"/>
    <col width="15" customWidth="1" style="86" min="3" max="5"/>
    <col width="3" customWidth="1" style="86" min="6" max="6"/>
    <col width="60" customWidth="1" style="86" min="7" max="7"/>
  </cols>
  <sheetData>
    <row r="1" ht="17.35" customHeight="1" s="87">
      <c r="A1" s="88" t="inlineStr">
        <is>
          <t>Price and structure</t>
        </is>
      </c>
    </row>
    <row r="2" ht="15" customHeight="1" s="87">
      <c r="A2" s="89" t="inlineStr">
        <is>
          <t>The lead selected at 14.5 times after a final negotiation.</t>
        </is>
      </c>
    </row>
    <row r="3"/>
    <row r="4" ht="15" customHeight="1" s="87">
      <c r="A4" s="91" t="inlineStr">
        <is>
          <t>The bids</t>
        </is>
      </c>
      <c r="G4" s="91" t="inlineStr">
        <is>
          <t>Where the price came from, and what it is attached to</t>
        </is>
      </c>
    </row>
    <row r="5" ht="27.75" customHeight="1" s="87">
      <c r="A5" s="95" t="n"/>
      <c r="B5" s="96" t="n"/>
      <c r="C5" s="96" t="inlineStr">
        <is>
          <t>Multiple</t>
        </is>
      </c>
      <c r="D5" s="96" t="inlineStr">
        <is>
          <t>EV (EUR m)</t>
        </is>
      </c>
      <c r="E5" s="96" t="inlineStr">
        <is>
          <t>Equity (EUR m)</t>
        </is>
      </c>
      <c r="G5" s="90" t="inlineStr">
        <is>
          <t>Three final bids at 14.1, 14.4 and 14.6 times, and the lead selected at 14.5 after a final negotiation. The sheet computes the average of the three bids so you can see what the negotiation moved: the agreed price is a tenth of a turn below the best bid and above the average of all three. That is what a final negotiation with a shortlist looks like when the bidders are real.
The independent valuation is the term worth dwelling on, and not because of its conclusion. Appendix H, mistake twelve: commissioning the valuation opinion after agreeing price, with the remedy that it should inform, not document. Here it was commissioned before, and produced 13.6 to 15.0 times. The agreed 14.5 sits about two thirds of the way up that range — comfortably inside, and not at the top. A price at the ninetieth percentile of a range produced by a provider the sponsor engaged and paid would be a different conversation.
The leverage line is the transaction's first genuine question mark. Net debt goes from EUR 95 million to EUR 120 million, from about three times earnings to nearly four, and from twenty-one per cent of enterprise value to twenty-seven. Chapter 7 is explicit: higher leverage in the new vehicle increases risk for rolling investors, who did not necessarily sign up for it. The chapter's own list of what still deserved scrutiny puts it second, with the sentence that matters — rolling investors did not choose that.
What makes it defensible rather than a finding is that it was disclosed prominently in the election materials. Disclosure does not remove a risk; it moves the decision to the person who bears it.
The vehicle terms are the ones the book recommends throughout, and it is worth noticing how many of the Chapter 12 prescriptions they satisfy at once: a management fee well below blind-pool level and charged on invested capital, with a step-down; carried interest tiered to reflect an asset that is already partly de-risked; an explicit consent threshold for a further continuation; named advisory committee representation for rolling investors; and — the term Chapter 12 calls decisive — rolling investors receiving the incoming buyers' economics.
The unfunded EUR 70 million is the term that carries a hidden clock, and it is handled on the last sheet.</t>
        </is>
      </c>
    </row>
    <row r="6" ht="15" customHeight="1" s="87">
      <c r="A6" s="92" t="inlineStr">
        <is>
          <t>Final bid, lowest</t>
        </is>
      </c>
      <c r="C6" s="110">
        <f>'The process'!C32</f>
        <v/>
      </c>
      <c r="D6" s="109">
        <f>C6*'The situation'!$D$14</f>
        <v/>
      </c>
      <c r="E6" s="109">
        <f>D6-'The situation'!$D$18</f>
        <v/>
      </c>
    </row>
    <row r="7" ht="15" customHeight="1" s="87">
      <c r="A7" s="92" t="inlineStr">
        <is>
          <t>Final bid, middle</t>
        </is>
      </c>
      <c r="C7" s="110">
        <f>'The process'!C33</f>
        <v/>
      </c>
      <c r="D7" s="109">
        <f>C7*'The situation'!$D$14</f>
        <v/>
      </c>
      <c r="E7" s="109">
        <f>D7-'The situation'!$D$18</f>
        <v/>
      </c>
    </row>
    <row r="8" ht="15" customHeight="1" s="87">
      <c r="A8" s="92" t="inlineStr">
        <is>
          <t>Final bid, highest</t>
        </is>
      </c>
      <c r="C8" s="110">
        <f>'The process'!D32</f>
        <v/>
      </c>
      <c r="D8" s="109">
        <f>C8*'The situation'!$D$14</f>
        <v/>
      </c>
      <c r="E8" s="109">
        <f>D8-'The situation'!$D$18</f>
        <v/>
      </c>
    </row>
    <row r="9" ht="15" customHeight="1" s="87">
      <c r="A9" s="92" t="inlineStr">
        <is>
          <t>Average of the three final bids</t>
        </is>
      </c>
      <c r="C9" s="110">
        <f>AVERAGE(C6:C8)</f>
        <v/>
      </c>
    </row>
    <row r="10" ht="15" customHeight="1" s="87"/>
    <row r="11" ht="15" customHeight="1" s="87">
      <c r="A11" s="104" t="inlineStr">
        <is>
          <t>Agreed after a final negotiation</t>
        </is>
      </c>
      <c r="C11" s="108" t="n">
        <v>14.5</v>
      </c>
      <c r="D11" s="100">
        <f>C11*'The situation'!$D$14</f>
        <v/>
      </c>
      <c r="E11" s="100">
        <f>D11-'The situation'!$D$18</f>
        <v/>
      </c>
    </row>
    <row r="12" ht="15" customHeight="1" s="87">
      <c r="A12" s="104" t="inlineStr">
        <is>
          <t>Enterprise value (EUR m)</t>
        </is>
      </c>
      <c r="C12" s="100">
        <f>D11</f>
        <v/>
      </c>
    </row>
    <row r="13" ht="15" customHeight="1" s="87">
      <c r="A13" s="125" t="inlineStr">
        <is>
          <t>Equity value (EUR m)</t>
        </is>
      </c>
      <c r="C13" s="126">
        <f>E11</f>
        <v/>
      </c>
    </row>
    <row r="14" ht="15" customHeight="1" s="87">
      <c r="A14" s="92" t="inlineStr">
        <is>
          <t>Agreed price against the highest final bid</t>
        </is>
      </c>
      <c r="C14" s="110">
        <f>C11-'The process'!D32</f>
        <v/>
      </c>
    </row>
    <row r="15" ht="15" customHeight="1" s="87">
      <c r="A15" s="92" t="inlineStr">
        <is>
          <t>Syndicate members joining the lead</t>
        </is>
      </c>
      <c r="C15" s="94" t="n">
        <v>2</v>
      </c>
    </row>
    <row r="16" ht="15" customHeight="1" s="87"/>
    <row r="17" ht="15" customHeight="1" s="87">
      <c r="A17" s="91" t="inlineStr">
        <is>
          <t>The independent valuation, commissioned before the price was agreed</t>
        </is>
      </c>
    </row>
    <row r="18" ht="15" customHeight="1" s="87">
      <c r="A18" s="92" t="inlineStr">
        <is>
          <t>Range, low</t>
        </is>
      </c>
      <c r="C18" s="108" t="n">
        <v>13.6</v>
      </c>
    </row>
    <row r="19" ht="15" customHeight="1" s="87">
      <c r="A19" s="92" t="inlineStr">
        <is>
          <t>Range, high</t>
        </is>
      </c>
      <c r="C19" s="108" t="n">
        <v>15</v>
      </c>
    </row>
    <row r="20" ht="15" customHeight="1" s="87">
      <c r="A20" s="92" t="inlineStr">
        <is>
          <t>Range in enterprise value (EUR m)</t>
        </is>
      </c>
      <c r="C20" s="109">
        <f>C18*'The situation'!$D$14</f>
        <v/>
      </c>
      <c r="D20" s="109">
        <f>C19*'The situation'!$D$14</f>
        <v/>
      </c>
    </row>
    <row r="21" ht="15" customHeight="1" s="87">
      <c r="A21" s="104" t="inlineStr">
        <is>
          <t>Agreed price inside the range?</t>
        </is>
      </c>
      <c r="C21" s="107">
        <f>IF(AND(C11&gt;=C18,C11&lt;=C19),"yes","NO")</f>
        <v/>
      </c>
    </row>
    <row r="22" ht="15" customHeight="1" s="87">
      <c r="A22" s="104" t="inlineStr">
        <is>
          <t>Where it sits in the range</t>
        </is>
      </c>
      <c r="C22" s="120">
        <f>(C11-C18)/(C19-C18)</f>
        <v/>
      </c>
    </row>
    <row r="23" ht="15" customHeight="1" s="87">
      <c r="A23" s="92" t="inlineStr">
        <is>
          <t>At the top of the range?</t>
        </is>
      </c>
      <c r="C23" s="127">
        <f>IF(C22&gt;=0.9,"at the top","comfortably inside but not at the top")</f>
        <v/>
      </c>
    </row>
    <row r="24" ht="15" customHeight="1" s="87">
      <c r="A24" s="92" t="inlineStr">
        <is>
          <t>Commissioned before or after the price was agreed</t>
        </is>
      </c>
      <c r="C24" s="118" t="inlineStr">
        <is>
          <t>before</t>
        </is>
      </c>
    </row>
    <row r="25" ht="15" customHeight="1" s="87">
      <c r="A25" s="104" t="inlineStr">
        <is>
          <t>Appendix H mistake 12 avoided?</t>
        </is>
      </c>
      <c r="C25" s="107">
        <f>IF(C24="before","yes — it informed rather than documented","NO — it documents a price already agreed")</f>
        <v/>
      </c>
    </row>
    <row r="26" ht="15" customHeight="1" s="87"/>
    <row r="27" ht="15" customHeight="1" s="87">
      <c r="A27" s="91" t="inlineStr">
        <is>
          <t>Leverage</t>
        </is>
      </c>
    </row>
    <row r="28" ht="27.75" customHeight="1" s="87">
      <c r="A28" s="95" t="n"/>
      <c r="B28" s="96" t="n"/>
      <c r="C28" s="96" t="inlineStr">
        <is>
          <t>Before</t>
        </is>
      </c>
      <c r="D28" s="96" t="inlineStr">
        <is>
          <t>At closing</t>
        </is>
      </c>
      <c r="E28" s="96" t="inlineStr">
        <is>
          <t>Change</t>
        </is>
      </c>
    </row>
    <row r="29" ht="15" customHeight="1" s="87">
      <c r="A29" s="92" t="inlineStr">
        <is>
          <t>Net debt (EUR m)</t>
        </is>
      </c>
      <c r="C29" s="109">
        <f>'The situation'!D18</f>
        <v/>
      </c>
      <c r="D29" s="101" t="n">
        <v>120</v>
      </c>
      <c r="E29" s="109">
        <f>D29-C29</f>
        <v/>
      </c>
    </row>
    <row r="30" ht="15" customHeight="1" s="87">
      <c r="A30" s="92" t="inlineStr">
        <is>
          <t>Net debt to EBITDA</t>
        </is>
      </c>
      <c r="C30" s="110">
        <f>C29/'The situation'!D14</f>
        <v/>
      </c>
      <c r="D30" s="110">
        <f>D29/'The situation'!D14</f>
        <v/>
      </c>
      <c r="E30" s="110">
        <f>D30-C30</f>
        <v/>
      </c>
    </row>
    <row r="31" ht="15" customHeight="1" s="87">
      <c r="A31" s="92" t="inlineStr">
        <is>
          <t>Net debt to enterprise value</t>
        </is>
      </c>
      <c r="C31" s="113">
        <f>C29/$C$12</f>
        <v/>
      </c>
      <c r="D31" s="113">
        <f>D29/$C$12</f>
        <v/>
      </c>
      <c r="E31" s="113">
        <f>D31-C31</f>
        <v/>
      </c>
    </row>
    <row r="32" ht="15" customHeight="1" s="87">
      <c r="A32" s="104" t="inlineStr">
        <is>
          <t>Increase in leverage</t>
        </is>
      </c>
      <c r="C32" s="100">
        <f>E29</f>
        <v/>
      </c>
    </row>
    <row r="33" ht="15" customHeight="1" s="87">
      <c r="A33" s="92" t="inlineStr">
        <is>
          <t>Disclosed prominently in the election materials?</t>
        </is>
      </c>
      <c r="C33" s="118" t="inlineStr">
        <is>
          <t>yes</t>
        </is>
      </c>
    </row>
    <row r="34" ht="15" customHeight="1" s="87"/>
    <row r="35" ht="15" customHeight="1" s="87">
      <c r="A35" s="91" t="inlineStr">
        <is>
          <t>The new vehicle — Meridian Thalia Continuation SCSp</t>
        </is>
      </c>
    </row>
    <row r="36" ht="15" customHeight="1" s="87">
      <c r="A36" s="92" t="inlineStr">
        <is>
          <t>Management fee, years one to three</t>
        </is>
      </c>
      <c r="C36" s="128" t="n">
        <v>0.0125</v>
      </c>
    </row>
    <row r="37" ht="15" customHeight="1" s="87">
      <c r="A37" s="92" t="inlineStr">
        <is>
          <t>Management fee from year four</t>
        </is>
      </c>
      <c r="C37" s="129" t="n">
        <v>0.01</v>
      </c>
    </row>
    <row r="38" ht="15" customHeight="1" s="87">
      <c r="A38" s="92" t="inlineStr">
        <is>
          <t>Carried interest below a 1.5 times multiple</t>
        </is>
      </c>
      <c r="C38" s="130" t="n">
        <v>0.125</v>
      </c>
    </row>
    <row r="39" ht="15" customHeight="1" s="87">
      <c r="A39" s="92" t="inlineStr">
        <is>
          <t>Carried interest above a 2.0 times multiple</t>
        </is>
      </c>
      <c r="C39" s="131" t="n">
        <v>0.2</v>
      </c>
    </row>
    <row r="40" ht="15" customHeight="1" s="87">
      <c r="A40" s="92" t="inlineStr">
        <is>
          <t>Preferred return</t>
        </is>
      </c>
      <c r="C40" s="131" t="n">
        <v>0.08</v>
      </c>
    </row>
    <row r="41" ht="15" customHeight="1" s="87">
      <c r="A41" s="92" t="inlineStr">
        <is>
          <t>Term (years)</t>
        </is>
      </c>
      <c r="C41" s="94" t="n">
        <v>4</v>
      </c>
    </row>
    <row r="42" ht="15" customHeight="1" s="87">
      <c r="A42" s="92" t="inlineStr">
        <is>
          <t>Extensions available (number, one year each)</t>
        </is>
      </c>
      <c r="C42" s="94" t="n">
        <v>2</v>
      </c>
    </row>
    <row r="43" ht="15" customHeight="1" s="87">
      <c r="A43" s="92" t="inlineStr">
        <is>
          <t>Consent required for a further continuation</t>
        </is>
      </c>
      <c r="C43" s="131" t="n">
        <v>0.75</v>
      </c>
    </row>
    <row r="44" ht="15" customHeight="1" s="87">
      <c r="A44" s="92" t="inlineStr">
        <is>
          <t>Unfunded capacity for acquisitions (EUR m)</t>
        </is>
      </c>
      <c r="C44" s="101" t="n">
        <v>70</v>
      </c>
    </row>
    <row r="45" ht="15" customHeight="1" s="87">
      <c r="A45" s="92" t="inlineStr">
        <is>
          <t>Rolling investors on the advisory committee</t>
        </is>
      </c>
      <c r="C45" s="94" t="n">
        <v>2</v>
      </c>
    </row>
    <row r="46" ht="15" customHeight="1" s="87">
      <c r="A46" s="92" t="inlineStr">
        <is>
          <t>Maximum term with all extensions (years)</t>
        </is>
      </c>
      <c r="C46" s="109">
        <f>C41+C42</f>
        <v/>
      </c>
    </row>
    <row r="47" ht="15" customHeight="1" s="87">
      <c r="A47" s="92" t="inlineStr">
        <is>
          <t>Unfunded capacity as a share of enterprise value</t>
        </is>
      </c>
      <c r="C47" s="113">
        <f>C44/C12</f>
        <v/>
      </c>
    </row>
    <row r="48" ht="15" customHeight="1" s="87">
      <c r="A48" s="92" t="inlineStr">
        <is>
          <t>Rolling investors receive the incoming buyers' economics?</t>
        </is>
      </c>
      <c r="C48" s="118" t="inlineStr">
        <is>
          <t>yes</t>
        </is>
      </c>
    </row>
    <row r="49" ht="15" customHeight="1" s="87">
      <c r="A49" s="121" t="inlineStr">
        <is>
          <t>Carried interest between 1.5 and 2.0 times, as Chapters 12 and 18 print it</t>
        </is>
      </c>
      <c r="C49" s="132" t="n">
        <v>0.167</v>
      </c>
    </row>
    <row r="50" ht="15" customHeight="1" s="87"/>
  </sheetData>
  <mergeCells count="1">
    <mergeCell ref="G5:G5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G8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8" customWidth="1" style="86" min="1" max="1"/>
    <col width="6" customWidth="1" style="86" min="2" max="2"/>
    <col width="16" customWidth="1" style="86" min="3" max="5"/>
    <col width="3" customWidth="1" style="86" min="6" max="6"/>
    <col width="60" customWidth="1" style="86" min="7" max="7"/>
  </cols>
  <sheetData>
    <row r="1" ht="17.35" customHeight="1" s="87">
      <c r="A1" s="88" t="inlineStr">
        <is>
          <t>The election, and the money that moves</t>
        </is>
      </c>
    </row>
    <row r="2" ht="15" customHeight="1" s="87">
      <c r="A2" s="89" t="inlineStr">
        <is>
          <t>Thirty-five days, avoiding August, with a default to sell.</t>
        </is>
      </c>
    </row>
    <row r="3"/>
    <row r="4" ht="15" customHeight="1" s="87">
      <c r="A4" s="91" t="inlineStr">
        <is>
          <t>What investors received</t>
        </is>
      </c>
      <c r="G4" s="91" t="inlineStr">
        <is>
          <t>Three numbers that turn out to be one</t>
        </is>
      </c>
    </row>
    <row r="5" ht="15" customHeight="1" s="87">
      <c r="A5" s="92" t="inlineStr">
        <is>
          <t>The price and implied multiple</t>
        </is>
      </c>
      <c r="C5" s="118" t="inlineStr">
        <is>
          <t>provided</t>
        </is>
      </c>
      <c r="G5" s="90" t="inlineStr">
        <is>
          <t>Chapter 18 reconciles four money figures: the equity value of EUR 354.5 million, the syndicate's EUR 209.2 million, the crystallised carried interest of EUR 31.2 million, and the EUR 190.7 million selling investors receive. The sheet does the same arithmetic live.
Fifty-four per cent sell and five per cent do not respond and are cashed out under the default, so fifty-nine per cent of the interests leave. Fifty-nine per cent of EUR 354.5 million of gross equity is EUR 209.2 million — the syndicate's funding. Take the carried interest attributable to that same fifty-nine per cent, EUR 18.4 million, off it, and selling investors receive EUR 190.7 million. Both printed figures fall out of the two percentages and the carry number. The carry is no longer an input: rows 63 to 70 compute it as 20 per cent of the EUR 218.5 million gain less the EUR 62.5 million holdback.
That is worth more than the arithmetic. It tells you the waterfall the chapter has in mind: the buyer pays for the gross equity, and the general partner's carry comes out of the sellers' proceeds rather than being paid separately by the buyer. An investor reading an election notice should be able to perform this reconciliation, and if the two sides do not meet, the gap is a question.
The reinvestment line is the alignment test the book returns to repeatedly. Appendix B asks: what proportion of crystallised carried interest is reinvested, in cash? Seventy per cent of EUR 31.2 million is EUR 21.8 million, which the chapter prints: EUR 12.8 million rolled at the transaction price and EUR 9.0 million of the cash carry subscribed back (rows 72 to 80). Measured against the EUR 18.4 million of cash carry, the cash put back is about 49 per cent; measured against all accrued carry, which is ILPA's measure (100 per cent in almost all cases), it is 70 per cent.
The single investor at the bottom is the chapter's last figure and the one that needs a solve. A EUR 10 million commitment to a EUR 850 million fund is about 1.18 per cent, and 1.18 per cent of EUR 354.5 million is EUR 4.17 million — the EUR 4.2 million the chapter prints. That is before the carry; after its EUR 0.37 million share, on the same basis as the sellers' EUR 190.7 million, the investor realises EUR 3.8 million (row 60). The chapter now prints Meridian III's total equity cost in Thalia, EUR 136 million, including the equity put into the four acquisitions, so the investor's attributed cost of EUR 1.6 million is 1.18 per cent of it (row 52), and the two multiples agree, which is the check at the bottom.
The default provision deserves the last word. The committee asked for sell rather than roll and the sponsor agreed, in an exchange the chapter says took two minutes. Five per cent of the interests landed in it. Under the sponsor's original proposal those investors — the ones whose governance could not move in time — would have been rolled into a four-year concentrated single-asset vehicle without deciding to. Change C15 and C22 to see who that was.</t>
        </is>
      </c>
    </row>
    <row r="6" ht="15" customHeight="1" s="87">
      <c r="A6" s="92" t="inlineStr">
        <is>
          <t>The prior sale process and its outcome</t>
        </is>
      </c>
      <c r="C6" s="118" t="inlineStr">
        <is>
          <t>provided</t>
        </is>
      </c>
    </row>
    <row r="7" ht="15" customHeight="1" s="87">
      <c r="A7" s="92" t="inlineStr">
        <is>
          <t>The full bid funnel</t>
        </is>
      </c>
      <c r="C7" s="118" t="inlineStr">
        <is>
          <t>provided</t>
        </is>
      </c>
    </row>
    <row r="8" ht="15" customHeight="1" s="87">
      <c r="A8" s="92" t="inlineStr">
        <is>
          <t>The withdrawal and its stated reason</t>
        </is>
      </c>
      <c r="C8" s="118" t="inlineStr">
        <is>
          <t>provided</t>
        </is>
      </c>
    </row>
    <row r="9" ht="15" customHeight="1" s="87">
      <c r="A9" s="92" t="inlineStr">
        <is>
          <t>The complete vehicle terms</t>
        </is>
      </c>
      <c r="C9" s="118" t="inlineStr">
        <is>
          <t>provided</t>
        </is>
      </c>
    </row>
    <row r="10" ht="15" customHeight="1" s="87">
      <c r="A10" s="92" t="inlineStr">
        <is>
          <t>The sponsor's reinvestment, in cash</t>
        </is>
      </c>
      <c r="C10" s="118" t="inlineStr">
        <is>
          <t>provided</t>
        </is>
      </c>
    </row>
    <row r="11" ht="15" customHeight="1" s="87">
      <c r="A11" s="92" t="inlineStr">
        <is>
          <t>Management's new package and its cost</t>
        </is>
      </c>
      <c r="C11" s="118" t="inlineStr">
        <is>
          <t>provided</t>
        </is>
      </c>
    </row>
    <row r="12" ht="15" customHeight="1" s="87">
      <c r="A12" s="92" t="inlineStr">
        <is>
          <t>The leverage change</t>
        </is>
      </c>
      <c r="C12" s="118" t="inlineStr">
        <is>
          <t>provided</t>
        </is>
      </c>
    </row>
    <row r="13" ht="15" customHeight="1" s="87">
      <c r="A13" s="104" t="inlineStr">
        <is>
          <t>Items provided</t>
        </is>
      </c>
      <c r="C13" s="119">
        <f>COUNTIF(C5:C12,"provided")</f>
        <v/>
      </c>
    </row>
    <row r="14" ht="15" customHeight="1" s="87">
      <c r="A14" s="92" t="inlineStr">
        <is>
          <t>Election window (days)</t>
        </is>
      </c>
      <c r="C14" s="133">
        <f>'The process'!C45</f>
        <v/>
      </c>
    </row>
    <row r="15" ht="15" customHeight="1" s="87">
      <c r="A15" s="92" t="inlineStr">
        <is>
          <t>Default for non-responders</t>
        </is>
      </c>
      <c r="C15" s="118" t="inlineStr">
        <is>
          <t>sell</t>
        </is>
      </c>
    </row>
    <row r="16" ht="15" customHeight="1" s="87">
      <c r="A16" s="92" t="inlineStr">
        <is>
          <t>Proposed by the sponsor, changed at the committee's request</t>
        </is>
      </c>
      <c r="C16" s="89" t="inlineStr">
        <is>
          <t>roll → sell</t>
        </is>
      </c>
    </row>
    <row r="17" ht="15" customHeight="1" s="87"/>
    <row r="18" ht="15" customHeight="1" s="87">
      <c r="A18" s="91" t="inlineStr">
        <is>
          <t>The outcome of the election</t>
        </is>
      </c>
    </row>
    <row r="19" ht="27.75" customHeight="1" s="87">
      <c r="A19" s="95" t="n"/>
      <c r="B19" s="96" t="n"/>
      <c r="C19" s="96" t="inlineStr">
        <is>
          <t>Share of interests</t>
        </is>
      </c>
      <c r="D19" s="96" t="inlineStr">
        <is>
          <t>Gross equity (EUR m)</t>
        </is>
      </c>
      <c r="E19" s="96" t="inlineStr">
        <is>
          <t>Net of carry (EUR m)</t>
        </is>
      </c>
    </row>
    <row r="20" ht="15" customHeight="1" s="87">
      <c r="A20" s="92" t="inlineStr">
        <is>
          <t>Roll</t>
        </is>
      </c>
      <c r="C20" s="130" t="n">
        <v>0.41</v>
      </c>
      <c r="D20" s="109">
        <f>C20*'Price and structure'!$C$13</f>
        <v/>
      </c>
      <c r="E20" s="109">
        <f>C20*($C$30)</f>
        <v/>
      </c>
    </row>
    <row r="21" ht="15" customHeight="1" s="87">
      <c r="A21" s="92" t="inlineStr">
        <is>
          <t>Sell</t>
        </is>
      </c>
      <c r="C21" s="130" t="n">
        <v>0.54</v>
      </c>
      <c r="D21" s="109">
        <f>C21*'Price and structure'!$C$13</f>
        <v/>
      </c>
      <c r="E21" s="109">
        <f>C21*($C$30)</f>
        <v/>
      </c>
    </row>
    <row r="22" ht="15" customHeight="1" s="87">
      <c r="A22" s="92" t="inlineStr">
        <is>
          <t>Did not respond — cashed out under the default</t>
        </is>
      </c>
      <c r="C22" s="130" t="n">
        <v>0.05</v>
      </c>
      <c r="D22" s="109">
        <f>C22*'Price and structure'!$C$13</f>
        <v/>
      </c>
      <c r="E22" s="109">
        <f>C22*($C$30)</f>
        <v/>
      </c>
    </row>
    <row r="23" ht="15" customHeight="1" s="87">
      <c r="A23" s="134" t="inlineStr">
        <is>
          <t>Total</t>
        </is>
      </c>
      <c r="C23" s="135">
        <f>SUM(C20:C22)</f>
        <v/>
      </c>
      <c r="D23" s="126">
        <f>SUM(D20:D22)</f>
        <v/>
      </c>
      <c r="E23" s="126">
        <f>SUM(E20:E22)</f>
        <v/>
      </c>
    </row>
    <row r="24" ht="15" customHeight="1" s="87">
      <c r="A24" s="104" t="inlineStr">
        <is>
          <t>Interests leaving the asset (sold plus default)</t>
        </is>
      </c>
      <c r="C24" s="120">
        <f>C21+C22</f>
        <v/>
      </c>
    </row>
    <row r="25" ht="15" customHeight="1" s="87">
      <c r="A25" s="104" t="inlineStr">
        <is>
          <t>Interests staying</t>
        </is>
      </c>
      <c r="C25" s="120">
        <f>C20</f>
        <v/>
      </c>
    </row>
    <row r="26" ht="15" customHeight="1" s="87"/>
    <row r="27" ht="15" customHeight="1" s="87">
      <c r="A27" s="91" t="inlineStr">
        <is>
          <t>Sources and uses</t>
        </is>
      </c>
    </row>
    <row r="28" ht="15" customHeight="1" s="87">
      <c r="A28" s="92" t="inlineStr">
        <is>
          <t>Equity value of the asset at the transaction price (EUR m)</t>
        </is>
      </c>
      <c r="C28" s="112">
        <f>'Price and structure'!C13</f>
        <v/>
      </c>
    </row>
    <row r="29" ht="15" customHeight="1" s="87">
      <c r="A29" s="92" t="inlineStr">
        <is>
          <t>Crystallised carried interest, derived below (EUR m)</t>
        </is>
      </c>
      <c r="C29" s="100">
        <f>C70</f>
        <v/>
      </c>
    </row>
    <row r="30" ht="15" customHeight="1" s="87">
      <c r="A30" s="104" t="inlineStr">
        <is>
          <t>Equity value net of crystallised carry (EUR m)</t>
        </is>
      </c>
      <c r="C30" s="100">
        <f>C28-C29</f>
        <v/>
      </c>
    </row>
    <row r="31" ht="15" customHeight="1" s="87"/>
    <row r="32" ht="15" customHeight="1" s="87">
      <c r="A32" s="104" t="inlineStr">
        <is>
          <t>Syndicate equity funded — the leaving share of gross equity (EUR m)</t>
        </is>
      </c>
      <c r="C32" s="100">
        <f>C24*C28</f>
        <v/>
      </c>
    </row>
    <row r="33" ht="15" customHeight="1" s="87">
      <c r="A33" s="92" t="inlineStr">
        <is>
          <t>Carried interest attributable to the leaving share (EUR m)</t>
        </is>
      </c>
      <c r="C33" s="109">
        <f>C24*C29</f>
        <v/>
      </c>
    </row>
    <row r="34" ht="15" customHeight="1" s="87">
      <c r="A34" s="104" t="inlineStr">
        <is>
          <t>Proceeds to selling investors (EUR m)</t>
        </is>
      </c>
      <c r="C34" s="100">
        <f>C32-C33</f>
        <v/>
      </c>
    </row>
    <row r="35" ht="15" customHeight="1" s="87">
      <c r="A35" s="92" t="inlineStr">
        <is>
          <t>Cross-check: the leaving share of equity net of carry</t>
        </is>
      </c>
      <c r="C35" s="109">
        <f>C24*C30</f>
        <v/>
      </c>
    </row>
    <row r="36" ht="15" customHeight="1" s="87">
      <c r="A36" s="92" t="inlineStr">
        <is>
          <t>Deferred or contingent element</t>
        </is>
      </c>
      <c r="C36" s="118" t="inlineStr">
        <is>
          <t>none — entirely cash at closing</t>
        </is>
      </c>
    </row>
    <row r="37" ht="15" customHeight="1" s="87">
      <c r="A37" s="104" t="inlineStr">
        <is>
          <t>Value rolling investors carry forward, net of carry (EUR m)</t>
        </is>
      </c>
      <c r="C37" s="100">
        <f>C25*C30</f>
        <v/>
      </c>
    </row>
    <row r="38" ht="15" customHeight="1" s="87"/>
    <row r="39" ht="15" customHeight="1" s="87">
      <c r="A39" s="91" t="inlineStr">
        <is>
          <t>The sponsor's commitment</t>
        </is>
      </c>
    </row>
    <row r="40" ht="15" customHeight="1" s="87">
      <c r="A40" s="92" t="inlineStr">
        <is>
          <t>Crystallised carried interest (EUR m)</t>
        </is>
      </c>
      <c r="C40" s="109">
        <f>C29</f>
        <v/>
      </c>
    </row>
    <row r="41" ht="15" customHeight="1" s="87">
      <c r="A41" s="92" t="inlineStr">
        <is>
          <t>Proportion of accrued carry reinvested (rolled or subscribed back)</t>
        </is>
      </c>
      <c r="C41" s="130" t="n">
        <v>0.7</v>
      </c>
    </row>
    <row r="42" ht="15" customHeight="1" s="87">
      <c r="A42" s="104" t="inlineStr">
        <is>
          <t>Amount reinvested (EUR m)</t>
        </is>
      </c>
      <c r="C42" s="100">
        <f>C40*C41</f>
        <v/>
      </c>
    </row>
    <row r="43" ht="15" customHeight="1" s="87">
      <c r="A43" s="92" t="inlineStr">
        <is>
          <t>Carry retained (EUR m)</t>
        </is>
      </c>
      <c r="C43" s="109">
        <f>C40-C42</f>
        <v/>
      </c>
    </row>
    <row r="44" ht="15" customHeight="1" s="87">
      <c r="A44" s="92" t="inlineStr">
        <is>
          <t>Reinvestment as a share of the vehicle's equity</t>
        </is>
      </c>
      <c r="C44" s="113">
        <f>C42/(C32+C37)</f>
        <v/>
      </c>
    </row>
    <row r="45" ht="15" customHeight="1" s="87">
      <c r="A45" s="92" t="inlineStr">
        <is>
          <t>Carry as a share of the asset's equity value</t>
        </is>
      </c>
      <c r="C45" s="113">
        <f>C29/C28</f>
        <v/>
      </c>
    </row>
    <row r="46" ht="15" customHeight="1" s="87"/>
    <row r="47" ht="15" customHeight="1" s="87">
      <c r="A47" s="91" t="inlineStr">
        <is>
          <t>One investor: a EUR 10 million commitment to Meridian III</t>
        </is>
      </c>
    </row>
    <row r="48" ht="15" customHeight="1" s="87">
      <c r="A48" s="92" t="inlineStr">
        <is>
          <t>Commitment (EUR m)</t>
        </is>
      </c>
      <c r="C48" s="101" t="n">
        <v>10</v>
      </c>
    </row>
    <row r="49" ht="15" customHeight="1" s="87">
      <c r="A49" s="92" t="inlineStr">
        <is>
          <t>Fund size (EUR m)</t>
        </is>
      </c>
      <c r="C49" s="136">
        <f>'The situation'!C5</f>
        <v/>
      </c>
    </row>
    <row r="50" ht="15" customHeight="1" s="87">
      <c r="A50" s="92" t="inlineStr">
        <is>
          <t>Share of the fund</t>
        </is>
      </c>
      <c r="C50" s="137">
        <f>C48/C49</f>
        <v/>
      </c>
    </row>
    <row r="51" ht="15" customHeight="1" s="87">
      <c r="A51" s="104" t="inlineStr">
        <is>
          <t>Attributable share of the Thalia equity (EUR m)</t>
        </is>
      </c>
      <c r="C51" s="100">
        <f>C50*C28</f>
        <v/>
      </c>
    </row>
    <row r="52" ht="15" customHeight="1" s="87">
      <c r="A52" s="92" t="inlineStr">
        <is>
          <t>Attributed cost of the investor's share (EUR m)</t>
        </is>
      </c>
      <c r="C52" s="138">
        <f>C50*C53</f>
        <v/>
      </c>
    </row>
    <row r="53" ht="15" customHeight="1" s="87">
      <c r="A53" s="104" t="inlineStr">
        <is>
          <t>Meridian III's total equity cost in Thalia, as the chapter prints it (EUR m)</t>
        </is>
      </c>
      <c r="C53" s="139" t="n">
        <v>136</v>
      </c>
    </row>
    <row r="54" ht="15" customHeight="1" s="87">
      <c r="A54" s="92" t="inlineStr">
        <is>
          <t>That cost against the entry enterprise value</t>
        </is>
      </c>
      <c r="C54" s="113">
        <f>C53/'The situation'!C17</f>
        <v/>
      </c>
    </row>
    <row r="55" ht="15" customHeight="1" s="87">
      <c r="A55" s="104" t="inlineStr">
        <is>
          <t>Gross multiple on the investor's Thalia interest</t>
        </is>
      </c>
      <c r="C55" s="105">
        <f>C51/C52</f>
        <v/>
      </c>
    </row>
    <row r="56" ht="15" customHeight="1" s="87">
      <c r="A56" s="92" t="inlineStr">
        <is>
          <t>Gross multiple on the whole Thalia position</t>
        </is>
      </c>
      <c r="C56" s="110">
        <f>C28/C53</f>
        <v/>
      </c>
    </row>
    <row r="57" ht="15" customHeight="1" s="87">
      <c r="A57" s="104" t="inlineStr">
        <is>
          <t>The two agree?</t>
        </is>
      </c>
      <c r="C57" s="107">
        <f>IF(ABS(C55-C56)&lt;0.02,"yes — the investor is a scaled-down version of the fund","no")</f>
        <v/>
      </c>
    </row>
    <row r="58"/>
    <row r="59" ht="15" customHeight="1" s="87">
      <c r="A59" s="104" t="inlineStr">
        <is>
          <t>Carried interest attributable to the investor's share (EUR m)</t>
        </is>
      </c>
      <c r="C59" s="100">
        <f>C50*C29</f>
        <v/>
      </c>
    </row>
    <row r="60" ht="15" customHeight="1" s="87">
      <c r="A60" s="104" t="inlineStr">
        <is>
          <t>What the investor realises after that carry, the basis of the EUR 190.7m (EUR m)</t>
        </is>
      </c>
      <c r="C60" s="100">
        <f>C51-C59</f>
        <v/>
      </c>
    </row>
    <row r="61" ht="15" customHeight="1" s="87">
      <c r="A61" s="104" t="inlineStr">
        <is>
          <t>Read the chapter's EUR 4.2 million as</t>
        </is>
      </c>
      <c r="C61" s="107">
        <f>IF(ABS(C51-4.2)&lt;ABS(C60-4.2),"before carry: after carry it is "&amp;TEXT(C60,"0.0"),"after carry")</f>
        <v/>
      </c>
    </row>
    <row r="62"/>
    <row r="63">
      <c r="A63" s="140" t="inlineStr">
        <is>
          <t>How the EUR 31.2 million of carry is derived</t>
        </is>
      </c>
    </row>
    <row r="64">
      <c r="A64" s="121" t="inlineStr">
        <is>
          <t>Carried interest rate, whole fund (preferred return and catch-up already cleared)</t>
        </is>
      </c>
      <c r="C64" s="132" t="n">
        <v>0.2</v>
      </c>
    </row>
    <row r="65">
      <c r="A65" s="121" t="inlineStr">
        <is>
          <t>Equity value of Thalia at the transaction price (EUR m)</t>
        </is>
      </c>
      <c r="C65" s="138">
        <f>C28</f>
        <v/>
      </c>
    </row>
    <row r="66">
      <c r="A66" s="121" t="inlineStr">
        <is>
          <t>Meridian III's total equity cost in Thalia (EUR m)</t>
        </is>
      </c>
      <c r="C66" s="138">
        <f>C53</f>
        <v/>
      </c>
    </row>
    <row r="67">
      <c r="A67" s="121" t="inlineStr">
        <is>
          <t>Gain on Thalia (EUR m)</t>
        </is>
      </c>
      <c r="C67" s="138">
        <f>C65-C66</f>
        <v/>
      </c>
    </row>
    <row r="68">
      <c r="A68" s="121" t="inlineStr">
        <is>
          <t>Holdback: Meridian III's other remaining asset carried below cost (EUR m)</t>
        </is>
      </c>
      <c r="C68" s="139" t="n">
        <v>62.5</v>
      </c>
    </row>
    <row r="69">
      <c r="A69" s="121" t="inlineStr">
        <is>
          <t>Gain that carries carry after the holdback (EUR m)</t>
        </is>
      </c>
      <c r="C69" s="138">
        <f>C67-C68</f>
        <v/>
      </c>
    </row>
    <row r="70">
      <c r="A70" s="121" t="inlineStr">
        <is>
          <t>Crystallised carried interest (EUR m)</t>
        </is>
      </c>
      <c r="C70" s="138">
        <f>C64*C69</f>
        <v/>
      </c>
    </row>
    <row r="71"/>
    <row r="72">
      <c r="A72" s="140" t="inlineStr">
        <is>
          <t>How the carry is settled, and what goes back in</t>
        </is>
      </c>
    </row>
    <row r="73">
      <c r="A73" s="121" t="inlineStr">
        <is>
          <t>Carry on the leaving interests, paid in cash (EUR m)</t>
        </is>
      </c>
      <c r="C73" s="138">
        <f>C33</f>
        <v/>
      </c>
    </row>
    <row r="74">
      <c r="A74" s="121" t="inlineStr">
        <is>
          <t>Carry on the rolling interests, rolled at the transaction price (EUR m)</t>
        </is>
      </c>
      <c r="C74" s="138">
        <f>C25*C29</f>
        <v/>
      </c>
    </row>
    <row r="75">
      <c r="A75" s="121" t="inlineStr">
        <is>
          <t>Sources: syndicate, rolling investors and rolled carry (EUR m)</t>
        </is>
      </c>
      <c r="C75" s="138">
        <f>C32+C37+C74</f>
        <v/>
      </c>
    </row>
    <row r="76">
      <c r="A76" s="121" t="inlineStr">
        <is>
          <t>Reinvested in total (EUR m)</t>
        </is>
      </c>
      <c r="C76" s="138">
        <f>C42</f>
        <v/>
      </c>
    </row>
    <row r="77">
      <c r="A77" s="121" t="inlineStr">
        <is>
          <t>of which cash paid out and subscribed back (EUR m)</t>
        </is>
      </c>
      <c r="C77" s="138">
        <f>C76-C74</f>
        <v/>
      </c>
    </row>
    <row r="78">
      <c r="A78" s="121" t="inlineStr">
        <is>
          <t>Carry retained (EUR m)</t>
        </is>
      </c>
      <c r="C78" s="138">
        <f>C43</f>
        <v/>
      </c>
    </row>
    <row r="79">
      <c r="A79" s="121" t="inlineStr">
        <is>
          <t>Cash put back as a share of the cash carry from the leaving interests</t>
        </is>
      </c>
      <c r="C79" s="141">
        <f>C77/C73</f>
        <v/>
      </c>
    </row>
    <row r="80">
      <c r="A80" s="121" t="inlineStr">
        <is>
          <t>Reinvestment as a share of all accrued carry (ILPA's measure: 100% in almost all cases)</t>
        </is>
      </c>
      <c r="C80" s="141">
        <f>C41</f>
        <v/>
      </c>
    </row>
  </sheetData>
  <mergeCells count="1">
    <mergeCell ref="G5:G5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G5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8" customWidth="1" style="86" min="1" max="1"/>
    <col width="6" customWidth="1" style="86" min="2" max="2"/>
    <col width="16" customWidth="1" style="86" min="3" max="5"/>
    <col width="3" customWidth="1" style="86" min="6" max="6"/>
    <col width="60" customWidth="1" style="86" min="7" max="7"/>
  </cols>
  <sheetData>
    <row r="1" ht="17.35" customHeight="1" s="87">
      <c r="A1" s="88" t="inlineStr">
        <is>
          <t>What made it defensible, and what still deserved scrutiny</t>
        </is>
      </c>
    </row>
    <row r="2" ht="15" customHeight="1" s="87">
      <c r="A2" s="89" t="inlineStr">
        <is>
          <t>Seven things in order of importance, and three a good advisory committee would have pressed on.</t>
        </is>
      </c>
    </row>
    <row r="3"/>
    <row r="4" ht="15" customHeight="1" s="87">
      <c r="A4" s="91" t="inlineStr">
        <is>
          <t>The seven markers of defensibility, scored</t>
        </is>
      </c>
      <c r="G4" s="91" t="inlineStr">
        <is>
          <t>The three questions, quantified</t>
        </is>
      </c>
    </row>
    <row r="5" ht="27.75" customHeight="1" s="87">
      <c r="A5" s="95" t="inlineStr">
        <is>
          <t>Marker</t>
        </is>
      </c>
      <c r="B5" s="96" t="n"/>
      <c r="C5" s="96" t="inlineStr">
        <is>
          <t>Present?</t>
        </is>
      </c>
      <c r="D5" s="96" t="inlineStr">
        <is>
          <t>Test applied</t>
        </is>
      </c>
      <c r="G5" s="90" t="inlineStr">
        <is>
          <t>Chapter 18 names three things a good advisory committee would have pressed on and leaves all three qualitative. Each has a number behind it.
The entry premium. The continuation price of 14.5 times is above the 13.2 times a third party offered six months earlier (month minus 2 to month 4, The process rows 49 to 51) — a premium of about ten per cent, or thirteen turns of a million euros of enterprise value. Rolling investors are paying it, and their share of it is around EUR 17 million. The useful way to frame that is not as a cost but as a hurdle: at the old multiple, the price implies earnings of about EUR 34 million, ten per cent above today. The sponsor's three-year case is EUR 45 million, forty-five per cent above. So the pipeline thesis clears the premium about four times over on the sponsor's own numbers — which is the answer, and also the reason to test the sponsor's numbers rather than the premium.
The leverage. Rolling investors did not choose it, as the chapter says. What it costs them is best expressed as cushion: before the transaction, enterprise value could fall about seventy-nine per cent before the equity was gone; after, about seventy-three. Six points of cushion, given up by people who were not in the room when it was negotiated. On an asset compounding earnings at fourteen per cent a year that is a small price; on an asset that misses its plan it is the difference between a disappointing outcome and a total one.
The deployment clock. EUR 70 million of unfunded capacity inside a four-year vehicle, with acquisitions that need time to integrate before an exit. The chapter says the asset must be exit-ready by month twenty-four on Chapter 17's clock, so the last acquisition has to close, and be integrated, before then; month thirty, which a four-year term seems to allow, already falls in the year the sale process must begin (rows 44 to 58). On that clock the last close is month twenty-four less whatever an acquisition needs before a buyer will pay for it; the twelve months used here are an assumption, not a figure from the book. That leaves fifteen months per acquisition for two deals, and a deployment rate of well over EUR 2 million a month.
Chapter 17's exercise is exactly this calculation run in reverse: write the exit timetable backwards from the end of the term, identify the date by which the asset must be exit-ready, then compare it with the value-creation plan's milestones. Change the integration period in C44 and the pressure moves visibly. At twenty-four months the last acquisition has to close by month twenty-four — inside a vehicle whose acquisitions had not been identified at closing.
The two one-year extensions look like relief and are not, quite. They require advisory committee consent, and a committee asked to extend a vehicle because its acquisitions ran late is being asked to ratify the problem.</t>
        </is>
      </c>
    </row>
    <row r="6" ht="15" customHeight="1" s="87">
      <c r="A6" s="114" t="inlineStr">
        <is>
          <t>1. The asset was market-tested first and the result disclosed</t>
        </is>
      </c>
      <c r="B6" s="115" t="n"/>
      <c r="C6" s="142">
        <f>IF('The process'!C6&gt;0,"yes","no")</f>
        <v/>
      </c>
      <c r="D6" s="143" t="inlineStr">
        <is>
          <t>prior process ran and was disclosed</t>
        </is>
      </c>
    </row>
    <row r="7" ht="15" customHeight="1" s="87">
      <c r="A7" s="92" t="inlineStr">
        <is>
          <t>2. Independent parties bid, and the spread narrowed</t>
        </is>
      </c>
      <c r="C7" s="107">
        <f>IF(AND('The process'!C26&gt;=3,'The process'!C36&lt;'The process'!C35),"yes","no")</f>
        <v/>
      </c>
      <c r="D7" s="144" t="inlineStr">
        <is>
          <t>five bid, three with no tie to the sponsor; sixteen per cent to four</t>
        </is>
      </c>
    </row>
    <row r="8" ht="15" customHeight="1" s="87">
      <c r="A8" s="114" t="inlineStr">
        <is>
          <t>3. Bidders had adequate time and independent management access</t>
        </is>
      </c>
      <c r="B8" s="115" t="n"/>
      <c r="C8" s="142">
        <f>IF('The process'!C40&gt;='The process'!C41,"yes","no")</f>
        <v/>
      </c>
      <c r="D8" s="143" t="inlineStr">
        <is>
          <t>seven weeks against a six-week floor</t>
        </is>
      </c>
    </row>
    <row r="9" ht="15" customHeight="1" s="87">
      <c r="A9" s="92" t="inlineStr">
        <is>
          <t>4. A withdrawal and its unflattering reason were disclosed</t>
        </is>
      </c>
      <c r="C9" s="107">
        <f>IF('The process'!C21&gt;0,"yes","no")</f>
        <v/>
      </c>
      <c r="D9" s="144" t="inlineStr">
        <is>
          <t>one bidder left, reason disclosed</t>
        </is>
      </c>
    </row>
    <row r="10" ht="15" customHeight="1" s="87">
      <c r="A10" s="114" t="inlineStr">
        <is>
          <t>5. The independent valuation was commissioned before the price was set</t>
        </is>
      </c>
      <c r="B10" s="115" t="n"/>
      <c r="C10" s="142">
        <f>IF('Price and structure'!C24="before","yes","no")</f>
        <v/>
      </c>
      <c r="D10" s="143" t="inlineStr">
        <is>
          <t>commissioned before, range 13.6 to 15.0</t>
        </is>
      </c>
    </row>
    <row r="11" ht="15" customHeight="1" s="87">
      <c r="A11" s="92" t="inlineStr">
        <is>
          <t>6. Rolling investors received the incoming buyers' economics</t>
        </is>
      </c>
      <c r="C11" s="107">
        <f>IF('Price and structure'!C48="yes","yes","no")</f>
        <v/>
      </c>
      <c r="D11" s="144" t="inlineStr">
        <is>
          <t>confirmed to the committee</t>
        </is>
      </c>
    </row>
    <row r="12" ht="15" customHeight="1" s="87">
      <c r="A12" s="114" t="inlineStr">
        <is>
          <t>7. Crystallised carried interest went back in, as money at risk at the transaction price</t>
        </is>
      </c>
      <c r="B12" s="115" t="n"/>
      <c r="C12" s="142">
        <f>IF('The election'!C41&gt;=0.5,"yes","no")</f>
        <v/>
      </c>
      <c r="D12" s="143" t="inlineStr">
        <is>
          <t>seventy per cent of accrued carry: EUR 12.8m rolled, EUR 9.0m subscribed back</t>
        </is>
      </c>
    </row>
    <row r="13" ht="15" customHeight="1" s="87"/>
    <row r="14" ht="15" customHeight="1" s="87">
      <c r="A14" s="107" t="inlineStr">
        <is>
          <t>Markers present</t>
        </is>
      </c>
      <c r="C14" s="119">
        <f>COUNTIF(C6:C12,"yes")</f>
        <v/>
      </c>
    </row>
    <row r="15" ht="15" customHeight="1" s="87">
      <c r="A15" s="107" t="inlineStr">
        <is>
          <t>Threshold used here (Chapter 16's exercise asks for four of its six positive markers)</t>
        </is>
      </c>
      <c r="C15" s="94" t="n">
        <v>4</v>
      </c>
    </row>
    <row r="16" ht="15" customHeight="1" s="87">
      <c r="A16" s="107" t="inlineStr">
        <is>
          <t>Verdict</t>
        </is>
      </c>
      <c r="C16" s="107">
        <f>IF(C14&gt;=C15,"defensible on the markers","short of the markers")</f>
        <v/>
      </c>
    </row>
    <row r="17" ht="15" customHeight="1" s="87"/>
    <row r="18" ht="15" customHeight="1" s="87">
      <c r="A18" s="91" t="inlineStr">
        <is>
          <t>Scrutiny one — the entry premium</t>
        </is>
      </c>
    </row>
    <row r="19" ht="15" customHeight="1" s="87">
      <c r="A19" s="92" t="inlineStr">
        <is>
          <t>Continuation price, multiple of earnings</t>
        </is>
      </c>
      <c r="C19" s="110">
        <f>'Price and structure'!C11</f>
        <v/>
      </c>
    </row>
    <row r="20" ht="15" customHeight="1" s="87">
      <c r="A20" s="92" t="inlineStr">
        <is>
          <t>Best third-party bid six months earlier</t>
        </is>
      </c>
      <c r="C20" s="110">
        <f>'The process'!C7</f>
        <v/>
      </c>
    </row>
    <row r="21" ht="15" customHeight="1" s="87">
      <c r="A21" s="104" t="inlineStr">
        <is>
          <t>Premium in turns of earnings</t>
        </is>
      </c>
      <c r="C21" s="105">
        <f>C19-C20</f>
        <v/>
      </c>
    </row>
    <row r="22" ht="15" customHeight="1" s="87">
      <c r="A22" s="104" t="inlineStr">
        <is>
          <t>Premium in per cent</t>
        </is>
      </c>
      <c r="C22" s="120">
        <f>C19/C20-1</f>
        <v/>
      </c>
    </row>
    <row r="23" ht="15" customHeight="1" s="87">
      <c r="A23" s="92" t="inlineStr">
        <is>
          <t>Premium in enterprise value (EUR m)</t>
        </is>
      </c>
      <c r="C23" s="109">
        <f>C21*'The situation'!D14</f>
        <v/>
      </c>
    </row>
    <row r="24" ht="15" customHeight="1" s="87">
      <c r="A24" s="104" t="inlineStr">
        <is>
          <t>Rolling investors' share of that premium (EUR m)</t>
        </is>
      </c>
      <c r="C24" s="100">
        <f>C23*'The election'!C25</f>
        <v/>
      </c>
    </row>
    <row r="25" ht="15" customHeight="1" s="87">
      <c r="A25" s="92" t="inlineStr">
        <is>
          <t>Earnings the pipeline must deliver to justify it, at the old multiple</t>
        </is>
      </c>
      <c r="C25" s="109">
        <f>'Price and structure'!C12/C20</f>
        <v/>
      </c>
    </row>
    <row r="26" ht="15" customHeight="1" s="87">
      <c r="A26" s="104" t="inlineStr">
        <is>
          <t>Earnings growth that implies from today</t>
        </is>
      </c>
      <c r="C26" s="120">
        <f>C25/'The situation'!D14-1</f>
        <v/>
      </c>
    </row>
    <row r="27" ht="15" customHeight="1" s="87">
      <c r="A27" s="92" t="inlineStr">
        <is>
          <t>Against the sponsor's three-year case</t>
        </is>
      </c>
      <c r="C27" s="113">
        <f>'The situation'!E14/'The situation'!D14-1</f>
        <v/>
      </c>
    </row>
    <row r="28" ht="15" customHeight="1" s="87">
      <c r="A28" s="104" t="inlineStr">
        <is>
          <t>Does the sponsor's own case clear the premium?</t>
        </is>
      </c>
      <c r="C28" s="107">
        <f>IF(C27&gt;=C26,"yes — with room to spare","no — the case only just covers the premium")</f>
        <v/>
      </c>
    </row>
    <row r="29" ht="15" customHeight="1" s="87"/>
    <row r="30" ht="15" customHeight="1" s="87">
      <c r="A30" s="91" t="inlineStr">
        <is>
          <t>Scrutiny two — the leverage rolling investors did not choose</t>
        </is>
      </c>
    </row>
    <row r="31" ht="15" customHeight="1" s="87">
      <c r="A31" s="92" t="inlineStr">
        <is>
          <t>Net debt before (EUR m)</t>
        </is>
      </c>
      <c r="C31" s="109">
        <f>'Price and structure'!C29</f>
        <v/>
      </c>
    </row>
    <row r="32" ht="15" customHeight="1" s="87">
      <c r="A32" s="92" t="inlineStr">
        <is>
          <t>Net debt at closing (EUR m)</t>
        </is>
      </c>
      <c r="C32" s="109">
        <f>'Price and structure'!D29</f>
        <v/>
      </c>
    </row>
    <row r="33" ht="15" customHeight="1" s="87">
      <c r="A33" s="104" t="inlineStr">
        <is>
          <t>Increase (EUR m)</t>
        </is>
      </c>
      <c r="C33" s="100">
        <f>C32-C31</f>
        <v/>
      </c>
    </row>
    <row r="34" ht="15" customHeight="1" s="87">
      <c r="A34" s="92" t="inlineStr">
        <is>
          <t>Increase as a share of the vehicle's equity</t>
        </is>
      </c>
      <c r="C34" s="113">
        <f>C33/'Price and structure'!C13</f>
        <v/>
      </c>
    </row>
    <row r="35" ht="15" customHeight="1" s="87">
      <c r="A35" s="92" t="inlineStr">
        <is>
          <t>Equity that increase replaced (EUR m)</t>
        </is>
      </c>
      <c r="C35" s="109">
        <f>C33</f>
        <v/>
      </c>
    </row>
    <row r="36" ht="15" customHeight="1" s="87">
      <c r="A36" s="92" t="inlineStr">
        <is>
          <t>Enterprise value at which the extra debt is fully absorbed (EUR m)</t>
        </is>
      </c>
      <c r="C36" s="109">
        <f>'Price and structure'!C12</f>
        <v/>
      </c>
    </row>
    <row r="37" ht="15" customHeight="1" s="87">
      <c r="A37" s="92" t="inlineStr">
        <is>
          <t>Fall in enterprise value that wipes out rolling investors' equity, before</t>
        </is>
      </c>
      <c r="C37" s="113">
        <f>1-C31/'Price and structure'!C12</f>
        <v/>
      </c>
    </row>
    <row r="38" ht="15" customHeight="1" s="87">
      <c r="A38" s="104" t="inlineStr">
        <is>
          <t>Fall in enterprise value that wipes it out, after</t>
        </is>
      </c>
      <c r="C38" s="120">
        <f>1-C32/'Price and structure'!C12</f>
        <v/>
      </c>
    </row>
    <row r="39" ht="15" customHeight="1" s="87">
      <c r="A39" s="104" t="inlineStr">
        <is>
          <t>Cushion given up</t>
        </is>
      </c>
      <c r="C39" s="120">
        <f>C37-C38</f>
        <v/>
      </c>
    </row>
    <row r="40" ht="15" customHeight="1" s="87"/>
    <row r="41" ht="15" customHeight="1" s="87">
      <c r="A41" s="91" t="inlineStr">
        <is>
          <t>Scrutiny three — the deployment clock</t>
        </is>
      </c>
    </row>
    <row r="42" ht="15" customHeight="1" s="87">
      <c r="A42" s="92" t="inlineStr">
        <is>
          <t>Unfunded capacity for acquisitions (EUR m)</t>
        </is>
      </c>
      <c r="C42" s="136">
        <f>'Price and structure'!C44</f>
        <v/>
      </c>
    </row>
    <row r="43" ht="15" customHeight="1" s="87">
      <c r="A43" s="92" t="inlineStr">
        <is>
          <t>Vehicle term (months)</t>
        </is>
      </c>
      <c r="C43" s="102">
        <f>'Price and structure'!C41*12</f>
        <v/>
      </c>
    </row>
    <row r="44" ht="15" customHeight="1" s="87">
      <c r="A44" s="92" t="inlineStr">
        <is>
          <t>Months from month thirty to the end of the term (the month a four-year term seems to allow)</t>
        </is>
      </c>
      <c r="C44" s="103" t="n">
        <v>18</v>
      </c>
    </row>
    <row r="45" ht="15" customHeight="1" s="87">
      <c r="A45" s="104" t="inlineStr">
        <is>
          <t>Month thirty</t>
        </is>
      </c>
      <c r="C45" s="119">
        <f>C43-C44</f>
        <v/>
      </c>
    </row>
    <row r="46" ht="15" customHeight="1" s="87">
      <c r="A46" s="92" t="inlineStr">
        <is>
          <t>The chapter's figure</t>
        </is>
      </c>
      <c r="C46" s="94" t="n">
        <v>30</v>
      </c>
    </row>
    <row r="47" ht="15" customHeight="1" s="87">
      <c r="A47" s="92" t="inlineStr">
        <is>
          <t>Acquisitions the thesis requires</t>
        </is>
      </c>
      <c r="C47" s="94" t="n">
        <v>2</v>
      </c>
    </row>
    <row r="48" ht="15" customHeight="1" s="87">
      <c r="A48" s="92" t="inlineStr">
        <is>
          <t>Average deployment per acquisition (EUR m)</t>
        </is>
      </c>
      <c r="C48" s="109">
        <f>C42/C47</f>
        <v/>
      </c>
    </row>
    <row r="49" ht="15" customHeight="1" s="87">
      <c r="A49" s="104" t="inlineStr">
        <is>
          <t>Months available per acquisition</t>
        </is>
      </c>
      <c r="C49" s="100">
        <f>C45/C47</f>
        <v/>
      </c>
    </row>
    <row r="50" ht="15" customHeight="1" s="87">
      <c r="A50" s="92" t="inlineStr">
        <is>
          <t>Deployment rate required (EUR m per month)</t>
        </is>
      </c>
      <c r="C50" s="109">
        <f>C42/C45</f>
        <v/>
      </c>
    </row>
    <row r="51" ht="15" customHeight="1" s="87">
      <c r="A51" s="92" t="inlineStr">
        <is>
          <t>Months bought by both extensions</t>
        </is>
      </c>
      <c r="C51" s="102">
        <f>'Price and structure'!C42*12</f>
        <v/>
      </c>
    </row>
    <row r="52" ht="15" customHeight="1" s="87">
      <c r="A52" s="92" t="inlineStr">
        <is>
          <t>Latest close if both extensions are granted</t>
        </is>
      </c>
      <c r="C52" s="102">
        <f>C45+C51</f>
        <v/>
      </c>
    </row>
    <row r="53" ht="15" customHeight="1" s="87">
      <c r="A53" s="92" t="inlineStr">
        <is>
          <t>Extensions require whose consent?</t>
        </is>
      </c>
      <c r="C53" s="89" t="inlineStr">
        <is>
          <t>the advisory committee</t>
        </is>
      </c>
    </row>
    <row r="54"/>
    <row r="55" ht="15" customHeight="1" s="87">
      <c r="A55" s="92" t="inlineStr">
        <is>
          <t>Chapter 17's clock: the asset must be exit-ready by (month)</t>
        </is>
      </c>
      <c r="C55" s="119">
        <f>C43-24</f>
        <v/>
      </c>
    </row>
    <row r="56" ht="15" customHeight="1" s="87">
      <c r="A56" s="92" t="inlineStr">
        <is>
          <t>Month thirty falls after the exit-ready date by (months)</t>
        </is>
      </c>
      <c r="C56" s="119">
        <f>C45-C55</f>
        <v/>
      </c>
    </row>
    <row r="57" ht="15" customHeight="1" s="87">
      <c r="A57" s="92" t="inlineStr">
        <is>
          <t>Months an acquisition needs before it is value to a buyer (ADDED: the book gives none)</t>
        </is>
      </c>
      <c r="C57" s="103" t="n">
        <v>12</v>
      </c>
    </row>
    <row r="58" ht="15" customHeight="1" s="87">
      <c r="A58" s="92" t="inlineStr">
        <is>
          <t>Latest close on Chapter 17's clock, the book's month twenty-four less integration (month)</t>
        </is>
      </c>
      <c r="C58" s="119">
        <f>C55-C57</f>
        <v/>
      </c>
    </row>
  </sheetData>
  <mergeCells count="1">
    <mergeCell ref="G5:G5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H56"/>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13" customWidth="1" style="86" min="1" max="1"/>
    <col width="56" customWidth="1" style="86" min="2" max="2"/>
    <col width="16" customWidth="1" style="86" min="3" max="4"/>
    <col width="13" customWidth="1" style="86" min="5" max="6"/>
    <col width="3" customWidth="1" style="86" min="7" max="7"/>
    <col width="46" customWidth="1" style="86" min="8" max="8"/>
  </cols>
  <sheetData>
    <row r="1" ht="17.35" customHeight="1" s="87">
      <c r="A1" s="88" t="inlineStr">
        <is>
          <t>Checks — every figure this workbook recomputes against the chapter</t>
        </is>
      </c>
    </row>
    <row r="2" ht="15" customHeight="1" s="87">
      <c r="A2" s="89" t="inlineStr">
        <is>
          <t>The Continuation Fund Handbook — companion workbook 1</t>
        </is>
      </c>
    </row>
    <row r="3"/>
    <row r="4" ht="27.75" customHeight="1" s="87">
      <c r="A4" s="95" t="inlineStr">
        <is>
          <t>Source</t>
        </is>
      </c>
      <c r="B4" s="96" t="inlineStr">
        <is>
          <t>Figure as the book prints it</t>
        </is>
      </c>
      <c r="C4" s="96" t="inlineStr">
        <is>
          <t>Printed</t>
        </is>
      </c>
      <c r="D4" s="96" t="inlineStr">
        <is>
          <t>Computed</t>
        </is>
      </c>
      <c r="E4" s="96" t="inlineStr">
        <is>
          <t>Variance</t>
        </is>
      </c>
      <c r="F4" s="96" t="inlineStr">
        <is>
          <t>Status</t>
        </is>
      </c>
      <c r="H4" s="91" t="inlineStr">
        <is>
          <t>How the tolerances are set</t>
        </is>
      </c>
    </row>
    <row r="5" ht="15" customHeight="1" s="87">
      <c r="A5" s="145" t="inlineStr">
        <is>
          <t>Ch. 18</t>
        </is>
      </c>
      <c r="B5" s="146" t="inlineStr">
        <is>
          <t>Entry enterprise value: 11 times EBITDA of EUR 12.7m</t>
        </is>
      </c>
      <c r="C5" s="147" t="n">
        <v>140</v>
      </c>
      <c r="D5" s="148">
        <f>'The situation'!C16</f>
        <v/>
      </c>
      <c r="E5" s="149">
        <f>D5-C5</f>
        <v/>
      </c>
      <c r="F5" s="150">
        <f>IF(ABS(E5)&lt;=0.5,"reproduced",IF(ABS(E5)&lt;=0.5*5,"rounding","CHECK"))</f>
        <v/>
      </c>
      <c r="H5" s="90" t="inlineStr">
        <is>
          <t>Tolerance is set line by line to the precision the chapter actually prints.
Money printed to one decimal is checked to 0.05; to the nearest million, to 0.5. A multiple printed to one decimal is checked to 0.05. A percentage printed whole is checked to 0.005.
The four sell-now figures carry a tolerance of 5. The chapter prints the range as roughly EUR 400 to 435 million of enterprise value and EUR 305 to 340 million of equity, while 13 and 14 times EUR 31 million give 403 and 434, and 308 and 339 after net debt. A range rounded to the nearest five is checked at that precision and not at a false one.
Revised 26 September 2026 to match the corrected manuscript. The chapter now prints the syndicate's EUR 209.2 million and the sellers' EUR 190.7 million to one decimal, both reproduced. It also prints Meridian III's total equity cost in Thalia (EUR 136 million) and the EUR 62.5 million holdback, so the EUR 31.2 million of carry is now computed on the election sheet, not typed in, and the carry split (EUR 18.4 million in cash, EUR 12.8 million rolled, EUR 9.0 million subscribed back, EUR 9.4 million retained) is checked line by line. The only figure still inferred rather than printed is the holding period of seven years on The situation.</t>
        </is>
      </c>
    </row>
    <row r="6" ht="15" customHeight="1" s="87">
      <c r="A6" s="151" t="inlineStr">
        <is>
          <t>Ch. 18</t>
        </is>
      </c>
      <c r="B6" s="152" t="inlineStr">
        <is>
          <t>Sell now, enterprise value at 13 times</t>
        </is>
      </c>
      <c r="C6" s="153" t="n">
        <v>400</v>
      </c>
      <c r="D6" s="154">
        <f>'The situation'!E31</f>
        <v/>
      </c>
      <c r="E6" s="155">
        <f>D6-C6</f>
        <v/>
      </c>
      <c r="F6" s="156">
        <f>IF(ABS(E6)&lt;=5,"reproduced",IF(ABS(E6)&lt;=5*5,"rounding","CHECK"))</f>
        <v/>
      </c>
    </row>
    <row r="7" ht="15" customHeight="1" s="87">
      <c r="A7" s="145" t="inlineStr">
        <is>
          <t>Ch. 18</t>
        </is>
      </c>
      <c r="B7" s="146" t="inlineStr">
        <is>
          <t>Sell now, enterprise value at 14 times</t>
        </is>
      </c>
      <c r="C7" s="157" t="n">
        <v>435</v>
      </c>
      <c r="D7" s="158">
        <f>'The situation'!F31</f>
        <v/>
      </c>
      <c r="E7" s="159">
        <f>D7-C7</f>
        <v/>
      </c>
      <c r="F7" s="150">
        <f>IF(ABS(E7)&lt;=5,"reproduced",IF(ABS(E7)&lt;=5*5,"rounding","CHECK"))</f>
        <v/>
      </c>
    </row>
    <row r="8" ht="15" customHeight="1" s="87">
      <c r="A8" s="151" t="inlineStr">
        <is>
          <t>Ch. 18</t>
        </is>
      </c>
      <c r="B8" s="152" t="inlineStr">
        <is>
          <t>Sell now, equity at 13 times after EUR 95m of net debt</t>
        </is>
      </c>
      <c r="C8" s="153" t="n">
        <v>305</v>
      </c>
      <c r="D8" s="154">
        <f>'The situation'!G31</f>
        <v/>
      </c>
      <c r="E8" s="155">
        <f>D8-C8</f>
        <v/>
      </c>
      <c r="F8" s="156">
        <f>IF(ABS(E8)&lt;=5,"reproduced",IF(ABS(E8)&lt;=5*5,"rounding","CHECK"))</f>
        <v/>
      </c>
    </row>
    <row r="9" ht="15" customHeight="1" s="87">
      <c r="A9" s="145" t="inlineStr">
        <is>
          <t>Ch. 18</t>
        </is>
      </c>
      <c r="B9" s="146" t="inlineStr">
        <is>
          <t>Sell now, equity at 14 times after net debt</t>
        </is>
      </c>
      <c r="C9" s="157" t="n">
        <v>340</v>
      </c>
      <c r="D9" s="158">
        <f>'The situation'!H31</f>
        <v/>
      </c>
      <c r="E9" s="159">
        <f>D9-C9</f>
        <v/>
      </c>
      <c r="F9" s="150">
        <f>IF(ABS(E9)&lt;=5,"reproduced",IF(ABS(E9)&lt;=5*5,"rounding","CHECK"))</f>
        <v/>
      </c>
    </row>
    <row r="10" ht="15" customHeight="1" s="87">
      <c r="A10" s="151" t="inlineStr">
        <is>
          <t>Ch. 18</t>
        </is>
      </c>
      <c r="B10" s="152" t="inlineStr">
        <is>
          <t>Sale process best offer at 13.2 times: enterprise value</t>
        </is>
      </c>
      <c r="C10" s="160" t="n">
        <v>409</v>
      </c>
      <c r="D10" s="161">
        <f>'The process'!C9</f>
        <v/>
      </c>
      <c r="E10" s="162">
        <f>D10-C10</f>
        <v/>
      </c>
      <c r="F10" s="156">
        <f>IF(ABS(E10)&lt;=0.5,"reproduced",IF(ABS(E10)&lt;=0.5*5,"rounding","CHECK"))</f>
        <v/>
      </c>
    </row>
    <row r="11" ht="15" customHeight="1" s="87">
      <c r="A11" s="145" t="inlineStr">
        <is>
          <t>Ch. 18</t>
        </is>
      </c>
      <c r="B11" s="146" t="inlineStr">
        <is>
          <t>Sale process best offer: equity</t>
        </is>
      </c>
      <c r="C11" s="147" t="n">
        <v>314</v>
      </c>
      <c r="D11" s="148">
        <f>'The process'!C10</f>
        <v/>
      </c>
      <c r="E11" s="149">
        <f>D11-C11</f>
        <v/>
      </c>
      <c r="F11" s="150">
        <f>IF(ABS(E11)&lt;=0.5,"reproduced",IF(ABS(E11)&lt;=0.5*5,"rounding","CHECK"))</f>
        <v/>
      </c>
    </row>
    <row r="12" ht="15" customHeight="1" s="87">
      <c r="A12" s="151" t="inlineStr">
        <is>
          <t>Ch. 18</t>
        </is>
      </c>
      <c r="B12" s="152" t="inlineStr">
        <is>
          <t>First round indications at 13.0 times: enterprise value</t>
        </is>
      </c>
      <c r="C12" s="160" t="n">
        <v>403</v>
      </c>
      <c r="D12" s="161">
        <f>'The process'!F31</f>
        <v/>
      </c>
      <c r="E12" s="162">
        <f>D12-C12</f>
        <v/>
      </c>
      <c r="F12" s="156">
        <f>IF(ABS(E12)&lt;=0.5,"reproduced",IF(ABS(E12)&lt;=0.5*5,"rounding","CHECK"))</f>
        <v/>
      </c>
    </row>
    <row r="13" ht="15" customHeight="1" s="87">
      <c r="A13" s="145" t="inlineStr">
        <is>
          <t>Ch. 18</t>
        </is>
      </c>
      <c r="B13" s="146" t="inlineStr">
        <is>
          <t>First round indications at 15.1 times: enterprise value</t>
        </is>
      </c>
      <c r="C13" s="147" t="n">
        <v>468</v>
      </c>
      <c r="D13" s="148">
        <f>'The process'!G31</f>
        <v/>
      </c>
      <c r="E13" s="149">
        <f>D13-C13</f>
        <v/>
      </c>
      <c r="F13" s="150">
        <f>IF(ABS(E13)&lt;=0.5,"reproduced",IF(ABS(E13)&lt;=0.5*5,"rounding","CHECK"))</f>
        <v/>
      </c>
    </row>
    <row r="14" ht="15" customHeight="1" s="87">
      <c r="A14" s="151" t="inlineStr">
        <is>
          <t>Ch. 18</t>
        </is>
      </c>
      <c r="B14" s="152" t="inlineStr">
        <is>
          <t>First round spread</t>
        </is>
      </c>
      <c r="C14" s="163" t="n">
        <v>0.16</v>
      </c>
      <c r="D14" s="164">
        <f>'The process'!E31</f>
        <v/>
      </c>
      <c r="E14" s="165">
        <f>D14-C14</f>
        <v/>
      </c>
      <c r="F14" s="156">
        <f>IF(ABS(E14)&lt;=0.005,"reproduced",IF(ABS(E14)&lt;=0.005*5,"rounding","CHECK"))</f>
        <v/>
      </c>
    </row>
    <row r="15" ht="15" customHeight="1" s="87">
      <c r="A15" s="145" t="inlineStr">
        <is>
          <t>Ch. 18</t>
        </is>
      </c>
      <c r="B15" s="146" t="inlineStr">
        <is>
          <t>Final round spread</t>
        </is>
      </c>
      <c r="C15" s="166" t="n">
        <v>0.04</v>
      </c>
      <c r="D15" s="167">
        <f>'The process'!E32</f>
        <v/>
      </c>
      <c r="E15" s="168">
        <f>D15-C15</f>
        <v/>
      </c>
      <c r="F15" s="150">
        <f>IF(ABS(E15)&lt;=0.005,"reproduced",IF(ABS(E15)&lt;=0.005*5,"rounding","CHECK"))</f>
        <v/>
      </c>
    </row>
    <row r="16" ht="15" customHeight="1" s="87">
      <c r="A16" s="151" t="inlineStr">
        <is>
          <t>Ch. 18</t>
        </is>
      </c>
      <c r="B16" s="152" t="inlineStr">
        <is>
          <t>Parties that submitted indications</t>
        </is>
      </c>
      <c r="C16" s="169" t="n">
        <v>5</v>
      </c>
      <c r="D16" s="170">
        <f>'The process'!C25</f>
        <v/>
      </c>
      <c r="E16" s="171">
        <f>D16-C16</f>
        <v/>
      </c>
      <c r="F16" s="156">
        <f>IF(ABS(E16)&lt;=0.0001,"reproduced",IF(ABS(E16)&lt;=0.0001*5,"rounding","CHECK"))</f>
        <v/>
      </c>
    </row>
    <row r="17" ht="15" customHeight="1" s="87">
      <c r="A17" s="145" t="inlineStr">
        <is>
          <t>Ch. 18</t>
        </is>
      </c>
      <c r="B17" s="146" t="inlineStr">
        <is>
          <t>Agreed at 14.5 times: enterprise value</t>
        </is>
      </c>
      <c r="C17" s="147" t="n">
        <v>449.5</v>
      </c>
      <c r="D17" s="148">
        <f>'Price and structure'!C12</f>
        <v/>
      </c>
      <c r="E17" s="149">
        <f>D17-C17</f>
        <v/>
      </c>
      <c r="F17" s="150">
        <f>IF(ABS(E17)&lt;=0.05,"reproduced",IF(ABS(E17)&lt;=0.05*5,"rounding","CHECK"))</f>
        <v/>
      </c>
    </row>
    <row r="18" ht="15" customHeight="1" s="87">
      <c r="A18" s="151" t="inlineStr">
        <is>
          <t>Ch. 18</t>
        </is>
      </c>
      <c r="B18" s="152" t="inlineStr">
        <is>
          <t>Agreed at 14.5 times: equity</t>
        </is>
      </c>
      <c r="C18" s="160" t="n">
        <v>354.5</v>
      </c>
      <c r="D18" s="161">
        <f>'Price and structure'!C13</f>
        <v/>
      </c>
      <c r="E18" s="162">
        <f>D18-C18</f>
        <v/>
      </c>
      <c r="F18" s="156">
        <f>IF(ABS(E18)&lt;=0.05,"reproduced",IF(ABS(E18)&lt;=0.05*5,"rounding","CHECK"))</f>
        <v/>
      </c>
    </row>
    <row r="19" ht="15" customHeight="1" s="87">
      <c r="A19" s="145" t="inlineStr">
        <is>
          <t>Ch. 18</t>
        </is>
      </c>
      <c r="B19" s="146" t="inlineStr">
        <is>
          <t>The agreed price sits inside the independent valuation range</t>
        </is>
      </c>
      <c r="C19" s="172" t="n">
        <v>1</v>
      </c>
      <c r="D19" s="173">
        <f>IF('Price and structure'!C21="yes",1,0)</f>
        <v/>
      </c>
      <c r="E19" s="174">
        <f>D19-C19</f>
        <v/>
      </c>
      <c r="F19" s="150">
        <f>IF(ABS(E19)&lt;=0.0001,"reproduced",IF(ABS(E19)&lt;=0.0001*5,"rounding","CHECK"))</f>
        <v/>
      </c>
    </row>
    <row r="20" ht="15" customHeight="1" s="87">
      <c r="A20" s="151" t="inlineStr">
        <is>
          <t>Ch. 18</t>
        </is>
      </c>
      <c r="B20" s="152" t="inlineStr">
        <is>
          <t>Independent valuation range in enterprise value, low</t>
        </is>
      </c>
      <c r="C20" s="160" t="n">
        <v>421.6</v>
      </c>
      <c r="D20" s="161">
        <f>'Price and structure'!C20</f>
        <v/>
      </c>
      <c r="E20" s="162">
        <f>D20-C20</f>
        <v/>
      </c>
      <c r="F20" s="156">
        <f>IF(ABS(E20)&lt;=0.05,"reproduced",IF(ABS(E20)&lt;=0.05*5,"rounding","CHECK"))</f>
        <v/>
      </c>
    </row>
    <row r="21" ht="15" customHeight="1" s="87">
      <c r="A21" s="145" t="inlineStr">
        <is>
          <t>Ch. 18</t>
        </is>
      </c>
      <c r="B21" s="146" t="inlineStr">
        <is>
          <t>Independent valuation range in enterprise value, high</t>
        </is>
      </c>
      <c r="C21" s="147" t="n">
        <v>465</v>
      </c>
      <c r="D21" s="148">
        <f>'Price and structure'!D20</f>
        <v/>
      </c>
      <c r="E21" s="149">
        <f>D21-C21</f>
        <v/>
      </c>
      <c r="F21" s="150">
        <f>IF(ABS(E21)&lt;=0.05,"reproduced",IF(ABS(E21)&lt;=0.05*5,"rounding","CHECK"))</f>
        <v/>
      </c>
    </row>
    <row r="22" ht="15" customHeight="1" s="87">
      <c r="A22" s="151" t="inlineStr">
        <is>
          <t>Ch. 18</t>
        </is>
      </c>
      <c r="B22" s="152" t="inlineStr">
        <is>
          <t>Election outcomes: 41 roll, 54 sell, 5 do not respond</t>
        </is>
      </c>
      <c r="C22" s="163" t="n">
        <v>1</v>
      </c>
      <c r="D22" s="164">
        <f>'The election'!C23</f>
        <v/>
      </c>
      <c r="E22" s="165">
        <f>D22-C22</f>
        <v/>
      </c>
      <c r="F22" s="156">
        <f>IF(ABS(E22)&lt;=0.0001,"reproduced",IF(ABS(E22)&lt;=0.0001*5,"rounding","CHECK"))</f>
        <v/>
      </c>
    </row>
    <row r="23" ht="15" customHeight="1" s="87">
      <c r="A23" s="145" t="inlineStr">
        <is>
          <t>Ch. 18</t>
        </is>
      </c>
      <c r="B23" s="146" t="inlineStr">
        <is>
          <t>Syndicate equity funded: 59 per cent of gross equity</t>
        </is>
      </c>
      <c r="C23" s="147" t="n">
        <v>209.2</v>
      </c>
      <c r="D23" s="148">
        <f>'The election'!C32</f>
        <v/>
      </c>
      <c r="E23" s="149">
        <f>D23-C23</f>
        <v/>
      </c>
      <c r="F23" s="150">
        <f>IF(ABS(E23)&lt;=0.05,"reproduced",IF(ABS(E23)&lt;=0.05*5,"rounding","CHECK"))</f>
        <v/>
      </c>
    </row>
    <row r="24" ht="15" customHeight="1" s="87">
      <c r="A24" s="151" t="inlineStr">
        <is>
          <t>Ch. 18</t>
        </is>
      </c>
      <c r="B24" s="152" t="inlineStr">
        <is>
          <t>Proceeds to selling investors: 59 per cent of equity net of carry</t>
        </is>
      </c>
      <c r="C24" s="160" t="n">
        <v>190.7</v>
      </c>
      <c r="D24" s="161">
        <f>'The election'!C34</f>
        <v/>
      </c>
      <c r="E24" s="162">
        <f>D24-C24</f>
        <v/>
      </c>
      <c r="F24" s="156">
        <f>IF(ABS(E24)&lt;=0.05,"reproduced",IF(ABS(E24)&lt;=0.05*5,"rounding","CHECK"))</f>
        <v/>
      </c>
    </row>
    <row r="25" ht="15" customHeight="1" s="87">
      <c r="A25" s="145" t="inlineStr">
        <is>
          <t>Ch. 18</t>
        </is>
      </c>
      <c r="B25" s="146" t="inlineStr">
        <is>
          <t>Crystallised carried interest reinvested at 70 per cent</t>
        </is>
      </c>
      <c r="C25" s="147" t="n">
        <v>21.8</v>
      </c>
      <c r="D25" s="148">
        <f>'The election'!C42</f>
        <v/>
      </c>
      <c r="E25" s="149">
        <f>D25-C25</f>
        <v/>
      </c>
      <c r="F25" s="150">
        <f>IF(ABS(E25)&lt;=0.05,"reproduced",IF(ABS(E25)&lt;=0.05*5,"rounding","CHECK"))</f>
        <v/>
      </c>
    </row>
    <row r="26" ht="15" customHeight="1" s="87">
      <c r="A26" s="151" t="inlineStr">
        <is>
          <t>Ch. 18</t>
        </is>
      </c>
      <c r="B26" s="152" t="inlineStr">
        <is>
          <t>A EUR 10m commitment: attributable Thalia value</t>
        </is>
      </c>
      <c r="C26" s="160" t="n">
        <v>4.2</v>
      </c>
      <c r="D26" s="161">
        <f>'The election'!C51</f>
        <v/>
      </c>
      <c r="E26" s="162">
        <f>D26-C26</f>
        <v/>
      </c>
      <c r="F26" s="156">
        <f>IF(ABS(E26)&lt;=0.05,"reproduced",IF(ABS(E26)&lt;=0.05*5,"rounding","CHECK"))</f>
        <v/>
      </c>
    </row>
    <row r="27" ht="15" customHeight="1" s="87">
      <c r="A27" s="145" t="inlineStr">
        <is>
          <t>Ch. 18</t>
        </is>
      </c>
      <c r="B27" s="146" t="inlineStr">
        <is>
          <t>Attributed cost of a EUR 10m commitment: 1.18 per cent of EUR 136m</t>
        </is>
      </c>
      <c r="C27" s="147" t="n">
        <v>1.6</v>
      </c>
      <c r="D27" s="148">
        <f>'The election'!C52</f>
        <v/>
      </c>
      <c r="E27" s="149">
        <f>D27-C27</f>
        <v/>
      </c>
      <c r="F27" s="150">
        <f>IF(ABS(E27)&lt;=0.05,"reproduced",IF(ABS(E27)&lt;=0.05*5,"rounding","CHECK"))</f>
        <v/>
      </c>
    </row>
    <row r="28" ht="15" customHeight="1" s="87">
      <c r="A28" s="151" t="inlineStr">
        <is>
          <t>Ch. 18</t>
        </is>
      </c>
      <c r="B28" s="152" t="inlineStr">
        <is>
          <t>The investor's gross multiple equals the whole position's</t>
        </is>
      </c>
      <c r="C28" s="169" t="n">
        <v>1</v>
      </c>
      <c r="D28" s="170">
        <f>IF('The election'!C57="yes — the investor is a scaled-down version of the fund",1,0)</f>
        <v/>
      </c>
      <c r="E28" s="171">
        <f>D28-C28</f>
        <v/>
      </c>
      <c r="F28" s="156">
        <f>IF(ABS(E28)&lt;=0.0001,"reproduced",IF(ABS(E28)&lt;=0.0001*5,"rounding","CHECK"))</f>
        <v/>
      </c>
    </row>
    <row r="29" ht="15" customHeight="1" s="87">
      <c r="A29" s="145" t="inlineStr">
        <is>
          <t>Ch. 18</t>
        </is>
      </c>
      <c r="B29" s="146" t="inlineStr">
        <is>
          <t>Leverage rises from EUR 95m to EUR 120m</t>
        </is>
      </c>
      <c r="C29" s="147" t="n">
        <v>25</v>
      </c>
      <c r="D29" s="148">
        <f>'What deserved scrutiny'!C33</f>
        <v/>
      </c>
      <c r="E29" s="149">
        <f>D29-C29</f>
        <v/>
      </c>
      <c r="F29" s="150">
        <f>IF(ABS(E29)&lt;=0.05,"reproduced",IF(ABS(E29)&lt;=0.05*5,"rounding","CHECK"))</f>
        <v/>
      </c>
    </row>
    <row r="30" ht="15" customHeight="1" s="87">
      <c r="A30" s="151" t="inlineStr">
        <is>
          <t>Ch. 18</t>
        </is>
      </c>
      <c r="B30" s="152" t="inlineStr">
        <is>
          <t>Entry premium over the third-party bid, in turns</t>
        </is>
      </c>
      <c r="C30" s="175" t="n">
        <v>1.3</v>
      </c>
      <c r="D30" s="176">
        <f>'What deserved scrutiny'!C21</f>
        <v/>
      </c>
      <c r="E30" s="177">
        <f>D30-C30</f>
        <v/>
      </c>
      <c r="F30" s="156">
        <f>IF(ABS(E30)&lt;=0.05,"reproduced",IF(ABS(E30)&lt;=0.05*5,"rounding","CHECK"))</f>
        <v/>
      </c>
    </row>
    <row r="31" ht="15" customHeight="1" s="87">
      <c r="A31" s="145" t="inlineStr">
        <is>
          <t>Ch. 18</t>
        </is>
      </c>
      <c r="B31" s="146" t="inlineStr">
        <is>
          <t>Month thirty, which a four-year term seems to allow, falls in the sale-process year</t>
        </is>
      </c>
      <c r="C31" s="172" t="n">
        <v>30</v>
      </c>
      <c r="D31" s="173">
        <f>'What deserved scrutiny'!C45</f>
        <v/>
      </c>
      <c r="E31" s="174">
        <f>D31-C31</f>
        <v/>
      </c>
      <c r="F31" s="150">
        <f>IF(ABS(E31)&lt;=0.0001,"reproduced",IF(ABS(E31)&lt;=0.0001*5,"rounding","CHECK"))</f>
        <v/>
      </c>
    </row>
    <row r="32" ht="15" customHeight="1" s="87">
      <c r="A32" s="151" t="inlineStr">
        <is>
          <t>Ch. 18</t>
        </is>
      </c>
      <c r="B32" s="152" t="inlineStr">
        <is>
          <t>All seven markers of defensibility are present</t>
        </is>
      </c>
      <c r="C32" s="169" t="n">
        <v>7</v>
      </c>
      <c r="D32" s="170">
        <f>'What deserved scrutiny'!C14</f>
        <v/>
      </c>
      <c r="E32" s="171">
        <f>D32-C32</f>
        <v/>
      </c>
      <c r="F32" s="156">
        <f>IF(ABS(E32)&lt;=0.0001,"reproduced",IF(ABS(E32)&lt;=0.0001*5,"rounding","CHECK"))</f>
        <v/>
      </c>
    </row>
    <row r="33" ht="15" customHeight="1" s="87">
      <c r="A33" s="145" t="inlineStr">
        <is>
          <t>Ch. 18</t>
        </is>
      </c>
      <c r="B33" s="146" t="inlineStr">
        <is>
          <t>Value bridge: earnings growth times multiple expansion</t>
        </is>
      </c>
      <c r="C33" s="178" t="n">
        <v>3.2176</v>
      </c>
      <c r="D33" s="179">
        <f>'The situation'!C44</f>
        <v/>
      </c>
      <c r="E33" s="180">
        <f>D33-C33</f>
        <v/>
      </c>
      <c r="F33" s="150">
        <f>IF(ABS(E33)&lt;=0.005,"reproduced",IF(ABS(E33)&lt;=0.005*5,"rounding","CHECK"))</f>
        <v/>
      </c>
    </row>
    <row r="34" ht="15" customHeight="1" s="87">
      <c r="A34" s="151" t="inlineStr">
        <is>
          <t>Ch. 18</t>
        </is>
      </c>
      <c r="B34" s="152" t="inlineStr">
        <is>
          <t>Sponsor's three-year case clears the entry premium</t>
        </is>
      </c>
      <c r="C34" s="169" t="n">
        <v>1</v>
      </c>
      <c r="D34" s="170">
        <f>IF('What deserved scrutiny'!C28="yes — with room to spare",1,0)</f>
        <v/>
      </c>
      <c r="E34" s="171">
        <f>D34-C34</f>
        <v/>
      </c>
      <c r="F34" s="156">
        <f>IF(ABS(E34)&lt;=0.0001,"reproduced",IF(ABS(E34)&lt;=0.0001*5,"rounding","CHECK"))</f>
        <v/>
      </c>
    </row>
    <row r="35" ht="15" customHeight="1" s="87">
      <c r="A35" s="151" t="inlineStr">
        <is>
          <t>Ch. 18</t>
        </is>
      </c>
      <c r="B35" s="152" t="inlineStr">
        <is>
          <t>Of the five, parties with no prior co-investment</t>
        </is>
      </c>
      <c r="C35" s="169" t="n">
        <v>3</v>
      </c>
      <c r="D35" s="170">
        <f>'The process'!C26</f>
        <v/>
      </c>
      <c r="E35" s="171">
        <f>D35-C35</f>
        <v/>
      </c>
      <c r="F35" s="156">
        <f>IF(ABS(E35)&lt;=0.0001,"reproduced",IF(ABS(E35)&lt;=0.0001*5,"rounding","CHECK"))</f>
        <v/>
      </c>
    </row>
    <row r="36" ht="15" customHeight="1" s="87">
      <c r="A36" s="151" t="inlineStr">
        <is>
          <t>Ch. 18</t>
        </is>
      </c>
      <c r="B36" s="152" t="inlineStr">
        <is>
          <t>A EUR 10m commitment after its share of the carry</t>
        </is>
      </c>
      <c r="C36" s="160" t="n">
        <v>3.8</v>
      </c>
      <c r="D36" s="161">
        <f>'The election'!C60</f>
        <v/>
      </c>
      <c r="E36" s="162">
        <f>D36-C36</f>
        <v/>
      </c>
      <c r="F36" s="156">
        <f>IF(ABS(E36)&lt;=0.05,"reproduced",IF(ABS(E36)&lt;=0.05*5,"rounding","CHECK"))</f>
        <v/>
      </c>
    </row>
    <row r="37" ht="15" customHeight="1" s="87">
      <c r="A37" s="151" t="inlineStr">
        <is>
          <t>Ch. 18</t>
        </is>
      </c>
      <c r="B37" s="152" t="inlineStr">
        <is>
          <t>Final bids as a share of the shortlist: three of four</t>
        </is>
      </c>
      <c r="C37" s="169" t="n">
        <v>0.75</v>
      </c>
      <c r="D37" s="170">
        <f>'The process'!D22</f>
        <v/>
      </c>
      <c r="E37" s="171">
        <f>D37-C37</f>
        <v/>
      </c>
      <c r="F37" s="156">
        <f>IF(ABS(E37)&lt;=0.0001,"reproduced",IF(ABS(E37)&lt;=0.0001*5,"rounding","CHECK"))</f>
        <v/>
      </c>
    </row>
    <row r="38" ht="15" customHeight="1" s="87">
      <c r="A38" s="145" t="inlineStr">
        <is>
          <t>Ch. 17</t>
        </is>
      </c>
      <c r="B38" s="146" t="inlineStr">
        <is>
          <t>Exit-ready month on Chapter 17's clock, four-year term</t>
        </is>
      </c>
      <c r="C38" s="172" t="n">
        <v>24</v>
      </c>
      <c r="D38" s="173">
        <f>'What deserved scrutiny'!C55</f>
        <v/>
      </c>
      <c r="E38" s="174">
        <f>D38-C38</f>
        <v/>
      </c>
      <c r="F38" s="150">
        <f>IF(ABS(E38)&lt;=0.0001,"reproduced",IF(ABS(E38)&lt;=0.0001*5,"rounding","CHECK"))</f>
        <v/>
      </c>
    </row>
    <row r="39">
      <c r="A39" s="181" t="inlineStr">
        <is>
          <t>Ch. 18</t>
        </is>
      </c>
      <c r="B39" s="182" t="inlineStr">
        <is>
          <t>Gain on Thalia: EUR 354.5m less the EUR 136m cost</t>
        </is>
      </c>
      <c r="C39" s="183" t="n">
        <v>218.5</v>
      </c>
      <c r="D39" s="184">
        <f>'The election'!C67</f>
        <v/>
      </c>
      <c r="E39" s="185">
        <f>D39-C39</f>
        <v/>
      </c>
      <c r="F39" s="186">
        <f>IF(ABS(E39)&lt;=0.05,"reproduced",IF(ABS(E39)&lt;=0.05*5,"rounding","CHECK"))</f>
        <v/>
      </c>
    </row>
    <row r="40" ht="15" customHeight="1" s="87">
      <c r="A40" s="181" t="inlineStr">
        <is>
          <t>Ch. 18</t>
        </is>
      </c>
      <c r="B40" s="182" t="inlineStr">
        <is>
          <t>Carry: 20 per cent of (EUR 218.5m less the EUR 62.5m holdback)</t>
        </is>
      </c>
      <c r="C40" s="183" t="n">
        <v>31.2</v>
      </c>
      <c r="D40" s="184">
        <f>'The election'!C70</f>
        <v/>
      </c>
      <c r="E40" s="185">
        <f>D40-C40</f>
        <v/>
      </c>
      <c r="F40" s="186">
        <f>IF(ABS(E40)&lt;=0.05,"reproduced",IF(ABS(E40)&lt;=0.05*5,"rounding","CHECK"))</f>
        <v/>
      </c>
    </row>
    <row r="41" ht="15" customHeight="1" s="87">
      <c r="A41" s="181" t="inlineStr">
        <is>
          <t>Ch. 18</t>
        </is>
      </c>
      <c r="B41" s="182" t="inlineStr">
        <is>
          <t>Equity net of carry: EUR 354.5m less EUR 31.2m</t>
        </is>
      </c>
      <c r="C41" s="183" t="n">
        <v>323.3</v>
      </c>
      <c r="D41" s="184">
        <f>'The election'!C30</f>
        <v/>
      </c>
      <c r="E41" s="185">
        <f>D41-C41</f>
        <v/>
      </c>
      <c r="F41" s="186">
        <f>IF(ABS(E41)&lt;=0.05,"reproduced",IF(ABS(E41)&lt;=0.05*5,"rounding","CHECK"))</f>
        <v/>
      </c>
    </row>
    <row r="42" ht="15" customHeight="1" s="87">
      <c r="A42" s="181" t="inlineStr">
        <is>
          <t>Ch. 18</t>
        </is>
      </c>
      <c r="B42" s="182" t="inlineStr">
        <is>
          <t>Carry attributable to the leaving interests</t>
        </is>
      </c>
      <c r="C42" s="183" t="n">
        <v>18.4</v>
      </c>
      <c r="D42" s="184">
        <f>'The election'!C33</f>
        <v/>
      </c>
      <c r="E42" s="185">
        <f>D42-C42</f>
        <v/>
      </c>
      <c r="F42" s="186">
        <f>IF(ABS(E42)&lt;=0.05,"reproduced",IF(ABS(E42)&lt;=0.05*5,"rounding","CHECK"))</f>
        <v/>
      </c>
    </row>
    <row r="43">
      <c r="A43" s="181" t="inlineStr">
        <is>
          <t>Ch. 18</t>
        </is>
      </c>
      <c r="B43" s="182" t="inlineStr">
        <is>
          <t>Rolling investors carry forward, net of carry</t>
        </is>
      </c>
      <c r="C43" s="183" t="n">
        <v>132.6</v>
      </c>
      <c r="D43" s="184">
        <f>'The election'!C37</f>
        <v/>
      </c>
      <c r="E43" s="185">
        <f>D43-C43</f>
        <v/>
      </c>
      <c r="F43" s="186">
        <f>IF(ABS(E43)&lt;=0.05,"reproduced",IF(ABS(E43)&lt;=0.05*5,"rounding","CHECK"))</f>
        <v/>
      </c>
    </row>
    <row r="44">
      <c r="A44" s="181" t="inlineStr">
        <is>
          <t>Ch. 18</t>
        </is>
      </c>
      <c r="B44" s="182" t="inlineStr">
        <is>
          <t>Carry on the rolling interests, rolled at the transaction price</t>
        </is>
      </c>
      <c r="C44" s="183" t="n">
        <v>12.8</v>
      </c>
      <c r="D44" s="184">
        <f>'The election'!C74</f>
        <v/>
      </c>
      <c r="E44" s="185">
        <f>D44-C44</f>
        <v/>
      </c>
      <c r="F44" s="186">
        <f>IF(ABS(E44)&lt;=0.05,"reproduced",IF(ABS(E44)&lt;=0.05*5,"rounding","CHECK"))</f>
        <v/>
      </c>
    </row>
    <row r="45">
      <c r="A45" s="181" t="inlineStr">
        <is>
          <t>Ch. 18</t>
        </is>
      </c>
      <c r="B45" s="182" t="inlineStr">
        <is>
          <t>Sources: 209.2 + 132.6 + 12.8 make up the equity, to within rounding</t>
        </is>
      </c>
      <c r="C45" s="183" t="n">
        <v>354.5</v>
      </c>
      <c r="D45" s="184">
        <f>'The election'!C75</f>
        <v/>
      </c>
      <c r="E45" s="185">
        <f>D45-C45</f>
        <v/>
      </c>
      <c r="F45" s="186">
        <f>IF(ABS(E45)&lt;=0.05,"reproduced",IF(ABS(E45)&lt;=0.05*5,"rounding","CHECK"))</f>
        <v/>
      </c>
    </row>
    <row r="46">
      <c r="A46" s="181" t="inlineStr">
        <is>
          <t>Ch. 18</t>
        </is>
      </c>
      <c r="B46" s="182" t="inlineStr">
        <is>
          <t>Cash paid out and subscribed back</t>
        </is>
      </c>
      <c r="C46" s="183" t="n">
        <v>9</v>
      </c>
      <c r="D46" s="184">
        <f>'The election'!C77</f>
        <v/>
      </c>
      <c r="E46" s="185">
        <f>D46-C46</f>
        <v/>
      </c>
      <c r="F46" s="186">
        <f>IF(ABS(E46)&lt;=0.05,"reproduced",IF(ABS(E46)&lt;=0.05*5,"rounding","CHECK"))</f>
        <v/>
      </c>
    </row>
    <row r="47">
      <c r="A47" s="181" t="inlineStr">
        <is>
          <t>Ch. 18</t>
        </is>
      </c>
      <c r="B47" s="182" t="inlineStr">
        <is>
          <t>Carry retained by Meridian</t>
        </is>
      </c>
      <c r="C47" s="183" t="n">
        <v>9.4</v>
      </c>
      <c r="D47" s="184">
        <f>'The election'!C43</f>
        <v/>
      </c>
      <c r="E47" s="185">
        <f>D47-C47</f>
        <v/>
      </c>
      <c r="F47" s="186">
        <f>IF(ABS(E47)&lt;=0.05,"reproduced",IF(ABS(E47)&lt;=0.05*5,"rounding","CHECK"))</f>
        <v/>
      </c>
    </row>
    <row r="48">
      <c r="A48" s="187" t="inlineStr">
        <is>
          <t>Ch. 18</t>
        </is>
      </c>
      <c r="B48" s="188" t="inlineStr">
        <is>
          <t>Cash put back against the cash carry from the leaving interests: about 49 per cent</t>
        </is>
      </c>
      <c r="C48" s="189" t="n">
        <v>0.49</v>
      </c>
      <c r="D48" s="190">
        <f>'The election'!C79</f>
        <v/>
      </c>
      <c r="E48" s="191">
        <f>D48-C48</f>
        <v/>
      </c>
      <c r="F48" s="192">
        <f>IF(ABS(E48)&lt;=0.005,"reproduced",IF(ABS(E48)&lt;=0.005*5,"rounding","CHECK"))</f>
        <v/>
      </c>
    </row>
    <row r="49">
      <c r="A49" s="187" t="inlineStr">
        <is>
          <t>Ch. 18</t>
        </is>
      </c>
      <c r="B49" s="188" t="inlineStr">
        <is>
          <t>Investor share of the fund: 1.18 per cent</t>
        </is>
      </c>
      <c r="C49" s="189" t="n">
        <v>0.0118</v>
      </c>
      <c r="D49" s="190">
        <f>'The election'!C50</f>
        <v/>
      </c>
      <c r="E49" s="191">
        <f>D49-C49</f>
        <v/>
      </c>
      <c r="F49" s="192">
        <f>IF(ABS(E49)&lt;=5e-05,"reproduced",IF(ABS(E49)&lt;=5e-05*5,"rounding","CHECK"))</f>
        <v/>
      </c>
    </row>
    <row r="50">
      <c r="A50" s="181" t="inlineStr">
        <is>
          <t>Ch. 18</t>
        </is>
      </c>
      <c r="B50" s="182" t="inlineStr">
        <is>
          <t>Investor's share of the carry</t>
        </is>
      </c>
      <c r="C50" s="183" t="n">
        <v>0.37</v>
      </c>
      <c r="D50" s="184">
        <f>'The election'!C59</f>
        <v/>
      </c>
      <c r="E50" s="185">
        <f>D50-C50</f>
        <v/>
      </c>
      <c r="F50" s="186">
        <f>IF(ABS(E50)&lt;=0.005,"reproduced",IF(ABS(E50)&lt;=0.005*5,"rounding","CHECK"))</f>
        <v/>
      </c>
    </row>
    <row r="51">
      <c r="A51" s="187" t="inlineStr">
        <is>
          <t>Ch. 18</t>
        </is>
      </c>
      <c r="B51" s="188" t="inlineStr">
        <is>
          <t>Entry premium over the third-party bid: about 10 per cent</t>
        </is>
      </c>
      <c r="C51" s="189" t="n">
        <v>0.1</v>
      </c>
      <c r="D51" s="190">
        <f>'What deserved scrutiny'!C22</f>
        <v/>
      </c>
      <c r="E51" s="191">
        <f>D51-C51</f>
        <v/>
      </c>
      <c r="F51" s="192">
        <f>IF(ABS(E51)&lt;=0.005,"reproduced",IF(ABS(E51)&lt;=0.005*5,"rounding","CHECK"))</f>
        <v/>
      </c>
    </row>
    <row r="52">
      <c r="A52" s="181" t="inlineStr">
        <is>
          <t>Ch. 18</t>
        </is>
      </c>
      <c r="B52" s="182" t="inlineStr">
        <is>
          <t>Months between the third-party bid and the agreed price</t>
        </is>
      </c>
      <c r="C52" s="193" t="n">
        <v>6</v>
      </c>
      <c r="D52" s="194">
        <f>'The process'!C51</f>
        <v/>
      </c>
      <c r="E52" s="195">
        <f>D52-C52</f>
        <v/>
      </c>
      <c r="F52" s="186">
        <f>IF(ABS(E52)&lt;=0.0001,"reproduced",IF(ABS(E52)&lt;=0.0001*5,"rounding","CHECK"))</f>
        <v/>
      </c>
    </row>
    <row r="53"/>
    <row r="54">
      <c r="A54" s="196" t="inlineStr">
        <is>
          <t>Lines reproduced within the book's own printed precision</t>
        </is>
      </c>
      <c r="C54" s="197">
        <f>COUNTIF(F5:F52,"reproduced")</f>
        <v/>
      </c>
    </row>
    <row r="55">
      <c r="A55" s="196" t="inlineStr">
        <is>
          <t>Lines differing only by the book's rounding of an intermediate</t>
        </is>
      </c>
      <c r="C55" s="197">
        <f>COUNTIF(F5:F52,"rounding")</f>
        <v/>
      </c>
    </row>
    <row r="56">
      <c r="A56" s="196" t="inlineStr">
        <is>
          <t>Lines to check</t>
        </is>
      </c>
      <c r="C56" s="197">
        <f>COUNTIF(F5:F52,"CHECK")</f>
        <v/>
      </c>
    </row>
  </sheetData>
  <mergeCells count="1">
    <mergeCell ref="H5:H2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2026-08-20T07:08:29Z</dcterms:created>
  <dcterms:modified xmlns:dcterms="http://purl.org/dc/terms/" xmlns:xsi="http://www.w3.org/2001/XMLSchema-instance" xsi:type="dcterms:W3CDTF">2026-09-26T21:07:33Z</dcterms:modified>
  <cp:revision>0</cp:revision>
</cp:coreProperties>
</file>