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600" firstSheet="0" activeTab="0" autoFilterDateGrouping="1"/>
  </bookViews>
  <sheets>
    <sheet xmlns:r="http://schemas.openxmlformats.org/officeDocument/2006/relationships" name="Read me" sheetId="1" state="visible" r:id="rId1"/>
    <sheet xmlns:r="http://schemas.openxmlformats.org/officeDocument/2006/relationships" name="The fee comparison" sheetId="2" state="visible" r:id="rId2"/>
    <sheet xmlns:r="http://schemas.openxmlformats.org/officeDocument/2006/relationships" name="The carry tiers" sheetId="3" state="visible" r:id="rId3"/>
    <sheet xmlns:r="http://schemas.openxmlformats.org/officeDocument/2006/relationships" name="Two vehicles, ten years" sheetId="4" state="visible" r:id="rId4"/>
    <sheet xmlns:r="http://schemas.openxmlformats.org/officeDocument/2006/relationships" name="Transaction costs" sheetId="5" state="visible" r:id="rId5"/>
    <sheet xmlns:r="http://schemas.openxmlformats.org/officeDocument/2006/relationships" name="The roll decision" sheetId="6" state="visible" r:id="rId6"/>
    <sheet xmlns:r="http://schemas.openxmlformats.org/officeDocument/2006/relationships" name="Checks" sheetId="7" state="visible" r:id="rId7"/>
  </sheets>
  <definedNames/>
  <calcPr calcId="124519" fullCalcOnLoad="1" refMode="A1" iterate="0" iterateCount="100" iterateDelta="0.0001"/>
</workbook>
</file>

<file path=xl/styles.xml><?xml version="1.0" encoding="utf-8"?>
<styleSheet xmlns="http://schemas.openxmlformats.org/spreadsheetml/2006/main">
  <numFmts count="5">
    <numFmt numFmtId="164" formatCode="#,##0.00;\(#,##0.00\);\-"/>
    <numFmt numFmtId="165" formatCode="0.00\x"/>
    <numFmt numFmtId="166" formatCode="0.0%"/>
    <numFmt numFmtId="167" formatCode="0.000"/>
    <numFmt numFmtId="168" formatCode="0.0"/>
  </numFmts>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14171D"/>
      <sz val="14"/>
    </font>
    <font>
      <name val="Arial"/>
      <charset val="1"/>
      <family val="0"/>
      <i val="1"/>
      <color rgb="FF595959"/>
      <sz val="10"/>
    </font>
    <font>
      <name val="Arial"/>
      <charset val="1"/>
      <family val="0"/>
      <sz val="10"/>
    </font>
    <font>
      <name val="Arial"/>
      <charset val="1"/>
      <family val="0"/>
      <b val="1"/>
      <color rgb="FF8C5A00"/>
      <sz val="11"/>
    </font>
    <font>
      <name val="Arial"/>
      <charset val="1"/>
      <family val="0"/>
      <color rgb="FF0000FF"/>
      <sz val="10"/>
    </font>
    <font>
      <name val="Arial"/>
      <charset val="1"/>
      <family val="0"/>
      <b val="1"/>
      <sz val="10"/>
    </font>
    <font>
      <name val="Arial"/>
      <charset val="1"/>
      <family val="0"/>
      <b val="1"/>
      <color rgb="FFFFFFFF"/>
      <sz val="10"/>
    </font>
    <font>
      <name val="Arial"/>
      <charset val="1"/>
      <family val="0"/>
      <color rgb="FF008000"/>
      <sz val="10"/>
    </font>
    <font>
      <name val="Arial"/>
      <charset val="1"/>
      <family val="0"/>
      <sz val="9"/>
    </font>
    <font>
      <name val="Arial"/>
      <charset val="1"/>
      <family val="0"/>
      <color rgb="FF8C5A00"/>
      <sz val="9"/>
    </font>
    <font>
      <name val="Arial"/>
      <charset val="1"/>
      <family val="0"/>
      <color rgb="FF0000FF"/>
      <sz val="9"/>
    </font>
    <font>
      <name val="Arial"/>
      <charset val="1"/>
      <family val="0"/>
      <color rgb="FF008000"/>
      <sz val="9"/>
    </font>
    <font>
      <name val="Arial"/>
      <charset val="1"/>
      <family val="0"/>
      <b val="1"/>
      <sz val="9"/>
    </font>
  </fonts>
  <fills count="5">
    <fill>
      <patternFill/>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3">
    <border>
      <left/>
      <right/>
      <top/>
      <bottom/>
      <diagonal/>
    </border>
    <border>
      <left/>
      <right/>
      <top style="medium">
        <color rgb="FF808080"/>
      </top>
      <bottom/>
      <diagonal/>
    </border>
    <border>
      <left style="thin">
        <color rgb="FFBFBFBF"/>
      </left>
      <right style="thin">
        <color rgb="FFBFBFBF"/>
      </right>
      <top style="thin">
        <color rgb="FFBFBFBF"/>
      </top>
      <bottom style="thin">
        <color rgb="FFBFBFBF"/>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80">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6" fillId="0" borderId="0" applyAlignment="1" pivotButton="0" quotePrefix="0" xfId="0">
      <alignment horizontal="general" vertical="bottom" indent="1"/>
    </xf>
    <xf numFmtId="164" fontId="8" fillId="2" borderId="0" applyAlignment="1" pivotButton="0" quotePrefix="0" xfId="0">
      <alignment horizontal="general" vertical="bottom"/>
    </xf>
    <xf numFmtId="1" fontId="8" fillId="2" borderId="0" applyAlignment="1" pivotButton="0" quotePrefix="0" xfId="0">
      <alignment horizontal="general" vertical="bottom"/>
    </xf>
    <xf numFmtId="165" fontId="8" fillId="2" borderId="0" applyAlignment="1" pivotButton="0" quotePrefix="0" xfId="0">
      <alignment horizontal="general" vertical="bottom"/>
    </xf>
    <xf numFmtId="166" fontId="8" fillId="2" borderId="0" applyAlignment="1" pivotButton="0" quotePrefix="0" xfId="0">
      <alignment horizontal="general" vertical="bottom"/>
    </xf>
    <xf numFmtId="0" fontId="9" fillId="0" borderId="0" applyAlignment="1" pivotButton="0" quotePrefix="0" xfId="0">
      <alignment horizontal="general" vertical="bottom" indent="1"/>
    </xf>
    <xf numFmtId="164" fontId="9" fillId="0" borderId="0" applyAlignment="1" pivotButton="0" quotePrefix="0" xfId="0">
      <alignment horizontal="general" vertical="bottom"/>
    </xf>
    <xf numFmtId="164" fontId="6" fillId="0" borderId="0" applyAlignment="1" pivotButton="0" quotePrefix="0" xfId="0">
      <alignment horizontal="general" vertical="bottom"/>
    </xf>
    <xf numFmtId="0" fontId="6" fillId="0" borderId="0" applyAlignment="1" pivotButton="0" quotePrefix="0" xfId="0">
      <alignment horizontal="general" vertical="bottom"/>
    </xf>
    <xf numFmtId="10" fontId="8" fillId="2" borderId="0" applyAlignment="1" pivotButton="0" quotePrefix="0" xfId="0">
      <alignment horizontal="general" vertical="bottom"/>
    </xf>
    <xf numFmtId="0" fontId="9" fillId="0" borderId="1" applyAlignment="1" pivotButton="0" quotePrefix="0" xfId="0">
      <alignment horizontal="general" vertical="bottom" indent="1"/>
    </xf>
    <xf numFmtId="164" fontId="9" fillId="0" borderId="1" applyAlignment="1" pivotButton="0" quotePrefix="0" xfId="0">
      <alignment horizontal="general" vertical="bottom"/>
    </xf>
    <xf numFmtId="165" fontId="9" fillId="0" borderId="0" applyAlignment="1" pivotButton="0" quotePrefix="0" xfId="0">
      <alignment horizontal="general" vertical="bottom"/>
    </xf>
    <xf numFmtId="166" fontId="9" fillId="0" borderId="0" applyAlignment="1" pivotButton="0" quotePrefix="0" xfId="0">
      <alignment horizontal="general" vertical="bottom"/>
    </xf>
    <xf numFmtId="1" fontId="8" fillId="0" borderId="0" applyAlignment="1" pivotButton="0" quotePrefix="0" xfId="0">
      <alignment horizontal="general" vertical="bottom"/>
    </xf>
    <xf numFmtId="0" fontId="10" fillId="3" borderId="0" applyAlignment="1" pivotButton="0" quotePrefix="0" xfId="0">
      <alignment horizontal="left" vertical="center" wrapText="1"/>
    </xf>
    <xf numFmtId="0" fontId="10" fillId="3" borderId="0" applyAlignment="1" pivotButton="0" quotePrefix="0" xfId="0">
      <alignment horizontal="center" vertical="center" wrapText="1"/>
    </xf>
    <xf numFmtId="165" fontId="6" fillId="0" borderId="0" applyAlignment="1" pivotButton="0" quotePrefix="0" xfId="0">
      <alignment horizontal="general" vertical="bottom"/>
    </xf>
    <xf numFmtId="0" fontId="8" fillId="0" borderId="0" applyAlignment="1" pivotButton="0" quotePrefix="0" xfId="0">
      <alignment horizontal="general" vertical="bottom"/>
    </xf>
    <xf numFmtId="0" fontId="7" fillId="3" borderId="0" applyAlignment="1" pivotButton="0" quotePrefix="0" xfId="0">
      <alignment horizontal="left" vertical="center" wrapText="1"/>
    </xf>
    <xf numFmtId="167" fontId="6" fillId="0" borderId="0" applyAlignment="1" pivotButton="0" quotePrefix="0" xfId="0">
      <alignment horizontal="general" vertical="bottom"/>
    </xf>
    <xf numFmtId="168" fontId="9" fillId="0" borderId="0" applyAlignment="1" pivotButton="0" quotePrefix="0" xfId="0">
      <alignment horizontal="general" vertical="bottom"/>
    </xf>
    <xf numFmtId="165" fontId="8" fillId="0" borderId="0" applyAlignment="1" pivotButton="0" quotePrefix="0" xfId="0">
      <alignment horizontal="general" vertical="bottom"/>
    </xf>
    <xf numFmtId="164" fontId="11" fillId="0" borderId="0" applyAlignment="1" pivotButton="0" quotePrefix="0" xfId="0">
      <alignment horizontal="general" vertical="bottom"/>
    </xf>
    <xf numFmtId="166" fontId="6" fillId="0" borderId="0" applyAlignment="1" pivotButton="0" quotePrefix="0" xfId="0">
      <alignment horizontal="general" vertical="bottom"/>
    </xf>
    <xf numFmtId="0" fontId="6" fillId="4" borderId="0" applyAlignment="1" pivotButton="0" quotePrefix="0" xfId="0">
      <alignment horizontal="general" vertical="bottom" indent="1"/>
    </xf>
    <xf numFmtId="165" fontId="6" fillId="4" borderId="0" applyAlignment="1" pivotButton="0" quotePrefix="0" xfId="0">
      <alignment horizontal="general" vertical="bottom"/>
    </xf>
    <xf numFmtId="164" fontId="6" fillId="4" borderId="0" applyAlignment="1" pivotButton="0" quotePrefix="0" xfId="0">
      <alignment horizontal="general" vertical="bottom"/>
    </xf>
    <xf numFmtId="10" fontId="6" fillId="4" borderId="0" applyAlignment="1" pivotButton="0" quotePrefix="0" xfId="0">
      <alignment horizontal="general" vertical="bottom"/>
    </xf>
    <xf numFmtId="0" fontId="9" fillId="0" borderId="0" applyAlignment="1" pivotButton="0" quotePrefix="0" xfId="0">
      <alignment horizontal="general" vertical="bottom"/>
    </xf>
    <xf numFmtId="10" fontId="9" fillId="0" borderId="0" applyAlignment="1" pivotButton="0" quotePrefix="0" xfId="0">
      <alignment horizontal="general" vertical="bottom"/>
    </xf>
    <xf numFmtId="10" fontId="8" fillId="0" borderId="0" applyAlignment="1" pivotButton="0" quotePrefix="0" xfId="0">
      <alignment horizontal="general" vertical="bottom"/>
    </xf>
    <xf numFmtId="10" fontId="8" fillId="4" borderId="0" applyAlignment="1" pivotButton="0" quotePrefix="0" xfId="0">
      <alignment horizontal="general" vertical="bottom"/>
    </xf>
    <xf numFmtId="0" fontId="6" fillId="4" borderId="0" applyAlignment="1" pivotButton="0" quotePrefix="0" xfId="0">
      <alignment horizontal="general" vertical="bottom"/>
    </xf>
    <xf numFmtId="164" fontId="8" fillId="0" borderId="0" applyAlignment="1" pivotButton="0" quotePrefix="0" xfId="0">
      <alignment horizontal="general" vertical="bottom"/>
    </xf>
    <xf numFmtId="10" fontId="6" fillId="0" borderId="0" applyAlignment="1" pivotButton="0" quotePrefix="0" xfId="0">
      <alignment horizontal="general" vertical="bottom"/>
    </xf>
    <xf numFmtId="1" fontId="9" fillId="0" borderId="0" applyAlignment="1" pivotButton="0" quotePrefix="0" xfId="0">
      <alignment horizontal="general" vertical="bottom"/>
    </xf>
    <xf numFmtId="166" fontId="8" fillId="0" borderId="0" applyAlignment="1" pivotButton="0" quotePrefix="0" xfId="0">
      <alignment horizontal="general" vertical="bottom"/>
    </xf>
    <xf numFmtId="0" fontId="0" fillId="4" borderId="0" applyAlignment="1" pivotButton="0" quotePrefix="0" xfId="0">
      <alignment horizontal="general" vertical="bottom"/>
    </xf>
    <xf numFmtId="166" fontId="8" fillId="4" borderId="0" applyAlignment="1" pivotButton="0" quotePrefix="0" xfId="0">
      <alignment horizontal="general" vertical="bottom"/>
    </xf>
    <xf numFmtId="0" fontId="12" fillId="4" borderId="0" applyAlignment="1" pivotButton="0" quotePrefix="0" xfId="0">
      <alignment horizontal="general" vertical="bottom"/>
    </xf>
    <xf numFmtId="0" fontId="12" fillId="0" borderId="0" applyAlignment="1" pivotButton="0" quotePrefix="0" xfId="0">
      <alignment horizontal="general" vertical="bottom"/>
    </xf>
    <xf numFmtId="0" fontId="9" fillId="0" borderId="1" applyAlignment="1" pivotButton="0" quotePrefix="0" xfId="0">
      <alignment horizontal="general" vertical="bottom"/>
    </xf>
    <xf numFmtId="166" fontId="9" fillId="0" borderId="1" applyAlignment="1" pivotButton="0" quotePrefix="0" xfId="0">
      <alignment horizontal="general" vertical="bottom"/>
    </xf>
    <xf numFmtId="1" fontId="6" fillId="0" borderId="0" applyAlignment="1" pivotButton="0" quotePrefix="0" xfId="0">
      <alignment horizontal="general" vertical="bottom"/>
    </xf>
    <xf numFmtId="1" fontId="8" fillId="4" borderId="0" applyAlignment="1" pivotButton="0" quotePrefix="0" xfId="0">
      <alignment horizontal="general" vertical="bottom"/>
    </xf>
    <xf numFmtId="0" fontId="12" fillId="0" borderId="0" applyAlignment="1" pivotButton="0" quotePrefix="0" xfId="0">
      <alignment horizontal="general" vertical="bottom" indent="1"/>
    </xf>
    <xf numFmtId="0" fontId="8" fillId="0" borderId="2" applyAlignment="1" pivotButton="0" quotePrefix="0" xfId="0">
      <alignment horizontal="general" vertical="bottom"/>
    </xf>
    <xf numFmtId="0" fontId="5" fillId="0" borderId="0" applyAlignment="1" pivotButton="0" quotePrefix="0" xfId="0">
      <alignment horizontal="general" vertical="bottom" indent="1"/>
    </xf>
    <xf numFmtId="0" fontId="13" fillId="0" borderId="0" applyAlignment="1" pivotButton="0" quotePrefix="0" xfId="0">
      <alignment horizontal="general" vertical="bottom"/>
    </xf>
    <xf numFmtId="164" fontId="14" fillId="0" borderId="0" applyAlignment="1" pivotButton="0" quotePrefix="0" xfId="0">
      <alignment horizontal="general" vertical="bottom"/>
    </xf>
    <xf numFmtId="164" fontId="15" fillId="0" borderId="0" applyAlignment="1" pivotButton="0" quotePrefix="0" xfId="0">
      <alignment horizontal="general" vertical="bottom"/>
    </xf>
    <xf numFmtId="164" fontId="12" fillId="0" borderId="0" applyAlignment="1" pivotButton="0" quotePrefix="0" xfId="0">
      <alignment horizontal="general" vertical="bottom"/>
    </xf>
    <xf numFmtId="0" fontId="16" fillId="0" borderId="0" applyAlignment="1" pivotButton="0" quotePrefix="0" xfId="0">
      <alignment horizontal="general" vertical="bottom"/>
    </xf>
    <xf numFmtId="0" fontId="13" fillId="4" borderId="0" applyAlignment="1" pivotButton="0" quotePrefix="0" xfId="0">
      <alignment horizontal="general" vertical="bottom"/>
    </xf>
    <xf numFmtId="164" fontId="14" fillId="4" borderId="0" applyAlignment="1" pivotButton="0" quotePrefix="0" xfId="0">
      <alignment horizontal="general" vertical="bottom"/>
    </xf>
    <xf numFmtId="164" fontId="15" fillId="4" borderId="0" applyAlignment="1" pivotButton="0" quotePrefix="0" xfId="0">
      <alignment horizontal="general" vertical="bottom"/>
    </xf>
    <xf numFmtId="164" fontId="12" fillId="4" borderId="0" applyAlignment="1" pivotButton="0" quotePrefix="0" xfId="0">
      <alignment horizontal="general" vertical="bottom"/>
    </xf>
    <xf numFmtId="0" fontId="16" fillId="4" borderId="0" applyAlignment="1" pivotButton="0" quotePrefix="0" xfId="0">
      <alignment horizontal="general" vertical="bottom"/>
    </xf>
    <xf numFmtId="165" fontId="14" fillId="0" borderId="0" applyAlignment="1" pivotButton="0" quotePrefix="0" xfId="0">
      <alignment horizontal="general" vertical="bottom"/>
    </xf>
    <xf numFmtId="165" fontId="15" fillId="0" borderId="0" applyAlignment="1" pivotButton="0" quotePrefix="0" xfId="0">
      <alignment horizontal="general" vertical="bottom"/>
    </xf>
    <xf numFmtId="165" fontId="12" fillId="0" borderId="0" applyAlignment="1" pivotButton="0" quotePrefix="0" xfId="0">
      <alignment horizontal="general" vertical="bottom"/>
    </xf>
    <xf numFmtId="10" fontId="14" fillId="0" borderId="0" applyAlignment="1" pivotButton="0" quotePrefix="0" xfId="0">
      <alignment horizontal="general" vertical="bottom"/>
    </xf>
    <xf numFmtId="10" fontId="15" fillId="0" borderId="0" applyAlignment="1" pivotButton="0" quotePrefix="0" xfId="0">
      <alignment horizontal="general" vertical="bottom"/>
    </xf>
    <xf numFmtId="10" fontId="12" fillId="0" borderId="0" applyAlignment="1" pivotButton="0" quotePrefix="0" xfId="0">
      <alignment horizontal="general" vertical="bottom"/>
    </xf>
    <xf numFmtId="1" fontId="14" fillId="0" borderId="0" applyAlignment="1" pivotButton="0" quotePrefix="0" xfId="0">
      <alignment horizontal="general" vertical="bottom"/>
    </xf>
    <xf numFmtId="1" fontId="15" fillId="0" borderId="0" applyAlignment="1" pivotButton="0" quotePrefix="0" xfId="0">
      <alignment horizontal="general" vertical="bottom"/>
    </xf>
    <xf numFmtId="1" fontId="12" fillId="0" borderId="0" applyAlignment="1" pivotButton="0" quotePrefix="0" xfId="0">
      <alignment horizontal="general" vertical="bottom"/>
    </xf>
    <xf numFmtId="10" fontId="14" fillId="4" borderId="0" applyAlignment="1" pivotButton="0" quotePrefix="0" xfId="0">
      <alignment horizontal="general" vertical="bottom"/>
    </xf>
    <xf numFmtId="10" fontId="15" fillId="4" borderId="0" applyAlignment="1" pivotButton="0" quotePrefix="0" xfId="0">
      <alignment horizontal="general" vertical="bottom"/>
    </xf>
    <xf numFmtId="10" fontId="12" fillId="4" borderId="0" applyAlignment="1" pivotButton="0" quotePrefix="0" xfId="0">
      <alignment horizontal="general" vertical="bottom"/>
    </xf>
    <xf numFmtId="166" fontId="14" fillId="0" borderId="0" applyAlignment="1" pivotButton="0" quotePrefix="0" xfId="0">
      <alignment horizontal="general" vertical="bottom"/>
    </xf>
    <xf numFmtId="166" fontId="15" fillId="0" borderId="0" applyAlignment="1" pivotButton="0" quotePrefix="0" xfId="0">
      <alignment horizontal="general" vertical="bottom"/>
    </xf>
    <xf numFmtId="166" fontId="12" fillId="0" borderId="0" applyAlignment="1" pivotButton="0" quotePrefix="0" xfId="0">
      <alignment horizontal="general" vertical="bottom"/>
    </xf>
    <xf numFmtId="1" fontId="14" fillId="4" borderId="0" applyAlignment="1" pivotButton="0" quotePrefix="0" xfId="0">
      <alignment horizontal="general" vertical="bottom"/>
    </xf>
    <xf numFmtId="1" fontId="15" fillId="4" borderId="0" applyAlignment="1" pivotButton="0" quotePrefix="0" xfId="0">
      <alignment horizontal="general" vertical="bottom"/>
    </xf>
    <xf numFmtId="1" fontId="12" fillId="4" borderId="0" applyAlignment="1" pivotButton="0" quotePrefix="0" xfId="0">
      <alignment horizontal="general" vertical="bottom"/>
    </xf>
    <xf numFmtId="166" fontId="14" fillId="4" borderId="0" applyAlignment="1" pivotButton="0" quotePrefix="0" xfId="0">
      <alignment horizontal="general" vertical="bottom"/>
    </xf>
    <xf numFmtId="166" fontId="15" fillId="4" borderId="0" applyAlignment="1" pivotButton="0" quotePrefix="0" xfId="0">
      <alignment horizontal="general" vertical="bottom"/>
    </xf>
    <xf numFmtId="166" fontId="12" fillId="4"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bottom"/>
    </xf>
    <xf numFmtId="0" fontId="6" fillId="0" borderId="0" applyAlignment="1" pivotButton="0" quotePrefix="0" xfId="0">
      <alignment horizontal="general" vertical="bottom" indent="1"/>
    </xf>
    <xf numFmtId="164" fontId="8" fillId="2" borderId="0" applyAlignment="1" pivotButton="0" quotePrefix="0" xfId="0">
      <alignment horizontal="general" vertical="bottom"/>
    </xf>
    <xf numFmtId="1" fontId="8" fillId="2" borderId="0" applyAlignment="1" pivotButton="0" quotePrefix="0" xfId="0">
      <alignment horizontal="general" vertical="bottom"/>
    </xf>
    <xf numFmtId="165" fontId="8" fillId="2" borderId="0" applyAlignment="1" pivotButton="0" quotePrefix="0" xfId="0">
      <alignment horizontal="general" vertical="bottom"/>
    </xf>
    <xf numFmtId="166" fontId="8" fillId="2" borderId="0" applyAlignment="1" pivotButton="0" quotePrefix="0" xfId="0">
      <alignment horizontal="general" vertical="bottom"/>
    </xf>
    <xf numFmtId="0" fontId="9" fillId="0" borderId="0" applyAlignment="1" pivotButton="0" quotePrefix="0" xfId="0">
      <alignment horizontal="general" vertical="bottom" indent="1"/>
    </xf>
    <xf numFmtId="164" fontId="9" fillId="0" borderId="0" applyAlignment="1" pivotButton="0" quotePrefix="0" xfId="0">
      <alignment horizontal="general" vertical="bottom"/>
    </xf>
    <xf numFmtId="164" fontId="6" fillId="0" borderId="0" applyAlignment="1" pivotButton="0" quotePrefix="0" xfId="0">
      <alignment horizontal="general" vertical="bottom"/>
    </xf>
    <xf numFmtId="0" fontId="6" fillId="0" borderId="0" applyAlignment="1" pivotButton="0" quotePrefix="0" xfId="0">
      <alignment horizontal="general" vertical="bottom"/>
    </xf>
    <xf numFmtId="10" fontId="8" fillId="2" borderId="0" applyAlignment="1" pivotButton="0" quotePrefix="0" xfId="0">
      <alignment horizontal="general" vertical="bottom"/>
    </xf>
    <xf numFmtId="0" fontId="9" fillId="0" borderId="1" applyAlignment="1" pivotButton="0" quotePrefix="0" xfId="0">
      <alignment horizontal="general" vertical="bottom" indent="1"/>
    </xf>
    <xf numFmtId="164" fontId="9" fillId="0" borderId="1" applyAlignment="1" pivotButton="0" quotePrefix="0" xfId="0">
      <alignment horizontal="general" vertical="bottom"/>
    </xf>
    <xf numFmtId="165" fontId="9" fillId="0" borderId="0" applyAlignment="1" pivotButton="0" quotePrefix="0" xfId="0">
      <alignment horizontal="general" vertical="bottom"/>
    </xf>
    <xf numFmtId="166" fontId="9" fillId="0" borderId="0" applyAlignment="1" pivotButton="0" quotePrefix="0" xfId="0">
      <alignment horizontal="general" vertical="bottom"/>
    </xf>
    <xf numFmtId="1" fontId="8" fillId="0" borderId="0" applyAlignment="1" pivotButton="0" quotePrefix="0" xfId="0">
      <alignment horizontal="general" vertical="bottom"/>
    </xf>
    <xf numFmtId="0" fontId="10" fillId="3" borderId="0" applyAlignment="1" pivotButton="0" quotePrefix="0" xfId="0">
      <alignment horizontal="left" vertical="center" wrapText="1"/>
    </xf>
    <xf numFmtId="0" fontId="10" fillId="3" borderId="0" applyAlignment="1" pivotButton="0" quotePrefix="0" xfId="0">
      <alignment horizontal="center" vertical="center" wrapText="1"/>
    </xf>
    <xf numFmtId="165" fontId="6" fillId="0" borderId="0" applyAlignment="1" pivotButton="0" quotePrefix="0" xfId="0">
      <alignment horizontal="general" vertical="bottom"/>
    </xf>
    <xf numFmtId="0" fontId="8" fillId="0" borderId="0" applyAlignment="1" pivotButton="0" quotePrefix="0" xfId="0">
      <alignment horizontal="general" vertical="bottom"/>
    </xf>
    <xf numFmtId="0" fontId="7" fillId="3" borderId="0" applyAlignment="1" pivotButton="0" quotePrefix="0" xfId="0">
      <alignment horizontal="left" vertical="center" wrapText="1"/>
    </xf>
    <xf numFmtId="167" fontId="6" fillId="0" borderId="0" applyAlignment="1" pivotButton="0" quotePrefix="0" xfId="0">
      <alignment horizontal="general" vertical="bottom"/>
    </xf>
    <xf numFmtId="168" fontId="9" fillId="0" borderId="0" applyAlignment="1" pivotButton="0" quotePrefix="0" xfId="0">
      <alignment horizontal="general" vertical="bottom"/>
    </xf>
    <xf numFmtId="165" fontId="8" fillId="0" borderId="0" applyAlignment="1" pivotButton="0" quotePrefix="0" xfId="0">
      <alignment horizontal="general" vertical="bottom"/>
    </xf>
    <xf numFmtId="164" fontId="11" fillId="0" borderId="0" applyAlignment="1" pivotButton="0" quotePrefix="0" xfId="0">
      <alignment horizontal="general" vertical="bottom"/>
    </xf>
    <xf numFmtId="166" fontId="6" fillId="0" borderId="0" applyAlignment="1" pivotButton="0" quotePrefix="0" xfId="0">
      <alignment horizontal="general" vertical="bottom"/>
    </xf>
    <xf numFmtId="0" fontId="6" fillId="4" borderId="0" applyAlignment="1" pivotButton="0" quotePrefix="0" xfId="0">
      <alignment horizontal="general" vertical="bottom" indent="1"/>
    </xf>
    <xf numFmtId="165" fontId="6" fillId="4" borderId="0" applyAlignment="1" pivotButton="0" quotePrefix="0" xfId="0">
      <alignment horizontal="general" vertical="bottom"/>
    </xf>
    <xf numFmtId="164" fontId="6" fillId="4" borderId="0" applyAlignment="1" pivotButton="0" quotePrefix="0" xfId="0">
      <alignment horizontal="general" vertical="bottom"/>
    </xf>
    <xf numFmtId="10" fontId="6" fillId="4" borderId="0" applyAlignment="1" pivotButton="0" quotePrefix="0" xfId="0">
      <alignment horizontal="general" vertical="bottom"/>
    </xf>
    <xf numFmtId="0" fontId="9" fillId="0" borderId="0" applyAlignment="1" pivotButton="0" quotePrefix="0" xfId="0">
      <alignment horizontal="general" vertical="bottom"/>
    </xf>
    <xf numFmtId="10" fontId="9" fillId="0" borderId="0" applyAlignment="1" pivotButton="0" quotePrefix="0" xfId="0">
      <alignment horizontal="general" vertical="bottom"/>
    </xf>
    <xf numFmtId="10" fontId="8" fillId="0" borderId="0" applyAlignment="1" pivotButton="0" quotePrefix="0" xfId="0">
      <alignment horizontal="general" vertical="bottom"/>
    </xf>
    <xf numFmtId="10" fontId="8" fillId="4" borderId="0" applyAlignment="1" pivotButton="0" quotePrefix="0" xfId="0">
      <alignment horizontal="general" vertical="bottom"/>
    </xf>
    <xf numFmtId="0" fontId="6" fillId="4" borderId="0" applyAlignment="1" pivotButton="0" quotePrefix="0" xfId="0">
      <alignment horizontal="general" vertical="bottom"/>
    </xf>
    <xf numFmtId="164" fontId="8" fillId="0" borderId="0" applyAlignment="1" pivotButton="0" quotePrefix="0" xfId="0">
      <alignment horizontal="general" vertical="bottom"/>
    </xf>
    <xf numFmtId="10" fontId="6" fillId="0" borderId="0" applyAlignment="1" pivotButton="0" quotePrefix="0" xfId="0">
      <alignment horizontal="general" vertical="bottom"/>
    </xf>
    <xf numFmtId="1" fontId="9" fillId="0" borderId="0" applyAlignment="1" pivotButton="0" quotePrefix="0" xfId="0">
      <alignment horizontal="general" vertical="bottom"/>
    </xf>
    <xf numFmtId="166" fontId="8" fillId="0" borderId="0" applyAlignment="1" pivotButton="0" quotePrefix="0" xfId="0">
      <alignment horizontal="general" vertical="bottom"/>
    </xf>
    <xf numFmtId="0" fontId="0" fillId="4" borderId="0" applyAlignment="1" pivotButton="0" quotePrefix="0" xfId="0">
      <alignment horizontal="general" vertical="bottom"/>
    </xf>
    <xf numFmtId="166" fontId="8" fillId="4" borderId="0" applyAlignment="1" pivotButton="0" quotePrefix="0" xfId="0">
      <alignment horizontal="general" vertical="bottom"/>
    </xf>
    <xf numFmtId="0" fontId="12" fillId="4" borderId="0" applyAlignment="1" pivotButton="0" quotePrefix="0" xfId="0">
      <alignment horizontal="general" vertical="bottom"/>
    </xf>
    <xf numFmtId="0" fontId="12" fillId="0" borderId="0" applyAlignment="1" pivotButton="0" quotePrefix="0" xfId="0">
      <alignment horizontal="general" vertical="bottom"/>
    </xf>
    <xf numFmtId="0" fontId="9" fillId="0" borderId="1" applyAlignment="1" pivotButton="0" quotePrefix="0" xfId="0">
      <alignment horizontal="general" vertical="bottom"/>
    </xf>
    <xf numFmtId="166" fontId="9" fillId="0" borderId="1" applyAlignment="1" pivotButton="0" quotePrefix="0" xfId="0">
      <alignment horizontal="general" vertical="bottom"/>
    </xf>
    <xf numFmtId="1" fontId="6" fillId="0" borderId="0" applyAlignment="1" pivotButton="0" quotePrefix="0" xfId="0">
      <alignment horizontal="general" vertical="bottom"/>
    </xf>
    <xf numFmtId="1" fontId="8" fillId="4" borderId="0" applyAlignment="1" pivotButton="0" quotePrefix="0" xfId="0">
      <alignment horizontal="general" vertical="bottom"/>
    </xf>
    <xf numFmtId="0" fontId="12" fillId="0" borderId="0" applyAlignment="1" pivotButton="0" quotePrefix="0" xfId="0">
      <alignment horizontal="general" vertical="bottom" indent="1"/>
    </xf>
    <xf numFmtId="0" fontId="8" fillId="0" borderId="2" applyAlignment="1" pivotButton="0" quotePrefix="0" xfId="0">
      <alignment horizontal="general" vertical="bottom"/>
    </xf>
    <xf numFmtId="0" fontId="5" fillId="0" borderId="0" applyAlignment="1" pivotButton="0" quotePrefix="0" xfId="0">
      <alignment horizontal="general" vertical="bottom" indent="1"/>
    </xf>
    <xf numFmtId="0" fontId="13" fillId="0" borderId="0" applyAlignment="1" pivotButton="0" quotePrefix="0" xfId="0">
      <alignment horizontal="general" vertical="bottom"/>
    </xf>
    <xf numFmtId="164" fontId="14" fillId="0" borderId="0" applyAlignment="1" pivotButton="0" quotePrefix="0" xfId="0">
      <alignment horizontal="general" vertical="bottom"/>
    </xf>
    <xf numFmtId="164" fontId="15" fillId="0" borderId="0" applyAlignment="1" pivotButton="0" quotePrefix="0" xfId="0">
      <alignment horizontal="general" vertical="bottom"/>
    </xf>
    <xf numFmtId="164" fontId="12" fillId="0" borderId="0" applyAlignment="1" pivotButton="0" quotePrefix="0" xfId="0">
      <alignment horizontal="general" vertical="bottom"/>
    </xf>
    <xf numFmtId="0" fontId="16" fillId="0" borderId="0" applyAlignment="1" pivotButton="0" quotePrefix="0" xfId="0">
      <alignment horizontal="general" vertical="bottom"/>
    </xf>
    <xf numFmtId="0" fontId="13" fillId="4" borderId="0" applyAlignment="1" pivotButton="0" quotePrefix="0" xfId="0">
      <alignment horizontal="general" vertical="bottom"/>
    </xf>
    <xf numFmtId="164" fontId="14" fillId="4" borderId="0" applyAlignment="1" pivotButton="0" quotePrefix="0" xfId="0">
      <alignment horizontal="general" vertical="bottom"/>
    </xf>
    <xf numFmtId="164" fontId="15" fillId="4" borderId="0" applyAlignment="1" pivotButton="0" quotePrefix="0" xfId="0">
      <alignment horizontal="general" vertical="bottom"/>
    </xf>
    <xf numFmtId="164" fontId="12" fillId="4" borderId="0" applyAlignment="1" pivotButton="0" quotePrefix="0" xfId="0">
      <alignment horizontal="general" vertical="bottom"/>
    </xf>
    <xf numFmtId="0" fontId="16" fillId="4" borderId="0" applyAlignment="1" pivotButton="0" quotePrefix="0" xfId="0">
      <alignment horizontal="general" vertical="bottom"/>
    </xf>
    <xf numFmtId="165" fontId="14" fillId="0" borderId="0" applyAlignment="1" pivotButton="0" quotePrefix="0" xfId="0">
      <alignment horizontal="general" vertical="bottom"/>
    </xf>
    <xf numFmtId="165" fontId="15" fillId="0" borderId="0" applyAlignment="1" pivotButton="0" quotePrefix="0" xfId="0">
      <alignment horizontal="general" vertical="bottom"/>
    </xf>
    <xf numFmtId="165" fontId="12" fillId="0" borderId="0" applyAlignment="1" pivotButton="0" quotePrefix="0" xfId="0">
      <alignment horizontal="general" vertical="bottom"/>
    </xf>
    <xf numFmtId="10" fontId="14" fillId="0" borderId="0" applyAlignment="1" pivotButton="0" quotePrefix="0" xfId="0">
      <alignment horizontal="general" vertical="bottom"/>
    </xf>
    <xf numFmtId="10" fontId="15" fillId="0" borderId="0" applyAlignment="1" pivotButton="0" quotePrefix="0" xfId="0">
      <alignment horizontal="general" vertical="bottom"/>
    </xf>
    <xf numFmtId="10" fontId="12" fillId="0" borderId="0" applyAlignment="1" pivotButton="0" quotePrefix="0" xfId="0">
      <alignment horizontal="general" vertical="bottom"/>
    </xf>
    <xf numFmtId="1" fontId="14" fillId="0" borderId="0" applyAlignment="1" pivotButton="0" quotePrefix="0" xfId="0">
      <alignment horizontal="general" vertical="bottom"/>
    </xf>
    <xf numFmtId="1" fontId="15" fillId="0" borderId="0" applyAlignment="1" pivotButton="0" quotePrefix="0" xfId="0">
      <alignment horizontal="general" vertical="bottom"/>
    </xf>
    <xf numFmtId="1" fontId="12" fillId="0" borderId="0" applyAlignment="1" pivotButton="0" quotePrefix="0" xfId="0">
      <alignment horizontal="general" vertical="bottom"/>
    </xf>
    <xf numFmtId="10" fontId="14" fillId="4" borderId="0" applyAlignment="1" pivotButton="0" quotePrefix="0" xfId="0">
      <alignment horizontal="general" vertical="bottom"/>
    </xf>
    <xf numFmtId="10" fontId="15" fillId="4" borderId="0" applyAlignment="1" pivotButton="0" quotePrefix="0" xfId="0">
      <alignment horizontal="general" vertical="bottom"/>
    </xf>
    <xf numFmtId="10" fontId="12" fillId="4" borderId="0" applyAlignment="1" pivotButton="0" quotePrefix="0" xfId="0">
      <alignment horizontal="general" vertical="bottom"/>
    </xf>
    <xf numFmtId="166" fontId="14" fillId="0" borderId="0" applyAlignment="1" pivotButton="0" quotePrefix="0" xfId="0">
      <alignment horizontal="general" vertical="bottom"/>
    </xf>
    <xf numFmtId="166" fontId="15" fillId="0" borderId="0" applyAlignment="1" pivotButton="0" quotePrefix="0" xfId="0">
      <alignment horizontal="general" vertical="bottom"/>
    </xf>
    <xf numFmtId="166" fontId="12" fillId="0" borderId="0" applyAlignment="1" pivotButton="0" quotePrefix="0" xfId="0">
      <alignment horizontal="general" vertical="bottom"/>
    </xf>
    <xf numFmtId="1" fontId="14" fillId="4" borderId="0" applyAlignment="1" pivotButton="0" quotePrefix="0" xfId="0">
      <alignment horizontal="general" vertical="bottom"/>
    </xf>
    <xf numFmtId="1" fontId="15" fillId="4" borderId="0" applyAlignment="1" pivotButton="0" quotePrefix="0" xfId="0">
      <alignment horizontal="general" vertical="bottom"/>
    </xf>
    <xf numFmtId="1" fontId="12" fillId="4" borderId="0" applyAlignment="1" pivotButton="0" quotePrefix="0" xfId="0">
      <alignment horizontal="general" vertical="bottom"/>
    </xf>
    <xf numFmtId="166" fontId="14" fillId="4" borderId="0" applyAlignment="1" pivotButton="0" quotePrefix="0" xfId="0">
      <alignment horizontal="general" vertical="bottom"/>
    </xf>
    <xf numFmtId="166" fontId="15" fillId="4" borderId="0" applyAlignment="1" pivotButton="0" quotePrefix="0" xfId="0">
      <alignment horizontal="general" vertical="bottom"/>
    </xf>
    <xf numFmtId="166" fontId="12" fillId="4" borderId="0" applyAlignment="1" pivotButton="0" quotePrefix="0" xfId="0">
      <alignment horizontal="general" vertical="bottom"/>
    </xf>
    <xf numFmtId="0" fontId="13" fillId="4" borderId="0" applyAlignment="1" pivotButton="0" quotePrefix="0" xfId="0">
      <alignment horizontal="general" vertical="bottom"/>
    </xf>
    <xf numFmtId="0" fontId="12" fillId="4" borderId="0" applyAlignment="1" pivotButton="0" quotePrefix="0" xfId="0">
      <alignment horizontal="general" vertical="bottom"/>
    </xf>
    <xf numFmtId="164" fontId="14" fillId="4" borderId="0" applyAlignment="1" pivotButton="0" quotePrefix="0" xfId="0">
      <alignment horizontal="general" vertical="bottom"/>
    </xf>
    <xf numFmtId="164" fontId="15" fillId="4" borderId="0" applyAlignment="1" pivotButton="0" quotePrefix="0" xfId="0">
      <alignment horizontal="general" vertical="bottom"/>
    </xf>
    <xf numFmtId="164" fontId="12" fillId="4" borderId="0" applyAlignment="1" pivotButton="0" quotePrefix="0" xfId="0">
      <alignment horizontal="general" vertical="bottom"/>
    </xf>
    <xf numFmtId="0" fontId="16" fillId="4" borderId="0" applyAlignment="1" pivotButton="0" quotePrefix="0" xfId="0">
      <alignment horizontal="general" vertical="bottom"/>
    </xf>
    <xf numFmtId="0" fontId="6" fillId="0" borderId="0" pivotButton="0" quotePrefix="0" xfId="0"/>
    <xf numFmtId="1" fontId="9" fillId="0" borderId="0" pivotButton="0" quotePrefix="0" xfId="0"/>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A42"/>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112" customWidth="1" style="86" min="1" max="1"/>
  </cols>
  <sheetData>
    <row r="1" ht="17.35" customHeight="1" s="87">
      <c r="A1" s="88" t="inlineStr">
        <is>
          <t>Fees and the Roll Decision</t>
        </is>
      </c>
    </row>
    <row r="2" ht="15" customHeight="1" s="87">
      <c r="A2" s="89" t="inlineStr">
        <is>
          <t>Companion workbook 3 — The Continuation Fund Handbook, Julian R. Sterling</t>
        </is>
      </c>
    </row>
    <row r="3"/>
    <row r="4" ht="15" customHeight="1" s="87">
      <c r="A4" s="90" t="inlineStr">
        <is>
          <t>Chapter 12's exercise asks you to take a continuation vehicle term sheet and calculate the total fees and carried interest payable under the sponsor's base case, in cash, expressed as a percentage of the equity value at entry — and adds that most investors have never done this calculation and are surprised by the answer. This workbook does it.
Six sheets.
The fee comparison — Chapter 12's own worked example. A rolling investor with EUR 5 million of value, two sets of economics, and the eight points of net multiple that separate them. The sheet reproduces both scenarios and then runs the comparison the chapter says matters more: the same asset, the same performance, and an eight-point difference determined entirely by who was in the room.
The carry tiers — the three bands Chapter 12 prints: 12.5 per cent up to a 1.5 times multiple, 16.7 per cent between 1.5 and 2.0 times, and 20 per cent above. The middle band decides the answer at a 1.8 times outcome, so the sheet checks that the printed rate reproduces the chapter's figures and shows what the alternatives would give.
Two vehicles, ten years — the second calculation Chapter 12 says is worth doing. An investor who has held a company for six years has already paid fees and carry on it to the transaction price; rolling means paying again on the next tranche. The chapter says the combined load can approach a quarter of the gross gain. The sheet tests that.
Transaction costs — Chapter 4's allocation table, with the one to two per cent of price it says is common, and the question of whether any cost is being borne twice.
The roll decision — Chapter 10's two investors and its rough decision rule, as a scored sheet. Not a recommendation engine: a way of finding out in ten minutes which of the two investors you are.
Blue is an input, black and green are formulas, yellow marks the assumptions that carry the answer.</t>
        </is>
      </c>
    </row>
    <row r="5" ht="15" customHeight="1" s="87"/>
    <row r="6" ht="15" customHeight="1" s="87"/>
    <row r="7" ht="15" customHeight="1" s="87"/>
    <row r="8" ht="15" customHeight="1" s="87"/>
    <row r="9" ht="15" customHeight="1" s="87"/>
    <row r="10" ht="15" customHeight="1" s="87"/>
    <row r="11" ht="15" customHeight="1" s="87"/>
    <row r="12" ht="15" customHeight="1" s="87"/>
    <row r="13" ht="15" customHeight="1" s="87"/>
    <row r="14" ht="15" customHeight="1" s="87"/>
    <row r="15" ht="15" customHeight="1" s="87"/>
    <row r="16" ht="15" customHeight="1" s="87"/>
    <row r="17" ht="15" customHeight="1" s="87"/>
    <row r="18" ht="15" customHeight="1" s="87"/>
    <row r="19" ht="15" customHeight="1" s="87"/>
    <row r="20" ht="15" customHeight="1" s="87"/>
    <row r="21" ht="15" customHeight="1" s="87"/>
    <row r="22" ht="15" customHeight="1" s="87"/>
    <row r="23" ht="15" customHeight="1" s="87"/>
    <row r="24" ht="15" customHeight="1" s="87"/>
    <row r="25" ht="15" customHeight="1" s="87"/>
    <row r="26" ht="15" customHeight="1" s="87"/>
    <row r="27" ht="15" customHeight="1" s="87"/>
    <row r="28" ht="15" customHeight="1" s="87"/>
    <row r="29" ht="15" customHeight="1" s="87"/>
    <row r="30" ht="15" customHeight="1" s="87"/>
    <row r="31" ht="15" customHeight="1" s="87"/>
    <row r="32" ht="15" customHeight="1" s="87"/>
    <row r="33" ht="15" customHeight="1" s="87"/>
    <row r="34" ht="15" customHeight="1" s="87"/>
    <row r="35" ht="15" customHeight="1" s="87"/>
    <row r="36" ht="15" customHeight="1" s="87"/>
    <row r="37" ht="15" customHeight="1" s="87"/>
    <row r="38" ht="15" customHeight="1" s="87"/>
    <row r="39" ht="15" customHeight="1" s="87"/>
    <row r="40" ht="15" customHeight="1" s="87"/>
    <row r="41"/>
    <row r="42" ht="150" customHeight="1" s="87">
      <c r="A42" s="90" t="inlineStr">
        <is>
          <t>Revised 23 September 2026. Two additions, no correction. Chapter 12 charges the carry on the whole gain, before the management fee is returned; on the usual basis, fees first, scenario one nets EUR 7.88 million and the gap between the two scenarios is about EUR 360,000 and seven points rather than eight (The fee comparison, rows 52 to 58). The quarter-of-the-gain claim depends on the original cost of the asset, which Chapter 12 now gives as EUR 2 million in its illustration (about 23 per cent): the load reaches a quarter at an original cost of EUR 2.64 million on a EUR 5 million value, and 29 per cent if rolling investors stay on scenario one's terms (Two vehicles, rows 47 to 49). Revised 26 September 2026 to match the corrected manuscript: the chapter now prints the 16.7 per cent middle band, the EUR 563,000 of scenario-two carry, the EUR 360,000 and seven points on the fees-first basis, and the EUR 2 million original cost with its EUR 1.64 million and 23 per cent. Thirty-three checks.</t>
        </is>
      </c>
    </row>
  </sheetData>
  <mergeCells count="1">
    <mergeCell ref="A4:A4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G5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4" customWidth="1" style="86" min="1" max="1"/>
    <col width="6" customWidth="1" style="86" min="2" max="2"/>
    <col width="16" customWidth="1" style="86" min="3" max="5"/>
    <col width="3" customWidth="1" style="86" min="6" max="6"/>
    <col width="60" customWidth="1" style="86" min="7" max="7"/>
  </cols>
  <sheetData>
    <row r="1" ht="17.35" customHeight="1" s="87">
      <c r="A1" s="88" t="inlineStr">
        <is>
          <t>Chapter 12 — a worked fee comparison</t>
        </is>
      </c>
    </row>
    <row r="2" ht="15" customHeight="1" s="87">
      <c r="A2" s="89" t="inlineStr">
        <is>
          <t>A rolling investor with EUR 5 million of value at the transaction price, in a vehicle with a four-year expected life.</t>
        </is>
      </c>
    </row>
    <row r="3"/>
    <row r="4" ht="15" customHeight="1" s="87">
      <c r="A4" s="91" t="inlineStr">
        <is>
          <t>The position</t>
        </is>
      </c>
      <c r="G4" s="91" t="inlineStr">
        <is>
          <t>Eight points, and where they come from</t>
        </is>
      </c>
    </row>
    <row r="5" ht="15" customHeight="1" s="87">
      <c r="A5" s="92" t="inlineStr">
        <is>
          <t>Value at the transaction price (EUR m)</t>
        </is>
      </c>
      <c r="C5" s="93" t="n">
        <v>5</v>
      </c>
      <c r="G5" s="90" t="inlineStr">
        <is>
          <t>Chapter 12 runs two sets of economics over the same asset and the same performance, and the difference is roughly EUR 400,000 on a EUR 5 million position, or eight points of net multiple.
The management fee half is arithmetic anyone can check. Two per cent of EUR 5 million for four years is EUR 400,000. One and a quarter per cent for three years and one per cent for the fourth is EUR 237,500. The step-down alone saves EUR 162,500 before any carry is calculated, and it is the term most easily conceded because it costs the sponsor the least.
The carry half needs the next sheet. The chapter's tiering has three bands, 12.5 per cent up to 1.5 times, 16.7 per cent between 1.5 and 2.0 times and 20 per cent above, and the worked example lands at 1.8, in the middle band: 12.5 per cent of the first EUR 2.5 million of gain and 16.7 per cent of the next EUR 1.5 million, about EUR 563,000.
The block at the bottom is the one to read twice. It is not a comparison between a good deal and a bad one. It is the same deal, offered on two sets of terms to two groups of people, where one group negotiated and the other did not. Chapter 12 calls the fix the single most valuable provision for existing investors: that rolling investors receive terms no less favourable than any incoming investor. It costs the sponsor almost nothing to grant and it is worth more to rolling investors than most of what they will spend their diligence time on.
Appendix B puts it as a question — do rolling investors receive terms no less favourable than incoming buyers? — and Appendix H makes its absence mistake ten. Chapter 12's key takeaway goes further: its absence is the clearest signal about who the transaction was structured for. That is a strong claim, and the arithmetic on this sheet is why it is fair.
Change the gross return in C7 and watch what happens to the eight points. At 1.3 times the gap narrows sharply, because carry barely bites and the difference is almost entirely management fee. At 2.5 times it widens, because the tiering is doing more work. Terms matter most exactly when the asset performs, which is the case in which nobody thinks to complain about them.</t>
        </is>
      </c>
    </row>
    <row r="6" ht="15" customHeight="1" s="87">
      <c r="A6" s="92" t="inlineStr">
        <is>
          <t>Expected life (years)</t>
        </is>
      </c>
      <c r="C6" s="94" t="n">
        <v>4</v>
      </c>
    </row>
    <row r="7" ht="15" customHeight="1" s="87">
      <c r="A7" s="92" t="inlineStr">
        <is>
          <t>Gross return on the asset</t>
        </is>
      </c>
      <c r="C7" s="95" t="n">
        <v>1.8</v>
      </c>
    </row>
    <row r="8" ht="15" customHeight="1" s="87">
      <c r="A8" s="92" t="inlineStr">
        <is>
          <t>Preferred return</t>
        </is>
      </c>
      <c r="C8" s="96" t="n">
        <v>0.08</v>
      </c>
    </row>
    <row r="9" ht="15" customHeight="1" s="87">
      <c r="A9" s="97" t="inlineStr">
        <is>
          <t>Gross proceeds before fees (EUR m)</t>
        </is>
      </c>
      <c r="C9" s="98">
        <f>C5*C7</f>
        <v/>
      </c>
    </row>
    <row r="10" ht="15" customHeight="1" s="87">
      <c r="A10" s="92" t="inlineStr">
        <is>
          <t>Gross gain (EUR m)</t>
        </is>
      </c>
      <c r="C10" s="99">
        <f>C9-C5</f>
        <v/>
      </c>
    </row>
    <row r="11" ht="15" customHeight="1" s="87">
      <c r="A11" s="92" t="inlineStr">
        <is>
          <t>Preferred return hurdle at exit (EUR m)</t>
        </is>
      </c>
      <c r="C11" s="99">
        <f>C5*(1+C8)^C6</f>
        <v/>
      </c>
    </row>
    <row r="12" ht="15" customHeight="1" s="87">
      <c r="A12" s="92" t="inlineStr">
        <is>
          <t>Does the gross outcome clear the hurdle?</t>
        </is>
      </c>
      <c r="C12" s="100">
        <f>IF(C9&gt;C11,"yes — with full catch-up the carry is charged on the whole gain","no")</f>
        <v/>
      </c>
    </row>
    <row r="13" ht="15" customHeight="1" s="87"/>
    <row r="14" ht="15" customHeight="1" s="87">
      <c r="A14" s="91" t="inlineStr">
        <is>
          <t>Scenario one — blind-pool economics</t>
        </is>
      </c>
    </row>
    <row r="15" ht="15" customHeight="1" s="87">
      <c r="A15" s="92" t="inlineStr">
        <is>
          <t>Management fee on invested capital</t>
        </is>
      </c>
      <c r="C15" s="101" t="n">
        <v>0.02</v>
      </c>
    </row>
    <row r="16" ht="15" customHeight="1" s="87">
      <c r="A16" s="97" t="inlineStr">
        <is>
          <t>Management fee over the life (EUR m)</t>
        </is>
      </c>
      <c r="C16" s="98">
        <f>C5*C15*C6</f>
        <v/>
      </c>
    </row>
    <row r="17" ht="15" customHeight="1" s="87">
      <c r="A17" s="92" t="inlineStr">
        <is>
          <t>Carried interest rate</t>
        </is>
      </c>
      <c r="C17" s="96" t="n">
        <v>0.2</v>
      </c>
    </row>
    <row r="18" ht="15" customHeight="1" s="87">
      <c r="A18" s="97" t="inlineStr">
        <is>
          <t>Carried interest (EUR m)</t>
        </is>
      </c>
      <c r="C18" s="98">
        <f>C10*C17</f>
        <v/>
      </c>
    </row>
    <row r="19" ht="15" customHeight="1" s="87">
      <c r="A19" s="102" t="inlineStr">
        <is>
          <t>Net to the investor (EUR m)</t>
        </is>
      </c>
      <c r="C19" s="103">
        <f>C9-C16-C18</f>
        <v/>
      </c>
    </row>
    <row r="20" ht="15" customHeight="1" s="87">
      <c r="A20" s="97" t="inlineStr">
        <is>
          <t>Net multiple</t>
        </is>
      </c>
      <c r="C20" s="104">
        <f>C19/C5</f>
        <v/>
      </c>
    </row>
    <row r="21" ht="15" customHeight="1" s="87">
      <c r="A21" s="92" t="inlineStr">
        <is>
          <t>Total fee and carry load (EUR m)</t>
        </is>
      </c>
      <c r="C21" s="99">
        <f>C16+C18</f>
        <v/>
      </c>
    </row>
    <row r="22" ht="15" customHeight="1" s="87">
      <c r="A22" s="97" t="inlineStr">
        <is>
          <t>Load as a share of the gross gain</t>
        </is>
      </c>
      <c r="C22" s="105">
        <f>C21/C10</f>
        <v/>
      </c>
    </row>
    <row r="23" ht="15" customHeight="1" s="87"/>
    <row r="24" ht="15" customHeight="1" s="87">
      <c r="A24" s="91" t="inlineStr">
        <is>
          <t>Scenario two — continuation-appropriate economics</t>
        </is>
      </c>
    </row>
    <row r="25" ht="15" customHeight="1" s="87">
      <c r="A25" s="92" t="inlineStr">
        <is>
          <t>Management fee, years one to three</t>
        </is>
      </c>
      <c r="C25" s="101" t="n">
        <v>0.0125</v>
      </c>
    </row>
    <row r="26" ht="15" customHeight="1" s="87">
      <c r="A26" s="92" t="inlineStr">
        <is>
          <t>Management fee from year four</t>
        </is>
      </c>
      <c r="C26" s="101" t="n">
        <v>0.01</v>
      </c>
    </row>
    <row r="27" ht="15" customHeight="1" s="87">
      <c r="A27" s="92" t="inlineStr">
        <is>
          <t>Years at the higher rate</t>
        </is>
      </c>
      <c r="C27" s="106" t="n">
        <v>3</v>
      </c>
    </row>
    <row r="28" ht="15" customHeight="1" s="87">
      <c r="A28" s="97" t="inlineStr">
        <is>
          <t>Management fee over the life (EUR m)</t>
        </is>
      </c>
      <c r="C28" s="98">
        <f>C5*(C25*MIN(C27,C6)+C26*MAX(0,C6-C27))</f>
        <v/>
      </c>
    </row>
    <row r="29" ht="15" customHeight="1" s="87">
      <c r="A29" s="97" t="inlineStr">
        <is>
          <t>Carried interest (EUR m)</t>
        </is>
      </c>
      <c r="C29" s="98">
        <f>'The carry tiers'!C24</f>
        <v/>
      </c>
    </row>
    <row r="30" ht="15" customHeight="1" s="87">
      <c r="A30" s="102" t="inlineStr">
        <is>
          <t>Net to the investor (EUR m)</t>
        </is>
      </c>
      <c r="C30" s="103">
        <f>C9-C28-C29</f>
        <v/>
      </c>
    </row>
    <row r="31" ht="15" customHeight="1" s="87">
      <c r="A31" s="97" t="inlineStr">
        <is>
          <t>Net multiple</t>
        </is>
      </c>
      <c r="C31" s="104">
        <f>C30/C5</f>
        <v/>
      </c>
    </row>
    <row r="32" ht="15" customHeight="1" s="87">
      <c r="A32" s="92" t="inlineStr">
        <is>
          <t>Total fee and carry load (EUR m)</t>
        </is>
      </c>
      <c r="C32" s="99">
        <f>C28+C29</f>
        <v/>
      </c>
    </row>
    <row r="33" ht="15" customHeight="1" s="87">
      <c r="A33" s="97" t="inlineStr">
        <is>
          <t>Load as a share of the gross gain</t>
        </is>
      </c>
      <c r="C33" s="105">
        <f>C32/C10</f>
        <v/>
      </c>
    </row>
    <row r="34" ht="15" customHeight="1" s="87"/>
    <row r="35" ht="15" customHeight="1" s="87">
      <c r="A35" s="91" t="inlineStr">
        <is>
          <t>The difference</t>
        </is>
      </c>
    </row>
    <row r="36" ht="27.75" customHeight="1" s="87">
      <c r="A36" s="107" t="n"/>
      <c r="B36" s="108" t="n"/>
      <c r="C36" s="108" t="inlineStr">
        <is>
          <t>Scenario one</t>
        </is>
      </c>
      <c r="D36" s="108" t="inlineStr">
        <is>
          <t>Scenario two</t>
        </is>
      </c>
      <c r="E36" s="108" t="inlineStr">
        <is>
          <t>Difference</t>
        </is>
      </c>
    </row>
    <row r="37" ht="15" customHeight="1" s="87">
      <c r="A37" s="92" t="inlineStr">
        <is>
          <t>Management fee over the life (EUR m)</t>
        </is>
      </c>
      <c r="C37" s="99">
        <f>C16</f>
        <v/>
      </c>
      <c r="D37" s="99">
        <f>C28</f>
        <v/>
      </c>
      <c r="E37" s="99">
        <f>D37-C37</f>
        <v/>
      </c>
    </row>
    <row r="38" ht="15" customHeight="1" s="87">
      <c r="A38" s="92" t="inlineStr">
        <is>
          <t>Carried interest (EUR m)</t>
        </is>
      </c>
      <c r="C38" s="99">
        <f>C18</f>
        <v/>
      </c>
      <c r="D38" s="99">
        <f>C29</f>
        <v/>
      </c>
      <c r="E38" s="99">
        <f>D38-C38</f>
        <v/>
      </c>
    </row>
    <row r="39" ht="15" customHeight="1" s="87">
      <c r="A39" s="97" t="inlineStr">
        <is>
          <t>Net to the investor (EUR m)</t>
        </is>
      </c>
      <c r="C39" s="98">
        <f>C19</f>
        <v/>
      </c>
      <c r="D39" s="98">
        <f>C30</f>
        <v/>
      </c>
      <c r="E39" s="98">
        <f>D39-C39</f>
        <v/>
      </c>
    </row>
    <row r="40" ht="15" customHeight="1" s="87">
      <c r="A40" s="97" t="inlineStr">
        <is>
          <t>Net multiple</t>
        </is>
      </c>
      <c r="C40" s="104">
        <f>C20</f>
        <v/>
      </c>
      <c r="D40" s="104">
        <f>C31</f>
        <v/>
      </c>
      <c r="E40" s="104">
        <f>D40-C40</f>
        <v/>
      </c>
    </row>
    <row r="41" ht="15" customHeight="1" s="87">
      <c r="A41" s="97" t="inlineStr">
        <is>
          <t>Difference in net multiple, in points</t>
        </is>
      </c>
      <c r="C41" s="98">
        <f>(C31-C20)*100</f>
        <v/>
      </c>
    </row>
    <row r="42" ht="15" customHeight="1" s="87">
      <c r="A42" s="97" t="inlineStr">
        <is>
          <t>Difference in cash (EUR m)</t>
        </is>
      </c>
      <c r="C42" s="98">
        <f>C30-C19</f>
        <v/>
      </c>
    </row>
    <row r="43" ht="15" customHeight="1" s="87"/>
    <row r="44" ht="15" customHeight="1" s="87">
      <c r="A44" s="91" t="inlineStr">
        <is>
          <t>The comparison that matters more</t>
        </is>
      </c>
    </row>
    <row r="45" ht="15" customHeight="1" s="87">
      <c r="A45" s="92" t="inlineStr">
        <is>
          <t>Incoming buyers negotiate scenario two for themselves</t>
        </is>
      </c>
      <c r="C45" s="109">
        <f>C31</f>
        <v/>
      </c>
    </row>
    <row r="46" ht="15" customHeight="1" s="87">
      <c r="A46" s="92" t="inlineStr">
        <is>
          <t>Rolling investors receive scenario one</t>
        </is>
      </c>
      <c r="C46" s="109">
        <f>C20</f>
        <v/>
      </c>
    </row>
    <row r="47" ht="15" customHeight="1" s="87">
      <c r="A47" s="92" t="inlineStr">
        <is>
          <t>Same asset, same vehicle, same performance</t>
        </is>
      </c>
      <c r="C47" s="110" t="inlineStr">
        <is>
          <t>yes</t>
        </is>
      </c>
    </row>
    <row r="48" ht="15" customHeight="1" s="87">
      <c r="A48" s="97" t="inlineStr">
        <is>
          <t>Difference determined entirely by who was in the room</t>
        </is>
      </c>
      <c r="C48" s="98">
        <f>(C45-C46)*100</f>
        <v/>
      </c>
    </row>
    <row r="49" ht="15" customHeight="1" s="87">
      <c r="A49" s="97" t="inlineStr">
        <is>
          <t>On the position, in cash (EUR m)</t>
        </is>
      </c>
      <c r="C49" s="98">
        <f>(C45-C46)*C5</f>
        <v/>
      </c>
    </row>
    <row r="50" ht="15" customHeight="1" s="87">
      <c r="A50" s="92" t="inlineStr">
        <is>
          <t>Cost to the sponsor of granting matched terms</t>
        </is>
      </c>
      <c r="C50" s="89" t="inlineStr">
        <is>
          <t>almost nothing</t>
        </is>
      </c>
    </row>
    <row r="51"/>
    <row r="52" ht="26.85" customHeight="1" s="87">
      <c r="A52" s="111" t="inlineStr">
        <is>
          <t>On the usual basis: management fees returned to investors before any carry</t>
        </is>
      </c>
    </row>
    <row r="53" ht="15" customHeight="1" s="87">
      <c r="C53" s="108" t="inlineStr">
        <is>
          <t>Scenario one</t>
        </is>
      </c>
      <c r="D53" s="108" t="inlineStr">
        <is>
          <t>Scenario two</t>
        </is>
      </c>
      <c r="E53" s="108" t="inlineStr">
        <is>
          <t>Difference</t>
        </is>
      </c>
    </row>
    <row r="54" ht="15" customHeight="1" s="87">
      <c r="A54" s="92" t="inlineStr">
        <is>
          <t>Carried interest (EUR m)</t>
        </is>
      </c>
      <c r="C54" s="112">
        <f>0.2*(C10-C16)</f>
        <v/>
      </c>
      <c r="D54" s="112">
        <f>(MIN(1+(C10-C28)/C5,'The carry tiers'!C8)-1)*C5*'The carry tiers'!C5+MAX(0,MIN(1+(C10-C28)/C5,'The carry tiers'!C9)-'The carry tiers'!C8)*C5*'The carry tiers'!C6+MAX(0,1+(C10-C28)/C5-'The carry tiers'!C9)*C5*'The carry tiers'!C7</f>
        <v/>
      </c>
      <c r="E54" s="112">
        <f>D54-C54</f>
        <v/>
      </c>
    </row>
    <row r="55" ht="15" customHeight="1" s="87">
      <c r="A55" s="92" t="inlineStr">
        <is>
          <t>Net to the investor (EUR m)</t>
        </is>
      </c>
      <c r="C55" s="112">
        <f>C9-C16-C54</f>
        <v/>
      </c>
      <c r="D55" s="112">
        <f>C9-C28-D54</f>
        <v/>
      </c>
      <c r="E55" s="112">
        <f>D55-C55</f>
        <v/>
      </c>
    </row>
    <row r="56" ht="15" customHeight="1" s="87">
      <c r="A56" s="92" t="inlineStr">
        <is>
          <t>Net multiple</t>
        </is>
      </c>
      <c r="C56" s="112">
        <f>C55/C5</f>
        <v/>
      </c>
      <c r="D56" s="112">
        <f>D55/C5</f>
        <v/>
      </c>
      <c r="E56" s="112">
        <f>D56-C56</f>
        <v/>
      </c>
    </row>
    <row r="57" ht="15" customHeight="1" s="87">
      <c r="A57" s="97" t="inlineStr">
        <is>
          <t>Difference in net multiple, in points</t>
        </is>
      </c>
      <c r="C57" s="113">
        <f>(D56-C56)*100</f>
        <v/>
      </c>
    </row>
    <row r="58" ht="15" customHeight="1" s="87">
      <c r="A58" s="97" t="inlineStr">
        <is>
          <t>The chapter charges carry on the gain before fees; on this basis the gap is</t>
        </is>
      </c>
      <c r="C58" s="98">
        <f>IF(C57&lt;(C31-C20)*100,"smaller, and the conclusion stands","not smaller")</f>
        <v/>
      </c>
    </row>
  </sheetData>
  <mergeCells count="1">
    <mergeCell ref="G5:G5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H44"/>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4" customWidth="1" style="86" min="1" max="1"/>
    <col width="6" customWidth="1" style="86" min="2" max="2"/>
    <col width="16" customWidth="1" style="86" min="3" max="6"/>
    <col width="3" customWidth="1" style="86" min="7" max="7"/>
    <col width="60" customWidth="1" style="86" min="8" max="8"/>
  </cols>
  <sheetData>
    <row r="1" ht="17.35" customHeight="1" s="87">
      <c r="A1" s="88" t="inlineStr">
        <is>
          <t>The middle band: 16.7 per cent between 1.5 and 2.0 times</t>
        </is>
      </c>
    </row>
    <row r="2" ht="15" customHeight="1" s="87">
      <c r="A2" s="89" t="inlineStr">
        <is>
          <t>12.5 per cent up to a 1.5 times multiple, 16.7 per cent between 1.5 and 2.0 times, 20 per cent above, as Chapter 12 prints them.</t>
        </is>
      </c>
    </row>
    <row r="3"/>
    <row r="4" ht="15" customHeight="1" s="87">
      <c r="A4" s="91" t="inlineStr">
        <is>
          <t>The tiers as Chapter 12 gives them</t>
        </is>
      </c>
      <c r="H4" s="91" t="inlineStr">
        <is>
          <t>Why 16.7 per cent</t>
        </is>
      </c>
    </row>
    <row r="5" ht="15" customHeight="1" s="87">
      <c r="A5" s="92" t="inlineStr">
        <is>
          <t>Rate below a 1.5 times multiple</t>
        </is>
      </c>
      <c r="C5" s="96" t="n">
        <v>0.125</v>
      </c>
      <c r="H5" s="90" t="inlineStr">
        <is>
          <t>Chapter 12's second scenario has carried interest tiered at 12.5 per cent on gains up to a 1.5 times multiple, 16.7 per cent on gains between 1.5 and 2.0 times, and 20 per cent above 2.0 times, with full catch-up. The worked example returns 1.8 times gross, inside the middle band, and prints a net of approximately EUR 8.2 million and a net multiple of 1.64. (Revised 26 September 2026: earlier printings gave no rate for the middle band, and this sheet solved for it.)
The solve at the bottom of the sheet shows that those two printed figures are consistent with the printed rate: the exact rate that returns 8.2 and 1.64 is one sixth, 16.67 per cent, which the chapter rounds to 16.7. That is a sensible number — roughly two thirds of the way from 12.5 to 20 across a band that runs from 1.5 to 2.0 — and a straight-line interpolation between the two stated rates would give something close to it.
The table shows what the alternatives would produce. At a flat 12.5 per cent through the middle the net is EUR 8.26 million and the multiple 1.65; at 20 per cent it is EUR 8.15 million and 1.63. The chapter's figures sit between them, which is the evidence that a middle rate was intended rather than an extension of either neighbour.
None of this changes the chapter's argument, and that is the point of doing it. Eight points of net multiple separate the two scenarios on any reading of the band. What the solve buys is a check that the printed rate and the printed results agree, and a reader who can change the rate and watch the result move.
The cross-check in the middle of the sheet is worth keeping in any tiered-carry model you build. Tiers are easy to get wrong at the boundaries — double-counting the gain at 1.5 times, or losing it — and the symptom is a total that does not equal the gross gain. The line that adds the three tiers and compares them with the gain catches it every time.
A practical note on why tiering exists at all. Chapter 12's key takeaway is that carried interest should reflect an asset that is already partly de-risked. A blind-pool fund charges 20 per cent because it might lose the money. A continuation vehicle holds a company the sponsor has owned for years, has diligenced exhaustively, and has just priced in a competitive process. Tiering says: below a modest outcome you have not earned twenty; above a strong one you have.</t>
        </is>
      </c>
    </row>
    <row r="6" ht="15" customHeight="1" s="87">
      <c r="A6" s="92" t="inlineStr">
        <is>
          <t>Rate between 1.5 and 2.0 times, as Chapter 12 prints it</t>
        </is>
      </c>
      <c r="C6" s="101" t="n">
        <v>0.167</v>
      </c>
    </row>
    <row r="7" ht="15" customHeight="1" s="87">
      <c r="A7" s="92" t="inlineStr">
        <is>
          <t>Rate above a 2.0 times multiple</t>
        </is>
      </c>
      <c r="C7" s="96" t="n">
        <v>0.2</v>
      </c>
    </row>
    <row r="8" ht="15" customHeight="1" s="87">
      <c r="A8" s="92" t="inlineStr">
        <is>
          <t>Lower tier boundary</t>
        </is>
      </c>
      <c r="C8" s="114" t="n">
        <v>1.5</v>
      </c>
    </row>
    <row r="9" ht="15" customHeight="1" s="87">
      <c r="A9" s="92" t="inlineStr">
        <is>
          <t>Upper tier boundary</t>
        </is>
      </c>
      <c r="C9" s="114" t="n">
        <v>2</v>
      </c>
    </row>
    <row r="10" ht="15" customHeight="1" s="87"/>
    <row r="11" ht="15" customHeight="1" s="87">
      <c r="A11" s="91" t="inlineStr">
        <is>
          <t>Applied to the Chapter 12 example</t>
        </is>
      </c>
    </row>
    <row r="12" ht="15" customHeight="1" s="87">
      <c r="A12" s="92" t="inlineStr">
        <is>
          <t>Contributed value (EUR m)</t>
        </is>
      </c>
      <c r="C12" s="115">
        <f>'The fee comparison'!C5</f>
        <v/>
      </c>
    </row>
    <row r="13" ht="15" customHeight="1" s="87">
      <c r="A13" s="92" t="inlineStr">
        <is>
          <t>Gross proceeds (EUR m)</t>
        </is>
      </c>
      <c r="C13" s="115">
        <f>'The fee comparison'!C9</f>
        <v/>
      </c>
    </row>
    <row r="14" ht="15" customHeight="1" s="87">
      <c r="A14" s="92" t="inlineStr">
        <is>
          <t>Gross multiple achieved</t>
        </is>
      </c>
      <c r="C14" s="109">
        <f>C13/C12</f>
        <v/>
      </c>
    </row>
    <row r="15" ht="15" customHeight="1" s="87"/>
    <row r="16" ht="27.75" customHeight="1" s="87">
      <c r="A16" s="107" t="inlineStr">
        <is>
          <t>Tier</t>
        </is>
      </c>
      <c r="B16" s="108" t="n"/>
      <c r="C16" s="108" t="inlineStr">
        <is>
          <t>From</t>
        </is>
      </c>
      <c r="D16" s="108" t="inlineStr">
        <is>
          <t>To</t>
        </is>
      </c>
      <c r="E16" s="108" t="inlineStr">
        <is>
          <t>Gain in the tier (EUR m)</t>
        </is>
      </c>
      <c r="F16" s="108" t="inlineStr">
        <is>
          <t>Rate</t>
        </is>
      </c>
      <c r="G16" s="108" t="inlineStr">
        <is>
          <t>Carry (EUR m)</t>
        </is>
      </c>
    </row>
    <row r="17" ht="15" customHeight="1" s="87">
      <c r="A17" s="92" t="inlineStr">
        <is>
          <t>Below the lower boundary</t>
        </is>
      </c>
      <c r="C17" s="109">
        <f>1</f>
        <v/>
      </c>
      <c r="D17" s="109">
        <f>MIN($C$14,$C$8)</f>
        <v/>
      </c>
      <c r="E17" s="99">
        <f>MAX(0,(D17-C17))*$C$12</f>
        <v/>
      </c>
      <c r="F17" s="116">
        <f>$C$5</f>
        <v/>
      </c>
      <c r="G17" s="99">
        <f>E17*F17</f>
        <v/>
      </c>
    </row>
    <row r="18" ht="15" customHeight="1" s="87">
      <c r="A18" s="117" t="inlineStr">
        <is>
          <t>Between the boundaries</t>
        </is>
      </c>
      <c r="C18" s="118">
        <f>$C$8</f>
        <v/>
      </c>
      <c r="D18" s="118">
        <f>MIN($C$14,$C$9)</f>
        <v/>
      </c>
      <c r="E18" s="119">
        <f>MAX(0,(D18-C18))*$C$12</f>
        <v/>
      </c>
      <c r="F18" s="120">
        <f>$C$6</f>
        <v/>
      </c>
      <c r="G18" s="119">
        <f>E18*F18</f>
        <v/>
      </c>
    </row>
    <row r="19" ht="15" customHeight="1" s="87">
      <c r="A19" s="92" t="inlineStr">
        <is>
          <t>Above the upper boundary</t>
        </is>
      </c>
      <c r="C19" s="109">
        <f>$C$9</f>
        <v/>
      </c>
      <c r="D19" s="109">
        <f>$C$14</f>
        <v/>
      </c>
      <c r="E19" s="99">
        <f>MAX(0,(D19-C19))*$C$12</f>
        <v/>
      </c>
      <c r="F19" s="116">
        <f>$C$7</f>
        <v/>
      </c>
      <c r="G19" s="99">
        <f>E19*F19</f>
        <v/>
      </c>
    </row>
    <row r="20" ht="15" customHeight="1" s="87"/>
    <row r="21" ht="15" customHeight="1" s="87">
      <c r="A21" s="97" t="inlineStr">
        <is>
          <t>Total gain (EUR m)</t>
        </is>
      </c>
      <c r="E21" s="98">
        <f>SUM(E17:E19)</f>
        <v/>
      </c>
    </row>
    <row r="22" ht="15" customHeight="1" s="87">
      <c r="A22" s="92" t="inlineStr">
        <is>
          <t>Cross-check against the gross gain</t>
        </is>
      </c>
      <c r="E22" s="99">
        <f>C13-C12</f>
        <v/>
      </c>
    </row>
    <row r="23" ht="15" customHeight="1" s="87">
      <c r="A23" s="97" t="inlineStr">
        <is>
          <t>The tiers cover the whole gain?</t>
        </is>
      </c>
      <c r="E23" s="121">
        <f>IF(ABS(E21-E22)&lt;0.001,"yes","NO")</f>
        <v/>
      </c>
    </row>
    <row r="24" ht="15" customHeight="1" s="87">
      <c r="A24" s="97" t="inlineStr">
        <is>
          <t>Total carried interest (EUR m)</t>
        </is>
      </c>
      <c r="C24" s="98">
        <f>SUM(G17:G19)</f>
        <v/>
      </c>
    </row>
    <row r="25" ht="15" customHeight="1" s="87">
      <c r="A25" s="97" t="inlineStr">
        <is>
          <t>Blended carry rate on the gain</t>
        </is>
      </c>
      <c r="C25" s="122">
        <f>C24/E22</f>
        <v/>
      </c>
    </row>
    <row r="26" ht="15" customHeight="1" s="87"/>
    <row r="27" ht="15" customHeight="1" s="87">
      <c r="A27" s="91" t="inlineStr">
        <is>
          <t>What the middle band is worth</t>
        </is>
      </c>
    </row>
    <row r="28" ht="27.75" customHeight="1" s="87">
      <c r="A28" s="107" t="inlineStr">
        <is>
          <t>Middle band rate</t>
        </is>
      </c>
      <c r="B28" s="108" t="n"/>
      <c r="C28" s="108" t="inlineStr">
        <is>
          <t>Carried interest (EUR m)</t>
        </is>
      </c>
      <c r="D28" s="108" t="inlineStr">
        <is>
          <t>Net to the investor (EUR m)</t>
        </is>
      </c>
      <c r="E28" s="108" t="inlineStr">
        <is>
          <t>Net multiple</t>
        </is>
      </c>
      <c r="F28" s="108" t="inlineStr">
        <is>
          <t>Matches the chapter?</t>
        </is>
      </c>
    </row>
    <row r="29" ht="15" customHeight="1" s="87">
      <c r="A29" s="123" t="n">
        <v>0.125</v>
      </c>
      <c r="C29" s="99">
        <f>$G$17+MAX(0,(MIN($C$14,$C$9)-$C$8))*$C$12*$A29+$G$19</f>
        <v/>
      </c>
      <c r="D29" s="99">
        <f>$C$13-'The fee comparison'!$C$28-C29</f>
        <v/>
      </c>
      <c r="E29" s="109">
        <f>D29/$C$12</f>
        <v/>
      </c>
      <c r="F29" s="100">
        <f>IF(AND(ABS(D29-8.2)&lt;0.005,ABS(E29-1.64)&lt;0.001),"yes — reproduces both printed figures","no")</f>
        <v/>
      </c>
    </row>
    <row r="30" ht="15" customHeight="1" s="87">
      <c r="A30" s="124" t="n">
        <v>0.15</v>
      </c>
      <c r="C30" s="119">
        <f>$G$17+MAX(0,(MIN($C$14,$C$9)-$C$8))*$C$12*$A30+$G$19</f>
        <v/>
      </c>
      <c r="D30" s="119">
        <f>$C$13-'The fee comparison'!$C$28-C30</f>
        <v/>
      </c>
      <c r="E30" s="118">
        <f>D30/$C$12</f>
        <v/>
      </c>
      <c r="F30" s="125">
        <f>IF(AND(ABS(D30-8.2)&lt;0.005,ABS(E30-1.64)&lt;0.001),"yes — reproduces both printed figures","no")</f>
        <v/>
      </c>
    </row>
    <row r="31" ht="15" customHeight="1" s="87">
      <c r="A31" s="123" t="n">
        <v>0.16667</v>
      </c>
      <c r="C31" s="99">
        <f>$G$17+MAX(0,(MIN($C$14,$C$9)-$C$8))*$C$12*$A31+$G$19</f>
        <v/>
      </c>
      <c r="D31" s="99">
        <f>$C$13-'The fee comparison'!$C$28-C31</f>
        <v/>
      </c>
      <c r="E31" s="109">
        <f>D31/$C$12</f>
        <v/>
      </c>
      <c r="F31" s="100">
        <f>IF(AND(ABS(D31-8.2)&lt;0.005,ABS(E31-1.64)&lt;0.001),"yes — reproduces both printed figures","no")</f>
        <v/>
      </c>
    </row>
    <row r="32" ht="15" customHeight="1" s="87">
      <c r="A32" s="124" t="n">
        <v>0.18</v>
      </c>
      <c r="C32" s="119">
        <f>$G$17+MAX(0,(MIN($C$14,$C$9)-$C$8))*$C$12*$A32+$G$19</f>
        <v/>
      </c>
      <c r="D32" s="119">
        <f>$C$13-'The fee comparison'!$C$28-C32</f>
        <v/>
      </c>
      <c r="E32" s="118">
        <f>D32/$C$12</f>
        <v/>
      </c>
      <c r="F32" s="125">
        <f>IF(AND(ABS(D32-8.2)&lt;0.005,ABS(E32-1.64)&lt;0.001),"yes — reproduces both printed figures","no")</f>
        <v/>
      </c>
    </row>
    <row r="33" ht="15" customHeight="1" s="87">
      <c r="A33" s="123" t="n">
        <v>0.2</v>
      </c>
      <c r="C33" s="99">
        <f>$G$17+MAX(0,(MIN($C$14,$C$9)-$C$8))*$C$12*$A33+$G$19</f>
        <v/>
      </c>
      <c r="D33" s="99">
        <f>$C$13-'The fee comparison'!$C$28-C33</f>
        <v/>
      </c>
      <c r="E33" s="109">
        <f>D33/$C$12</f>
        <v/>
      </c>
      <c r="F33" s="100">
        <f>IF(AND(ABS(D33-8.2)&lt;0.005,ABS(E33-1.64)&lt;0.001),"yes — reproduces both printed figures","no")</f>
        <v/>
      </c>
    </row>
    <row r="34" ht="15" customHeight="1" s="87"/>
    <row r="35" ht="15" customHeight="1" s="87">
      <c r="A35" s="92" t="inlineStr">
        <is>
          <t>The chapter prints a net of approximately (EUR m)</t>
        </is>
      </c>
      <c r="C35" s="126" t="n">
        <v>8.199999999999999</v>
      </c>
    </row>
    <row r="36" ht="15" customHeight="1" s="87">
      <c r="A36" s="92" t="inlineStr">
        <is>
          <t>and a net multiple of</t>
        </is>
      </c>
      <c r="C36" s="114" t="n">
        <v>1.64</v>
      </c>
    </row>
    <row r="37" ht="15" customHeight="1" s="87">
      <c r="A37" s="97" t="inlineStr">
        <is>
          <t>Middle band rate that reproduces both</t>
        </is>
      </c>
      <c r="C37" s="122">
        <f>(($C$13-'The fee comparison'!$C$28-$C$35)-$G$17-$G$19)/MAX(0.0001,(MIN($C$14,$C$9)-$C$8)*$C$12)</f>
        <v/>
      </c>
    </row>
    <row r="38" ht="15" customHeight="1" s="87">
      <c r="A38" s="92" t="inlineStr">
        <is>
          <t>Rate currently set on this sheet</t>
        </is>
      </c>
      <c r="C38" s="127">
        <f>C6</f>
        <v/>
      </c>
    </row>
    <row r="39" ht="15" customHeight="1" s="87">
      <c r="A39" s="97" t="inlineStr">
        <is>
          <t>Do they agree?</t>
        </is>
      </c>
      <c r="C39" s="121">
        <f>IF(ABS(C37-C38)&lt;0.001,"yes","no")</f>
        <v/>
      </c>
    </row>
    <row r="40" ht="15" customHeight="1" s="87"/>
    <row r="41" ht="15" customHeight="1" s="87"/>
    <row r="42" ht="15" customHeight="1" s="87"/>
    <row r="43" ht="15" customHeight="1" s="87"/>
    <row r="44" ht="15" customHeight="1" s="87"/>
  </sheetData>
  <mergeCells count="1">
    <mergeCell ref="H5:H44"/>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G4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4" customWidth="1" style="86" min="1" max="1"/>
    <col width="6" customWidth="1" style="86" min="2" max="2"/>
    <col width="16" customWidth="1" style="86" min="3" max="5"/>
    <col width="3" customWidth="1" style="86" min="6" max="6"/>
    <col width="60" customWidth="1" style="86" min="7" max="7"/>
  </cols>
  <sheetData>
    <row r="1" ht="17.35" customHeight="1" s="87">
      <c r="A1" s="88" t="inlineStr">
        <is>
          <t>The second calculation Chapter 12 says is worth doing</t>
        </is>
      </c>
    </row>
    <row r="2" ht="15" customHeight="1" s="87">
      <c r="A2" s="89" t="inlineStr">
        <is>
          <t>Rolling means paying again on the next tranche.</t>
        </is>
      </c>
    </row>
    <row r="3"/>
    <row r="4" ht="15" customHeight="1" s="87">
      <c r="A4" s="91" t="inlineStr">
        <is>
          <t>The whole holding period</t>
        </is>
      </c>
      <c r="G4" s="91" t="inlineStr">
        <is>
          <t>Paying twice on the same company</t>
        </is>
      </c>
    </row>
    <row r="5" ht="15" customHeight="1" s="87">
      <c r="A5" s="92" t="inlineStr">
        <is>
          <t>Original cost of the asset to the fund (EUR m)</t>
        </is>
      </c>
      <c r="C5" s="93" t="n">
        <v>2</v>
      </c>
      <c r="G5" s="90" t="inlineStr">
        <is>
          <t>An investor who has held a company for six years has already paid management fees on it and carried interest on its appreciation to the transaction price. Rolling means paying again on the next tranche. Over the two vehicles combined, the total fee and carry load on a single asset held for ten years can approach a quarter of the gross gain.
The sheet tests that claim and it holds. On the chapter's own economics — blind-pool terms in the original fund, continuation-appropriate terms in the new vehicle — the combined load lands in the low twenties as a share of the ten-year gain. Set the continuation vehicle to blind-pool terms as well and it passes a quarter comfortably.
Chapter 12 is careful about what this means: that is not an argument against rolling. It is an argument for knowing the number before deciding. Fees are a cost of access to a return, and a levered concentrated position in a company compounding earnings at a good rate may be worth a quarter of its gain. What is not defensible is arriving at that number by accident.
The block at the bottom reframes it as the comparison Chapter 10 says investors should actually make. Selling at the transaction price locks in a net multiple and an annualised return over the original holding period. Rolling puts the proceeds back to work for another four years at whatever the continuation vehicle delivers net. If the second leg is slower than the first, rolling is a decision to accept a lower return on the same asset — which may be right if the alternative use of the cash is worse, and which is at least visible.
That last clause is Chapter 10's actual framing of the choice, and it is worth quoting in full because it is the sentence the whole chapter turns on: the choice is not sell or stay, but take cash or make a new investment at this price on these terms.
One thing this sheet deliberately does not model: the carried interest crystallised at the transaction is paid to the sponsor whether the investor rolls or sells. That is why it sits in the original-fund block rather than being netted against the roll decision. The decision at the election is about the next four years only — the first six years' fees are sunk, and treating them as a reason to roll is the sunk cost fallacy wearing a spreadsheet.</t>
        </is>
      </c>
    </row>
    <row r="6" ht="15" customHeight="1" s="87">
      <c r="A6" s="92" t="inlineStr">
        <is>
          <t>Years held in the original fund</t>
        </is>
      </c>
      <c r="C6" s="94" t="n">
        <v>6</v>
      </c>
    </row>
    <row r="7" ht="15" customHeight="1" s="87">
      <c r="A7" s="92" t="inlineStr">
        <is>
          <t>Value at the transaction price (EUR m)</t>
        </is>
      </c>
      <c r="C7" s="93" t="n">
        <v>5</v>
      </c>
    </row>
    <row r="8" ht="15" customHeight="1" s="87">
      <c r="A8" s="92" t="inlineStr">
        <is>
          <t>Years held in the continuation vehicle</t>
        </is>
      </c>
      <c r="C8" s="94" t="n">
        <v>4</v>
      </c>
    </row>
    <row r="9" ht="15" customHeight="1" s="87">
      <c r="A9" s="92" t="inlineStr">
        <is>
          <t>Value at final exit (EUR m)</t>
        </is>
      </c>
      <c r="C9" s="93" t="n">
        <v>9</v>
      </c>
    </row>
    <row r="10" ht="15" customHeight="1" s="87">
      <c r="A10" s="97" t="inlineStr">
        <is>
          <t>Total years held</t>
        </is>
      </c>
      <c r="C10" s="128">
        <f>C6+C8</f>
        <v/>
      </c>
    </row>
    <row r="11" ht="15" customHeight="1" s="87">
      <c r="A11" s="97" t="inlineStr">
        <is>
          <t>Gross gain over the whole period (EUR m)</t>
        </is>
      </c>
      <c r="C11" s="98">
        <f>C9-C5</f>
        <v/>
      </c>
    </row>
    <row r="12" ht="15" customHeight="1" s="87">
      <c r="A12" s="92" t="inlineStr">
        <is>
          <t>Gross multiple over the whole period</t>
        </is>
      </c>
      <c r="C12" s="109">
        <f>C9/C5</f>
        <v/>
      </c>
    </row>
    <row r="13" ht="15" customHeight="1" s="87">
      <c r="A13" s="92" t="inlineStr">
        <is>
          <t>Gain in the original fund (EUR m)</t>
        </is>
      </c>
      <c r="C13" s="99">
        <f>C7-C5</f>
        <v/>
      </c>
    </row>
    <row r="14" ht="15" customHeight="1" s="87">
      <c r="A14" s="92" t="inlineStr">
        <is>
          <t>Gain in the continuation vehicle (EUR m)</t>
        </is>
      </c>
      <c r="C14" s="99">
        <f>C9-C7</f>
        <v/>
      </c>
    </row>
    <row r="15" ht="15" customHeight="1" s="87"/>
    <row r="16" ht="15" customHeight="1" s="87">
      <c r="A16" s="91" t="inlineStr">
        <is>
          <t>Fees paid in the original fund on this asset</t>
        </is>
      </c>
    </row>
    <row r="17" ht="15" customHeight="1" s="87">
      <c r="A17" s="92" t="inlineStr">
        <is>
          <t>Management fee rate on invested capital</t>
        </is>
      </c>
      <c r="C17" s="101" t="n">
        <v>0.02</v>
      </c>
    </row>
    <row r="18" ht="15" customHeight="1" s="87">
      <c r="A18" s="92" t="inlineStr">
        <is>
          <t>Management fee over the holding period (EUR m)</t>
        </is>
      </c>
      <c r="C18" s="99">
        <f>C5*C17*C6</f>
        <v/>
      </c>
    </row>
    <row r="19" ht="15" customHeight="1" s="87">
      <c r="A19" s="92" t="inlineStr">
        <is>
          <t>Carried interest rate</t>
        </is>
      </c>
      <c r="C19" s="96" t="n">
        <v>0.2</v>
      </c>
    </row>
    <row r="20" ht="15" customHeight="1" s="87">
      <c r="A20" s="92" t="inlineStr">
        <is>
          <t>Carried interest on the gain to the transaction price (EUR m)</t>
        </is>
      </c>
      <c r="C20" s="99">
        <f>C13*C19</f>
        <v/>
      </c>
    </row>
    <row r="21" ht="15" customHeight="1" s="87">
      <c r="A21" s="97" t="inlineStr">
        <is>
          <t>Total in the original fund (EUR m)</t>
        </is>
      </c>
      <c r="C21" s="98">
        <f>C18+C20</f>
        <v/>
      </c>
    </row>
    <row r="22" ht="15" customHeight="1" s="87"/>
    <row r="23" ht="15" customHeight="1" s="87">
      <c r="A23" s="91" t="inlineStr">
        <is>
          <t>Fees paid in the continuation vehicle on the same asset</t>
        </is>
      </c>
    </row>
    <row r="24" ht="15" customHeight="1" s="87">
      <c r="A24" s="92" t="inlineStr">
        <is>
          <t>Management fee (EUR m)</t>
        </is>
      </c>
      <c r="C24" s="115">
        <f>'The fee comparison'!C28</f>
        <v/>
      </c>
    </row>
    <row r="25" ht="15" customHeight="1" s="87">
      <c r="A25" s="92" t="inlineStr">
        <is>
          <t>Carried interest (EUR m)</t>
        </is>
      </c>
      <c r="C25" s="115">
        <f>'The carry tiers'!C24</f>
        <v/>
      </c>
    </row>
    <row r="26" ht="15" customHeight="1" s="87">
      <c r="A26" s="97" t="inlineStr">
        <is>
          <t>Total in the continuation vehicle (EUR m)</t>
        </is>
      </c>
      <c r="C26" s="98">
        <f>C24+C25</f>
        <v/>
      </c>
    </row>
    <row r="27" ht="15" customHeight="1" s="87"/>
    <row r="28" ht="15" customHeight="1" s="87">
      <c r="A28" s="91" t="inlineStr">
        <is>
          <t>The combined load</t>
        </is>
      </c>
    </row>
    <row r="29" ht="15" customHeight="1" s="87">
      <c r="A29" s="102" t="inlineStr">
        <is>
          <t>Total fee and carried interest across both vehicles (EUR m)</t>
        </is>
      </c>
      <c r="C29" s="103">
        <f>C21+C26</f>
        <v/>
      </c>
    </row>
    <row r="30" ht="15" customHeight="1" s="87">
      <c r="A30" s="97" t="inlineStr">
        <is>
          <t>As a share of the gross gain over ten years</t>
        </is>
      </c>
      <c r="C30" s="105">
        <f>C29/C11</f>
        <v/>
      </c>
    </row>
    <row r="31" ht="15" customHeight="1" s="87">
      <c r="A31" s="92" t="inlineStr">
        <is>
          <t>Chapter 12's claim</t>
        </is>
      </c>
      <c r="C31" s="89" t="inlineStr">
        <is>
          <t>can approach a quarter of the gross gain</t>
        </is>
      </c>
    </row>
    <row r="32" ht="15" customHeight="1" s="87">
      <c r="A32" s="97" t="inlineStr">
        <is>
          <t>Does it?</t>
        </is>
      </c>
      <c r="C32" s="121">
        <f>IF(C30&gt;=0.2,"yes — it lands in that territory","below a quarter on these inputs")</f>
        <v/>
      </c>
    </row>
    <row r="33" ht="15" customHeight="1" s="87">
      <c r="A33" s="97" t="inlineStr">
        <is>
          <t>Net gain to the investor (EUR m)</t>
        </is>
      </c>
      <c r="C33" s="98">
        <f>C11-C29</f>
        <v/>
      </c>
    </row>
    <row r="34" ht="15" customHeight="1" s="87">
      <c r="A34" s="97" t="inlineStr">
        <is>
          <t>Net multiple over ten years</t>
        </is>
      </c>
      <c r="C34" s="104">
        <f>(C5+C33)/C5</f>
        <v/>
      </c>
    </row>
    <row r="35" ht="15" customHeight="1" s="87">
      <c r="A35" s="92" t="inlineStr">
        <is>
          <t>Gross annualised return over ten years</t>
        </is>
      </c>
      <c r="C35" s="127">
        <f>C12^(1/C10)-1</f>
        <v/>
      </c>
    </row>
    <row r="36" ht="15" customHeight="1" s="87">
      <c r="A36" s="97" t="inlineStr">
        <is>
          <t>Net annualised return over ten years</t>
        </is>
      </c>
      <c r="C36" s="122">
        <f>C34^(1/C10)-1</f>
        <v/>
      </c>
    </row>
    <row r="37" ht="15" customHeight="1" s="87">
      <c r="A37" s="97" t="inlineStr">
        <is>
          <t>Annual return given up to fees</t>
        </is>
      </c>
      <c r="C37" s="122">
        <f>C35-C36</f>
        <v/>
      </c>
    </row>
    <row r="38" ht="15" customHeight="1" s="87"/>
    <row r="39" ht="15" customHeight="1" s="87">
      <c r="A39" s="91" t="inlineStr">
        <is>
          <t>The same asset, sold instead at the transaction price</t>
        </is>
      </c>
    </row>
    <row r="40" ht="15" customHeight="1" s="87">
      <c r="A40" s="92" t="inlineStr">
        <is>
          <t>Net proceeds at the transaction price (EUR m)</t>
        </is>
      </c>
      <c r="C40" s="99">
        <f>C7-C21</f>
        <v/>
      </c>
    </row>
    <row r="41" ht="15" customHeight="1" s="87">
      <c r="A41" s="92" t="inlineStr">
        <is>
          <t>Net multiple at that point</t>
        </is>
      </c>
      <c r="C41" s="109">
        <f>C40/C5</f>
        <v/>
      </c>
    </row>
    <row r="42" ht="15" customHeight="1" s="87">
      <c r="A42" s="92" t="inlineStr">
        <is>
          <t>Annualised over the original holding period</t>
        </is>
      </c>
      <c r="C42" s="127">
        <f>C41^(1/C6)-1</f>
        <v/>
      </c>
    </row>
    <row r="43" ht="15" customHeight="1" s="87">
      <c r="A43" s="97" t="inlineStr">
        <is>
          <t>Return the next four years must beat to justify rolling</t>
        </is>
      </c>
      <c r="C43" s="122">
        <f>C42</f>
        <v/>
      </c>
    </row>
    <row r="44" ht="15" customHeight="1" s="87">
      <c r="A44" s="97" t="inlineStr">
        <is>
          <t>Net return the continuation vehicle actually delivers</t>
        </is>
      </c>
      <c r="C44" s="122">
        <f>('The fee comparison'!C30/C7)^(1/C8)-1</f>
        <v/>
      </c>
    </row>
    <row r="45" ht="15" customHeight="1" s="87">
      <c r="A45" s="97" t="inlineStr">
        <is>
          <t>Verdict</t>
        </is>
      </c>
      <c r="C45" s="121">
        <f>IF(C44&gt;=C43,"the second leg beats the first","the second leg is slower than the first")</f>
        <v/>
      </c>
    </row>
    <row r="46" ht="15" customHeight="1" s="87"/>
    <row r="47" ht="15" customHeight="1" s="87">
      <c r="A47" s="97" t="inlineStr">
        <is>
          <t>Original cost at which the ten-year load reaches exactly a quarter (EUR m)</t>
        </is>
      </c>
      <c r="C47" s="99">
        <f>(0.25*C9-C19*C7-C26)/(C17*C6-C19+0.25)</f>
        <v/>
      </c>
    </row>
    <row r="48" ht="15" customHeight="1" s="87">
      <c r="A48" s="97" t="inlineStr">
        <is>
          <t>Chapter 12 uses an original cost of EUR 2m (above): at or above row 47 the load is a quarter or more</t>
        </is>
      </c>
      <c r="C48" s="121">
        <f>IF(C5&gt;=C47,"a quarter or more","below a quarter")</f>
        <v/>
      </c>
    </row>
    <row r="49" ht="15" customHeight="1" s="87">
      <c r="A49" s="97" t="inlineStr">
        <is>
          <t>Ten-year load if rolling investors stay on scenario one's terms</t>
        </is>
      </c>
      <c r="C49" s="105">
        <f>(C21+'The fee comparison'!C21)/C11</f>
        <v/>
      </c>
    </row>
  </sheetData>
  <mergeCells count="1">
    <mergeCell ref="G5:G46"/>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H46"/>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48" customWidth="1" style="86" min="1" max="1"/>
    <col width="6" customWidth="1" style="86" min="2" max="2"/>
    <col width="15" customWidth="1" style="86" min="3" max="4"/>
    <col width="26" customWidth="1" style="86" min="5" max="6"/>
    <col width="3" customWidth="1" style="86" min="7" max="7"/>
    <col width="58" customWidth="1" style="86" min="8" max="8"/>
  </cols>
  <sheetData>
    <row r="1" ht="17.35" customHeight="1" s="87">
      <c r="A1" s="88" t="inlineStr">
        <is>
          <t>Chapter 4 — who pays for what</t>
        </is>
      </c>
    </row>
    <row r="2" ht="15" customHeight="1" s="87">
      <c r="A2" s="89" t="inlineStr">
        <is>
          <t>Transaction costs are material, and their allocation is a term that is negotiated rather than fixed.</t>
        </is>
      </c>
    </row>
    <row r="3"/>
    <row r="4" ht="15" customHeight="1" s="87">
      <c r="A4" s="91" t="inlineStr">
        <is>
          <t>The transaction</t>
        </is>
      </c>
      <c r="H4" s="91" t="inlineStr">
        <is>
          <t>The cost nobody asks about</t>
        </is>
      </c>
    </row>
    <row r="5" ht="15" customHeight="1" s="87">
      <c r="A5" s="92" t="inlineStr">
        <is>
          <t>Equity price (EUR m)</t>
        </is>
      </c>
      <c r="C5" s="93" t="n">
        <v>354.5</v>
      </c>
      <c r="H5" s="90" t="inlineStr">
        <is>
          <t>Chapter 4 says transaction costs are material, that their allocation is negotiated rather than fixed, and that investors rarely ask about it and are sometimes surprised. One to two per cent of the price is common and is not always visible in the election materials.
On a EUR 354.5 million transaction that is between three and a half and seven million euros, and where the selling fund bears it, as it often does, it comes out of the existing investors, including those who roll.
The shares in the allocation table are not from the book, which gives the order of magnitude and the ranking but not the split. They are a reasonable working set and they are blue so you can replace them with the real ones the moment a sponsor gives you the figure. Chapter 4's own instruction is simply to ask, and its observation that a sponsor which discloses total transaction costs in cash, split by payer, is being unusually transparent.
The block below the table is the second of Chapter 4's two questions, and it is the one with a real answer. Rolling investors bear a share of the selling fund's costs through reduced proceeds, and then bear the new vehicle's formation and financing costs on top. Selling investors bear only the first. The sheet computes both as a percentage of the value each group is dealing with, and the difference is the amount by which rolling investors are charged twice.
It is not a large number and it is not a scandal. Chapter 4 says it is defensible but should be quantified rather than discovered, which is exactly right. The reason to compute it is that it belongs in the same column as the fee difference on the first sheet of this workbook: a series of individually small transfers, each defensible, all running in the same direction, none of them negotiated by the people paying.
The adviser's fee deserves its own note. It is the largest single item, it is predominantly success-based, and it is often borne by the selling fund on the basis that the adviser acted for the seller, although some transactions push part of it into the new vehicle. Chapter 8's honest assessment of the adviser's role is worth reading alongside that fact: the party running the process is paid on completion, by the fund, out of the proceeds of the transaction it is running. Appendix D lists it as a standard conflicts register entry for exactly that reason.</t>
        </is>
      </c>
    </row>
    <row r="6" ht="15" customHeight="1" s="87">
      <c r="A6" s="92" t="inlineStr">
        <is>
          <t>Total transaction costs, as a share of the price</t>
        </is>
      </c>
      <c r="C6" s="101" t="n">
        <v>0.015</v>
      </c>
    </row>
    <row r="7" ht="15" customHeight="1" s="87">
      <c r="A7" s="92" t="inlineStr">
        <is>
          <t>Chapter 4's common range, low</t>
        </is>
      </c>
      <c r="C7" s="129" t="n">
        <v>0.01</v>
      </c>
    </row>
    <row r="8" ht="15" customHeight="1" s="87">
      <c r="A8" s="92" t="inlineStr">
        <is>
          <t>Chapter 4's common range, high</t>
        </is>
      </c>
      <c r="C8" s="129" t="n">
        <v>0.02</v>
      </c>
    </row>
    <row r="9" ht="15" customHeight="1" s="87">
      <c r="A9" s="97" t="inlineStr">
        <is>
          <t>Total transaction costs (EUR m)</t>
        </is>
      </c>
      <c r="C9" s="98">
        <f>C5*C6</f>
        <v/>
      </c>
    </row>
    <row r="10" ht="15" customHeight="1" s="87">
      <c r="A10" s="92" t="inlineStr">
        <is>
          <t>Inside the common range?</t>
        </is>
      </c>
      <c r="C10" s="100">
        <f>IF(AND(C6&gt;=C7,C6&lt;=C8),"yes","outside the range Chapter 4 describes")</f>
        <v/>
      </c>
    </row>
    <row r="11" ht="15" customHeight="1" s="87"/>
    <row r="12" ht="15" customHeight="1" s="87">
      <c r="A12" s="91" t="inlineStr">
        <is>
          <t>Allocation</t>
        </is>
      </c>
    </row>
    <row r="13" ht="27.75" customHeight="1" s="87">
      <c r="A13" s="107" t="inlineStr">
        <is>
          <t>Item</t>
        </is>
      </c>
      <c r="B13" s="108" t="n"/>
      <c r="C13" s="108" t="inlineStr">
        <is>
          <t>Share of total</t>
        </is>
      </c>
      <c r="D13" s="108" t="inlineStr">
        <is>
          <t>EUR m</t>
        </is>
      </c>
      <c r="E13" s="108" t="inlineStr">
        <is>
          <t>Borne by</t>
        </is>
      </c>
      <c r="F13" s="108" t="inlineStr">
        <is>
          <t>Falls on rolling investors?</t>
        </is>
      </c>
    </row>
    <row r="14" ht="15" customHeight="1" s="87">
      <c r="A14" s="117" t="inlineStr">
        <is>
          <t>Adviser's fee — the largest single item</t>
        </is>
      </c>
      <c r="B14" s="130" t="n"/>
      <c r="C14" s="131" t="n">
        <v>0.55</v>
      </c>
      <c r="D14" s="119">
        <f>C14*$C$9</f>
        <v/>
      </c>
      <c r="E14" s="132" t="inlineStr">
        <is>
          <t>the selling fund</t>
        </is>
      </c>
      <c r="F14" s="132" t="inlineStr">
        <is>
          <t>yes, through reduced proceeds</t>
        </is>
      </c>
    </row>
    <row r="15" ht="15" customHeight="1" s="87">
      <c r="A15" s="92" t="inlineStr">
        <is>
          <t>Selling fund's counsel</t>
        </is>
      </c>
      <c r="C15" s="129" t="n">
        <v>0.09</v>
      </c>
      <c r="D15" s="99">
        <f>C15*$C$9</f>
        <v/>
      </c>
      <c r="E15" s="133" t="inlineStr">
        <is>
          <t>the selling fund</t>
        </is>
      </c>
      <c r="F15" s="133" t="inlineStr">
        <is>
          <t>yes, through reduced proceeds</t>
        </is>
      </c>
    </row>
    <row r="16" ht="15" customHeight="1" s="87">
      <c r="A16" s="117" t="inlineStr">
        <is>
          <t>Sponsor's counsel</t>
        </is>
      </c>
      <c r="B16" s="130" t="n"/>
      <c r="C16" s="131" t="n">
        <v>0.07000000000000001</v>
      </c>
      <c r="D16" s="119">
        <f>C16*$C$9</f>
        <v/>
      </c>
      <c r="E16" s="132" t="inlineStr">
        <is>
          <t>the selling fund</t>
        </is>
      </c>
      <c r="F16" s="132" t="inlineStr">
        <is>
          <t>yes, through reduced proceeds</t>
        </is>
      </c>
    </row>
    <row r="17" ht="15" customHeight="1" s="87">
      <c r="A17" s="92" t="inlineStr">
        <is>
          <t>Counsel to the advisory committee</t>
        </is>
      </c>
      <c r="C17" s="129" t="n">
        <v>0.04</v>
      </c>
      <c r="D17" s="99">
        <f>C17*$C$9</f>
        <v/>
      </c>
      <c r="E17" s="133" t="inlineStr">
        <is>
          <t>the selling fund</t>
        </is>
      </c>
      <c r="F17" s="133" t="inlineStr">
        <is>
          <t>yes, through reduced proceeds</t>
        </is>
      </c>
    </row>
    <row r="18" ht="15" customHeight="1" s="87">
      <c r="A18" s="117" t="inlineStr">
        <is>
          <t>Valuation or fairness opinion</t>
        </is>
      </c>
      <c r="B18" s="130" t="n"/>
      <c r="C18" s="131" t="n">
        <v>0.05</v>
      </c>
      <c r="D18" s="119">
        <f>C18*$C$9</f>
        <v/>
      </c>
      <c r="E18" s="132" t="inlineStr">
        <is>
          <t>the selling fund</t>
        </is>
      </c>
      <c r="F18" s="132" t="inlineStr">
        <is>
          <t>yes, through reduced proceeds</t>
        </is>
      </c>
    </row>
    <row r="19" ht="15" customHeight="1" s="87">
      <c r="A19" s="92" t="inlineStr">
        <is>
          <t>Buyer diligence — commercial, financial, legal, tax</t>
        </is>
      </c>
      <c r="C19" s="129" t="n">
        <v>0</v>
      </c>
      <c r="D19" s="99">
        <f>C19*$C$9</f>
        <v/>
      </c>
      <c r="E19" s="133" t="inlineStr">
        <is>
          <t>the buyers</t>
        </is>
      </c>
      <c r="F19" s="133" t="inlineStr">
        <is>
          <t>no</t>
        </is>
      </c>
    </row>
    <row r="20" ht="15" customHeight="1" s="87">
      <c r="A20" s="117" t="inlineStr">
        <is>
          <t>Formation costs of the new vehicle</t>
        </is>
      </c>
      <c r="B20" s="130" t="n"/>
      <c r="C20" s="131" t="n">
        <v>0.12</v>
      </c>
      <c r="D20" s="119">
        <f>C20*$C$9</f>
        <v/>
      </c>
      <c r="E20" s="132" t="inlineStr">
        <is>
          <t>the new vehicle</t>
        </is>
      </c>
      <c r="F20" s="132" t="inlineStr">
        <is>
          <t>yes, a second time</t>
        </is>
      </c>
    </row>
    <row r="21" ht="15" customHeight="1" s="87">
      <c r="A21" s="92" t="inlineStr">
        <is>
          <t>Financing costs — arrangement fees, lender counsel</t>
        </is>
      </c>
      <c r="C21" s="129" t="n">
        <v>0.08</v>
      </c>
      <c r="D21" s="99">
        <f>C21*$C$9</f>
        <v/>
      </c>
      <c r="E21" s="133" t="inlineStr">
        <is>
          <t>the new vehicle</t>
        </is>
      </c>
      <c r="F21" s="133" t="inlineStr">
        <is>
          <t>yes, a second time</t>
        </is>
      </c>
    </row>
    <row r="22" ht="15" customHeight="1" s="87">
      <c r="A22" s="134" t="inlineStr">
        <is>
          <t>Total</t>
        </is>
      </c>
      <c r="C22" s="135">
        <f>SUM(C14:C21)</f>
        <v/>
      </c>
      <c r="D22" s="103">
        <f>SUM(D14:D21)</f>
        <v/>
      </c>
    </row>
    <row r="23" ht="15" customHeight="1" s="87">
      <c r="A23" s="92" t="inlineStr">
        <is>
          <t>Shares add to one hundred per cent?</t>
        </is>
      </c>
      <c r="C23" s="100">
        <f>IF(ABS(C22-1)&lt;0.001,"yes","NO — adjust the shares")</f>
        <v/>
      </c>
    </row>
    <row r="24" ht="15" customHeight="1" s="87"/>
    <row r="25" ht="15" customHeight="1" s="87">
      <c r="A25" s="91" t="inlineStr">
        <is>
          <t>Is any cost being borne twice?</t>
        </is>
      </c>
    </row>
    <row r="26" ht="15" customHeight="1" s="87">
      <c r="A26" s="92" t="inlineStr">
        <is>
          <t>Rolling investors' share of the interests</t>
        </is>
      </c>
      <c r="C26" s="96" t="n">
        <v>0.41</v>
      </c>
    </row>
    <row r="27" ht="15" customHeight="1" s="87">
      <c r="A27" s="92" t="inlineStr">
        <is>
          <t>Costs borne by the selling fund (EUR m)</t>
        </is>
      </c>
      <c r="C27" s="99">
        <f>SUMIF(E14:E21,"the selling fund",D14:D21)</f>
        <v/>
      </c>
    </row>
    <row r="28" ht="15" customHeight="1" s="87">
      <c r="A28" s="92" t="inlineStr">
        <is>
          <t>Rolling investors' share of those (EUR m)</t>
        </is>
      </c>
      <c r="C28" s="99">
        <f>C27*C26</f>
        <v/>
      </c>
    </row>
    <row r="29" ht="15" customHeight="1" s="87">
      <c r="A29" s="92" t="inlineStr">
        <is>
          <t>Costs borne by the new vehicle (EUR m)</t>
        </is>
      </c>
      <c r="C29" s="99">
        <f>SUMIF(E14:E21,"the new vehicle",D14:D21)</f>
        <v/>
      </c>
    </row>
    <row r="30" ht="15" customHeight="1" s="87">
      <c r="A30" s="92" t="inlineStr">
        <is>
          <t>Rolling investors' share of those (EUR m)</t>
        </is>
      </c>
      <c r="C30" s="99">
        <f>C29*C26</f>
        <v/>
      </c>
    </row>
    <row r="31" ht="15" customHeight="1" s="87">
      <c r="A31" s="97" t="inlineStr">
        <is>
          <t>Total borne by rolling investors (EUR m)</t>
        </is>
      </c>
      <c r="C31" s="98">
        <f>C28+C30</f>
        <v/>
      </c>
    </row>
    <row r="32" ht="15" customHeight="1" s="87">
      <c r="A32" s="97" t="inlineStr">
        <is>
          <t>As a share of the value they roll</t>
        </is>
      </c>
      <c r="C32" s="122">
        <f>C31/(C26*C5)</f>
        <v/>
      </c>
    </row>
    <row r="33" ht="15" customHeight="1" s="87">
      <c r="A33" s="97" t="inlineStr">
        <is>
          <t>Total borne by selling investors (EUR m)</t>
        </is>
      </c>
      <c r="C33" s="98">
        <f>C27*(1-C26)</f>
        <v/>
      </c>
    </row>
    <row r="34" ht="15" customHeight="1" s="87">
      <c r="A34" s="97" t="inlineStr">
        <is>
          <t>As a share of the value they receive</t>
        </is>
      </c>
      <c r="C34" s="122">
        <f>C33/((1-C26)*C5)</f>
        <v/>
      </c>
    </row>
    <row r="35" ht="15" customHeight="1" s="87">
      <c r="A35" s="97" t="inlineStr">
        <is>
          <t>Rolling investors pay this much more, proportionally</t>
        </is>
      </c>
      <c r="C35" s="122">
        <f>C32-C34</f>
        <v/>
      </c>
    </row>
    <row r="36" ht="15" customHeight="1" s="87"/>
    <row r="37" ht="15" customHeight="1" s="87">
      <c r="A37" s="91" t="inlineStr">
        <is>
          <t>Two questions for an investor</t>
        </is>
      </c>
    </row>
    <row r="38" ht="15" customHeight="1" s="87">
      <c r="A38" s="92" t="inlineStr">
        <is>
          <t>What is the total cost of the transaction, and who bears it?</t>
        </is>
      </c>
      <c r="C38" s="89" t="inlineStr">
        <is>
          <t>ask for the figure</t>
        </is>
      </c>
    </row>
    <row r="39" ht="15" customHeight="1" s="87">
      <c r="A39" s="92" t="inlineStr">
        <is>
          <t>Is any cost being borne twice?</t>
        </is>
      </c>
      <c r="C39" s="89" t="inlineStr">
        <is>
          <t>defensible, but quantify it rather than discover it</t>
        </is>
      </c>
    </row>
    <row r="40" ht="15" customHeight="1" s="87"/>
    <row r="41" ht="15" customHeight="1" s="87"/>
    <row r="42" ht="15" customHeight="1" s="87"/>
    <row r="43" ht="15" customHeight="1" s="87"/>
    <row r="44" ht="15" customHeight="1" s="87"/>
    <row r="45" ht="15" customHeight="1" s="87"/>
    <row r="46" ht="15" customHeight="1" s="87"/>
  </sheetData>
  <mergeCells count="1">
    <mergeCell ref="H5:H46"/>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G5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5390625" defaultRowHeight="15" zeroHeight="0" outlineLevelRow="0"/>
  <cols>
    <col width="52" customWidth="1" style="86" min="1" max="1"/>
    <col width="6" customWidth="1" style="86" min="2" max="2"/>
    <col width="18" customWidth="1" style="86" min="3" max="5"/>
    <col width="3" customWidth="1" style="86" min="6" max="6"/>
    <col width="58" customWidth="1" style="86" min="7" max="7"/>
  </cols>
  <sheetData>
    <row r="1" ht="17.35" customHeight="1" s="87">
      <c r="A1" s="88" t="inlineStr">
        <is>
          <t>Chapter 10 — the same notice, two correct answers</t>
        </is>
      </c>
    </row>
    <row r="2" ht="15" customHeight="1" s="87">
      <c r="A2" s="89" t="inlineStr">
        <is>
          <t>The choice is not sell or stay, but take cash or make a new investment at this price on these terms.</t>
        </is>
      </c>
    </row>
    <row r="3"/>
    <row r="4" ht="15" customHeight="1" s="87">
      <c r="A4" s="91" t="inlineStr">
        <is>
          <t>Two investors, one transaction</t>
        </is>
      </c>
      <c r="G4" s="91" t="inlineStr">
        <is>
          <t>Which investor are you?</t>
        </is>
      </c>
    </row>
    <row r="5" ht="27.75" customHeight="1" s="87">
      <c r="A5" s="107" t="n"/>
      <c r="B5" s="108" t="n"/>
      <c r="C5" s="108" t="inlineStr">
        <is>
          <t>Investor A — a large pension scheme</t>
        </is>
      </c>
      <c r="D5" s="108" t="inlineStr">
        <is>
          <t>Investor B — a fund-of-funds in its final years</t>
        </is>
      </c>
      <c r="G5" s="90" t="inlineStr">
        <is>
          <t>The same election notice produces different correct answers depending on who receives it, and Chapter 10's two illustrations are the most practically useful pages in the book.
Investor A can underwrite the company, has a consultant on call and a committee that meets monthly. It does the work, concludes the price is defensible but at the upper end, and rolls half while selling half — retaining exposure while taking liquidity, and avoiding a concentrated position it would not have chosen to build. That last clause is the sophisticated part: a rolling investor ends up owning a single company at a weight nobody set deliberately.
Investor B cannot evaluate the asset and cannot roll even if it wanted to, because the new vehicle's four-year term outlives its own remaining life. Sell. Not because the asset is unattractive, but because the structure does not fit — and it takes ten minutes to reach, provided somebody checks the vehicle's term against the fund's own remaining life on day one.
The structural check at row 18 is therefore the first thing to run on any election notice, before the price, before the terms, before anything. Appendix B puts it in the Internal section for the same reason: can our governance process complete within the window, does the new vehicle breach any constraint, is there a tax liability without corresponding cash, who signs and are they available. The fastest path to the right answer often runs through the fund's own documents rather than the target company's.
The two attributable shares are worth a look as arithmetic. EUR 3.1 million on a EUR 25 million commitment and EUR 740,000 on a EUR 6 million commitment are the same proportion of the fund to within a rounding — which is the check at row 9, and the confirmation that the two investors are looking at one transaction rather than two examples.
The roll rate block is the one to quote at anyone who cites roll rates as evidence. A forty per cent roll rate may mean sixty per cent of investors assessed the transaction and declined, or sixty per cent who structurally could not participate. Those are entirely different facts and the reported number does not distinguish them. For a sponsor the implication is to ask why investors sold and record the answers — which almost nobody does, and which would make the statistic mean something.</t>
        </is>
      </c>
    </row>
    <row r="6" ht="15" customHeight="1" s="87">
      <c r="A6" s="92" t="inlineStr">
        <is>
          <t>Commitment to the original fund (EUR m)</t>
        </is>
      </c>
      <c r="C6" s="93" t="n">
        <v>25</v>
      </c>
      <c r="D6" s="93" t="n">
        <v>6</v>
      </c>
    </row>
    <row r="7" ht="15" customHeight="1" s="87">
      <c r="A7" s="92" t="inlineStr">
        <is>
          <t>Attributable share of the asset (EUR m)</t>
        </is>
      </c>
      <c r="C7" s="126" t="n">
        <v>3.1</v>
      </c>
      <c r="D7" s="126" t="n">
        <v>0.74</v>
      </c>
    </row>
    <row r="8" ht="15" customHeight="1" s="87">
      <c r="A8" s="92" t="inlineStr">
        <is>
          <t>Attributable share as a proportion of the commitment</t>
        </is>
      </c>
      <c r="C8" s="127">
        <f>C7/C6</f>
        <v/>
      </c>
      <c r="D8" s="127">
        <f>D7/D6</f>
        <v/>
      </c>
    </row>
    <row r="9" ht="15" customHeight="1" s="87">
      <c r="A9" s="97" t="inlineStr">
        <is>
          <t>Do the two imply the same fund-level share?</t>
        </is>
      </c>
      <c r="C9" s="121">
        <f>IF(ABS(C8-D8)&lt;0.002,"yes — same transaction, same proportion","no")</f>
        <v/>
      </c>
    </row>
    <row r="10" ht="15" customHeight="1" s="87">
      <c r="A10" s="92" t="inlineStr">
        <is>
          <t>Investor B's share implied by Investor A's proportion (EUR m)</t>
        </is>
      </c>
      <c r="C10" s="99">
        <f>D6*C8</f>
        <v/>
      </c>
    </row>
    <row r="11" ht="15" customHeight="1" s="87"/>
    <row r="12" ht="15" customHeight="1" s="87">
      <c r="A12" s="92" t="inlineStr">
        <is>
          <t>In-house capability to underwrite the company</t>
        </is>
      </c>
      <c r="C12" s="110" t="inlineStr">
        <is>
          <t>yes</t>
        </is>
      </c>
      <c r="D12" s="110" t="inlineStr">
        <is>
          <t>no</t>
        </is>
      </c>
    </row>
    <row r="13" ht="15" customHeight="1" s="87">
      <c r="A13" s="92" t="inlineStr">
        <is>
          <t>Budget to commission an underwrite</t>
        </is>
      </c>
      <c r="C13" s="110" t="inlineStr">
        <is>
          <t>yes</t>
        </is>
      </c>
      <c r="D13" s="110" t="inlineStr">
        <is>
          <t>no</t>
        </is>
      </c>
    </row>
    <row r="14" ht="15" customHeight="1" s="87">
      <c r="A14" s="92" t="inlineStr">
        <is>
          <t>Investment committee cadence (months)</t>
        </is>
      </c>
      <c r="C14" s="106" t="n">
        <v>1</v>
      </c>
      <c r="D14" s="106" t="n">
        <v>3</v>
      </c>
    </row>
    <row r="15" ht="15" customHeight="1" s="87">
      <c r="A15" s="92" t="inlineStr">
        <is>
          <t>Next committee falls inside the window?</t>
        </is>
      </c>
      <c r="C15" s="110" t="inlineStr">
        <is>
          <t>yes</t>
        </is>
      </c>
      <c r="D15" s="110" t="inlineStr">
        <is>
          <t>no</t>
        </is>
      </c>
    </row>
    <row r="16" ht="15" customHeight="1" s="87">
      <c r="A16" s="92" t="inlineStr">
        <is>
          <t>Remaining life of the investor's own vehicle (years)</t>
        </is>
      </c>
      <c r="C16" s="100" t="inlineStr">
        <is>
          <t>n/a — perpetual</t>
        </is>
      </c>
      <c r="D16" s="94" t="n">
        <v>3</v>
      </c>
    </row>
    <row r="17" ht="15" customHeight="1" s="87">
      <c r="A17" s="92" t="inlineStr">
        <is>
          <t>Term of the new vehicle (years)</t>
        </is>
      </c>
      <c r="C17" s="106" t="n">
        <v>4</v>
      </c>
      <c r="D17" s="136">
        <f>C17</f>
        <v/>
      </c>
    </row>
    <row r="18" ht="15" customHeight="1" s="87">
      <c r="A18" s="97" t="inlineStr">
        <is>
          <t>Can the investor's own vehicle outlive the new one?</t>
        </is>
      </c>
      <c r="C18" s="110" t="inlineStr">
        <is>
          <t>yes</t>
        </is>
      </c>
      <c r="D18" s="121">
        <f>IF(D16&gt;=D17,"yes","no — the new vehicle outlives it")</f>
        <v/>
      </c>
    </row>
    <row r="19" ht="15" customHeight="1" s="87"/>
    <row r="20" ht="15" customHeight="1" s="87">
      <c r="A20" s="97" t="inlineStr">
        <is>
          <t>Decision</t>
        </is>
      </c>
      <c r="C20" s="121" t="inlineStr">
        <is>
          <t>roll half, sell half</t>
        </is>
      </c>
      <c r="D20" s="121">
        <f>IF(D18="no — the new vehicle outlives it","sell — the structure does not fit","assess the asset")</f>
        <v/>
      </c>
    </row>
    <row r="21" ht="15" customHeight="1" s="87">
      <c r="A21" s="92" t="inlineStr">
        <is>
          <t>Time taken to reach it</t>
        </is>
      </c>
      <c r="C21" s="89" t="inlineStr">
        <is>
          <t>a full underwrite</t>
        </is>
      </c>
      <c r="D21" s="89" t="inlineStr">
        <is>
          <t>ten minutes</t>
        </is>
      </c>
    </row>
    <row r="22" ht="15" customHeight="1" s="87">
      <c r="A22" s="92" t="inlineStr">
        <is>
          <t>Investor A rolls</t>
        </is>
      </c>
      <c r="C22" s="96" t="n">
        <v>0.5</v>
      </c>
    </row>
    <row r="23" ht="15" customHeight="1" s="87">
      <c r="A23" s="92" t="inlineStr">
        <is>
          <t>and sells</t>
        </is>
      </c>
      <c r="C23" s="116">
        <f>1-C22</f>
        <v/>
      </c>
    </row>
    <row r="24" ht="15" customHeight="1" s="87"/>
    <row r="25" ht="15" customHeight="1" s="87">
      <c r="A25" s="91" t="inlineStr">
        <is>
          <t>What a roll rate does not tell you</t>
        </is>
      </c>
    </row>
    <row r="26" ht="15" customHeight="1" s="87">
      <c r="A26" s="92" t="inlineStr">
        <is>
          <t>Reported roll rate</t>
        </is>
      </c>
      <c r="C26" s="96" t="n">
        <v>0.4</v>
      </c>
    </row>
    <row r="27" ht="15" customHeight="1" s="87">
      <c r="A27" s="92" t="inlineStr">
        <is>
          <t>Investors who sold</t>
        </is>
      </c>
      <c r="C27" s="116">
        <f>1-C26</f>
        <v/>
      </c>
    </row>
    <row r="28" ht="15" customHeight="1" s="87">
      <c r="A28" s="92" t="inlineStr">
        <is>
          <t>Of those, the share that assessed and declined</t>
        </is>
      </c>
      <c r="C28" s="96" t="n">
        <v>0.5</v>
      </c>
    </row>
    <row r="29" ht="15" customHeight="1" s="87">
      <c r="A29" s="97" t="inlineStr">
        <is>
          <t>Assessed and declined</t>
        </is>
      </c>
      <c r="C29" s="105">
        <f>C27*C28</f>
        <v/>
      </c>
    </row>
    <row r="30" ht="15" customHeight="1" s="87">
      <c r="A30" s="97" t="inlineStr">
        <is>
          <t>Structurally could not participate</t>
        </is>
      </c>
      <c r="C30" s="105">
        <f>C27*(1-C28)</f>
        <v/>
      </c>
    </row>
    <row r="31" ht="15" customHeight="1" s="87">
      <c r="A31" s="97" t="inlineStr">
        <is>
          <t>Do those two facts look the same in the reported number?</t>
        </is>
      </c>
      <c r="C31" s="121" t="inlineStr">
        <is>
          <t>yes — which is why the reported number says nothing</t>
        </is>
      </c>
    </row>
    <row r="32" ht="15" customHeight="1" s="87"/>
    <row r="33" ht="15" customHeight="1" s="87">
      <c r="A33" s="91" t="inlineStr">
        <is>
          <t>Chapter 10's rough decision rule</t>
        </is>
      </c>
    </row>
    <row r="34" ht="27.75" customHeight="1" s="87">
      <c r="A34" s="107" t="inlineStr">
        <is>
          <t>Test</t>
        </is>
      </c>
      <c r="B34" s="108" t="n"/>
      <c r="C34" s="108" t="inlineStr">
        <is>
          <t>Met?</t>
        </is>
      </c>
      <c r="D34" s="108" t="inlineStr">
        <is>
          <t>Weight</t>
        </is>
      </c>
    </row>
    <row r="35" ht="15" customHeight="1" s="87">
      <c r="A35" s="92" t="inlineStr">
        <is>
          <t>The process was genuinely competitive</t>
        </is>
      </c>
      <c r="C35" s="94" t="n">
        <v>1</v>
      </c>
      <c r="D35" s="106" t="n">
        <v>1</v>
      </c>
    </row>
    <row r="36" ht="15" customHeight="1" s="87">
      <c r="A36" s="117" t="inlineStr">
        <is>
          <t>Rolling investors' terms match those of the incoming buyers</t>
        </is>
      </c>
      <c r="B36" s="130" t="n"/>
      <c r="C36" s="137" t="n">
        <v>1</v>
      </c>
      <c r="D36" s="137" t="n">
        <v>1</v>
      </c>
    </row>
    <row r="37" ht="15" customHeight="1" s="87">
      <c r="A37" s="92" t="inlineStr">
        <is>
          <t>The sponsor is reinvesting substantially, in cash</t>
        </is>
      </c>
      <c r="C37" s="94" t="n">
        <v>1</v>
      </c>
      <c r="D37" s="106" t="n">
        <v>1</v>
      </c>
    </row>
    <row r="38" ht="15" customHeight="1" s="87">
      <c r="A38" s="117" t="inlineStr">
        <is>
          <t>You would be comfortable making a new investment at this price</t>
        </is>
      </c>
      <c r="B38" s="130" t="n"/>
      <c r="C38" s="137" t="n">
        <v>1</v>
      </c>
      <c r="D38" s="137" t="n">
        <v>1</v>
      </c>
    </row>
    <row r="39" ht="15" customHeight="1" s="87">
      <c r="A39" s="92" t="inlineStr">
        <is>
          <t>You can establish all of the above within the window</t>
        </is>
      </c>
      <c r="C39" s="94" t="n">
        <v>1</v>
      </c>
      <c r="D39" s="106" t="n">
        <v>1</v>
      </c>
    </row>
    <row r="40" ht="15" customHeight="1" s="87"/>
    <row r="41" ht="15" customHeight="1" s="87">
      <c r="A41" s="121" t="inlineStr">
        <is>
          <t>Tests met</t>
        </is>
      </c>
      <c r="C41" s="128">
        <f>SUM(C35:C39)</f>
        <v/>
      </c>
    </row>
    <row r="42" ht="15" customHeight="1" s="87">
      <c r="A42" s="121" t="inlineStr">
        <is>
          <t>Tests required</t>
        </is>
      </c>
      <c r="C42" s="128">
        <f>SUM(D35:D39)</f>
        <v/>
      </c>
    </row>
    <row r="43" ht="15" customHeight="1" s="87">
      <c r="A43" s="121" t="inlineStr">
        <is>
          <t>The rule's answer</t>
        </is>
      </c>
      <c r="C43" s="121">
        <f>IF(C41=C42,"roll — every condition is met","sell — at least one condition is absent")</f>
        <v/>
      </c>
    </row>
    <row r="44" ht="15" customHeight="1" s="87">
      <c r="A44" s="92" t="inlineStr">
        <is>
          <t>What the rule costs</t>
        </is>
      </c>
      <c r="C44" s="89" t="inlineStr">
        <is>
          <t>occasionally selling out of an asset that goes on to perform well</t>
        </is>
      </c>
    </row>
    <row r="45" ht="15" customHeight="1" s="87">
      <c r="A45" s="92" t="inlineStr">
        <is>
          <t>What it avoids</t>
        </is>
      </c>
      <c r="C45" s="89" t="inlineStr">
        <is>
          <t>rolling into vehicles whose terms and process could not be verified</t>
        </is>
      </c>
    </row>
    <row r="46" ht="15" customHeight="1" s="87"/>
    <row r="47" ht="15" customHeight="1" s="87">
      <c r="A47" s="91" t="inlineStr">
        <is>
          <t>The eight questions, sendable as a single email</t>
        </is>
      </c>
      <c r="C47" s="121" t="inlineStr">
        <is>
          <t>Answer received?</t>
        </is>
      </c>
      <c r="D47" s="121" t="inlineStr">
        <is>
          <t>In writing?</t>
        </is>
      </c>
    </row>
    <row r="48" ht="15" customHeight="1" s="87">
      <c r="A48" s="138" t="inlineStr">
        <is>
          <t>1. Was this asset marketed to third parties in the last two years, and what were the outcomes?</t>
        </is>
      </c>
      <c r="C48" s="139" t="n"/>
      <c r="D48" s="139" t="n"/>
    </row>
    <row r="49" ht="15" customHeight="1" s="87">
      <c r="A49" s="138" t="inlineStr">
        <is>
          <t>2. How many independent parties bid, and over what diligence period?</t>
        </is>
      </c>
      <c r="C49" s="139" t="n"/>
      <c r="D49" s="139" t="n"/>
    </row>
    <row r="50" ht="15" customHeight="1" s="87">
      <c r="A50" s="138" t="inlineStr">
        <is>
          <t>3. Are rolling investors receiving identical economics to the incoming buyers — and if not, what differs?</t>
        </is>
      </c>
      <c r="C50" s="139" t="n"/>
      <c r="D50" s="139" t="n"/>
    </row>
    <row r="51" ht="15" customHeight="1" s="87">
      <c r="A51" s="138" t="inlineStr">
        <is>
          <t>4. How much crystallised carried interest is being reinvested, in cash?</t>
        </is>
      </c>
      <c r="C51" s="139" t="n"/>
      <c r="D51" s="139" t="n"/>
    </row>
    <row r="52" ht="15" customHeight="1" s="87">
      <c r="A52" s="138" t="inlineStr">
        <is>
          <t>5. What is management's new package worth, and how does it vest?</t>
        </is>
      </c>
      <c r="C52" s="139" t="n"/>
      <c r="D52" s="139" t="n"/>
    </row>
    <row r="53" ht="15" customHeight="1" s="87">
      <c r="A53" s="138" t="inlineStr">
        <is>
          <t>6. What is the default for non-responders, and will you extend the window on request?</t>
        </is>
      </c>
      <c r="C53" s="139" t="n"/>
      <c r="D53" s="139" t="n"/>
    </row>
    <row r="54" ht="15" customHeight="1" s="87">
      <c r="A54" s="138" t="inlineStr">
        <is>
          <t>7. What leverage will the new vehicle carry at closing?</t>
        </is>
      </c>
      <c r="C54" s="139" t="n"/>
      <c r="D54" s="139" t="n"/>
    </row>
    <row r="55" ht="15" customHeight="1" s="87">
      <c r="A55" s="138" t="inlineStr">
        <is>
          <t>8. What is the expected exit route and timing?</t>
        </is>
      </c>
      <c r="C55" s="139" t="n"/>
      <c r="D55" s="139" t="n"/>
    </row>
    <row r="56"/>
    <row r="57" ht="15" customHeight="1" s="87">
      <c r="A57" s="121" t="inlineStr">
        <is>
          <t>Answers received</t>
        </is>
      </c>
      <c r="C57" s="128">
        <f>COUNTA(C48:C55)</f>
        <v/>
      </c>
    </row>
    <row r="58" ht="15" customHeight="1" s="87">
      <c r="A58" s="140" t="inlineStr">
        <is>
          <t>Evasion on questions three and four is the most informative</t>
        </is>
      </c>
    </row>
  </sheetData>
  <mergeCells count="1">
    <mergeCell ref="G5:G50"/>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H41"/>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5390625" defaultRowHeight="15" zeroHeight="0" outlineLevelRow="0"/>
  <cols>
    <col width="13" customWidth="1" style="86" min="1" max="1"/>
    <col width="56" customWidth="1" style="86" min="2" max="2"/>
    <col width="16" customWidth="1" style="86" min="3" max="4"/>
    <col width="13" customWidth="1" style="86" min="5" max="6"/>
    <col width="3" customWidth="1" style="86" min="7" max="7"/>
    <col width="46" customWidth="1" style="86" min="8" max="8"/>
  </cols>
  <sheetData>
    <row r="1" ht="17.35" customHeight="1" s="87">
      <c r="A1" s="88" t="inlineStr">
        <is>
          <t>Checks — every figure this workbook recomputes against the book</t>
        </is>
      </c>
    </row>
    <row r="2" ht="15" customHeight="1" s="87">
      <c r="A2" s="89" t="inlineStr">
        <is>
          <t>The Continuation Fund Handbook — companion workbook 3</t>
        </is>
      </c>
    </row>
    <row r="3"/>
    <row r="4" ht="27.75" customHeight="1" s="87">
      <c r="A4" s="107" t="inlineStr">
        <is>
          <t>Source</t>
        </is>
      </c>
      <c r="B4" s="108" t="inlineStr">
        <is>
          <t>Figure as the book prints it</t>
        </is>
      </c>
      <c r="C4" s="108" t="inlineStr">
        <is>
          <t>Printed</t>
        </is>
      </c>
      <c r="D4" s="108" t="inlineStr">
        <is>
          <t>Computed</t>
        </is>
      </c>
      <c r="E4" s="108" t="inlineStr">
        <is>
          <t>Variance</t>
        </is>
      </c>
      <c r="F4" s="108" t="inlineStr">
        <is>
          <t>Status</t>
        </is>
      </c>
      <c r="H4" s="91" t="inlineStr">
        <is>
          <t>How the tolerances are set</t>
        </is>
      </c>
    </row>
    <row r="5" ht="15" customHeight="1" s="87">
      <c r="A5" s="141" t="inlineStr">
        <is>
          <t>Ch. 12</t>
        </is>
      </c>
      <c r="B5" s="133" t="inlineStr">
        <is>
          <t>Gross proceeds on a EUR 5m position at 1.8 times</t>
        </is>
      </c>
      <c r="C5" s="142" t="n">
        <v>9</v>
      </c>
      <c r="D5" s="143">
        <f>'The fee comparison'!C9</f>
        <v/>
      </c>
      <c r="E5" s="144">
        <f>D5-C5</f>
        <v/>
      </c>
      <c r="F5" s="145">
        <f>IF(ABS(E5)&lt;=0.005,"reproduced",IF(ABS(E5)&lt;=0.005*5,"rounding","CHECK"))</f>
        <v/>
      </c>
      <c r="H5" s="90" t="inlineStr">
        <is>
          <t>Tolerance is set line by line to the precision Chapter 12 prints.
Money printed to one decimal is checked to 0.05; to the nearest hundred thousand, to 0.005. A multiple printed to two decimals is checked to 0.005. A percentage printed whole is checked to 0.005.
Chapter 12's worked fee comparison is the tightest arithmetic in the book and it reproduces to the euro. Both management fees, both carried interest figures, both nets and both net multiples fall out of four inputs, and the difference the chapter describes as roughly EUR 400,000 or eight points of net multiple computes to exactly EUR 400,000 and exactly eight points.
The carried interest rate between a 1.5 times and a 2.0 times multiple is now printed in Chapter 12 (16.7 per cent), and the worked example lands inside that band. The Carry tiers sheet also solves for the exact rate that reproduces both printed figures, one sixth, and the check compares the printed 16.7 per cent with it. One line remains marked solved: the original cost at which the ten-year load reaches exactly a quarter, which the book does not print.
The ten-year load line tests a claim rather than reproducing a figure. Chapter 12 says the total fee and carry load on a single asset held for ten years across two vehicles can approach a quarter of the gross gain. On the chapter's own economics it computes to a little over twenty-three per cent. The check asks whether the claim holds, not whether a number matches, and the tolerance reflects that.
The two-investor lines from Chapter 10 are a consistency test the chapter does not draw attention to: EUR 3.1 million on a EUR 25 million commitment and EUR 740,000 on a EUR 6 million commitment are the same proportion of the same fund, to within a rounding. Two examples, one transaction.</t>
        </is>
      </c>
    </row>
    <row r="6" ht="15" customHeight="1" s="87">
      <c r="A6" s="146" t="inlineStr">
        <is>
          <t>Ch. 12</t>
        </is>
      </c>
      <c r="B6" s="132" t="inlineStr">
        <is>
          <t>Scenario one management fee: 2 per cent for four years</t>
        </is>
      </c>
      <c r="C6" s="147" t="n">
        <v>0.4</v>
      </c>
      <c r="D6" s="148">
        <f>'The fee comparison'!C16</f>
        <v/>
      </c>
      <c r="E6" s="149">
        <f>D6-C6</f>
        <v/>
      </c>
      <c r="F6" s="150">
        <f>IF(ABS(E6)&lt;=0.005,"reproduced",IF(ABS(E6)&lt;=0.005*5,"rounding","CHECK"))</f>
        <v/>
      </c>
    </row>
    <row r="7" ht="15" customHeight="1" s="87">
      <c r="A7" s="141" t="inlineStr">
        <is>
          <t>Ch. 12</t>
        </is>
      </c>
      <c r="B7" s="133" t="inlineStr">
        <is>
          <t>Scenario one carried interest: 20 per cent of the gain</t>
        </is>
      </c>
      <c r="C7" s="142" t="n">
        <v>0.8</v>
      </c>
      <c r="D7" s="143">
        <f>'The fee comparison'!C18</f>
        <v/>
      </c>
      <c r="E7" s="144">
        <f>D7-C7</f>
        <v/>
      </c>
      <c r="F7" s="145">
        <f>IF(ABS(E7)&lt;=0.005,"reproduced",IF(ABS(E7)&lt;=0.005*5,"rounding","CHECK"))</f>
        <v/>
      </c>
    </row>
    <row r="8" ht="15" customHeight="1" s="87">
      <c r="A8" s="146" t="inlineStr">
        <is>
          <t>Ch. 12</t>
        </is>
      </c>
      <c r="B8" s="132" t="inlineStr">
        <is>
          <t>Scenario one net to the investor</t>
        </is>
      </c>
      <c r="C8" s="147" t="n">
        <v>7.8</v>
      </c>
      <c r="D8" s="148">
        <f>'The fee comparison'!C19</f>
        <v/>
      </c>
      <c r="E8" s="149">
        <f>D8-C8</f>
        <v/>
      </c>
      <c r="F8" s="150">
        <f>IF(ABS(E8)&lt;=0.05,"reproduced",IF(ABS(E8)&lt;=0.05*5,"rounding","CHECK"))</f>
        <v/>
      </c>
    </row>
    <row r="9" ht="15" customHeight="1" s="87">
      <c r="A9" s="141" t="inlineStr">
        <is>
          <t>Ch. 12</t>
        </is>
      </c>
      <c r="B9" s="133" t="inlineStr">
        <is>
          <t>Scenario one net multiple</t>
        </is>
      </c>
      <c r="C9" s="151" t="n">
        <v>1.56</v>
      </c>
      <c r="D9" s="152">
        <f>'The fee comparison'!C20</f>
        <v/>
      </c>
      <c r="E9" s="153">
        <f>D9-C9</f>
        <v/>
      </c>
      <c r="F9" s="145">
        <f>IF(ABS(E9)&lt;=0.005,"reproduced",IF(ABS(E9)&lt;=0.005*5,"rounding","CHECK"))</f>
        <v/>
      </c>
    </row>
    <row r="10" ht="15" customHeight="1" s="87">
      <c r="A10" s="146" t="inlineStr">
        <is>
          <t>Ch. 12</t>
        </is>
      </c>
      <c r="B10" s="132" t="inlineStr">
        <is>
          <t>Scenario two management fee: 1.25 for three years then 1.0</t>
        </is>
      </c>
      <c r="C10" s="147" t="n">
        <v>0.2375</v>
      </c>
      <c r="D10" s="148">
        <f>'The fee comparison'!C28</f>
        <v/>
      </c>
      <c r="E10" s="149">
        <f>D10-C10</f>
        <v/>
      </c>
      <c r="F10" s="150">
        <f>IF(ABS(E10)&lt;=0.005,"reproduced",IF(ABS(E10)&lt;=0.005*5,"rounding","CHECK"))</f>
        <v/>
      </c>
    </row>
    <row r="11" ht="15" customHeight="1" s="87">
      <c r="A11" s="141" t="inlineStr">
        <is>
          <t>Ch. 12</t>
        </is>
      </c>
      <c r="B11" s="133" t="inlineStr">
        <is>
          <t>Middle-band carry rate as printed (16.7) against the exact solve</t>
        </is>
      </c>
      <c r="C11" s="154" t="n">
        <v>0.167</v>
      </c>
      <c r="D11" s="155">
        <f>'The carry tiers'!C37</f>
        <v/>
      </c>
      <c r="E11" s="156">
        <f>D11-C11</f>
        <v/>
      </c>
      <c r="F11" s="145">
        <f>IF(ABS(E11)&lt;=0.0005,"reproduced",IF(ABS(E11)&lt;=0.0005*5,"rounding","CHECK"))</f>
        <v/>
      </c>
    </row>
    <row r="12" ht="15" customHeight="1" s="87">
      <c r="A12" s="146" t="inlineStr">
        <is>
          <t>Ch. 12</t>
        </is>
      </c>
      <c r="B12" s="132" t="inlineStr">
        <is>
          <t>Scenario two net to the investor</t>
        </is>
      </c>
      <c r="C12" s="147" t="n">
        <v>8.199999999999999</v>
      </c>
      <c r="D12" s="148">
        <f>'The fee comparison'!C30</f>
        <v/>
      </c>
      <c r="E12" s="149">
        <f>D12-C12</f>
        <v/>
      </c>
      <c r="F12" s="150">
        <f>IF(ABS(E12)&lt;=0.05,"reproduced",IF(ABS(E12)&lt;=0.05*5,"rounding","CHECK"))</f>
        <v/>
      </c>
    </row>
    <row r="13" ht="15" customHeight="1" s="87">
      <c r="A13" s="141" t="inlineStr">
        <is>
          <t>Ch. 12</t>
        </is>
      </c>
      <c r="B13" s="133" t="inlineStr">
        <is>
          <t>Scenario two net multiple</t>
        </is>
      </c>
      <c r="C13" s="151" t="n">
        <v>1.64</v>
      </c>
      <c r="D13" s="152">
        <f>'The fee comparison'!C31</f>
        <v/>
      </c>
      <c r="E13" s="153">
        <f>D13-C13</f>
        <v/>
      </c>
      <c r="F13" s="145">
        <f>IF(ABS(E13)&lt;=0.005,"reproduced",IF(ABS(E13)&lt;=0.005*5,"rounding","CHECK"))</f>
        <v/>
      </c>
    </row>
    <row r="14" ht="15" customHeight="1" s="87">
      <c r="A14" s="146" t="inlineStr">
        <is>
          <t>Ch. 12</t>
        </is>
      </c>
      <c r="B14" s="132" t="inlineStr">
        <is>
          <t>The difference in cash on a EUR 5m position</t>
        </is>
      </c>
      <c r="C14" s="147" t="n">
        <v>0.4</v>
      </c>
      <c r="D14" s="148">
        <f>'The fee comparison'!C42</f>
        <v/>
      </c>
      <c r="E14" s="149">
        <f>D14-C14</f>
        <v/>
      </c>
      <c r="F14" s="150">
        <f>IF(ABS(E14)&lt;=0.005,"reproduced",IF(ABS(E14)&lt;=0.005*5,"rounding","CHECK"))</f>
        <v/>
      </c>
    </row>
    <row r="15" ht="15" customHeight="1" s="87">
      <c r="A15" s="141" t="inlineStr">
        <is>
          <t>Ch. 12</t>
        </is>
      </c>
      <c r="B15" s="133" t="inlineStr">
        <is>
          <t>The difference in net multiple, in points</t>
        </is>
      </c>
      <c r="C15" s="142" t="n">
        <v>8</v>
      </c>
      <c r="D15" s="143">
        <f>'The fee comparison'!C41</f>
        <v/>
      </c>
      <c r="E15" s="144">
        <f>D15-C15</f>
        <v/>
      </c>
      <c r="F15" s="145">
        <f>IF(ABS(E15)&lt;=0.05,"reproduced",IF(ABS(E15)&lt;=0.05*5,"rounding","CHECK"))</f>
        <v/>
      </c>
    </row>
    <row r="16" ht="15" customHeight="1" s="87">
      <c r="A16" s="146" t="inlineStr">
        <is>
          <t>Ch. 12</t>
        </is>
      </c>
      <c r="B16" s="132" t="inlineStr">
        <is>
          <t>Rolling investors on scenario one against buyers on scenario two</t>
        </is>
      </c>
      <c r="C16" s="147" t="n">
        <v>8</v>
      </c>
      <c r="D16" s="148">
        <f>'The fee comparison'!C48</f>
        <v/>
      </c>
      <c r="E16" s="149">
        <f>D16-C16</f>
        <v/>
      </c>
      <c r="F16" s="150">
        <f>IF(ABS(E16)&lt;=0.05,"reproduced",IF(ABS(E16)&lt;=0.05*5,"rounding","CHECK"))</f>
        <v/>
      </c>
    </row>
    <row r="17" ht="15" customHeight="1" s="87">
      <c r="A17" s="141" t="inlineStr">
        <is>
          <t>Ch. 12</t>
        </is>
      </c>
      <c r="B17" s="133" t="inlineStr">
        <is>
          <t>The tiers cover the whole gain with no gap or overlap</t>
        </is>
      </c>
      <c r="C17" s="157" t="n">
        <v>1</v>
      </c>
      <c r="D17" s="158">
        <f>IF('The carry tiers'!E23="yes",1,0)</f>
        <v/>
      </c>
      <c r="E17" s="159">
        <f>D17-C17</f>
        <v/>
      </c>
      <c r="F17" s="145">
        <f>IF(ABS(E17)&lt;=0.0001,"reproduced",IF(ABS(E17)&lt;=0.0001*5,"rounding","CHECK"))</f>
        <v/>
      </c>
    </row>
    <row r="18" ht="15" customHeight="1" s="87">
      <c r="A18" s="146" t="inlineStr">
        <is>
          <t>Ch. 12</t>
        </is>
      </c>
      <c r="B18" s="132" t="inlineStr">
        <is>
          <t>Blended carry rate on the gain under scenario two</t>
        </is>
      </c>
      <c r="C18" s="160" t="n">
        <v>0.140625</v>
      </c>
      <c r="D18" s="161">
        <f>'The carry tiers'!C25</f>
        <v/>
      </c>
      <c r="E18" s="162">
        <f>D18-C18</f>
        <v/>
      </c>
      <c r="F18" s="150">
        <f>IF(ABS(E18)&lt;=0.0005,"reproduced",IF(ABS(E18)&lt;=0.0005*5,"rounding","CHECK"))</f>
        <v/>
      </c>
    </row>
    <row r="19" ht="15" customHeight="1" s="87">
      <c r="A19" s="141" t="inlineStr">
        <is>
          <t>Ch. 12</t>
        </is>
      </c>
      <c r="B19" s="133" t="inlineStr">
        <is>
          <t>Ten-year load across two vehicles approaches a quarter of the gain</t>
        </is>
      </c>
      <c r="C19" s="157" t="n">
        <v>1</v>
      </c>
      <c r="D19" s="158">
        <f>IF('Two vehicles, ten years'!C30&gt;=0.2,1,0)</f>
        <v/>
      </c>
      <c r="E19" s="159">
        <f>D19-C19</f>
        <v/>
      </c>
      <c r="F19" s="145">
        <f>IF(ABS(E19)&lt;=0.0001,"reproduced",IF(ABS(E19)&lt;=0.0001*5,"rounding","CHECK"))</f>
        <v/>
      </c>
    </row>
    <row r="20" ht="15" customHeight="1" s="87">
      <c r="A20" s="146" t="inlineStr">
        <is>
          <t>Ch. 12</t>
        </is>
      </c>
      <c r="B20" s="132" t="inlineStr">
        <is>
          <t>Fees paid in the original fund on the same asset (EUR m)</t>
        </is>
      </c>
      <c r="C20" s="147" t="n">
        <v>0.84</v>
      </c>
      <c r="D20" s="148">
        <f>'Two vehicles, ten years'!C21</f>
        <v/>
      </c>
      <c r="E20" s="149">
        <f>D20-C20</f>
        <v/>
      </c>
      <c r="F20" s="150">
        <f>IF(ABS(E20)&lt;=0.005,"reproduced",IF(ABS(E20)&lt;=0.005*5,"rounding","CHECK"))</f>
        <v/>
      </c>
    </row>
    <row r="21" ht="15" customHeight="1" s="87">
      <c r="A21" s="141" t="inlineStr">
        <is>
          <t>Ch. 12</t>
        </is>
      </c>
      <c r="B21" s="133" t="inlineStr">
        <is>
          <t>Fees paid in the continuation vehicle (EUR m)</t>
        </is>
      </c>
      <c r="C21" s="142" t="n">
        <v>0.8</v>
      </c>
      <c r="D21" s="143">
        <f>'Two vehicles, ten years'!C26</f>
        <v/>
      </c>
      <c r="E21" s="144">
        <f>D21-C21</f>
        <v/>
      </c>
      <c r="F21" s="145">
        <f>IF(ABS(E21)&lt;=0.005,"reproduced",IF(ABS(E21)&lt;=0.005*5,"rounding","CHECK"))</f>
        <v/>
      </c>
    </row>
    <row r="22" ht="15" customHeight="1" s="87">
      <c r="A22" s="146" t="inlineStr">
        <is>
          <t>Ch. 4</t>
        </is>
      </c>
      <c r="B22" s="132" t="inlineStr">
        <is>
          <t>Transaction costs at 1.5 per cent of a EUR 354.5m price</t>
        </is>
      </c>
      <c r="C22" s="147" t="n">
        <v>5.32</v>
      </c>
      <c r="D22" s="148">
        <f>'Transaction costs'!C9</f>
        <v/>
      </c>
      <c r="E22" s="149">
        <f>D22-C22</f>
        <v/>
      </c>
      <c r="F22" s="150">
        <f>IF(ABS(E22)&lt;=0.005,"reproduced",IF(ABS(E22)&lt;=0.005*5,"rounding","CHECK"))</f>
        <v/>
      </c>
    </row>
    <row r="23" ht="15" customHeight="1" s="87">
      <c r="A23" s="141" t="inlineStr">
        <is>
          <t>Ch. 4</t>
        </is>
      </c>
      <c r="B23" s="133" t="inlineStr">
        <is>
          <t>The allocation shares add to one hundred per cent</t>
        </is>
      </c>
      <c r="C23" s="163" t="n">
        <v>1</v>
      </c>
      <c r="D23" s="164">
        <f>'Transaction costs'!C22</f>
        <v/>
      </c>
      <c r="E23" s="165">
        <f>D23-C23</f>
        <v/>
      </c>
      <c r="F23" s="145">
        <f>IF(ABS(E23)&lt;=0.0001,"reproduced",IF(ABS(E23)&lt;=0.0001*5,"rounding","CHECK"))</f>
        <v/>
      </c>
    </row>
    <row r="24" ht="15" customHeight="1" s="87">
      <c r="A24" s="146" t="inlineStr">
        <is>
          <t>Ch. 4</t>
        </is>
      </c>
      <c r="B24" s="132" t="inlineStr">
        <is>
          <t>Rolling investors bear a higher proportion than sellers</t>
        </is>
      </c>
      <c r="C24" s="166" t="n">
        <v>1</v>
      </c>
      <c r="D24" s="167">
        <f>IF('Transaction costs'!C35&gt;0,1,0)</f>
        <v/>
      </c>
      <c r="E24" s="168">
        <f>D24-C24</f>
        <v/>
      </c>
      <c r="F24" s="150">
        <f>IF(ABS(E24)&lt;=0.0001,"reproduced",IF(ABS(E24)&lt;=0.0001*5,"rounding","CHECK"))</f>
        <v/>
      </c>
    </row>
    <row r="25" ht="15" customHeight="1" s="87">
      <c r="A25" s="141" t="inlineStr">
        <is>
          <t>Ch. 10</t>
        </is>
      </c>
      <c r="B25" s="133" t="inlineStr">
        <is>
          <t>Investor A: EUR 3.1m on a EUR 25m commitment</t>
        </is>
      </c>
      <c r="C25" s="154" t="n">
        <v>0.124</v>
      </c>
      <c r="D25" s="155">
        <f>'The roll decision'!C8</f>
        <v/>
      </c>
      <c r="E25" s="156">
        <f>D25-C25</f>
        <v/>
      </c>
      <c r="F25" s="145">
        <f>IF(ABS(E25)&lt;=0.0005,"reproduced",IF(ABS(E25)&lt;=0.0005*5,"rounding","CHECK"))</f>
        <v/>
      </c>
    </row>
    <row r="26" ht="15" customHeight="1" s="87">
      <c r="A26" s="146" t="inlineStr">
        <is>
          <t>Ch. 10</t>
        </is>
      </c>
      <c r="B26" s="132" t="inlineStr">
        <is>
          <t>Investor B: EUR 0.74m on a EUR 6m commitment</t>
        </is>
      </c>
      <c r="C26" s="160" t="n">
        <v>0.12333</v>
      </c>
      <c r="D26" s="161">
        <f>'The roll decision'!D8</f>
        <v/>
      </c>
      <c r="E26" s="162">
        <f>D26-C26</f>
        <v/>
      </c>
      <c r="F26" s="150">
        <f>IF(ABS(E26)&lt;=0.0005,"reproduced",IF(ABS(E26)&lt;=0.0005*5,"rounding","CHECK"))</f>
        <v/>
      </c>
    </row>
    <row r="27" ht="15" customHeight="1" s="87">
      <c r="A27" s="141" t="inlineStr">
        <is>
          <t>Ch. 10</t>
        </is>
      </c>
      <c r="B27" s="133" t="inlineStr">
        <is>
          <t>The two imply the same fund-level share</t>
        </is>
      </c>
      <c r="C27" s="157" t="n">
        <v>1</v>
      </c>
      <c r="D27" s="158">
        <f>IF('The roll decision'!C9="yes — same transaction, same proportion",1,0)</f>
        <v/>
      </c>
      <c r="E27" s="159">
        <f>D27-C27</f>
        <v/>
      </c>
      <c r="F27" s="145">
        <f>IF(ABS(E27)&lt;=0.0001,"reproduced",IF(ABS(E27)&lt;=0.0001*5,"rounding","CHECK"))</f>
        <v/>
      </c>
    </row>
    <row r="28" ht="15" customHeight="1" s="87">
      <c r="A28" s="146" t="inlineStr">
        <is>
          <t>Ch. 10</t>
        </is>
      </c>
      <c r="B28" s="132" t="inlineStr">
        <is>
          <t>Investor B's share implied by Investor A's proportion</t>
        </is>
      </c>
      <c r="C28" s="147" t="n">
        <v>0.74</v>
      </c>
      <c r="D28" s="148">
        <f>'The roll decision'!C10</f>
        <v/>
      </c>
      <c r="E28" s="149">
        <f>D28-C28</f>
        <v/>
      </c>
      <c r="F28" s="150">
        <f>IF(ABS(E28)&lt;=0.005,"reproduced",IF(ABS(E28)&lt;=0.005*5,"rounding","CHECK"))</f>
        <v/>
      </c>
    </row>
    <row r="29" ht="15" customHeight="1" s="87">
      <c r="A29" s="141" t="inlineStr">
        <is>
          <t>Ch. 10</t>
        </is>
      </c>
      <c r="B29" s="133" t="inlineStr">
        <is>
          <t>Investor B cannot roll: the vehicle outlives its own fund</t>
        </is>
      </c>
      <c r="C29" s="157" t="n">
        <v>1</v>
      </c>
      <c r="D29" s="158">
        <f>IF('The roll decision'!D20="sell — the structure does not fit",1,0)</f>
        <v/>
      </c>
      <c r="E29" s="159">
        <f>D29-C29</f>
        <v/>
      </c>
      <c r="F29" s="145">
        <f>IF(ABS(E29)&lt;=0.0001,"reproduced",IF(ABS(E29)&lt;=0.0001*5,"rounding","CHECK"))</f>
        <v/>
      </c>
    </row>
    <row r="30" ht="15" customHeight="1" s="87">
      <c r="A30" s="146" t="inlineStr">
        <is>
          <t>Ch. 10</t>
        </is>
      </c>
      <c r="B30" s="132" t="inlineStr">
        <is>
          <t>A 40 per cent roll rate leaves 60 per cent to explain</t>
        </is>
      </c>
      <c r="C30" s="169" t="n">
        <v>0.6</v>
      </c>
      <c r="D30" s="170">
        <f>'The roll decision'!C27</f>
        <v/>
      </c>
      <c r="E30" s="171">
        <f>D30-C30</f>
        <v/>
      </c>
      <c r="F30" s="150">
        <f>IF(ABS(E30)&lt;=0.0005,"reproduced",IF(ABS(E30)&lt;=0.0005*5,"rounding","CHECK"))</f>
        <v/>
      </c>
    </row>
    <row r="31" ht="15" customHeight="1" s="87">
      <c r="A31" s="141" t="inlineStr">
        <is>
          <t>solved</t>
        </is>
      </c>
      <c r="B31" s="133" t="inlineStr">
        <is>
          <t>Original cost at which the two-vehicle load reaches a quarter (solved; not printed)</t>
        </is>
      </c>
      <c r="C31" s="157" t="n">
        <v>2.644</v>
      </c>
      <c r="D31" s="158">
        <f>'Two vehicles, ten years'!C47</f>
        <v/>
      </c>
      <c r="E31" s="159">
        <f>D31-C31</f>
        <v/>
      </c>
      <c r="F31" s="145">
        <f>IF(ABS(E31)&lt;=0.0005,"reproduced",IF(ABS(E31)&lt;=0.0005*5,"rounding","CHECK"))</f>
        <v/>
      </c>
    </row>
    <row r="32" ht="15" customHeight="1" s="87">
      <c r="A32" s="172" t="inlineStr">
        <is>
          <t>Ch. 12</t>
        </is>
      </c>
      <c r="B32" s="173" t="inlineStr">
        <is>
          <t>Scenario two carried interest: about EUR 563,000</t>
        </is>
      </c>
      <c r="C32" s="174" t="n">
        <v>0.5629999999999999</v>
      </c>
      <c r="D32" s="175">
        <f>'The fee comparison'!C29</f>
        <v/>
      </c>
      <c r="E32" s="176">
        <f>D32-C32</f>
        <v/>
      </c>
      <c r="F32" s="177">
        <f>IF(ABS(E32)&lt;=0.0005,"reproduced",IF(ABS(E32)&lt;=0.0005*5,"rounding","CHECK"))</f>
        <v/>
      </c>
    </row>
    <row r="33" ht="15" customHeight="1" s="87">
      <c r="A33" s="172" t="inlineStr">
        <is>
          <t>Ch. 12</t>
        </is>
      </c>
      <c r="B33" s="173" t="inlineStr">
        <is>
          <t>Fees returned first: gap of about EUR 360,000</t>
        </is>
      </c>
      <c r="C33" s="174" t="n">
        <v>0.36</v>
      </c>
      <c r="D33" s="175">
        <f>'The fee comparison'!E55</f>
        <v/>
      </c>
      <c r="E33" s="176">
        <f>D33-C33</f>
        <v/>
      </c>
      <c r="F33" s="177">
        <f>IF(ABS(E33)&lt;=0.005,"reproduced",IF(ABS(E33)&lt;=0.005*5,"rounding","CHECK"))</f>
        <v/>
      </c>
    </row>
    <row r="34" ht="15" customHeight="1" s="87">
      <c r="A34" s="172" t="inlineStr">
        <is>
          <t>Ch. 12</t>
        </is>
      </c>
      <c r="B34" s="173" t="inlineStr">
        <is>
          <t>Fees returned first: about seven points</t>
        </is>
      </c>
      <c r="C34" s="174" t="n">
        <v>7</v>
      </c>
      <c r="D34" s="175">
        <f>'The fee comparison'!C57</f>
        <v/>
      </c>
      <c r="E34" s="176">
        <f>D34-C34</f>
        <v/>
      </c>
      <c r="F34" s="177">
        <f>IF(ABS(E34)&lt;=0.5,"reproduced",IF(ABS(E34)&lt;=0.5*5,"rounding","CHECK"))</f>
        <v/>
      </c>
    </row>
    <row r="35" ht="15" customHeight="1" s="87">
      <c r="A35" s="172" t="inlineStr">
        <is>
          <t>Ch. 12</t>
        </is>
      </c>
      <c r="B35" s="173" t="inlineStr">
        <is>
          <t>Two vehicles at a EUR 2m original cost take about EUR 1.64m</t>
        </is>
      </c>
      <c r="C35" s="174" t="n">
        <v>1.64</v>
      </c>
      <c r="D35" s="175">
        <f>'Two vehicles, ten years'!C29</f>
        <v/>
      </c>
      <c r="E35" s="176">
        <f>D35-C35</f>
        <v/>
      </c>
      <c r="F35" s="177">
        <f>IF(ABS(E35)&lt;=0.005,"reproduced",IF(ABS(E35)&lt;=0.005*5,"rounding","CHECK"))</f>
        <v/>
      </c>
    </row>
    <row r="36">
      <c r="A36" s="172" t="inlineStr">
        <is>
          <t>Ch. 12</t>
        </is>
      </c>
      <c r="B36" s="173" t="inlineStr">
        <is>
          <t>of a EUR 7m gain</t>
        </is>
      </c>
      <c r="C36" s="174" t="n">
        <v>7</v>
      </c>
      <c r="D36" s="175">
        <f>'Two vehicles, ten years'!C11</f>
        <v/>
      </c>
      <c r="E36" s="176">
        <f>D36-C36</f>
        <v/>
      </c>
      <c r="F36" s="177">
        <f>IF(ABS(E36)&lt;=0.05,"reproduced",IF(ABS(E36)&lt;=0.05*5,"rounding","CHECK"))</f>
        <v/>
      </c>
    </row>
    <row r="37">
      <c r="A37" s="172" t="inlineStr">
        <is>
          <t>Ch. 12</t>
        </is>
      </c>
      <c r="B37" s="173" t="inlineStr">
        <is>
          <t>Roughly 23 per cent of the gain</t>
        </is>
      </c>
      <c r="C37" s="174" t="n">
        <v>0.23</v>
      </c>
      <c r="D37" s="175">
        <f>'Two vehicles, ten years'!C30</f>
        <v/>
      </c>
      <c r="E37" s="176">
        <f>D37-C37</f>
        <v/>
      </c>
      <c r="F37" s="177">
        <f>IF(ABS(E37)&lt;=0.005,"reproduced",IF(ABS(E37)&lt;=0.005*5,"rounding","CHECK"))</f>
        <v/>
      </c>
    </row>
    <row r="38"/>
    <row r="39">
      <c r="A39" s="178" t="inlineStr">
        <is>
          <t>Lines reproduced within the book's own printed precision</t>
        </is>
      </c>
      <c r="C39" s="179">
        <f>COUNTIF(F5:F37,"reproduced")</f>
        <v/>
      </c>
    </row>
    <row r="40">
      <c r="A40" s="178" t="inlineStr">
        <is>
          <t>Lines differing only by the book's rounding of an intermediate</t>
        </is>
      </c>
      <c r="C40" s="179">
        <f>COUNTIF(F5:F37,"rounding")</f>
        <v/>
      </c>
    </row>
    <row r="41">
      <c r="A41" s="178" t="inlineStr">
        <is>
          <t>Lines to check</t>
        </is>
      </c>
      <c r="C41" s="179">
        <f>COUNTIF(F5:F37,"CHECK")</f>
        <v/>
      </c>
    </row>
  </sheetData>
  <mergeCells count="1">
    <mergeCell ref="H5:H26"/>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2026-08-20T07:16:20Z</dcterms:created>
  <dcterms:modified xmlns:dcterms="http://purl.org/dc/terms/" xmlns:xsi="http://www.w3.org/2001/XMLSchema-instance" xsi:type="dcterms:W3CDTF">2026-09-26T21:08:59Z</dcterms:modified>
  <cp:revision>0</cp:revision>
</cp:coreProperties>
</file>