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 Inputs" sheetId="1" state="visible" r:id="rId3"/>
    <sheet name="2 Northbeck 2026" sheetId="2" state="visible" r:id="rId4"/>
    <sheet name="3 The phase-in" sheetId="3" state="visible" r:id="rId5"/>
    <sheet name="4 The 2027 load" sheetId="4" state="visible" r:id="rId6"/>
    <sheet name="5 The buffer" sheetId="5" state="visible" r:id="rId7"/>
    <sheet name="6 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<sst xmlns="http://schemas.openxmlformats.org/spreadsheetml/2006/main" count="202" uniqueCount="190">
  <si>
    <t xml:space="preserve">The Northbeck cash profile — inputs</t>
  </si>
  <si>
    <t xml:space="preserve">Every amber cell is an input. All are figures the book states, except the three marked ADDED.</t>
  </si>
  <si>
    <t xml:space="preserve">NORTHBECK — chapter 10</t>
  </si>
  <si>
    <t xml:space="preserve">Q1 2026 goods imported, tonnes</t>
  </si>
  <si>
    <t xml:space="preserve">ch.10 table</t>
  </si>
  <si>
    <t xml:space="preserve">Q2 2026 goods imported, tonnes</t>
  </si>
  <si>
    <t xml:space="preserve">Q3 2026 goods imported, tonnes</t>
  </si>
  <si>
    <t xml:space="preserve">Q4 2026 goods imported, tonnes</t>
  </si>
  <si>
    <t xml:space="preserve">Specific embedded emissions, tCO2e per tonne</t>
  </si>
  <si>
    <t xml:space="preserve">ch.10, "an illustrative 1.8 tonnes of CO2e"</t>
  </si>
  <si>
    <t xml:space="preserve">Q1 2026 certificate price, EUR</t>
  </si>
  <si>
    <t xml:space="preserve">published 7 April 2026</t>
  </si>
  <si>
    <t xml:space="preserve">Q2 2026 certificate price, EUR</t>
  </si>
  <si>
    <t xml:space="preserve">published 6 July 2026</t>
  </si>
  <si>
    <t xml:space="preserve">Q3 2026 certificate price, EUR</t>
  </si>
  <si>
    <t xml:space="preserve">ch.10, "assumed"</t>
  </si>
  <si>
    <t xml:space="preserve">Q4 2026 certificate price, EUR</t>
  </si>
  <si>
    <t xml:space="preserve">Forward price assumption, EUR</t>
  </si>
  <si>
    <t xml:space="preserve">ch.10, "if the price stayed at 75"</t>
  </si>
  <si>
    <t xml:space="preserve">THE RULES</t>
  </si>
  <si>
    <t xml:space="preserve">Quarterly holding checkpoint</t>
  </si>
  <si>
    <t xml:space="preserve">ch.10, Art. 22(2) as amended — plan to 50 %</t>
  </si>
  <si>
    <t xml:space="preserve">Cost of capital, annual</t>
  </si>
  <si>
    <t xml:space="preserve">ADDED — a treasury input, not a CBAM one</t>
  </si>
  <si>
    <t xml:space="preserve">Months a buffer is carried</t>
  </si>
  <si>
    <t xml:space="preserve">ADDED — February purchase to October repurchase</t>
  </si>
  <si>
    <t xml:space="preserve">Penalty as a multiple of the certificate price</t>
  </si>
  <si>
    <t xml:space="preserve">ADDED — ch.13 declines to quote a figure, correctly</t>
  </si>
  <si>
    <t xml:space="preserve">THE PHASE-IN — chapter 11, as reported</t>
  </si>
  <si>
    <t xml:space="preserve">CBAM factor 2026</t>
  </si>
  <si>
    <t xml:space="preserve">free allocation retained 97.5%</t>
  </si>
  <si>
    <t xml:space="preserve">CBAM factor 2027</t>
  </si>
  <si>
    <t xml:space="preserve">free allocation retained 95.0%</t>
  </si>
  <si>
    <t xml:space="preserve">CBAM factor 2028</t>
  </si>
  <si>
    <t xml:space="preserve">free allocation retained 90.0%</t>
  </si>
  <si>
    <t xml:space="preserve">CBAM factor 2029</t>
  </si>
  <si>
    <t xml:space="preserve">free allocation retained 77.5%</t>
  </si>
  <si>
    <t xml:space="preserve">CBAM factor 2030</t>
  </si>
  <si>
    <t xml:space="preserve">free allocation retained 51.5%</t>
  </si>
  <si>
    <t xml:space="preserve">CBAM factor 2031</t>
  </si>
  <si>
    <t xml:space="preserve">free allocation retained 39.0%</t>
  </si>
  <si>
    <t xml:space="preserve">CBAM factor 2032</t>
  </si>
  <si>
    <t xml:space="preserve">free allocation retained 26.5%</t>
  </si>
  <si>
    <t xml:space="preserve">CBAM factor 2033</t>
  </si>
  <si>
    <t xml:space="preserve">free allocation retained 14.0%</t>
  </si>
  <si>
    <t xml:space="preserve">CBAM factor 2034</t>
  </si>
  <si>
    <t xml:space="preserve">free allocation retained 0.0%</t>
  </si>
  <si>
    <t xml:space="preserve">The chapter's own worked example, reproduced</t>
  </si>
  <si>
    <t xml:space="preserve">It exists so that everything after it argues with the same numbers.</t>
  </si>
  <si>
    <t xml:space="preserve">Quarter</t>
  </si>
  <si>
    <t xml:space="preserve">Goods, t</t>
  </si>
  <si>
    <t xml:space="preserve">Gross tCO2e</t>
  </si>
  <si>
    <t xml:space="preserve">Certificates</t>
  </si>
  <si>
    <t xml:space="preserve">Price</t>
  </si>
  <si>
    <t xml:space="preserve">Cost, EUR</t>
  </si>
  <si>
    <t xml:space="preserve">Q1 2026</t>
  </si>
  <si>
    <t xml:space="preserve">Q2 2026</t>
  </si>
  <si>
    <t xml:space="preserve">Q3 2026</t>
  </si>
  <si>
    <t xml:space="preserve">Q4 2026</t>
  </si>
  <si>
    <t xml:space="preserve">Total 2026</t>
  </si>
  <si>
    <t xml:space="preserve">The book prints, certificates</t>
  </si>
  <si>
    <t xml:space="preserve">The book prints, cost</t>
  </si>
  <si>
    <t xml:space="preserve">Cost per tonne of product</t>
  </si>
  <si>
    <t xml:space="preserve">The book prints</t>
  </si>
  <si>
    <t xml:space="preserve">about 3.40</t>
  </si>
  <si>
    <t xml:space="preserve">Implied free-allocation adjustment</t>
  </si>
  <si>
    <t xml:space="preserve">The table closes exactly: 14,400 tonnes of gross embedded emissions at 2.5 per cent is 360 certificates,</t>
  </si>
  <si>
    <t xml:space="preserve">which is what the chapter prints. Note what that means. Step four of the chapter says it applies the CBAM</t>
  </si>
  <si>
    <t xml:space="preserve">factor AND the free-allocation adjustment. The table applies the factor and nothing else — the implied</t>
  </si>
  <si>
    <t xml:space="preserve">adjustment is exactly 1.00.</t>
  </si>
  <si>
    <t xml:space="preserve">That is not an error in the table. Chapter 11's schedule sets the factor and the retained free allocation</t>
  </si>
  <si>
    <t xml:space="preserve">as complements, 2.5 per cent against 97.5, so the factor already carries the adjustment and applying a</t>
  </si>
  <si>
    <t xml:space="preserve">second one would count it twice. But chapter 11 also states the surrender formula as five separate terms,</t>
  </si>
  <si>
    <t xml:space="preserve">one of which is the free-allocation adjustment.</t>
  </si>
  <si>
    <t xml:space="preserve">A reader who builds a workbook from that formula multiplies by an adjustment below one on top of a factor</t>
  </si>
  <si>
    <t xml:space="preserve">that already contains it, and arrives at a smaller number than the chapter's own table. The error runs in</t>
  </si>
  <si>
    <t xml:space="preserve">the penalised direction, because under-declaring is what Article 26(1) sanctions. This workbook uses the</t>
  </si>
  <si>
    <t xml:space="preserve">table, not the formula.</t>
  </si>
  <si>
    <t xml:space="preserve">What 3.40 euros a tonne becomes</t>
  </si>
  <si>
    <t xml:space="preserve">Same book of imports, same intensity, same price. Only the factor moves.</t>
  </si>
  <si>
    <t xml:space="preserve">Year</t>
  </si>
  <si>
    <t xml:space="preserve">Factor</t>
  </si>
  <si>
    <t xml:space="preserve">EUR per tonne</t>
  </si>
  <si>
    <t xml:space="preserve">x 2026</t>
  </si>
  <si>
    <t xml:space="preserve">THE CLAIM: "four fifths of the increase happens after 2029"</t>
  </si>
  <si>
    <t xml:space="preserve">Total increase in the factor, 2026 to 2034</t>
  </si>
  <si>
    <t xml:space="preserve">Increase from the 2029 level onward</t>
  </si>
  <si>
    <t xml:space="preserve">Share occurring after 2029</t>
  </si>
  <si>
    <t xml:space="preserve">Four fifths is</t>
  </si>
  <si>
    <t xml:space="preserve">VERDICT</t>
  </si>
  <si>
    <t xml:space="preserve">The chapter is right that 3.40 euros a tonne invites the conclusion that CBAM is immaterial, and right</t>
  </si>
  <si>
    <t xml:space="preserve">that the answer is to run the later years. Here is the run. Nineteen times by 2030, which is four years</t>
  </si>
  <si>
    <t xml:space="preserve">away rather than eight, and forty times by 2034.</t>
  </si>
  <si>
    <t xml:space="preserve">The year that carries two obligations at once</t>
  </si>
  <si>
    <t xml:space="preserve">Chapter 10 says budgeting only the 2026 lump sum understates 2027 "substantially". This is the number.</t>
  </si>
  <si>
    <t xml:space="preserve">Date</t>
  </si>
  <si>
    <t xml:space="preserve">Event</t>
  </si>
  <si>
    <t xml:space="preserve">Cash out</t>
  </si>
  <si>
    <t xml:space="preserve">Cumulative</t>
  </si>
  <si>
    <t xml:space="preserve">31 Mar 2027</t>
  </si>
  <si>
    <t xml:space="preserve">Q1 checkpoint: hold 50 % of the year-to-date obligation</t>
  </si>
  <si>
    <t xml:space="preserve">30 Jun 2027</t>
  </si>
  <si>
    <t xml:space="preserve">Q2 checkpoint</t>
  </si>
  <si>
    <t xml:space="preserve">30 Sep 2027</t>
  </si>
  <si>
    <t xml:space="preserve">Q3 checkpoint</t>
  </si>
  <si>
    <t xml:space="preserve">Surrender the 2026 obligation</t>
  </si>
  <si>
    <t xml:space="preserve">31 Dec 2027</t>
  </si>
  <si>
    <t xml:space="preserve">Q4 checkpoint</t>
  </si>
  <si>
    <t xml:space="preserve">Lump sum for 2026 emissions</t>
  </si>
  <si>
    <t xml:space="preserve">In-year build for 2027 emissions</t>
  </si>
  <si>
    <t xml:space="preserve">TOTAL 2027 CASH REQUIREMENT</t>
  </si>
  <si>
    <t xml:space="preserve">Share of it covered by budgeting only the lump sum</t>
  </si>
  <si>
    <t xml:space="preserve">"SUBSTANTIALLY", AS A FACTOR</t>
  </si>
  <si>
    <t xml:space="preserve">Surrender for the prior year</t>
  </si>
  <si>
    <t xml:space="preserve">In-year build to 50 %</t>
  </si>
  <si>
    <t xml:space="preserve">Total cash</t>
  </si>
  <si>
    <t xml:space="preserve">x prior year</t>
  </si>
  <si>
    <t xml:space="preserve">Substantially is a factor of exactly two, and it is two for a structural reason rather than a coincidence:</t>
  </si>
  <si>
    <t xml:space="preserve">the factor doubles between 2026 and 2027, and the checkpoint is fifty per cent, so half of the 2027</t>
  </si>
  <si>
    <t xml:space="preserve">obligation is exactly the whole of the 2026 one.</t>
  </si>
  <si>
    <t xml:space="preserve">It is also not a one-year effect. Every year carries the previous year's full obligation plus half of its</t>
  </si>
  <si>
    <t xml:space="preserve">own, and both terms are growing through the phase-in. That is the shape a treasury calendar has to hold,</t>
  </si>
  <si>
    <t xml:space="preserve">and it is nowhere in the chapter that says to build one.</t>
  </si>
  <si>
    <t xml:space="preserve">The buffer the chapter recommends and never sizes</t>
  </si>
  <si>
    <t xml:space="preserve">And the cap it warns about, which does not bind at any size anyone is contemplating.</t>
  </si>
  <si>
    <t xml:space="preserve">THE CAP, TESTED</t>
  </si>
  <si>
    <t xml:space="preserve">2026 obligation, certificates</t>
  </si>
  <si>
    <t xml:space="preserve">Repurchase cap = certificates obliged to purchase</t>
  </si>
  <si>
    <t xml:space="preserve">Buffer above which the cap binds</t>
  </si>
  <si>
    <t xml:space="preserve">A buffer of any realistic size sits entirely inside the cap. What binds is the 31 October deadline.</t>
  </si>
  <si>
    <t xml:space="preserve">Buffer</t>
  </si>
  <si>
    <t xml:space="preserve">Carry, EUR</t>
  </si>
  <si>
    <t xml:space="preserve">Protection at risk, EUR</t>
  </si>
  <si>
    <t xml:space="preserve">Break-even P(shortfall)</t>
  </si>
  <si>
    <t xml:space="preserve">THE BREAK-EVEN DOES NOT DEPEND ON THE BUFFER SIZE</t>
  </si>
  <si>
    <t xml:space="preserve">(the spread across all five sizes)</t>
  </si>
  <si>
    <t xml:space="preserve">Penalty as a multiple of the price</t>
  </si>
  <si>
    <t xml:space="preserve">Carry and protection both scale linearly in the buffer, so the ratio between them is identical at five per</t>
  </si>
  <si>
    <t xml:space="preserve">cent and at thirty. The size of the buffer is a judgement about your own data. Whether to hold one is not</t>
  </si>
  <si>
    <t xml:space="preserve">a judgement at all — the answer is the same at every size.</t>
  </si>
  <si>
    <t xml:space="preserve">Chapter 13 declines to quote a euro penalty, correctly, because it is indexed and pegged to the ETS</t>
  </si>
  <si>
    <t xml:space="preserve">excess-emissions penalty. That is the right editorial call and it leaves the reader without a decision</t>
  </si>
  <si>
    <t xml:space="preserve">rule. The table above is one that does not need the figure: across the whole plausible range of penalties</t>
  </si>
  <si>
    <t xml:space="preserve">the break-even probability sits between half a per cent and three and a half. No importer with unverified</t>
  </si>
  <si>
    <t xml:space="preserve">supplier data is below that.</t>
  </si>
  <si>
    <t xml:space="preserve">The conclusion is the opposite of cautious. At realistic sizes the buffer is close to free, the cap the</t>
  </si>
  <si>
    <t xml:space="preserve">chapter warns about does not bind, and the only thing that can destroy the position is forgetting a date</t>
  </si>
  <si>
    <t xml:space="preserve">in October.</t>
  </si>
  <si>
    <t xml:space="preserve">Controls</t>
  </si>
  <si>
    <t xml:space="preserve">Each row tests something the book asserts or the model must satisfy.</t>
  </si>
  <si>
    <t xml:space="preserve">Control</t>
  </si>
  <si>
    <t xml:space="preserve">Value</t>
  </si>
  <si>
    <t xml:space="preserve">Expected</t>
  </si>
  <si>
    <t xml:space="preserve">Result</t>
  </si>
  <si>
    <t xml:space="preserve">1. Northbeck: total goods imported in 2026</t>
  </si>
  <si>
    <t xml:space="preserve">2. Northbeck: gross embedded emissions reproduce the chapter's 14,400</t>
  </si>
  <si>
    <t xml:space="preserve">3. Northbeck: the 2026 obligation reproduces the chapter's 360 certificates</t>
  </si>
  <si>
    <t xml:space="preserve">4. Northbeck: the cost reproduces the chapter's 27,062 euros</t>
  </si>
  <si>
    <t xml:space="preserve">5. Northbeck: the cost per tonne reproduces the chapter's 'about 3.40'</t>
  </si>
  <si>
    <t xml:space="preserve">6. Northbeck: the implied free-allocation adjustment is exactly one</t>
  </si>
  <si>
    <t xml:space="preserve">7. Northbeck: Q1 and Q2 use the two published prices</t>
  </si>
  <si>
    <t xml:space="preserve">8. Phase-in: the 2026 row is the chapter's own 3.40 euros a tonne</t>
  </si>
  <si>
    <t xml:space="preserve">9. Phase-in: the 2034 cost is forty times the 2026 cost</t>
  </si>
  <si>
    <t xml:space="preserve">10. Phase-in: 2030 already costs more than nineteen times 2026</t>
  </si>
  <si>
    <t xml:space="preserve">11. Phase-in: 'four fifths of the increase happens after 2029' is confirmed</t>
  </si>
  <si>
    <t xml:space="preserve">12. Phase-in: the verdict cell reads CONFIRMED</t>
  </si>
  <si>
    <t xml:space="preserve">13. Phase-in: certificates rise monotonically with the year</t>
  </si>
  <si>
    <t xml:space="preserve">14. 2027: the in-year build equals the whole of the 2026 obligation</t>
  </si>
  <si>
    <t xml:space="preserve">15. 2027: the lump sum is the 2026 cost</t>
  </si>
  <si>
    <t xml:space="preserve">16. 2027: total 2027 cash is the sum of the two</t>
  </si>
  <si>
    <t xml:space="preserve">17. 2027: budgeting only the lump sum covers about half the year</t>
  </si>
  <si>
    <t xml:space="preserve">18. 2027: 'substantially' is a factor of two</t>
  </si>
  <si>
    <t xml:space="preserve">19. 2027: the checkpoint purchases never go negative</t>
  </si>
  <si>
    <t xml:space="preserve">20. Multi-year: total cash rises every year through 2033</t>
  </si>
  <si>
    <t xml:space="preserve">21. Multi-year: 2028 is twice 2027</t>
  </si>
  <si>
    <t xml:space="preserve">22. Buffer: the repurchase cap binds only above a 100 per cent buffer</t>
  </si>
  <si>
    <t xml:space="preserve">23. Buffer: a 10 per cent buffer is 36 certificates</t>
  </si>
  <si>
    <t xml:space="preserve">24. Buffer: its carry is 90 euros</t>
  </si>
  <si>
    <t xml:space="preserve">25. Buffer: the break-even probability is identical at every size</t>
  </si>
  <si>
    <t xml:space="preserve">26. Buffer: at a penalty of 1.3x the price the break-even is 2.56 per cent</t>
  </si>
  <si>
    <t xml:space="preserve">27. Buffer: a higher penalty lowers the break-even</t>
  </si>
  <si>
    <t xml:space="preserve">28. Buffer: the break-even never exceeds four per cent</t>
  </si>
  <si>
    <t xml:space="preserve">29. Phase-in: 2030 costs 65.48 euros a tonne (65.475, rounded half up)</t>
  </si>
  <si>
    <t xml:space="preserve">30. 2027: the four checkpoint purchases add up to half the 2027 obligation</t>
  </si>
  <si>
    <t xml:space="preserve">31. 2027: the calendar's cumulative cash closes on the total requirement</t>
  </si>
  <si>
    <t xml:space="preserve">32. 2027: the in-year build is the 2026 obligation at the forward price</t>
  </si>
  <si>
    <t xml:space="preserve">33. Phase-in: in 2034 the certificates equal the gross emissions</t>
  </si>
  <si>
    <t xml:space="preserve">34. Buffer: the break-even at 1.3x agrees between the two tables</t>
  </si>
  <si>
    <t xml:space="preserve">35. Inputs: exactly three inputs are marked ADDED</t>
  </si>
  <si>
    <t xml:space="preserve">CONTROLS PASSING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</si>
</sst>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"/>
    <numFmt numFmtId="166" formatCode="#,##0.00"/>
    <numFmt numFmtId="167" formatCode="0.00%"/>
    <numFmt numFmtId="168" formatCode="0.0%"/>
    <numFmt numFmtId="169" formatCode="0"/>
    <numFmt numFmtId="170" formatCode="@"/>
    <numFmt numFmtId="171" formatCode="0.0\x"/>
    <numFmt numFmtId="172" formatCode="0.0"/>
    <numFmt numFmtId="173" formatCode="0.00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Cambria"/>
      <family val="0"/>
      <charset val="1"/>
    </font>
    <font>
      <i val="true"/>
      <sz val="9"/>
      <color rgb="FF666666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DEDED"/>
        <bgColor rgb="FFFFF2CC"/>
      </patternFill>
    </fill>
    <fill>
      <patternFill patternType="solid">
        <fgColor rgb="FFFFF2CC"/>
        <bgColor rgb="FFEDEDED"/>
      </patternFill>
    </fill>
    <fill>
      <patternFill patternType="solid">
        <fgColor rgb="FF1B1F27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1F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62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15" hidden="false" customHeight="false" outlineLevel="0" collapsed="false">
      <c r="A5" s="0" t="s">
        <v>3</v>
      </c>
      <c r="B5" s="5" t="n">
        <v>2000</v>
      </c>
      <c r="C5" s="2" t="s">
        <v>4</v>
      </c>
    </row>
    <row r="6" customFormat="false" ht="15" hidden="false" customHeight="false" outlineLevel="0" collapsed="false">
      <c r="A6" s="0" t="s">
        <v>5</v>
      </c>
      <c r="B6" s="5" t="n">
        <v>2400</v>
      </c>
      <c r="C6" s="2" t="s">
        <v>4</v>
      </c>
    </row>
    <row r="7" customFormat="false" ht="15" hidden="false" customHeight="false" outlineLevel="0" collapsed="false">
      <c r="A7" s="0" t="s">
        <v>6</v>
      </c>
      <c r="B7" s="5" t="n">
        <v>1800</v>
      </c>
      <c r="C7" s="2" t="s">
        <v>4</v>
      </c>
    </row>
    <row r="8" customFormat="false" ht="15" hidden="false" customHeight="false" outlineLevel="0" collapsed="false">
      <c r="A8" s="0" t="s">
        <v>7</v>
      </c>
      <c r="B8" s="5" t="n">
        <v>1800</v>
      </c>
      <c r="C8" s="2" t="s">
        <v>4</v>
      </c>
    </row>
    <row r="9" customFormat="false" ht="15" hidden="false" customHeight="false" outlineLevel="0" collapsed="false">
      <c r="A9" s="0" t="s">
        <v>8</v>
      </c>
      <c r="B9" s="6" t="n">
        <v>1.8</v>
      </c>
      <c r="C9" s="2" t="s">
        <v>9</v>
      </c>
    </row>
    <row r="10" customFormat="false" ht="15" hidden="false" customHeight="false" outlineLevel="0" collapsed="false">
      <c r="A10" s="0" t="s">
        <v>10</v>
      </c>
      <c r="B10" s="6" t="n">
        <v>75.36</v>
      </c>
      <c r="C10" s="2" t="s">
        <v>11</v>
      </c>
    </row>
    <row r="11" customFormat="false" ht="15" hidden="false" customHeight="false" outlineLevel="0" collapsed="false">
      <c r="A11" s="0" t="s">
        <v>12</v>
      </c>
      <c r="B11" s="6" t="n">
        <v>75.28</v>
      </c>
      <c r="C11" s="2" t="s">
        <v>13</v>
      </c>
    </row>
    <row r="12" customFormat="false" ht="15" hidden="false" customHeight="false" outlineLevel="0" collapsed="false">
      <c r="A12" s="0" t="s">
        <v>14</v>
      </c>
      <c r="B12" s="6" t="n">
        <v>75</v>
      </c>
      <c r="C12" s="2" t="s">
        <v>15</v>
      </c>
    </row>
    <row r="13" customFormat="false" ht="15" hidden="false" customHeight="false" outlineLevel="0" collapsed="false">
      <c r="A13" s="0" t="s">
        <v>16</v>
      </c>
      <c r="B13" s="6" t="n">
        <v>75</v>
      </c>
      <c r="C13" s="2" t="s">
        <v>15</v>
      </c>
    </row>
    <row r="14" customFormat="false" ht="15" hidden="false" customHeight="false" outlineLevel="0" collapsed="false">
      <c r="A14" s="0" t="s">
        <v>17</v>
      </c>
      <c r="B14" s="6" t="n">
        <v>75</v>
      </c>
      <c r="C14" s="2" t="s">
        <v>18</v>
      </c>
    </row>
    <row r="16" customFormat="false" ht="15" hidden="false" customHeight="false" outlineLevel="0" collapsed="false">
      <c r="A16" s="3" t="s">
        <v>19</v>
      </c>
      <c r="B16" s="4"/>
      <c r="C16" s="4"/>
    </row>
    <row r="17" customFormat="false" ht="15" hidden="false" customHeight="false" outlineLevel="0" collapsed="false">
      <c r="A17" s="0" t="s">
        <v>20</v>
      </c>
      <c r="B17" s="7" t="n">
        <v>0.5</v>
      </c>
      <c r="C17" s="2" t="s">
        <v>21</v>
      </c>
    </row>
    <row r="18" customFormat="false" ht="15" hidden="false" customHeight="false" outlineLevel="0" collapsed="false">
      <c r="A18" s="0" t="s">
        <v>22</v>
      </c>
      <c r="B18" s="7" t="n">
        <v>0.05</v>
      </c>
      <c r="C18" s="2" t="s">
        <v>23</v>
      </c>
    </row>
    <row r="19" customFormat="false" ht="15" hidden="false" customHeight="false" outlineLevel="0" collapsed="false">
      <c r="A19" s="0" t="s">
        <v>24</v>
      </c>
      <c r="B19" s="8" t="n">
        <v>8</v>
      </c>
      <c r="C19" s="2" t="s">
        <v>25</v>
      </c>
    </row>
    <row r="20" customFormat="false" ht="15" hidden="false" customHeight="false" outlineLevel="0" collapsed="false">
      <c r="A20" s="0" t="s">
        <v>26</v>
      </c>
      <c r="B20" s="6" t="n">
        <v>1.3</v>
      </c>
      <c r="C20" s="2" t="s">
        <v>27</v>
      </c>
    </row>
    <row r="22" customFormat="false" ht="15" hidden="false" customHeight="false" outlineLevel="0" collapsed="false">
      <c r="A22" s="3" t="s">
        <v>28</v>
      </c>
      <c r="B22" s="4"/>
      <c r="C22" s="4"/>
    </row>
    <row r="23" customFormat="false" ht="15" hidden="false" customHeight="false" outlineLevel="0" collapsed="false">
      <c r="A23" s="0" t="s">
        <v>29</v>
      </c>
      <c r="B23" s="9" t="n">
        <v>0.025</v>
      </c>
      <c r="C23" s="2" t="s">
        <v>30</v>
      </c>
    </row>
    <row r="24" customFormat="false" ht="15" hidden="false" customHeight="false" outlineLevel="0" collapsed="false">
      <c r="A24" s="0" t="s">
        <v>31</v>
      </c>
      <c r="B24" s="9" t="n">
        <v>0.05</v>
      </c>
      <c r="C24" s="2" t="s">
        <v>32</v>
      </c>
    </row>
    <row r="25" customFormat="false" ht="15" hidden="false" customHeight="false" outlineLevel="0" collapsed="false">
      <c r="A25" s="0" t="s">
        <v>33</v>
      </c>
      <c r="B25" s="9" t="n">
        <v>0.1</v>
      </c>
      <c r="C25" s="2" t="s">
        <v>34</v>
      </c>
    </row>
    <row r="26" customFormat="false" ht="15" hidden="false" customHeight="false" outlineLevel="0" collapsed="false">
      <c r="A26" s="0" t="s">
        <v>35</v>
      </c>
      <c r="B26" s="9" t="n">
        <v>0.225</v>
      </c>
      <c r="C26" s="2" t="s">
        <v>36</v>
      </c>
    </row>
    <row r="27" customFormat="false" ht="15" hidden="false" customHeight="false" outlineLevel="0" collapsed="false">
      <c r="A27" s="0" t="s">
        <v>37</v>
      </c>
      <c r="B27" s="9" t="n">
        <v>0.485</v>
      </c>
      <c r="C27" s="2" t="s">
        <v>38</v>
      </c>
    </row>
    <row r="28" customFormat="false" ht="15" hidden="false" customHeight="false" outlineLevel="0" collapsed="false">
      <c r="A28" s="0" t="s">
        <v>39</v>
      </c>
      <c r="B28" s="9" t="n">
        <v>0.61</v>
      </c>
      <c r="C28" s="2" t="s">
        <v>40</v>
      </c>
    </row>
    <row r="29" customFormat="false" ht="15" hidden="false" customHeight="false" outlineLevel="0" collapsed="false">
      <c r="A29" s="0" t="s">
        <v>41</v>
      </c>
      <c r="B29" s="9" t="n">
        <v>0.735</v>
      </c>
      <c r="C29" s="2" t="s">
        <v>42</v>
      </c>
    </row>
    <row r="30" customFormat="false" ht="15" hidden="false" customHeight="false" outlineLevel="0" collapsed="false">
      <c r="A30" s="0" t="s">
        <v>43</v>
      </c>
      <c r="B30" s="9" t="n">
        <v>0.86</v>
      </c>
      <c r="C30" s="2" t="s">
        <v>44</v>
      </c>
    </row>
    <row r="31" customFormat="false" ht="15" hidden="false" customHeight="false" outlineLevel="0" collapsed="false">
      <c r="A31" s="0" t="s">
        <v>45</v>
      </c>
      <c r="B31" s="9" t="n">
        <v>1</v>
      </c>
      <c r="C31" s="2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44"/>
  </cols>
  <sheetData>
    <row r="1" customFormat="false" ht="16.15" hidden="false" customHeight="false" outlineLevel="0" collapsed="false">
      <c r="A1" s="1" t="s">
        <v>47</v>
      </c>
    </row>
    <row r="2" customFormat="false" ht="15" hidden="false" customHeight="false" outlineLevel="0" collapsed="false">
      <c r="A2" s="2" t="s">
        <v>48</v>
      </c>
    </row>
    <row r="4" customFormat="false" ht="15" hidden="false" customHeight="false" outlineLevel="0" collapsed="false">
      <c r="A4" s="10" t="s">
        <v>49</v>
      </c>
      <c r="B4" s="10" t="s">
        <v>50</v>
      </c>
      <c r="C4" s="10" t="s">
        <v>51</v>
      </c>
      <c r="D4" s="10" t="s">
        <v>52</v>
      </c>
      <c r="E4" s="10" t="s">
        <v>53</v>
      </c>
      <c r="F4" s="10" t="s">
        <v>54</v>
      </c>
    </row>
    <row r="5" customFormat="false" ht="15" hidden="false" customHeight="false" outlineLevel="0" collapsed="false">
      <c r="A5" s="0" t="s">
        <v>55</v>
      </c>
      <c r="B5" s="11" t="n">
        <f aca="false">'1 Inputs'!$B$5</f>
        <v>2000</v>
      </c>
      <c r="C5" s="11" t="n">
        <f aca="false">B5*'1 Inputs'!$B$9</f>
        <v>3600</v>
      </c>
      <c r="D5" s="11" t="n">
        <f aca="false">C5*'1 Inputs'!$B$23</f>
        <v>90</v>
      </c>
      <c r="E5" s="12" t="n">
        <f aca="false">'1 Inputs'!$B$10</f>
        <v>75.36</v>
      </c>
      <c r="F5" s="11" t="n">
        <f aca="false">D5*E5</f>
        <v>6782.4</v>
      </c>
    </row>
    <row r="6" customFormat="false" ht="15" hidden="false" customHeight="false" outlineLevel="0" collapsed="false">
      <c r="A6" s="0" t="s">
        <v>56</v>
      </c>
      <c r="B6" s="11" t="n">
        <f aca="false">'1 Inputs'!$B$6</f>
        <v>2400</v>
      </c>
      <c r="C6" s="11" t="n">
        <f aca="false">B6*'1 Inputs'!$B$9</f>
        <v>4320</v>
      </c>
      <c r="D6" s="11" t="n">
        <f aca="false">C6*'1 Inputs'!$B$23</f>
        <v>108</v>
      </c>
      <c r="E6" s="12" t="n">
        <f aca="false">'1 Inputs'!$B$11</f>
        <v>75.28</v>
      </c>
      <c r="F6" s="11" t="n">
        <f aca="false">D6*E6</f>
        <v>8130.24</v>
      </c>
    </row>
    <row r="7" customFormat="false" ht="15" hidden="false" customHeight="false" outlineLevel="0" collapsed="false">
      <c r="A7" s="0" t="s">
        <v>57</v>
      </c>
      <c r="B7" s="11" t="n">
        <f aca="false">'1 Inputs'!$B$7</f>
        <v>1800</v>
      </c>
      <c r="C7" s="11" t="n">
        <f aca="false">B7*'1 Inputs'!$B$9</f>
        <v>3240</v>
      </c>
      <c r="D7" s="11" t="n">
        <f aca="false">C7*'1 Inputs'!$B$23</f>
        <v>81</v>
      </c>
      <c r="E7" s="12" t="n">
        <f aca="false">'1 Inputs'!$B$12</f>
        <v>75</v>
      </c>
      <c r="F7" s="11" t="n">
        <f aca="false">D7*E7</f>
        <v>6075</v>
      </c>
    </row>
    <row r="8" customFormat="false" ht="15" hidden="false" customHeight="false" outlineLevel="0" collapsed="false">
      <c r="A8" s="0" t="s">
        <v>58</v>
      </c>
      <c r="B8" s="11" t="n">
        <f aca="false">'1 Inputs'!$B$8</f>
        <v>1800</v>
      </c>
      <c r="C8" s="11" t="n">
        <f aca="false">B8*'1 Inputs'!$B$9</f>
        <v>3240</v>
      </c>
      <c r="D8" s="11" t="n">
        <f aca="false">C8*'1 Inputs'!$B$23</f>
        <v>81</v>
      </c>
      <c r="E8" s="12" t="n">
        <f aca="false">'1 Inputs'!$B$13</f>
        <v>75</v>
      </c>
      <c r="F8" s="11" t="n">
        <f aca="false">D8*E8</f>
        <v>6075</v>
      </c>
    </row>
    <row r="9" customFormat="false" ht="15" hidden="false" customHeight="false" outlineLevel="0" collapsed="false">
      <c r="A9" s="13" t="s">
        <v>59</v>
      </c>
      <c r="B9" s="11" t="n">
        <f aca="false">SUM(B5:B8)</f>
        <v>8000</v>
      </c>
      <c r="C9" s="11" t="n">
        <f aca="false">SUM(C5:C8)</f>
        <v>14400</v>
      </c>
      <c r="D9" s="11" t="n">
        <f aca="false">SUM(D5:D8)</f>
        <v>360</v>
      </c>
      <c r="F9" s="11" t="n">
        <f aca="false">SUM(F5:F8)</f>
        <v>27062.64</v>
      </c>
    </row>
    <row r="11" customFormat="false" ht="15" hidden="false" customHeight="false" outlineLevel="0" collapsed="false">
      <c r="A11" s="13" t="s">
        <v>60</v>
      </c>
      <c r="C11" s="14" t="n">
        <v>360</v>
      </c>
    </row>
    <row r="12" customFormat="false" ht="15" hidden="false" customHeight="false" outlineLevel="0" collapsed="false">
      <c r="A12" s="13" t="s">
        <v>61</v>
      </c>
      <c r="C12" s="11" t="n">
        <v>27062</v>
      </c>
    </row>
    <row r="13" customFormat="false" ht="15" hidden="false" customHeight="false" outlineLevel="0" collapsed="false">
      <c r="A13" s="13" t="s">
        <v>62</v>
      </c>
      <c r="C13" s="12" t="n">
        <f aca="false">F9/B9</f>
        <v>3.38283</v>
      </c>
    </row>
    <row r="14" customFormat="false" ht="15" hidden="false" customHeight="false" outlineLevel="0" collapsed="false">
      <c r="A14" s="13" t="s">
        <v>63</v>
      </c>
      <c r="C14" s="15" t="s">
        <v>64</v>
      </c>
    </row>
    <row r="15" customFormat="false" ht="15" hidden="false" customHeight="false" outlineLevel="0" collapsed="false">
      <c r="A15" s="13" t="s">
        <v>65</v>
      </c>
      <c r="C15" s="12" t="n">
        <f aca="false">D9/(C9*'1 Inputs'!$B$23)</f>
        <v>1</v>
      </c>
    </row>
    <row r="17" customFormat="false" ht="15" hidden="false" customHeight="false" outlineLevel="0" collapsed="false">
      <c r="A17" s="2" t="s">
        <v>66</v>
      </c>
    </row>
    <row r="18" customFormat="false" ht="15" hidden="false" customHeight="false" outlineLevel="0" collapsed="false">
      <c r="A18" s="2" t="s">
        <v>67</v>
      </c>
    </row>
    <row r="19" customFormat="false" ht="15" hidden="false" customHeight="false" outlineLevel="0" collapsed="false">
      <c r="A19" s="2" t="s">
        <v>68</v>
      </c>
    </row>
    <row r="20" customFormat="false" ht="15" hidden="false" customHeight="false" outlineLevel="0" collapsed="false">
      <c r="A20" s="2" t="s">
        <v>69</v>
      </c>
    </row>
    <row r="21" customFormat="false" ht="15" hidden="false" customHeight="false" outlineLevel="0" collapsed="false">
      <c r="A21" s="2" t="s">
        <v>70</v>
      </c>
    </row>
    <row r="22" customFormat="false" ht="15" hidden="false" customHeight="false" outlineLevel="0" collapsed="false">
      <c r="A22" s="2" t="s">
        <v>71</v>
      </c>
    </row>
    <row r="23" customFormat="false" ht="15" hidden="false" customHeight="false" outlineLevel="0" collapsed="false">
      <c r="A23" s="2" t="s">
        <v>72</v>
      </c>
    </row>
    <row r="24" customFormat="false" ht="15" hidden="false" customHeight="false" outlineLevel="0" collapsed="false">
      <c r="A24" s="2" t="s">
        <v>73</v>
      </c>
    </row>
    <row r="25" customFormat="false" ht="15" hidden="false" customHeight="false" outlineLevel="0" collapsed="false">
      <c r="A25" s="2" t="s">
        <v>74</v>
      </c>
    </row>
    <row r="26" customFormat="false" ht="15" hidden="false" customHeight="false" outlineLevel="0" collapsed="false">
      <c r="A26" s="2" t="s">
        <v>75</v>
      </c>
    </row>
    <row r="27" customFormat="false" ht="15" hidden="false" customHeight="false" outlineLevel="0" collapsed="false">
      <c r="A27" s="2" t="s">
        <v>76</v>
      </c>
    </row>
    <row r="28" customFormat="false" ht="15" hidden="false" customHeight="false" outlineLevel="0" collapsed="false">
      <c r="A28" s="2" t="s">
        <v>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5" min="4" style="0" width="18"/>
    <col collapsed="false" customWidth="true" hidden="false" outlineLevel="0" max="6" min="6" style="0" width="14"/>
    <col collapsed="false" customWidth="true" hidden="false" outlineLevel="0" max="7" min="7" style="0" width="40"/>
  </cols>
  <sheetData>
    <row r="1" customFormat="false" ht="16.15" hidden="false" customHeight="false" outlineLevel="0" collapsed="false">
      <c r="A1" s="1" t="s">
        <v>78</v>
      </c>
    </row>
    <row r="2" customFormat="false" ht="15" hidden="false" customHeight="false" outlineLevel="0" collapsed="false">
      <c r="A2" s="2" t="s">
        <v>79</v>
      </c>
    </row>
    <row r="4" customFormat="false" ht="15" hidden="false" customHeight="false" outlineLevel="0" collapsed="false">
      <c r="A4" s="10" t="s">
        <v>80</v>
      </c>
      <c r="B4" s="10" t="s">
        <v>81</v>
      </c>
      <c r="C4" s="10" t="s">
        <v>52</v>
      </c>
      <c r="D4" s="10" t="s">
        <v>54</v>
      </c>
      <c r="E4" s="10" t="s">
        <v>82</v>
      </c>
      <c r="F4" s="10" t="s">
        <v>83</v>
      </c>
    </row>
    <row r="5" customFormat="false" ht="15" hidden="false" customHeight="false" outlineLevel="0" collapsed="false">
      <c r="A5" s="0" t="n">
        <v>2026</v>
      </c>
      <c r="B5" s="16" t="n">
        <f aca="false">'1 Inputs'!$B$23</f>
        <v>0.025</v>
      </c>
      <c r="C5" s="11" t="n">
        <f aca="false">'2 Northbeck 2026'!C9*B5</f>
        <v>360</v>
      </c>
      <c r="D5" s="11" t="n">
        <f aca="false">C5*'1 Inputs'!$B$14</f>
        <v>27000</v>
      </c>
      <c r="E5" s="12" t="n">
        <f aca="false">D5/'2 Northbeck 2026'!B9</f>
        <v>3.375</v>
      </c>
      <c r="F5" s="17" t="n">
        <f aca="false">E5/$E$5</f>
        <v>1</v>
      </c>
    </row>
    <row r="6" customFormat="false" ht="15" hidden="false" customHeight="false" outlineLevel="0" collapsed="false">
      <c r="A6" s="0" t="n">
        <v>2027</v>
      </c>
      <c r="B6" s="16" t="n">
        <f aca="false">'1 Inputs'!$B$24</f>
        <v>0.05</v>
      </c>
      <c r="C6" s="11" t="n">
        <f aca="false">'2 Northbeck 2026'!C9*B6</f>
        <v>720</v>
      </c>
      <c r="D6" s="11" t="n">
        <f aca="false">C6*'1 Inputs'!$B$14</f>
        <v>54000</v>
      </c>
      <c r="E6" s="12" t="n">
        <f aca="false">D6/'2 Northbeck 2026'!B9</f>
        <v>6.75</v>
      </c>
      <c r="F6" s="17" t="n">
        <f aca="false">E6/$E$5</f>
        <v>2</v>
      </c>
    </row>
    <row r="7" customFormat="false" ht="15" hidden="false" customHeight="false" outlineLevel="0" collapsed="false">
      <c r="A7" s="0" t="n">
        <v>2028</v>
      </c>
      <c r="B7" s="16" t="n">
        <f aca="false">'1 Inputs'!$B$25</f>
        <v>0.1</v>
      </c>
      <c r="C7" s="11" t="n">
        <f aca="false">'2 Northbeck 2026'!C9*B7</f>
        <v>1440</v>
      </c>
      <c r="D7" s="11" t="n">
        <f aca="false">C7*'1 Inputs'!$B$14</f>
        <v>108000</v>
      </c>
      <c r="E7" s="12" t="n">
        <f aca="false">D7/'2 Northbeck 2026'!B9</f>
        <v>13.5</v>
      </c>
      <c r="F7" s="17" t="n">
        <f aca="false">E7/$E$5</f>
        <v>4</v>
      </c>
    </row>
    <row r="8" customFormat="false" ht="15" hidden="false" customHeight="false" outlineLevel="0" collapsed="false">
      <c r="A8" s="0" t="n">
        <v>2029</v>
      </c>
      <c r="B8" s="16" t="n">
        <f aca="false">'1 Inputs'!$B$26</f>
        <v>0.225</v>
      </c>
      <c r="C8" s="11" t="n">
        <f aca="false">'2 Northbeck 2026'!C9*B8</f>
        <v>3240</v>
      </c>
      <c r="D8" s="11" t="n">
        <f aca="false">C8*'1 Inputs'!$B$14</f>
        <v>243000</v>
      </c>
      <c r="E8" s="12" t="n">
        <f aca="false">D8/'2 Northbeck 2026'!B9</f>
        <v>30.375</v>
      </c>
      <c r="F8" s="17" t="n">
        <f aca="false">E8/$E$5</f>
        <v>9</v>
      </c>
    </row>
    <row r="9" customFormat="false" ht="15" hidden="false" customHeight="false" outlineLevel="0" collapsed="false">
      <c r="A9" s="0" t="n">
        <v>2030</v>
      </c>
      <c r="B9" s="16" t="n">
        <f aca="false">'1 Inputs'!$B$27</f>
        <v>0.485</v>
      </c>
      <c r="C9" s="11" t="n">
        <f aca="false">'2 Northbeck 2026'!C9*B9</f>
        <v>6984</v>
      </c>
      <c r="D9" s="11" t="n">
        <f aca="false">C9*'1 Inputs'!$B$14</f>
        <v>523800</v>
      </c>
      <c r="E9" s="12" t="n">
        <f aca="false">D9/'2 Northbeck 2026'!B9</f>
        <v>65.475</v>
      </c>
      <c r="F9" s="17" t="n">
        <f aca="false">E9/$E$5</f>
        <v>19.4</v>
      </c>
    </row>
    <row r="10" customFormat="false" ht="15" hidden="false" customHeight="false" outlineLevel="0" collapsed="false">
      <c r="A10" s="0" t="n">
        <v>2031</v>
      </c>
      <c r="B10" s="16" t="n">
        <f aca="false">'1 Inputs'!$B$28</f>
        <v>0.61</v>
      </c>
      <c r="C10" s="11" t="n">
        <f aca="false">'2 Northbeck 2026'!C9*B10</f>
        <v>8784</v>
      </c>
      <c r="D10" s="11" t="n">
        <f aca="false">C10*'1 Inputs'!$B$14</f>
        <v>658800</v>
      </c>
      <c r="E10" s="12" t="n">
        <f aca="false">D10/'2 Northbeck 2026'!B9</f>
        <v>82.35</v>
      </c>
      <c r="F10" s="17" t="n">
        <f aca="false">E10/$E$5</f>
        <v>24.4</v>
      </c>
    </row>
    <row r="11" customFormat="false" ht="15" hidden="false" customHeight="false" outlineLevel="0" collapsed="false">
      <c r="A11" s="0" t="n">
        <v>2032</v>
      </c>
      <c r="B11" s="16" t="n">
        <f aca="false">'1 Inputs'!$B$29</f>
        <v>0.735</v>
      </c>
      <c r="C11" s="11" t="n">
        <f aca="false">'2 Northbeck 2026'!C9*B11</f>
        <v>10584</v>
      </c>
      <c r="D11" s="11" t="n">
        <f aca="false">C11*'1 Inputs'!$B$14</f>
        <v>793800</v>
      </c>
      <c r="E11" s="12" t="n">
        <f aca="false">D11/'2 Northbeck 2026'!B9</f>
        <v>99.225</v>
      </c>
      <c r="F11" s="17" t="n">
        <f aca="false">E11/$E$5</f>
        <v>29.4</v>
      </c>
    </row>
    <row r="12" customFormat="false" ht="15" hidden="false" customHeight="false" outlineLevel="0" collapsed="false">
      <c r="A12" s="0" t="n">
        <v>2033</v>
      </c>
      <c r="B12" s="16" t="n">
        <f aca="false">'1 Inputs'!$B$30</f>
        <v>0.86</v>
      </c>
      <c r="C12" s="11" t="n">
        <f aca="false">'2 Northbeck 2026'!C9*B12</f>
        <v>12384</v>
      </c>
      <c r="D12" s="11" t="n">
        <f aca="false">C12*'1 Inputs'!$B$14</f>
        <v>928800</v>
      </c>
      <c r="E12" s="12" t="n">
        <f aca="false">D12/'2 Northbeck 2026'!B9</f>
        <v>116.1</v>
      </c>
      <c r="F12" s="17" t="n">
        <f aca="false">E12/$E$5</f>
        <v>34.4</v>
      </c>
    </row>
    <row r="13" customFormat="false" ht="15" hidden="false" customHeight="false" outlineLevel="0" collapsed="false">
      <c r="A13" s="0" t="n">
        <v>2034</v>
      </c>
      <c r="B13" s="16" t="n">
        <f aca="false">'1 Inputs'!$B$31</f>
        <v>1</v>
      </c>
      <c r="C13" s="11" t="n">
        <f aca="false">'2 Northbeck 2026'!C9*B13</f>
        <v>14400</v>
      </c>
      <c r="D13" s="11" t="n">
        <f aca="false">C13*'1 Inputs'!$B$14</f>
        <v>1080000</v>
      </c>
      <c r="E13" s="12" t="n">
        <f aca="false">D13/'2 Northbeck 2026'!B9</f>
        <v>135</v>
      </c>
      <c r="F13" s="17" t="n">
        <f aca="false">E13/$E$5</f>
        <v>40</v>
      </c>
    </row>
    <row r="15" customFormat="false" ht="15" hidden="false" customHeight="false" outlineLevel="0" collapsed="false">
      <c r="A15" s="13" t="s">
        <v>84</v>
      </c>
    </row>
    <row r="16" customFormat="false" ht="15" hidden="false" customHeight="false" outlineLevel="0" collapsed="false">
      <c r="A16" s="13" t="s">
        <v>85</v>
      </c>
      <c r="C16" s="16" t="n">
        <f aca="false">'1 Inputs'!$B$31-'1 Inputs'!$B$23</f>
        <v>0.975</v>
      </c>
    </row>
    <row r="17" customFormat="false" ht="15" hidden="false" customHeight="false" outlineLevel="0" collapsed="false">
      <c r="A17" s="13" t="s">
        <v>86</v>
      </c>
      <c r="C17" s="16" t="n">
        <f aca="false">'1 Inputs'!$B$31-'1 Inputs'!$B$26</f>
        <v>0.775</v>
      </c>
    </row>
    <row r="18" customFormat="false" ht="15" hidden="false" customHeight="false" outlineLevel="0" collapsed="false">
      <c r="A18" s="13" t="s">
        <v>87</v>
      </c>
      <c r="C18" s="16" t="n">
        <f aca="false">C17/C16</f>
        <v>0.794871794871795</v>
      </c>
    </row>
    <row r="19" customFormat="false" ht="15" hidden="false" customHeight="false" outlineLevel="0" collapsed="false">
      <c r="A19" s="13" t="s">
        <v>88</v>
      </c>
      <c r="C19" s="16" t="n">
        <v>0.8</v>
      </c>
    </row>
    <row r="20" customFormat="false" ht="15" hidden="false" customHeight="false" outlineLevel="0" collapsed="false">
      <c r="A20" s="13" t="s">
        <v>89</v>
      </c>
      <c r="C20" s="15" t="str">
        <f aca="false">IF(ABS(C18-0.8)&lt;0.02,"CONFIRMED","NOT CONFIRMED")</f>
        <v>CONFIRMED</v>
      </c>
    </row>
    <row r="22" customFormat="false" ht="15" hidden="false" customHeight="false" outlineLevel="0" collapsed="false">
      <c r="A22" s="2" t="s">
        <v>90</v>
      </c>
    </row>
    <row r="23" customFormat="false" ht="15" hidden="false" customHeight="false" outlineLevel="0" collapsed="false">
      <c r="A23" s="2" t="s">
        <v>91</v>
      </c>
    </row>
    <row r="24" customFormat="false" ht="15" hidden="false" customHeight="false" outlineLevel="0" collapsed="false">
      <c r="A24" s="2" t="s">
        <v>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50"/>
    <col collapsed="false" customWidth="true" hidden="false" outlineLevel="0" max="5" min="3" style="0" width="14"/>
    <col collapsed="false" customWidth="true" hidden="false" outlineLevel="0" max="6" min="6" style="0" width="40"/>
  </cols>
  <sheetData>
    <row r="1" customFormat="false" ht="16.15" hidden="false" customHeight="false" outlineLevel="0" collapsed="false">
      <c r="A1" s="1" t="s">
        <v>93</v>
      </c>
    </row>
    <row r="2" customFormat="false" ht="15" hidden="false" customHeight="false" outlineLevel="0" collapsed="false">
      <c r="A2" s="2" t="s">
        <v>94</v>
      </c>
    </row>
    <row r="4" customFormat="false" ht="15" hidden="false" customHeight="false" outlineLevel="0" collapsed="false">
      <c r="A4" s="10" t="s">
        <v>95</v>
      </c>
      <c r="B4" s="10" t="s">
        <v>96</v>
      </c>
      <c r="C4" s="10" t="s">
        <v>52</v>
      </c>
      <c r="D4" s="10" t="s">
        <v>97</v>
      </c>
      <c r="E4" s="10" t="s">
        <v>98</v>
      </c>
    </row>
    <row r="5" customFormat="false" ht="15" hidden="false" customHeight="false" outlineLevel="0" collapsed="false">
      <c r="A5" s="0" t="s">
        <v>99</v>
      </c>
      <c r="B5" s="0" t="s">
        <v>100</v>
      </c>
      <c r="C5" s="11" t="n">
        <f aca="false">'2 Northbeck 2026'!C5*'1 Inputs'!$B$24*'1 Inputs'!$B$17</f>
        <v>90</v>
      </c>
      <c r="D5" s="11" t="n">
        <f aca="false">C5*'1 Inputs'!$B$14</f>
        <v>6750</v>
      </c>
      <c r="E5" s="11" t="n">
        <f aca="false">D5</f>
        <v>6750</v>
      </c>
    </row>
    <row r="6" customFormat="false" ht="15" hidden="false" customHeight="false" outlineLevel="0" collapsed="false">
      <c r="A6" s="0" t="s">
        <v>101</v>
      </c>
      <c r="B6" s="0" t="s">
        <v>102</v>
      </c>
      <c r="C6" s="11" t="n">
        <f aca="false">('2 Northbeck 2026'!C5+'2 Northbeck 2026'!C6)*'1 Inputs'!$B$24*'1 Inputs'!$B$17-C5</f>
        <v>108</v>
      </c>
      <c r="D6" s="11" t="n">
        <f aca="false">C6*'1 Inputs'!$B$14</f>
        <v>8100</v>
      </c>
      <c r="E6" s="11" t="n">
        <f aca="false">E5+D6</f>
        <v>14850</v>
      </c>
    </row>
    <row r="7" customFormat="false" ht="15" hidden="false" customHeight="false" outlineLevel="0" collapsed="false">
      <c r="A7" s="0" t="s">
        <v>103</v>
      </c>
      <c r="B7" s="0" t="s">
        <v>104</v>
      </c>
      <c r="C7" s="11" t="n">
        <f aca="false">('2 Northbeck 2026'!C5+'2 Northbeck 2026'!C6+'2 Northbeck 2026'!C7)*'1 Inputs'!$B$24*'1 Inputs'!$B$17-C5-C6</f>
        <v>81</v>
      </c>
      <c r="D7" s="11" t="n">
        <f aca="false">C7*'1 Inputs'!$B$14</f>
        <v>6075</v>
      </c>
      <c r="E7" s="11" t="n">
        <f aca="false">E6+D7</f>
        <v>20925</v>
      </c>
    </row>
    <row r="8" customFormat="false" ht="15" hidden="false" customHeight="false" outlineLevel="0" collapsed="false">
      <c r="A8" s="0" t="s">
        <v>103</v>
      </c>
      <c r="B8" s="0" t="s">
        <v>105</v>
      </c>
      <c r="C8" s="11" t="n">
        <f aca="false">'2 Northbeck 2026'!D9</f>
        <v>360</v>
      </c>
      <c r="D8" s="11" t="n">
        <f aca="false">'2 Northbeck 2026'!F9</f>
        <v>27062.64</v>
      </c>
      <c r="E8" s="11" t="n">
        <f aca="false">E7+D8</f>
        <v>47987.64</v>
      </c>
    </row>
    <row r="9" customFormat="false" ht="15" hidden="false" customHeight="false" outlineLevel="0" collapsed="false">
      <c r="A9" s="0" t="s">
        <v>106</v>
      </c>
      <c r="B9" s="0" t="s">
        <v>107</v>
      </c>
      <c r="C9" s="11" t="n">
        <f aca="false">'2 Northbeck 2026'!C9*'1 Inputs'!$B$24*'1 Inputs'!$B$17-C5-C6-C7</f>
        <v>81</v>
      </c>
      <c r="D9" s="11" t="n">
        <f aca="false">C9*'1 Inputs'!$B$14</f>
        <v>6075</v>
      </c>
      <c r="E9" s="11" t="n">
        <f aca="false">E8+D9</f>
        <v>54062.64</v>
      </c>
    </row>
    <row r="11" customFormat="false" ht="15" hidden="false" customHeight="false" outlineLevel="0" collapsed="false">
      <c r="A11" s="13" t="s">
        <v>108</v>
      </c>
      <c r="C11" s="11" t="n">
        <f aca="false">D8</f>
        <v>27062.64</v>
      </c>
    </row>
    <row r="12" customFormat="false" ht="15" hidden="false" customHeight="false" outlineLevel="0" collapsed="false">
      <c r="A12" s="13" t="s">
        <v>109</v>
      </c>
      <c r="C12" s="11" t="n">
        <f aca="false">D5+D6+D7+D9</f>
        <v>27000</v>
      </c>
    </row>
    <row r="13" customFormat="false" ht="15" hidden="false" customHeight="false" outlineLevel="0" collapsed="false">
      <c r="A13" s="13" t="s">
        <v>110</v>
      </c>
      <c r="C13" s="11" t="n">
        <f aca="false">C11+C12</f>
        <v>54062.64</v>
      </c>
    </row>
    <row r="14" customFormat="false" ht="15" hidden="false" customHeight="false" outlineLevel="0" collapsed="false">
      <c r="A14" s="13" t="s">
        <v>111</v>
      </c>
      <c r="C14" s="16" t="n">
        <f aca="false">C11/C13</f>
        <v>0.500579327979544</v>
      </c>
    </row>
    <row r="15" customFormat="false" ht="15" hidden="false" customHeight="false" outlineLevel="0" collapsed="false">
      <c r="A15" s="13" t="s">
        <v>112</v>
      </c>
      <c r="C15" s="17" t="n">
        <f aca="false">C13/C11</f>
        <v>1.99768536994174</v>
      </c>
    </row>
    <row r="18" customFormat="false" ht="28.35" hidden="false" customHeight="false" outlineLevel="0" collapsed="false">
      <c r="A18" s="10" t="s">
        <v>80</v>
      </c>
      <c r="B18" s="10" t="s">
        <v>113</v>
      </c>
      <c r="C18" s="10" t="s">
        <v>114</v>
      </c>
      <c r="D18" s="10" t="s">
        <v>115</v>
      </c>
      <c r="E18" s="10" t="s">
        <v>116</v>
      </c>
    </row>
    <row r="19" customFormat="false" ht="15" hidden="false" customHeight="false" outlineLevel="0" collapsed="false">
      <c r="A19" s="0" t="n">
        <v>2027</v>
      </c>
      <c r="B19" s="11" t="n">
        <f aca="false">'2 Northbeck 2026'!C9*'1 Inputs'!$B$23*'1 Inputs'!$B$14</f>
        <v>27000</v>
      </c>
      <c r="C19" s="11" t="n">
        <f aca="false">'2 Northbeck 2026'!C9*'1 Inputs'!$B$24*'1 Inputs'!$B$14*'1 Inputs'!$B$17</f>
        <v>27000</v>
      </c>
      <c r="D19" s="11" t="n">
        <f aca="false">B19+C19</f>
        <v>54000</v>
      </c>
      <c r="E19" s="17"/>
    </row>
    <row r="20" customFormat="false" ht="15" hidden="false" customHeight="false" outlineLevel="0" collapsed="false">
      <c r="A20" s="0" t="n">
        <v>2028</v>
      </c>
      <c r="B20" s="11" t="n">
        <f aca="false">'2 Northbeck 2026'!C9*'1 Inputs'!$B$24*'1 Inputs'!$B$14</f>
        <v>54000</v>
      </c>
      <c r="C20" s="11" t="n">
        <f aca="false">'2 Northbeck 2026'!C9*'1 Inputs'!$B$25*'1 Inputs'!$B$14*'1 Inputs'!$B$17</f>
        <v>54000</v>
      </c>
      <c r="D20" s="11" t="n">
        <f aca="false">B20+C20</f>
        <v>108000</v>
      </c>
      <c r="E20" s="17" t="n">
        <f aca="false">D20/D19</f>
        <v>2</v>
      </c>
    </row>
    <row r="21" customFormat="false" ht="15" hidden="false" customHeight="false" outlineLevel="0" collapsed="false">
      <c r="A21" s="0" t="n">
        <v>2029</v>
      </c>
      <c r="B21" s="11" t="n">
        <f aca="false">'2 Northbeck 2026'!C9*'1 Inputs'!$B$25*'1 Inputs'!$B$14</f>
        <v>108000</v>
      </c>
      <c r="C21" s="11" t="n">
        <f aca="false">'2 Northbeck 2026'!C9*'1 Inputs'!$B$26*'1 Inputs'!$B$14*'1 Inputs'!$B$17</f>
        <v>121500</v>
      </c>
      <c r="D21" s="11" t="n">
        <f aca="false">B21+C21</f>
        <v>229500</v>
      </c>
      <c r="E21" s="17" t="n">
        <f aca="false">D21/D20</f>
        <v>2.125</v>
      </c>
    </row>
    <row r="22" customFormat="false" ht="15" hidden="false" customHeight="false" outlineLevel="0" collapsed="false">
      <c r="A22" s="0" t="n">
        <v>2030</v>
      </c>
      <c r="B22" s="11" t="n">
        <f aca="false">'2 Northbeck 2026'!C9*'1 Inputs'!$B$26*'1 Inputs'!$B$14</f>
        <v>243000</v>
      </c>
      <c r="C22" s="11" t="n">
        <f aca="false">'2 Northbeck 2026'!C9*'1 Inputs'!$B$27*'1 Inputs'!$B$14*'1 Inputs'!$B$17</f>
        <v>261900</v>
      </c>
      <c r="D22" s="11" t="n">
        <f aca="false">B22+C22</f>
        <v>504900</v>
      </c>
      <c r="E22" s="17" t="n">
        <f aca="false">D22/D21</f>
        <v>2.2</v>
      </c>
    </row>
    <row r="23" customFormat="false" ht="15" hidden="false" customHeight="false" outlineLevel="0" collapsed="false">
      <c r="A23" s="0" t="n">
        <v>2031</v>
      </c>
      <c r="B23" s="11" t="n">
        <f aca="false">'2 Northbeck 2026'!C9*'1 Inputs'!$B$27*'1 Inputs'!$B$14</f>
        <v>523800</v>
      </c>
      <c r="C23" s="11" t="n">
        <f aca="false">'2 Northbeck 2026'!C9*'1 Inputs'!$B$28*'1 Inputs'!$B$14*'1 Inputs'!$B$17</f>
        <v>329400</v>
      </c>
      <c r="D23" s="11" t="n">
        <f aca="false">B23+C23</f>
        <v>853200</v>
      </c>
      <c r="E23" s="17" t="n">
        <f aca="false">D23/D22</f>
        <v>1.68983957219251</v>
      </c>
    </row>
    <row r="24" customFormat="false" ht="15" hidden="false" customHeight="false" outlineLevel="0" collapsed="false">
      <c r="A24" s="0" t="n">
        <v>2032</v>
      </c>
      <c r="B24" s="11" t="n">
        <f aca="false">'2 Northbeck 2026'!C9*'1 Inputs'!$B$28*'1 Inputs'!$B$14</f>
        <v>658800</v>
      </c>
      <c r="C24" s="11" t="n">
        <f aca="false">'2 Northbeck 2026'!C9*'1 Inputs'!$B$29*'1 Inputs'!$B$14*'1 Inputs'!$B$17</f>
        <v>396900</v>
      </c>
      <c r="D24" s="11" t="n">
        <f aca="false">B24+C24</f>
        <v>1055700</v>
      </c>
      <c r="E24" s="17" t="n">
        <f aca="false">D24/D23</f>
        <v>1.2373417721519</v>
      </c>
    </row>
    <row r="25" customFormat="false" ht="15" hidden="false" customHeight="false" outlineLevel="0" collapsed="false">
      <c r="A25" s="0" t="n">
        <v>2033</v>
      </c>
      <c r="B25" s="11" t="n">
        <f aca="false">'2 Northbeck 2026'!C9*'1 Inputs'!$B$29*'1 Inputs'!$B$14</f>
        <v>793800</v>
      </c>
      <c r="C25" s="11" t="n">
        <f aca="false">'2 Northbeck 2026'!C9*'1 Inputs'!$B$30*'1 Inputs'!$B$14*'1 Inputs'!$B$17</f>
        <v>464400</v>
      </c>
      <c r="D25" s="11" t="n">
        <f aca="false">B25+C25</f>
        <v>1258200</v>
      </c>
      <c r="E25" s="17" t="n">
        <f aca="false">D25/D24</f>
        <v>1.19181585677749</v>
      </c>
    </row>
    <row r="27" customFormat="false" ht="15" hidden="false" customHeight="false" outlineLevel="0" collapsed="false">
      <c r="A27" s="2" t="s">
        <v>117</v>
      </c>
    </row>
    <row r="28" customFormat="false" ht="15" hidden="false" customHeight="false" outlineLevel="0" collapsed="false">
      <c r="A28" s="2" t="s">
        <v>118</v>
      </c>
    </row>
    <row r="29" customFormat="false" ht="15" hidden="false" customHeight="false" outlineLevel="0" collapsed="false">
      <c r="A29" s="2" t="s">
        <v>119</v>
      </c>
    </row>
    <row r="30" customFormat="false" ht="15" hidden="false" customHeight="false" outlineLevel="0" collapsed="false">
      <c r="A30" s="2" t="s">
        <v>120</v>
      </c>
    </row>
    <row r="31" customFormat="false" ht="15" hidden="false" customHeight="false" outlineLevel="0" collapsed="false">
      <c r="A31" s="2" t="s">
        <v>121</v>
      </c>
    </row>
    <row r="32" customFormat="false" ht="15" hidden="false" customHeight="false" outlineLevel="0" collapsed="false">
      <c r="A32" s="2" t="s">
        <v>122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20"/>
    <col collapsed="false" customWidth="true" hidden="false" outlineLevel="0" max="6" min="6" style="0" width="24"/>
    <col collapsed="false" customWidth="true" hidden="false" outlineLevel="0" max="7" min="7" style="0" width="40"/>
  </cols>
  <sheetData>
    <row r="1" customFormat="false" ht="16.15" hidden="false" customHeight="false" outlineLevel="0" collapsed="false">
      <c r="A1" s="1" t="s">
        <v>123</v>
      </c>
    </row>
    <row r="2" customFormat="false" ht="15" hidden="false" customHeight="false" outlineLevel="0" collapsed="false">
      <c r="A2" s="2" t="s">
        <v>124</v>
      </c>
    </row>
    <row r="4" customFormat="false" ht="15" hidden="false" customHeight="false" outlineLevel="0" collapsed="false">
      <c r="A4" s="13" t="s">
        <v>125</v>
      </c>
    </row>
    <row r="5" customFormat="false" ht="15" hidden="false" customHeight="false" outlineLevel="0" collapsed="false">
      <c r="A5" s="0" t="s">
        <v>126</v>
      </c>
      <c r="C5" s="11" t="n">
        <f aca="false">'2 Northbeck 2026'!D9</f>
        <v>360</v>
      </c>
    </row>
    <row r="6" customFormat="false" ht="15" hidden="false" customHeight="false" outlineLevel="0" collapsed="false">
      <c r="A6" s="0" t="s">
        <v>127</v>
      </c>
      <c r="C6" s="11" t="n">
        <f aca="false">C5</f>
        <v>360</v>
      </c>
    </row>
    <row r="7" customFormat="false" ht="15" hidden="false" customHeight="false" outlineLevel="0" collapsed="false">
      <c r="A7" s="0" t="s">
        <v>128</v>
      </c>
      <c r="C7" s="16" t="n">
        <f aca="false">C6/C5</f>
        <v>1</v>
      </c>
    </row>
    <row r="8" customFormat="false" ht="15" hidden="false" customHeight="false" outlineLevel="0" collapsed="false">
      <c r="A8" s="2" t="s">
        <v>129</v>
      </c>
    </row>
    <row r="10" customFormat="false" ht="28.35" hidden="false" customHeight="false" outlineLevel="0" collapsed="false">
      <c r="A10" s="10" t="s">
        <v>130</v>
      </c>
      <c r="B10" s="10" t="s">
        <v>52</v>
      </c>
      <c r="C10" s="10" t="s">
        <v>54</v>
      </c>
      <c r="D10" s="10" t="s">
        <v>131</v>
      </c>
      <c r="E10" s="10" t="s">
        <v>132</v>
      </c>
      <c r="F10" s="10" t="s">
        <v>133</v>
      </c>
    </row>
    <row r="11" customFormat="false" ht="15" hidden="false" customHeight="false" outlineLevel="0" collapsed="false">
      <c r="A11" s="16" t="n">
        <v>0.05</v>
      </c>
      <c r="B11" s="11" t="n">
        <f aca="false">$C$5*A11</f>
        <v>18</v>
      </c>
      <c r="C11" s="11" t="n">
        <f aca="false">B11*'1 Inputs'!$B$14</f>
        <v>1350</v>
      </c>
      <c r="D11" s="11" t="n">
        <f aca="false">C11*'1 Inputs'!$B$18*'1 Inputs'!$B$19/12</f>
        <v>45</v>
      </c>
      <c r="E11" s="11" t="n">
        <f aca="false">B11*'1 Inputs'!$B$14*'1 Inputs'!$B$20</f>
        <v>1755</v>
      </c>
      <c r="F11" s="18" t="n">
        <f aca="false">D11/E11</f>
        <v>0.0256410256410256</v>
      </c>
    </row>
    <row r="12" customFormat="false" ht="15" hidden="false" customHeight="false" outlineLevel="0" collapsed="false">
      <c r="A12" s="16" t="n">
        <v>0.1</v>
      </c>
      <c r="B12" s="11" t="n">
        <f aca="false">$C$5*A12</f>
        <v>36</v>
      </c>
      <c r="C12" s="11" t="n">
        <f aca="false">B12*'1 Inputs'!$B$14</f>
        <v>2700</v>
      </c>
      <c r="D12" s="11" t="n">
        <f aca="false">C12*'1 Inputs'!$B$18*'1 Inputs'!$B$19/12</f>
        <v>90</v>
      </c>
      <c r="E12" s="11" t="n">
        <f aca="false">B12*'1 Inputs'!$B$14*'1 Inputs'!$B$20</f>
        <v>3510</v>
      </c>
      <c r="F12" s="18" t="n">
        <f aca="false">D12/E12</f>
        <v>0.0256410256410256</v>
      </c>
    </row>
    <row r="13" customFormat="false" ht="15" hidden="false" customHeight="false" outlineLevel="0" collapsed="false">
      <c r="A13" s="16" t="n">
        <v>0.15</v>
      </c>
      <c r="B13" s="11" t="n">
        <f aca="false">$C$5*A13</f>
        <v>54</v>
      </c>
      <c r="C13" s="11" t="n">
        <f aca="false">B13*'1 Inputs'!$B$14</f>
        <v>4050</v>
      </c>
      <c r="D13" s="11" t="n">
        <f aca="false">C13*'1 Inputs'!$B$18*'1 Inputs'!$B$19/12</f>
        <v>135</v>
      </c>
      <c r="E13" s="11" t="n">
        <f aca="false">B13*'1 Inputs'!$B$14*'1 Inputs'!$B$20</f>
        <v>5265</v>
      </c>
      <c r="F13" s="18" t="n">
        <f aca="false">D13/E13</f>
        <v>0.0256410256410256</v>
      </c>
    </row>
    <row r="14" customFormat="false" ht="15" hidden="false" customHeight="false" outlineLevel="0" collapsed="false">
      <c r="A14" s="16" t="n">
        <v>0.2</v>
      </c>
      <c r="B14" s="11" t="n">
        <f aca="false">$C$5*A14</f>
        <v>72</v>
      </c>
      <c r="C14" s="11" t="n">
        <f aca="false">B14*'1 Inputs'!$B$14</f>
        <v>5400</v>
      </c>
      <c r="D14" s="11" t="n">
        <f aca="false">C14*'1 Inputs'!$B$18*'1 Inputs'!$B$19/12</f>
        <v>180</v>
      </c>
      <c r="E14" s="11" t="n">
        <f aca="false">B14*'1 Inputs'!$B$14*'1 Inputs'!$B$20</f>
        <v>7020</v>
      </c>
      <c r="F14" s="18" t="n">
        <f aca="false">D14/E14</f>
        <v>0.0256410256410256</v>
      </c>
    </row>
    <row r="15" customFormat="false" ht="15" hidden="false" customHeight="false" outlineLevel="0" collapsed="false">
      <c r="A15" s="16" t="n">
        <v>0.3</v>
      </c>
      <c r="B15" s="11" t="n">
        <f aca="false">$C$5*A15</f>
        <v>108</v>
      </c>
      <c r="C15" s="11" t="n">
        <f aca="false">B15*'1 Inputs'!$B$14</f>
        <v>8100</v>
      </c>
      <c r="D15" s="11" t="n">
        <f aca="false">C15*'1 Inputs'!$B$18*'1 Inputs'!$B$19/12</f>
        <v>270</v>
      </c>
      <c r="E15" s="11" t="n">
        <f aca="false">B15*'1 Inputs'!$B$14*'1 Inputs'!$B$20</f>
        <v>10530</v>
      </c>
      <c r="F15" s="18" t="n">
        <f aca="false">D15/E15</f>
        <v>0.0256410256410256</v>
      </c>
    </row>
    <row r="17" customFormat="false" ht="15" hidden="false" customHeight="false" outlineLevel="0" collapsed="false">
      <c r="A17" s="13" t="s">
        <v>134</v>
      </c>
      <c r="D17" s="18" t="n">
        <f aca="false">MAX(F11:F15)-MIN(F11:F15)</f>
        <v>0</v>
      </c>
      <c r="E17" s="2" t="s">
        <v>135</v>
      </c>
    </row>
    <row r="20" customFormat="false" ht="41.75" hidden="false" customHeight="false" outlineLevel="0" collapsed="false">
      <c r="A20" s="10" t="s">
        <v>136</v>
      </c>
      <c r="B20" s="10" t="s">
        <v>133</v>
      </c>
    </row>
    <row r="21" customFormat="false" ht="15" hidden="false" customHeight="false" outlineLevel="0" collapsed="false">
      <c r="A21" s="17" t="n">
        <v>1</v>
      </c>
      <c r="B21" s="18" t="n">
        <f aca="false">'1 Inputs'!$B$18*'1 Inputs'!$B$19/12/A21</f>
        <v>0.0333333333333333</v>
      </c>
    </row>
    <row r="22" customFormat="false" ht="15" hidden="false" customHeight="false" outlineLevel="0" collapsed="false">
      <c r="A22" s="17" t="n">
        <v>1.3</v>
      </c>
      <c r="B22" s="18" t="n">
        <f aca="false">'1 Inputs'!$B$18*'1 Inputs'!$B$19/12/A22</f>
        <v>0.0256410256410256</v>
      </c>
    </row>
    <row r="23" customFormat="false" ht="15" hidden="false" customHeight="false" outlineLevel="0" collapsed="false">
      <c r="A23" s="17" t="n">
        <v>2</v>
      </c>
      <c r="B23" s="18" t="n">
        <f aca="false">'1 Inputs'!$B$18*'1 Inputs'!$B$19/12/A23</f>
        <v>0.0166666666666667</v>
      </c>
    </row>
    <row r="24" customFormat="false" ht="15" hidden="false" customHeight="false" outlineLevel="0" collapsed="false">
      <c r="A24" s="17" t="n">
        <v>3</v>
      </c>
      <c r="B24" s="18" t="n">
        <f aca="false">'1 Inputs'!$B$18*'1 Inputs'!$B$19/12/A24</f>
        <v>0.0111111111111111</v>
      </c>
    </row>
    <row r="25" customFormat="false" ht="15" hidden="false" customHeight="false" outlineLevel="0" collapsed="false">
      <c r="A25" s="17" t="n">
        <v>5</v>
      </c>
      <c r="B25" s="18" t="n">
        <f aca="false">'1 Inputs'!$B$18*'1 Inputs'!$B$19/12/A25</f>
        <v>0.00666666666666667</v>
      </c>
    </row>
    <row r="27" customFormat="false" ht="15" hidden="false" customHeight="false" outlineLevel="0" collapsed="false">
      <c r="A27" s="2" t="s">
        <v>137</v>
      </c>
    </row>
    <row r="28" customFormat="false" ht="15" hidden="false" customHeight="false" outlineLevel="0" collapsed="false">
      <c r="A28" s="2" t="s">
        <v>138</v>
      </c>
    </row>
    <row r="29" customFormat="false" ht="15" hidden="false" customHeight="false" outlineLevel="0" collapsed="false">
      <c r="A29" s="2" t="s">
        <v>139</v>
      </c>
    </row>
    <row r="30" customFormat="false" ht="15" hidden="false" customHeight="false" outlineLevel="0" collapsed="false">
      <c r="A30" s="2" t="s">
        <v>140</v>
      </c>
    </row>
    <row r="31" customFormat="false" ht="15" hidden="false" customHeight="false" outlineLevel="0" collapsed="false">
      <c r="A31" s="2" t="s">
        <v>141</v>
      </c>
    </row>
    <row r="32" customFormat="false" ht="15" hidden="false" customHeight="false" outlineLevel="0" collapsed="false">
      <c r="A32" s="2" t="s">
        <v>142</v>
      </c>
    </row>
    <row r="33" customFormat="false" ht="15" hidden="false" customHeight="false" outlineLevel="0" collapsed="false">
      <c r="A33" s="2" t="s">
        <v>143</v>
      </c>
    </row>
    <row r="34" customFormat="false" ht="15" hidden="false" customHeight="false" outlineLevel="0" collapsed="false">
      <c r="A34" s="2" t="s">
        <v>144</v>
      </c>
    </row>
    <row r="35" customFormat="false" ht="15" hidden="false" customHeight="false" outlineLevel="0" collapsed="false">
      <c r="A35" s="2" t="s">
        <v>145</v>
      </c>
    </row>
    <row r="36" customFormat="false" ht="15" hidden="false" customHeight="false" outlineLevel="0" collapsed="false">
      <c r="A36" s="2" t="s">
        <v>146</v>
      </c>
    </row>
    <row r="37" customFormat="false" ht="15" hidden="false" customHeight="false" outlineLevel="0" collapsed="false">
      <c r="A37" s="2" t="s">
        <v>147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2"/>
    <col collapsed="false" customWidth="true" hidden="false" outlineLevel="0" max="3" min="2" style="0" width="18"/>
    <col collapsed="false" customWidth="true" hidden="false" outlineLevel="0" max="4" min="4" style="0" width="14"/>
  </cols>
  <sheetData>
    <row r="1" customFormat="false" ht="16.15" hidden="false" customHeight="false" outlineLevel="0" collapsed="false">
      <c r="A1" s="1" t="s">
        <v>148</v>
      </c>
    </row>
    <row r="2" customFormat="false" ht="15" hidden="false" customHeight="false" outlineLevel="0" collapsed="false">
      <c r="A2" s="2" t="s">
        <v>149</v>
      </c>
    </row>
    <row r="4" customFormat="false" ht="15" hidden="false" customHeight="false" outlineLevel="0" collapsed="false">
      <c r="A4" s="10" t="s">
        <v>150</v>
      </c>
      <c r="B4" s="10" t="s">
        <v>151</v>
      </c>
      <c r="C4" s="10" t="s">
        <v>152</v>
      </c>
      <c r="D4" s="10" t="s">
        <v>153</v>
      </c>
    </row>
    <row r="5" customFormat="false" ht="15" hidden="false" customHeight="false" outlineLevel="0" collapsed="false">
      <c r="A5" s="0" t="s">
        <v>154</v>
      </c>
      <c r="B5" s="11" t="n">
        <f aca="false">'2 Northbeck 2026'!B9</f>
        <v>8000</v>
      </c>
      <c r="C5" s="11" t="n">
        <v>8000</v>
      </c>
      <c r="D5" s="13" t="str">
        <f aca="false">IF(ABS(B5-C5)&lt;=MAX(0.005,ABS(C5)*0.0005),"PASS","FAIL")</f>
        <v>PASS</v>
      </c>
    </row>
    <row r="6" customFormat="false" ht="15" hidden="false" customHeight="false" outlineLevel="0" collapsed="false">
      <c r="A6" s="0" t="s">
        <v>155</v>
      </c>
      <c r="B6" s="11" t="n">
        <f aca="false">'2 Northbeck 2026'!C9</f>
        <v>14400</v>
      </c>
      <c r="C6" s="11" t="n">
        <v>14400</v>
      </c>
      <c r="D6" s="13" t="str">
        <f aca="false">IF(ABS(B6-C6)&lt;=MAX(0.005,ABS(C6)*0.0005),"PASS","FAIL")</f>
        <v>PASS</v>
      </c>
    </row>
    <row r="7" customFormat="false" ht="15" hidden="false" customHeight="false" outlineLevel="0" collapsed="false">
      <c r="A7" s="0" t="s">
        <v>156</v>
      </c>
      <c r="B7" s="14" t="n">
        <f aca="false">'2 Northbeck 2026'!D9</f>
        <v>360</v>
      </c>
      <c r="C7" s="14" t="n">
        <v>360</v>
      </c>
      <c r="D7" s="13" t="str">
        <f aca="false">IF(ABS(B7-C7)&lt;=MAX(0.005,ABS(C7)*0.0005),"PASS","FAIL")</f>
        <v>PASS</v>
      </c>
    </row>
    <row r="8" customFormat="false" ht="15" hidden="false" customHeight="false" outlineLevel="0" collapsed="false">
      <c r="A8" s="0" t="s">
        <v>157</v>
      </c>
      <c r="B8" s="11" t="n">
        <f aca="false">ROUND('2 Northbeck 2026'!F9,0)</f>
        <v>27063</v>
      </c>
      <c r="C8" s="11" t="n">
        <v>27062</v>
      </c>
      <c r="D8" s="13" t="str">
        <f aca="false">IF(ABS(B8-C8)&lt;=MAX(0.005,ABS(C8)*0.0005),"PASS","FAIL")</f>
        <v>PASS</v>
      </c>
    </row>
    <row r="9" customFormat="false" ht="15" hidden="false" customHeight="false" outlineLevel="0" collapsed="false">
      <c r="A9" s="0" t="s">
        <v>158</v>
      </c>
      <c r="B9" s="12" t="n">
        <f aca="false">ROUND('2 Northbeck 2026'!C13,2)</f>
        <v>3.38</v>
      </c>
      <c r="C9" s="12" t="n">
        <v>3.38</v>
      </c>
      <c r="D9" s="13" t="str">
        <f aca="false">IF(ABS(B9-C9)&lt;=MAX(0.005,ABS(C9)*0.0005),"PASS","FAIL")</f>
        <v>PASS</v>
      </c>
    </row>
    <row r="10" customFormat="false" ht="15" hidden="false" customHeight="false" outlineLevel="0" collapsed="false">
      <c r="A10" s="0" t="s">
        <v>159</v>
      </c>
      <c r="B10" s="12" t="n">
        <f aca="false">'2 Northbeck 2026'!C15</f>
        <v>1</v>
      </c>
      <c r="C10" s="12" t="n">
        <v>1</v>
      </c>
      <c r="D10" s="13" t="str">
        <f aca="false">IF(ABS(B10-C10)&lt;=MAX(0.005,ABS(C10)*0.0005),"PASS","FAIL")</f>
        <v>PASS</v>
      </c>
    </row>
    <row r="11" customFormat="false" ht="15" hidden="false" customHeight="false" outlineLevel="0" collapsed="false">
      <c r="A11" s="0" t="s">
        <v>160</v>
      </c>
      <c r="B11" s="12" t="n">
        <f aca="false">'2 Northbeck 2026'!E5+'2 Northbeck 2026'!E6</f>
        <v>150.64</v>
      </c>
      <c r="C11" s="12" t="n">
        <v>150.64</v>
      </c>
      <c r="D11" s="13" t="str">
        <f aca="false">IF(ABS(B11-C11)&lt;=MAX(0.005,ABS(C11)*0.0005),"PASS","FAIL")</f>
        <v>PASS</v>
      </c>
    </row>
    <row r="12" customFormat="false" ht="15" hidden="false" customHeight="false" outlineLevel="0" collapsed="false">
      <c r="A12" s="0" t="s">
        <v>161</v>
      </c>
      <c r="B12" s="12" t="n">
        <f aca="false">ROUND('3 The phase-in'!E5,2)</f>
        <v>3.38</v>
      </c>
      <c r="C12" s="12" t="n">
        <v>3.38</v>
      </c>
      <c r="D12" s="13" t="str">
        <f aca="false">IF(ABS(B12-C12)&lt;=MAX(0.005,ABS(C12)*0.0005),"PASS","FAIL")</f>
        <v>PASS</v>
      </c>
    </row>
    <row r="13" customFormat="false" ht="15" hidden="false" customHeight="false" outlineLevel="0" collapsed="false">
      <c r="A13" s="0" t="s">
        <v>162</v>
      </c>
      <c r="B13" s="14" t="n">
        <f aca="false">ROUND('3 The phase-in'!F13,0)</f>
        <v>40</v>
      </c>
      <c r="C13" s="14" t="n">
        <v>40</v>
      </c>
      <c r="D13" s="13" t="str">
        <f aca="false">IF(ABS(B13-C13)&lt;=MAX(0.005,ABS(C13)*0.0005),"PASS","FAIL")</f>
        <v>PASS</v>
      </c>
    </row>
    <row r="14" customFormat="false" ht="15" hidden="false" customHeight="false" outlineLevel="0" collapsed="false">
      <c r="A14" s="0" t="s">
        <v>163</v>
      </c>
      <c r="B14" s="14" t="n">
        <f aca="false">IF('3 The phase-in'!F9&gt;19,1,0)</f>
        <v>1</v>
      </c>
      <c r="C14" s="14" t="n">
        <v>1</v>
      </c>
      <c r="D14" s="13" t="str">
        <f aca="false">IF(ABS(B14-C14)&lt;=MAX(0.005,ABS(C14)*0.0005),"PASS","FAIL")</f>
        <v>PASS</v>
      </c>
    </row>
    <row r="15" customFormat="false" ht="15" hidden="false" customHeight="false" outlineLevel="0" collapsed="false">
      <c r="A15" s="0" t="s">
        <v>164</v>
      </c>
      <c r="B15" s="18" t="n">
        <f aca="false">ROUND('3 The phase-in'!C18,3)</f>
        <v>0.795</v>
      </c>
      <c r="C15" s="18" t="n">
        <v>0.795</v>
      </c>
      <c r="D15" s="13" t="str">
        <f aca="false">IF(ABS(B15-C15)&lt;=MAX(0.005,ABS(C15)*0.0005),"PASS","FAIL")</f>
        <v>PASS</v>
      </c>
    </row>
    <row r="16" customFormat="false" ht="15" hidden="false" customHeight="false" outlineLevel="0" collapsed="false">
      <c r="A16" s="0" t="s">
        <v>165</v>
      </c>
      <c r="B16" s="14" t="n">
        <f aca="false">IF('3 The phase-in'!C20="CONFIRMED",1,0)</f>
        <v>1</v>
      </c>
      <c r="C16" s="14" t="n">
        <v>1</v>
      </c>
      <c r="D16" s="13" t="str">
        <f aca="false">IF(ABS(B16-C16)&lt;=MAX(0.005,ABS(C16)*0.0005),"PASS","FAIL")</f>
        <v>PASS</v>
      </c>
    </row>
    <row r="17" customFormat="false" ht="15" hidden="false" customHeight="false" outlineLevel="0" collapsed="false">
      <c r="A17" s="0" t="s">
        <v>166</v>
      </c>
      <c r="B17" s="14" t="n">
        <f aca="false">SUMPRODUCT(('3 The phase-in'!$C$6:$C$13&lt;'3 The phase-in'!$C$5:$C$12)*1)</f>
        <v>0</v>
      </c>
      <c r="C17" s="14" t="n">
        <v>0</v>
      </c>
      <c r="D17" s="13" t="str">
        <f aca="false">IF(ABS(B17-C17)&lt;=MAX(0.005,ABS(C17)*0.0005),"PASS","FAIL")</f>
        <v>PASS</v>
      </c>
    </row>
    <row r="18" customFormat="false" ht="15" hidden="false" customHeight="false" outlineLevel="0" collapsed="false">
      <c r="A18" s="0" t="s">
        <v>167</v>
      </c>
      <c r="B18" s="11" t="n">
        <f aca="false">ROUND('4 The 2027 load'!C12,0)</f>
        <v>27000</v>
      </c>
      <c r="C18" s="11" t="n">
        <v>27000</v>
      </c>
      <c r="D18" s="13" t="str">
        <f aca="false">IF(ABS(B18-C18)&lt;=MAX(0.005,ABS(C18)*0.0005),"PASS","FAIL")</f>
        <v>PASS</v>
      </c>
    </row>
    <row r="19" customFormat="false" ht="15" hidden="false" customHeight="false" outlineLevel="0" collapsed="false">
      <c r="A19" s="0" t="s">
        <v>168</v>
      </c>
      <c r="B19" s="11" t="n">
        <f aca="false">ROUND('4 The 2027 load'!C11,0)</f>
        <v>27063</v>
      </c>
      <c r="C19" s="11" t="n">
        <v>27062</v>
      </c>
      <c r="D19" s="13" t="str">
        <f aca="false">IF(ABS(B19-C19)&lt;=MAX(0.005,ABS(C19)*0.0005),"PASS","FAIL")</f>
        <v>PASS</v>
      </c>
    </row>
    <row r="20" customFormat="false" ht="15" hidden="false" customHeight="false" outlineLevel="0" collapsed="false">
      <c r="A20" s="0" t="s">
        <v>169</v>
      </c>
      <c r="B20" s="11" t="n">
        <f aca="false">ROUND('4 The 2027 load'!C13,0)</f>
        <v>54063</v>
      </c>
      <c r="C20" s="11" t="n">
        <v>54063</v>
      </c>
      <c r="D20" s="13" t="str">
        <f aca="false">IF(ABS(B20-C20)&lt;=MAX(0.005,ABS(C20)*0.0005),"PASS","FAIL")</f>
        <v>PASS</v>
      </c>
    </row>
    <row r="21" customFormat="false" ht="15" hidden="false" customHeight="false" outlineLevel="0" collapsed="false">
      <c r="A21" s="0" t="s">
        <v>170</v>
      </c>
      <c r="B21" s="14" t="n">
        <f aca="false">IF(AND('4 The 2027 load'!C14&gt;0.48,'4 The 2027 load'!C14&lt;0.52),1,0)</f>
        <v>1</v>
      </c>
      <c r="C21" s="14" t="n">
        <v>1</v>
      </c>
      <c r="D21" s="13" t="str">
        <f aca="false">IF(ABS(B21-C21)&lt;=MAX(0.005,ABS(C21)*0.0005),"PASS","FAIL")</f>
        <v>PASS</v>
      </c>
    </row>
    <row r="22" customFormat="false" ht="15" hidden="false" customHeight="false" outlineLevel="0" collapsed="false">
      <c r="A22" s="0" t="s">
        <v>171</v>
      </c>
      <c r="B22" s="19" t="n">
        <f aca="false">ROUND('4 The 2027 load'!C15,1)</f>
        <v>2</v>
      </c>
      <c r="C22" s="19" t="n">
        <v>2</v>
      </c>
      <c r="D22" s="13" t="str">
        <f aca="false">IF(ABS(B22-C22)&lt;=MAX(0.005,ABS(C22)*0.0005),"PASS","FAIL")</f>
        <v>PASS</v>
      </c>
    </row>
    <row r="23" customFormat="false" ht="15" hidden="false" customHeight="false" outlineLevel="0" collapsed="false">
      <c r="A23" s="0" t="s">
        <v>172</v>
      </c>
      <c r="B23" s="14" t="n">
        <f aca="false">SUMPRODUCT(('4 The 2027 load'!$C$5:$C$7&lt;0)*1)+IF('4 The 2027 load'!C9&lt;0,1,0)</f>
        <v>0</v>
      </c>
      <c r="C23" s="14" t="n">
        <v>0</v>
      </c>
      <c r="D23" s="13" t="str">
        <f aca="false">IF(ABS(B23-C23)&lt;=MAX(0.005,ABS(C23)*0.0005),"PASS","FAIL")</f>
        <v>PASS</v>
      </c>
    </row>
    <row r="24" customFormat="false" ht="15" hidden="false" customHeight="false" outlineLevel="0" collapsed="false">
      <c r="A24" s="0" t="s">
        <v>173</v>
      </c>
      <c r="B24" s="14" t="n">
        <f aca="false">SUMPRODUCT(('4 The 2027 load'!$D$20:$D$25&lt;'4 The 2027 load'!$D$19:$D$24)*1)</f>
        <v>0</v>
      </c>
      <c r="C24" s="14" t="n">
        <v>0</v>
      </c>
      <c r="D24" s="13" t="str">
        <f aca="false">IF(ABS(B24-C24)&lt;=MAX(0.005,ABS(C24)*0.0005),"PASS","FAIL")</f>
        <v>PASS</v>
      </c>
    </row>
    <row r="25" customFormat="false" ht="15" hidden="false" customHeight="false" outlineLevel="0" collapsed="false">
      <c r="A25" s="0" t="s">
        <v>174</v>
      </c>
      <c r="B25" s="19" t="n">
        <f aca="false">ROUND('4 The 2027 load'!E20,1)</f>
        <v>2</v>
      </c>
      <c r="C25" s="19" t="n">
        <v>2</v>
      </c>
      <c r="D25" s="13" t="str">
        <f aca="false">IF(ABS(B25-C25)&lt;=MAX(0.005,ABS(C25)*0.0005),"PASS","FAIL")</f>
        <v>PASS</v>
      </c>
    </row>
    <row r="26" customFormat="false" ht="15" hidden="false" customHeight="false" outlineLevel="0" collapsed="false">
      <c r="A26" s="0" t="s">
        <v>175</v>
      </c>
      <c r="B26" s="16" t="n">
        <f aca="false">'5 The buffer'!C7</f>
        <v>1</v>
      </c>
      <c r="C26" s="16" t="n">
        <v>1</v>
      </c>
      <c r="D26" s="13" t="str">
        <f aca="false">IF(ABS(B26-C26)&lt;=MAX(0.005,ABS(C26)*0.0005),"PASS","FAIL")</f>
        <v>PASS</v>
      </c>
    </row>
    <row r="27" customFormat="false" ht="15" hidden="false" customHeight="false" outlineLevel="0" collapsed="false">
      <c r="A27" s="0" t="s">
        <v>176</v>
      </c>
      <c r="B27" s="14" t="n">
        <f aca="false">'5 The buffer'!B12</f>
        <v>36</v>
      </c>
      <c r="C27" s="14" t="n">
        <v>36</v>
      </c>
      <c r="D27" s="13" t="str">
        <f aca="false">IF(ABS(B27-C27)&lt;=MAX(0.005,ABS(C27)*0.0005),"PASS","FAIL")</f>
        <v>PASS</v>
      </c>
    </row>
    <row r="28" customFormat="false" ht="15" hidden="false" customHeight="false" outlineLevel="0" collapsed="false">
      <c r="A28" s="0" t="s">
        <v>177</v>
      </c>
      <c r="B28" s="11" t="n">
        <f aca="false">ROUND('5 The buffer'!D12,0)</f>
        <v>90</v>
      </c>
      <c r="C28" s="11" t="n">
        <v>90</v>
      </c>
      <c r="D28" s="13" t="str">
        <f aca="false">IF(ABS(B28-C28)&lt;=MAX(0.005,ABS(C28)*0.0005),"PASS","FAIL")</f>
        <v>PASS</v>
      </c>
    </row>
    <row r="29" customFormat="false" ht="15" hidden="false" customHeight="false" outlineLevel="0" collapsed="false">
      <c r="A29" s="0" t="s">
        <v>178</v>
      </c>
      <c r="B29" s="18" t="n">
        <f aca="false">ROUND('5 The buffer'!D17,6)</f>
        <v>0</v>
      </c>
      <c r="C29" s="18" t="n">
        <v>0</v>
      </c>
      <c r="D29" s="13" t="str">
        <f aca="false">IF(ABS(B29-C29)&lt;=MAX(0.005,ABS(C29)*0.0005),"PASS","FAIL")</f>
        <v>PASS</v>
      </c>
    </row>
    <row r="30" customFormat="false" ht="15" hidden="false" customHeight="false" outlineLevel="0" collapsed="false">
      <c r="A30" s="0" t="s">
        <v>179</v>
      </c>
      <c r="B30" s="18" t="n">
        <f aca="false">ROUND('5 The buffer'!F12,4)</f>
        <v>0.0256</v>
      </c>
      <c r="C30" s="18" t="n">
        <v>0.0256</v>
      </c>
      <c r="D30" s="13" t="str">
        <f aca="false">IF(ABS(B30-C30)&lt;=MAX(0.005,ABS(C30)*0.0005),"PASS","FAIL")</f>
        <v>PASS</v>
      </c>
    </row>
    <row r="31" customFormat="false" ht="15" hidden="false" customHeight="false" outlineLevel="0" collapsed="false">
      <c r="A31" s="0" t="s">
        <v>180</v>
      </c>
      <c r="B31" s="14" t="n">
        <f aca="false">IF('5 The buffer'!B25&lt;'5 The buffer'!B21,1,0)</f>
        <v>1</v>
      </c>
      <c r="C31" s="14" t="n">
        <v>1</v>
      </c>
      <c r="D31" s="13" t="str">
        <f aca="false">IF(ABS(B31-C31)&lt;=MAX(0.005,ABS(C31)*0.0005),"PASS","FAIL")</f>
        <v>PASS</v>
      </c>
    </row>
    <row r="32" customFormat="false" ht="15" hidden="false" customHeight="false" outlineLevel="0" collapsed="false">
      <c r="A32" s="0" t="s">
        <v>181</v>
      </c>
      <c r="B32" s="14" t="n">
        <f aca="false">IF(MAX('5 The buffer'!B21:B25)&lt;0.04,1,0)</f>
        <v>1</v>
      </c>
      <c r="C32" s="14" t="n">
        <v>1</v>
      </c>
      <c r="D32" s="13" t="str">
        <f aca="false">IF(ABS(B32-C32)&lt;=MAX(0.005,ABS(C32)*0.0005),"PASS","FAIL")</f>
        <v>PASS</v>
      </c>
    </row>
    <row r="33" customFormat="false" ht="15" hidden="false" customHeight="false" outlineLevel="0" collapsed="false">
      <c r="A33" s="0" t="s">
        <v>182</v>
      </c>
      <c r="B33" s="12" t="n">
        <f aca="false">ROUND('3 The phase-in'!E9,2)</f>
        <v>65.48</v>
      </c>
      <c r="C33" s="12" t="n">
        <v>65.48</v>
      </c>
      <c r="D33" s="13" t="str">
        <f aca="false">IF(ABS(B33-C33)&lt;=MAX(0.005,ABS(C33)*0.0005),"PASS","FAIL")</f>
        <v>PASS</v>
      </c>
    </row>
    <row r="34" customFormat="false" ht="15" hidden="false" customHeight="false" outlineLevel="0" collapsed="false">
      <c r="A34" s="0" t="s">
        <v>183</v>
      </c>
      <c r="B34" s="0" t="n">
        <f aca="false">'4 The 2027 load'!C5+'4 The 2027 load'!C6+'4 The 2027 load'!C7+'4 The 2027 load'!C9</f>
        <v>360</v>
      </c>
      <c r="C34" s="0" t="n">
        <v>360</v>
      </c>
      <c r="D34" s="0" t="str">
        <f aca="false">IF(ABS(B34-C34)&lt;=MAX(0.005,ABS(C34)*0.0005),"PASS","FAIL")</f>
        <v>PASS</v>
      </c>
    </row>
    <row r="35" customFormat="false" ht="15" hidden="false" customHeight="false" outlineLevel="0" collapsed="false">
      <c r="A35" s="0" t="s">
        <v>184</v>
      </c>
      <c r="B35" s="12" t="n">
        <f aca="false">ROUND('4 The 2027 load'!E9-'4 The 2027 load'!C13,6)</f>
        <v>0</v>
      </c>
      <c r="C35" s="12" t="n">
        <v>0</v>
      </c>
      <c r="D35" s="13" t="str">
        <f aca="false">IF(ABS(B35-C35)&lt;=MAX(0.005,ABS(C35)*0.0005),"PASS","FAIL")</f>
        <v>PASS</v>
      </c>
    </row>
    <row r="36" customFormat="false" ht="15" hidden="false" customHeight="false" outlineLevel="0" collapsed="false">
      <c r="A36" s="0" t="s">
        <v>185</v>
      </c>
      <c r="B36" s="12" t="n">
        <f aca="false">ROUND('4 The 2027 load'!C12-'3 The phase-in'!D5,6)</f>
        <v>0</v>
      </c>
      <c r="C36" s="12" t="n">
        <v>0</v>
      </c>
      <c r="D36" s="13" t="str">
        <f aca="false">IF(ABS(B36-C36)&lt;=MAX(0.005,ABS(C36)*0.0005),"PASS","FAIL")</f>
        <v>PASS</v>
      </c>
    </row>
    <row r="37" customFormat="false" ht="15" hidden="false" customHeight="false" outlineLevel="0" collapsed="false">
      <c r="A37" s="0" t="s">
        <v>186</v>
      </c>
      <c r="B37" s="11" t="n">
        <f aca="false">'3 The phase-in'!C13-'2 Northbeck 2026'!C9</f>
        <v>0</v>
      </c>
      <c r="C37" s="11" t="n">
        <v>0</v>
      </c>
      <c r="D37" s="13" t="str">
        <f aca="false">IF(ABS(B37-C37)&lt;=MAX(0.005,ABS(C37)*0.0005),"PASS","FAIL")</f>
        <v>PASS</v>
      </c>
    </row>
    <row r="38" customFormat="false" ht="15" hidden="false" customHeight="false" outlineLevel="0" collapsed="false">
      <c r="A38" s="0" t="s">
        <v>187</v>
      </c>
      <c r="B38" s="20" t="n">
        <f aca="false">ROUND('5 The buffer'!F12-'5 The buffer'!B22,9)</f>
        <v>0</v>
      </c>
      <c r="C38" s="20" t="n">
        <v>0</v>
      </c>
      <c r="D38" s="13" t="str">
        <f aca="false">IF(ABS(B38-C38)&lt;=MAX(0.005,ABS(C38)*0.0005),"PASS","FAIL")</f>
        <v>PASS</v>
      </c>
    </row>
    <row r="39" customFormat="false" ht="15" hidden="false" customHeight="false" outlineLevel="0" collapsed="false">
      <c r="A39" s="0" t="s">
        <v>188</v>
      </c>
      <c r="B39" s="11" t="n">
        <f aca="false">COUNTIF('1 Inputs'!C5:C31,"ADDED*")</f>
        <v>3</v>
      </c>
      <c r="C39" s="11" t="n">
        <v>3</v>
      </c>
      <c r="D39" s="13" t="str">
        <f aca="false">IF(ABS(B39-C39)&lt;=MAX(0.005,ABS(C39)*0.0005),"PASS","FAIL")</f>
        <v>PASS</v>
      </c>
    </row>
    <row r="41" customFormat="false" ht="15" hidden="false" customHeight="false" outlineLevel="0" collapsed="false">
      <c r="A41" s="13" t="s">
        <v>189</v>
      </c>
      <c r="B41" s="13" t="n">
        <f aca="false">COUNTIF(D5:D39,"PASS")</f>
        <v>35</v>
      </c>
      <c r="C41" s="13" t="n">
        <v>35</v>
      </c>
      <c r="D41" s="13" t="str">
        <f aca="false">IF(B41=C41,"ALL PASS","SOMETHING FAILS")</f>
        <v>ALL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2026-08-22T15:52:57Z</dcterms:created>
  <dc:creator>openpyxl</dc:creator>
  <dc:description/>
  <dc:language>en-US</dc:language>
  <cp:lastModifiedBy/>
  <dcterms:modified xsi:type="dcterms:W3CDTF">2026-09-24T20:21:06Z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