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30.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31.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1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2.xml" ContentType="application/vnd.openxmlformats-officedocument.spreadsheetml.worksheet+xml"/>
  <Override PartName="/xl/worksheets/sheet19.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Assumptions" sheetId="2" state="visible" r:id="rId4"/>
    <sheet name="Bridge" sheetId="3" state="visible" r:id="rId5"/>
    <sheet name="Sensitivities" sheetId="4" state="visible" r:id="rId6"/>
    <sheet name="Scenarios" sheetId="5" state="visible" r:id="rId7"/>
    <sheet name="Toy_Company" sheetId="6" state="visible" r:id="rId8"/>
    <sheet name="Case_Base" sheetId="7" state="visible" r:id="rId9"/>
    <sheet name="Case_Unitranche" sheetId="8" state="visible" r:id="rId10"/>
    <sheet name="Case_Rates_Up" sheetId="9" state="visible" r:id="rId11"/>
    <sheet name="Case_No_Addon" sheetId="10" state="visible" r:id="rId12"/>
    <sheet name="Case_No_Bad_Year" sheetId="11" state="visible" r:id="rId13"/>
    <sheet name="Case_Deeper_Bad_Year" sheetId="12" state="visible" r:id="rId14"/>
    <sheet name="Case_Equity_Cure" sheetId="13" state="visible" r:id="rId15"/>
    <sheet name="Case_Amend_Extend" sheetId="14" state="visible" r:id="rId16"/>
    <sheet name="Case_Recap" sheetId="15" state="visible" r:id="rId17"/>
    <sheet name="Case_Recap_Exit_7x" sheetId="16" state="visible" r:id="rId18"/>
    <sheet name="Case_Downside" sheetId="17" state="visible" r:id="rId19"/>
    <sheet name="Case_No_Sweep" sheetId="18" state="visible" r:id="rId20"/>
    <sheet name="Case_All_Equity" sheetId="19" state="visible" r:id="rId21"/>
    <sheet name="Sens_Wrong_8.0x" sheetId="20" state="visible" r:id="rId22"/>
    <sheet name="Sens_Wrong_8.5x" sheetId="21" state="visible" r:id="rId23"/>
    <sheet name="Sens_Wrong_9.0x" sheetId="22" state="visible" r:id="rId24"/>
    <sheet name="Sens_Wrong_9.5x" sheetId="23" state="visible" r:id="rId25"/>
    <sheet name="Sens_Wrong_10.0x" sheetId="24" state="visible" r:id="rId26"/>
    <sheet name="Sens_Leverage_4.5x" sheetId="25" state="visible" r:id="rId27"/>
    <sheet name="Sens_Leverage_5.0x" sheetId="26" state="visible" r:id="rId28"/>
    <sheet name="Sens_Leverage_6.0x" sheetId="27" state="visible" r:id="rId29"/>
    <sheet name="Sens_Leverage_6.5x" sheetId="28" state="visible" r:id="rId30"/>
    <sheet name="Sens_Plan_0pct" sheetId="29" state="visible" r:id="rId31"/>
    <sheet name="Sens_Plan_50pct" sheetId="30" state="visible" r:id="rId32"/>
    <sheet name="Sens_Plan_150pct" sheetId="31" state="visible" r:id="rId33"/>
    <sheet name="Checks" sheetId="32" state="visible" r:id="rId3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<sst xmlns="http://schemas.openxmlformats.org/spreadsheetml/2006/main" count="8590" uniqueCount="1424">
  <si>
    <t xml:space="preserve">Kestrel Returns and Sensitivities</t>
  </si>
  <si>
    <t xml:space="preserve">Companion workbook to The Buyout Investor: Private Equity Buyouts by the Numbers: Entry Price, Leverage, Value Creation and Exit, Where the Return Really Comes From, With the Models Supplied. By Julian R. Sterling. julianrsterling.com/buyouts</t>
  </si>
  <si>
    <t xml:space="preserve">What it is</t>
  </si>
  <si>
    <t xml:space="preserve">The returns bridge of the base case, every sensitivity of chapter 16 and every scenario of chapters 6, 11, 12 and 13, each scenario on its own case sheet that holds the whole model (operating plan, sources and uses, debt, tax, cash, balance sheet, covenants, exit, returns), plus the toy company of chapter 1.</t>
  </si>
  <si>
    <t xml:space="preserve">Where it is in the book</t>
  </si>
  <si>
    <t xml:space="preserve">Chapter 1 (Toy_Company), chapter 6 (the unitranche, rates up), chapter 11 (no add-on), chapter 12 (the deeper bad year, the cure, the amend and extend, the no-bad-year path), chapter 13 (the recap), chapter 15 (the bridge, the all-equity purchase), chapter 16 (the sensitivities and the downside), chapter 19 (the wrong table).</t>
  </si>
  <si>
    <t xml:space="preserve">Sheets</t>
  </si>
  <si>
    <t xml:space="preserve">Assumptions, Bridge, Sensitivities, Scenarios, Toy_Company, then one case sheet per scenario (Case_Base first; Sens_Wrong, Sens_Leverage and Sens_Plan sheets for the tables that need a full run), Checks.</t>
  </si>
  <si>
    <t xml:space="preserve">Conventions</t>
  </si>
  <si>
    <t xml:space="preserve">Yellow cells with blue type are inputs; grey cells are formulas. Change an input and every sheet follows. Amounts in millions of US dollars. Time in years from closing: year 0 is the twelve months before closing, year 1 the first year of ownership; every flow falls at a year end. IRRs are annual effective rates on year-end flows; MOIC is proceeds divided by the equity invested. Interest and commitment fees are computed on opening balances and the excess cash flow sweep from the year's cash after mandatory amortization: no circular reference, no iterative calculation. No macros, nothing locked, protected or hidden.</t>
  </si>
  <si>
    <t xml:space="preserve">On a case sheet the scenario's inputs are at the top: yellow where the scenario departs from the base case, grey links to Assumptions elsewhere. The sensitivities to the exit multiple, the entry multiple (debt held constant), the holding period and the two-way grid are computed in closed form from Case_Base's path on the Sensitivities sheet, since those inputs do not change the path; the wrong table, leverage and the plan need a full run each and have their own case sheets.</t>
  </si>
  <si>
    <t xml:space="preserve">The fund, the company, the add-on, the people and every figure in the case are fictional. Every rate, multiple and fee is the book's assumption, not a market statistic. The tax treatment is a simplified assumption modeled on the US rule as the book was written; it is not tax advice.</t>
  </si>
  <si>
    <t xml:space="preserve">Checks</t>
  </si>
  <si>
    <t xml:space="preserve">The last sheet, Checks, sets every figure the book prints from this workbook beside the live cell that computes it, with the tolerance of the printed rounding, plus logic checks. Its global status reads PASS only if every check passes.</t>
  </si>
  <si>
    <t xml:space="preserve">The file is provided without warranty of any kind. It is a teaching model, not investment, legal or tax advice.</t>
  </si>
  <si>
    <t xml:space="preserve">Assumptions: every input of the model</t>
  </si>
  <si>
    <t xml:space="preserve">Yellow cells with blue type are inputs; grey cells are derived from them. Amounts in millions of US dollars; years counted from closing (year 0 = the twelve months before closing). Every figure is fictional.</t>
  </si>
  <si>
    <t xml:space="preserve">The market, tax and cash</t>
  </si>
  <si>
    <t xml:space="preserve">Base rate (SOFR), flat in every year of the base case</t>
  </si>
  <si>
    <t xml:space="preserve">Corporate tax rate</t>
  </si>
  <si>
    <t xml:space="preserve">Deductible interest, cap as a share of EBITDA (assumption modeled on the US rule)</t>
  </si>
  <si>
    <t xml:space="preserve">Interest earned on opening cash</t>
  </si>
  <si>
    <t xml:space="preserve">Closing date (for the dated-flow check only; the book uses no dates)</t>
  </si>
  <si>
    <t xml:space="preserve">The target at closing (year 0, last twelve months)</t>
  </si>
  <si>
    <t xml:space="preserve">Revenue</t>
  </si>
  <si>
    <t xml:space="preserve">$ millions</t>
  </si>
  <si>
    <t xml:space="preserve">Reported EBITDA</t>
  </si>
  <si>
    <t xml:space="preserve">Reported margin</t>
  </si>
  <si>
    <t xml:space="preserve">Adjustment to EBITDA</t>
  </si>
  <si>
    <t xml:space="preserve">Seller's claim</t>
  </si>
  <si>
    <t xml:space="preserve">Accepted by the fund</t>
  </si>
  <si>
    <t xml:space="preserve">Litigation settlement, one-off</t>
  </si>
  <si>
    <t xml:space="preserve">Owner compensation above market rate</t>
  </si>
  <si>
    <t xml:space="preserve">Run-rate procurement savings</t>
  </si>
  <si>
    <t xml:space="preserve">Price increase announced, not yet invoiced</t>
  </si>
  <si>
    <t xml:space="preserve">Total adjustments</t>
  </si>
  <si>
    <t xml:space="preserve">Seller's adjusted EBITDA</t>
  </si>
  <si>
    <t xml:space="preserve">Seller's adjusted margin</t>
  </si>
  <si>
    <t xml:space="preserve">Underwriting EBITDA (reported plus accepted adjustments)</t>
  </si>
  <si>
    <t xml:space="preserve">Underwriting margin (year 0)</t>
  </si>
  <si>
    <t xml:space="preserve">Adjustments rejected (into the value plan, not the price)</t>
  </si>
  <si>
    <t xml:space="preserve">Net working capital, share of revenue</t>
  </si>
  <si>
    <t xml:space="preserve">Net fixed assets at closing, share of revenue</t>
  </si>
  <si>
    <t xml:space="preserve">Depreciation and amortization, share of revenue</t>
  </si>
  <si>
    <t xml:space="preserve">Capital expenditure, share of revenue</t>
  </si>
  <si>
    <t xml:space="preserve">Year-0 EBITDA less capital expenditure</t>
  </si>
  <si>
    <t xml:space="preserve">Cash conversion (EBITDA less capex, share of EBITDA)</t>
  </si>
  <si>
    <t xml:space="preserve">Bank debt repaid at closing</t>
  </si>
  <si>
    <t xml:space="preserve">Finance leases (debt-like)</t>
  </si>
  <si>
    <t xml:space="preserve">Unpaid part of the litigation settlement (debt-like)</t>
  </si>
  <si>
    <t xml:space="preserve">Cash on the target's balance sheet</t>
  </si>
  <si>
    <t xml:space="preserve">Net debt and debt-like items</t>
  </si>
  <si>
    <t xml:space="preserve">Diligence (chapters 3 and 4)</t>
  </si>
  <si>
    <t xml:space="preserve">Ten largest customers, share of revenue</t>
  </si>
  <si>
    <t xml:space="preserve">Spare parts and service (recurring), share of revenue</t>
  </si>
  <si>
    <t xml:space="preserve">Last year's revenue growth from price</t>
  </si>
  <si>
    <t xml:space="preserve">Last year's revenue growth from volume</t>
  </si>
  <si>
    <t xml:space="preserve">Last year's revenue growth</t>
  </si>
  <si>
    <t xml:space="preserve">Listed comparables (fictional)</t>
  </si>
  <si>
    <t xml:space="preserve">EV / LTM EBITDA</t>
  </si>
  <si>
    <t xml:space="preserve">Ardent Flow Technologies</t>
  </si>
  <si>
    <t xml:space="preserve">Beaumont Industrial</t>
  </si>
  <si>
    <t xml:space="preserve">Corvell Process Equipment</t>
  </si>
  <si>
    <t xml:space="preserve">Delamere Controls</t>
  </si>
  <si>
    <t xml:space="preserve">Ellsworth Valve Group</t>
  </si>
  <si>
    <t xml:space="preserve">Median of the listed set</t>
  </si>
  <si>
    <t xml:space="preserve">Lowest of the listed set</t>
  </si>
  <si>
    <t xml:space="preserve">Highest of the listed set</t>
  </si>
  <si>
    <t xml:space="preserve">Precedent transactions (fictional)</t>
  </si>
  <si>
    <t xml:space="preserve">EV / EBITDA</t>
  </si>
  <si>
    <t xml:space="preserve">Northgate Pumps</t>
  </si>
  <si>
    <t xml:space="preserve">Sable Actuation</t>
  </si>
  <si>
    <t xml:space="preserve">Tremont Filtration</t>
  </si>
  <si>
    <t xml:space="preserve">Winslow Seals</t>
  </si>
  <si>
    <t xml:space="preserve">Median of the precedents</t>
  </si>
  <si>
    <t xml:space="preserve">Lowest precedent</t>
  </si>
  <si>
    <t xml:space="preserve">Highest precedent</t>
  </si>
  <si>
    <t xml:space="preserve">The entry and the fees</t>
  </si>
  <si>
    <t xml:space="preserve">Entry multiple (enterprise value / underwriting EBITDA)</t>
  </si>
  <si>
    <t xml:space="preserve">x</t>
  </si>
  <si>
    <t xml:space="preserve">Enterprise value at entry</t>
  </si>
  <si>
    <t xml:space="preserve">Equity purchase price (paid to the seller)</t>
  </si>
  <si>
    <t xml:space="preserve">The same price as a multiple of the seller's EBITDA</t>
  </si>
  <si>
    <t xml:space="preserve">Price had the fund paid the entry multiple on the seller's EBITDA</t>
  </si>
  <si>
    <t xml:space="preserve">Difference against the agreed price</t>
  </si>
  <si>
    <t xml:space="preserve">One million of accepted EBITDA adjustment</t>
  </si>
  <si>
    <t xml:space="preserve">Its worth in price at the entry multiple</t>
  </si>
  <si>
    <t xml:space="preserve">A price one turn higher, for comparison</t>
  </si>
  <si>
    <t xml:space="preserve">Transaction fees: advisory</t>
  </si>
  <si>
    <t xml:space="preserve">Transaction fees: due diligence</t>
  </si>
  <si>
    <t xml:space="preserve">Transaction fees: legal</t>
  </si>
  <si>
    <t xml:space="preserve">Transaction fees, total (expensed at closing)</t>
  </si>
  <si>
    <t xml:space="preserve">Financing fees, share of funded debt (capitalized, amortized over the term loan's life)</t>
  </si>
  <si>
    <t xml:space="preserve">Cash to the balance sheet at closing</t>
  </si>
  <si>
    <t xml:space="preserve">Minimum cash kept on the balance sheet</t>
  </si>
  <si>
    <t xml:space="preserve">The debt</t>
  </si>
  <si>
    <t xml:space="preserve">First-lien term loan B, multiple of underwriting EBITDA</t>
  </si>
  <si>
    <t xml:space="preserve">Term loan margin over SOFR</t>
  </si>
  <si>
    <t xml:space="preserve">Term loan all-in rate in the base case</t>
  </si>
  <si>
    <t xml:space="preserve">Mandatory amortization, share of original principal a year</t>
  </si>
  <si>
    <t xml:space="preserve">Term loan maturity (years); also the life of the capitalized financing fees</t>
  </si>
  <si>
    <t xml:space="preserve">years</t>
  </si>
  <si>
    <t xml:space="preserve">Second-lien loan, multiple of underwriting EBITDA</t>
  </si>
  <si>
    <t xml:space="preserve">Second-lien fixed rate</t>
  </si>
  <si>
    <t xml:space="preserve">Second-lien maturity (bullet)</t>
  </si>
  <si>
    <t xml:space="preserve">Revolver commitment</t>
  </si>
  <si>
    <t xml:space="preserve">Revolver margin over SOFR when drawn</t>
  </si>
  <si>
    <t xml:space="preserve">Revolver commitment fee on the undrawn amount</t>
  </si>
  <si>
    <t xml:space="preserve">Revolver maturity</t>
  </si>
  <si>
    <t xml:space="preserve">Drawn share that would switch on a springing test in many loans (not modeled)</t>
  </si>
  <si>
    <t xml:space="preserve">Unitranche alternative: margin over SOFR (chapter 6 scenario)</t>
  </si>
  <si>
    <t xml:space="preserve">Unitranche all-in rate</t>
  </si>
  <si>
    <t xml:space="preserve">Unitranche size, multiple of EBITDA (first and second lien combined)</t>
  </si>
  <si>
    <t xml:space="preserve">Excess cash flow sweep on (1) or off (0)</t>
  </si>
  <si>
    <t xml:space="preserve">Sweep steps, on net leverage at the start of the year</t>
  </si>
  <si>
    <t xml:space="preserve">Net leverage above</t>
  </si>
  <si>
    <t xml:space="preserve">Sweep share</t>
  </si>
  <si>
    <t xml:space="preserve">Step 1</t>
  </si>
  <si>
    <t xml:space="preserve">Step 2</t>
  </si>
  <si>
    <t xml:space="preserve">Step 3</t>
  </si>
  <si>
    <t xml:space="preserve">Covenant EBITDA: run-rate synergy add-back, cap as a share of covenant EBITDA</t>
  </si>
  <si>
    <t xml:space="preserve">Run-rate cost synergies of the add-on</t>
  </si>
  <si>
    <t xml:space="preserve">The equity and the management package</t>
  </si>
  <si>
    <t xml:space="preserve">Management rollover (ordinary shares)</t>
  </si>
  <si>
    <t xml:space="preserve">Share price at closing (also the option strike)</t>
  </si>
  <si>
    <t xml:space="preserve">$ per share</t>
  </si>
  <si>
    <t xml:space="preserve">Option pool, share of fully diluted equity</t>
  </si>
  <si>
    <t xml:space="preserve">Performance vesting: half the pool vests only if the sponsor's MOIC reaches</t>
  </si>
  <si>
    <t xml:space="preserve">The CEO's share of the management rollover</t>
  </si>
  <si>
    <t xml:space="preserve">The CEO's share of the option pool</t>
  </si>
  <si>
    <t xml:space="preserve">The add-on (closes at the end of the add-on year)</t>
  </si>
  <si>
    <t xml:space="preserve">Add-on acquired (1 = yes, 0 = no)</t>
  </si>
  <si>
    <t xml:space="preserve">Year of the add-on</t>
  </si>
  <si>
    <t xml:space="preserve">year</t>
  </si>
  <si>
    <t xml:space="preserve">Add-on revenue at acquisition</t>
  </si>
  <si>
    <t xml:space="preserve">Add-on EBITDA at acquisition</t>
  </si>
  <si>
    <t xml:space="preserve">Add-on margin</t>
  </si>
  <si>
    <t xml:space="preserve">Add-on price, multiple of its EBITDA</t>
  </si>
  <si>
    <t xml:space="preserve">Add-on enterprise value (bought debt-free, cash-free)</t>
  </si>
  <si>
    <t xml:space="preserve">Add-on transaction fees (expensed)</t>
  </si>
  <si>
    <t xml:space="preserve">Add-on revenue growth a year</t>
  </si>
  <si>
    <t xml:space="preserve">Add-on net fixed assets, share of its revenue</t>
  </si>
  <si>
    <t xml:space="preserve">Incremental first-lien term loan for the add-on (same terms)</t>
  </si>
  <si>
    <t xml:space="preserve">Financing fee on the incremental loan</t>
  </si>
  <si>
    <t xml:space="preserve">Cash of the company used for the add-on</t>
  </si>
  <si>
    <t xml:space="preserve">Add-on fees of both kinds</t>
  </si>
  <si>
    <t xml:space="preserve">The exit</t>
  </si>
  <si>
    <t xml:space="preserve">Exit multiple (enterprise value / EBITDA of the exit year)</t>
  </si>
  <si>
    <t xml:space="preserve">Exit fees (advisers), share of enterprise value</t>
  </si>
  <si>
    <t xml:space="preserve">Holding period: exit at the end of year (3 to 7)</t>
  </si>
  <si>
    <t xml:space="preserve">Scenario switches and stress parameters (base case values; the scenarios override them)</t>
  </si>
  <si>
    <t xml:space="preserve">Share of the margin plan delivered (1 = the plan)</t>
  </si>
  <si>
    <t xml:space="preserve">Dividend recapitalization (1 = yes, 0 = no)</t>
  </si>
  <si>
    <t xml:space="preserve">Year of the recapitalization</t>
  </si>
  <si>
    <t xml:space="preserve">Incremental term loan drawn and paid out as a dividend</t>
  </si>
  <si>
    <t xml:space="preserve">Fee on the incremental loan</t>
  </si>
  <si>
    <t xml:space="preserve">Incremental-debt test: net leverage after the recap at most</t>
  </si>
  <si>
    <t xml:space="preserve">All-equity purchase (1 = yes, 0 = no)</t>
  </si>
  <si>
    <t xml:space="preserve">Equity cure injected by the sponsor</t>
  </si>
  <si>
    <t xml:space="preserve">Year of the equity cure (0 = none)</t>
  </si>
  <si>
    <t xml:space="preserve">Amend and extend (1 = yes, 0 = no)</t>
  </si>
  <si>
    <t xml:space="preserve">Year of the amend and extend (fee and covenant reset from that year; margin step-up after)</t>
  </si>
  <si>
    <t xml:space="preserve">Amend-and-extend consent fee, share of the term loan</t>
  </si>
  <si>
    <t xml:space="preserve">Margin step-up after the amend and extend</t>
  </si>
  <si>
    <t xml:space="preserve">Covenant reset (turns added to every remaining test)</t>
  </si>
  <si>
    <t xml:space="preserve">Deeper bad year: platform revenue growth in year 3</t>
  </si>
  <si>
    <t xml:space="preserve">Deeper bad year: margin shock in year 3</t>
  </si>
  <si>
    <t xml:space="preserve">Debt held at a fixed share of total uses (0 = off; the mistaken sensitivity of chapter 19)</t>
  </si>
  <si>
    <t xml:space="preserve">Rates scenario: base rate two points higher</t>
  </si>
  <si>
    <t xml:space="preserve">The fund (chapter 17)</t>
  </si>
  <si>
    <t xml:space="preserve">Management fee on committed capital, a year</t>
  </si>
  <si>
    <t xml:space="preserve">Carried interest</t>
  </si>
  <si>
    <t xml:space="preserve">Split after the catch-up: the subscriber</t>
  </si>
  <si>
    <t xml:space="preserve">Preferred return a year, compounded</t>
  </si>
  <si>
    <t xml:space="preserve">Subscription line rate</t>
  </si>
  <si>
    <t xml:space="preserve">Subscription line: capital called this many months after closing</t>
  </si>
  <si>
    <t xml:space="preserve">months</t>
  </si>
  <si>
    <t xml:space="preserve">The plan by year</t>
  </si>
  <si>
    <t xml:space="preserve">Year</t>
  </si>
  <si>
    <t xml:space="preserve">Platform revenue growth</t>
  </si>
  <si>
    <t xml:space="preserve">Margin improvement from the plan (points over the year-0 margin)</t>
  </si>
  <si>
    <t xml:space="preserve">Bad-year margin shock (points)</t>
  </si>
  <si>
    <t xml:space="preserve">Cost synergies from the add-on</t>
  </si>
  <si>
    <t xml:space="preserve">Covenant: maximum total net debt / covenant EBITDA</t>
  </si>
  <si>
    <t xml:space="preserve">Year-3 margin the plan called for (year-0 margin plus the improvement)</t>
  </si>
  <si>
    <t xml:space="preserve">The returns bridge: from the equity invested to the equity value at exit (chapters 11 and 15)</t>
  </si>
  <si>
    <t xml:space="preserve">All shareholders, entry to exit. The components add exactly to the gain (checked). Every cell reads the case sheets.</t>
  </si>
  <si>
    <t xml:space="preserve">Inputs of the bridge (read from Case_Base)</t>
  </si>
  <si>
    <t xml:space="preserve">Underwriting EBITDA at entry</t>
  </si>
  <si>
    <t xml:space="preserve">EBITDA of the exit year</t>
  </si>
  <si>
    <t xml:space="preserve">Entry multiple</t>
  </si>
  <si>
    <t xml:space="preserve">Exit multiple</t>
  </si>
  <si>
    <t xml:space="preserve">Net debt at closing</t>
  </si>
  <si>
    <t xml:space="preserve">Net debt at exit</t>
  </si>
  <si>
    <t xml:space="preserve">Equity invested by all shareholders</t>
  </si>
  <si>
    <t xml:space="preserve">Equity value at exit</t>
  </si>
  <si>
    <t xml:space="preserve">The fees</t>
  </si>
  <si>
    <t xml:space="preserve">Fees at entry: transaction fees plus financing fees</t>
  </si>
  <si>
    <t xml:space="preserve">Fees at exit</t>
  </si>
  <si>
    <t xml:space="preserve">Fees of both ends together</t>
  </si>
  <si>
    <t xml:space="preserve">The bridge ($ millions; share of the gain in column E)</t>
  </si>
  <si>
    <t xml:space="preserve">Component</t>
  </si>
  <si>
    <t xml:space="preserve">Share of the gain</t>
  </si>
  <si>
    <t xml:space="preserve">EBITDA growth x entry multiple</t>
  </si>
  <si>
    <t xml:space="preserve">Multiple change x exit EBITDA</t>
  </si>
  <si>
    <t xml:space="preserve">Deleveraging: net debt at entry less net debt at exit</t>
  </si>
  <si>
    <t xml:space="preserve">Dividends paid during the hold, less equity cures</t>
  </si>
  <si>
    <t xml:space="preserve">Fees at entry and exit (negative)</t>
  </si>
  <si>
    <t xml:space="preserve">Total: the sum of the components</t>
  </si>
  <si>
    <t xml:space="preserve">The gain of all shareholders (sum of their cash flows on Case_Base)</t>
  </si>
  <si>
    <t xml:space="preserve">Components less the gain (must be zero)</t>
  </si>
  <si>
    <t xml:space="preserve">The EBITDA-growth term split between the platform and the add-on</t>
  </si>
  <si>
    <t xml:space="preserve">Platform EBITDA of the exit year</t>
  </si>
  <si>
    <t xml:space="preserve">Add-on EBITDA of the exit year</t>
  </si>
  <si>
    <t xml:space="preserve">Synergies of the exit year</t>
  </si>
  <si>
    <t xml:space="preserve">The platform: (platform EBITDA at exit - EBITDA at entry) x entry multiple</t>
  </si>
  <si>
    <t xml:space="preserve">The add-on with its synergies, at the entry multiple</t>
  </si>
  <si>
    <t xml:space="preserve">Platform + add-on - EBITDA-growth term (must be zero)</t>
  </si>
  <si>
    <t xml:space="preserve">Multiple arbitrage on the add-on (chapter 11)</t>
  </si>
  <si>
    <t xml:space="preserve">Add-on EBITDA at exit x (exit multiple - add-on price multiple)</t>
  </si>
  <si>
    <t xml:space="preserve">Synergies at the exit multiple</t>
  </si>
  <si>
    <t xml:space="preserve">The add-on's own EBITDA growth since acquisition</t>
  </si>
  <si>
    <t xml:space="preserve">That growth at the exit multiple</t>
  </si>
  <si>
    <t xml:space="preserve">Less the add-on's fees of both kinds</t>
  </si>
  <si>
    <t xml:space="preserve">Multiple arbitrage net of fees (multiple term + synergies - fees)</t>
  </si>
  <si>
    <t xml:space="preserve">Without the add-on: EBITDA of the exit year (Case_No_Addon)</t>
  </si>
  <si>
    <t xml:space="preserve">Without the add-on: equity value at exit</t>
  </si>
  <si>
    <t xml:space="preserve">Without the add-on: sponsor IRR</t>
  </si>
  <si>
    <t xml:space="preserve">Without the add-on: sponsor MOIC</t>
  </si>
  <si>
    <t xml:space="preserve">What the add-on added to the exit equity</t>
  </si>
  <si>
    <t xml:space="preserve">What the add-on added to the sponsor IRR</t>
  </si>
  <si>
    <t xml:space="preserve">points</t>
  </si>
  <si>
    <t xml:space="preserve">The enterprise and the equity</t>
  </si>
  <si>
    <t xml:space="preserve">Gain in enterprise value</t>
  </si>
  <si>
    <t xml:space="preserve">Gain in enterprise value, share of the entry value</t>
  </si>
  <si>
    <t xml:space="preserve">Enterprise value growth a year, compounded</t>
  </si>
  <si>
    <t xml:space="preserve">Gain on the equity, share of the equity invested</t>
  </si>
  <si>
    <t xml:space="preserve">The all-equity purchase (Case_All_Equity): what leverage does to the same company</t>
  </si>
  <si>
    <t xml:space="preserve">Equity invested with no debt</t>
  </si>
  <si>
    <t xml:space="preserve">Enterprise value at exit</t>
  </si>
  <si>
    <t xml:space="preserve">Cash at exit</t>
  </si>
  <si>
    <t xml:space="preserve">Equity value at exit (enterprise value plus cash less exit fees)</t>
  </si>
  <si>
    <t xml:space="preserve">Sponsor IRR with no debt</t>
  </si>
  <si>
    <t xml:space="preserve">Sponsor MOIC with no debt</t>
  </si>
  <si>
    <t xml:space="preserve">Sponsor IRR with the debt (Case_Base)</t>
  </si>
  <si>
    <t xml:space="preserve">The effect of leverage on the IRR</t>
  </si>
  <si>
    <t xml:space="preserve">Cumulative cash taxes with no debt</t>
  </si>
  <si>
    <t xml:space="preserve">Cumulative cash taxes with the debt</t>
  </si>
  <si>
    <t xml:space="preserve">The tax shield over the hold</t>
  </si>
  <si>
    <t xml:space="preserve">Cumulative cash interest with the debt</t>
  </si>
  <si>
    <t xml:space="preserve">Sensitivities: one input at a time from the base case, everything else held (chapter 16)</t>
  </si>
  <si>
    <t xml:space="preserve">Closed-form tables read Case_Base's path (the entry multiple changes the equity, the exit multiple and the exit year change the exit; the path is unchanged). The other tables read their own case sheets.</t>
  </si>
  <si>
    <t xml:space="preserve">1. Exit multiple: the path is unchanged, only the exit price moves</t>
  </si>
  <si>
    <t xml:space="preserve">Case</t>
  </si>
  <si>
    <t xml:space="preserve">Exit year</t>
  </si>
  <si>
    <t xml:space="preserve">Equity invested (debt held constant)</t>
  </si>
  <si>
    <t xml:space="preserve">Sponsor equity</t>
  </si>
  <si>
    <t xml:space="preserve">EBITDA at exit (base path)</t>
  </si>
  <si>
    <t xml:space="preserve">Net debt at exit (base path)</t>
  </si>
  <si>
    <t xml:space="preserve">Exit fees</t>
  </si>
  <si>
    <t xml:space="preserve">Shares (million)</t>
  </si>
  <si>
    <t xml:space="preserve">Options (million)</t>
  </si>
  <si>
    <t xml:space="preserve">Price, whole pool exercised</t>
  </si>
  <si>
    <t xml:space="preserve">Options vested</t>
  </si>
  <si>
    <t xml:space="preserve">Price with the vested options</t>
  </si>
  <si>
    <t xml:space="preserve">Price per share</t>
  </si>
  <si>
    <t xml:space="preserve">Options exercised</t>
  </si>
  <si>
    <t xml:space="preserve">Option value</t>
  </si>
  <si>
    <t xml:space="preserve">Sponsor proceeds</t>
  </si>
  <si>
    <t xml:space="preserve">Sponsor MOIC</t>
  </si>
  <si>
    <t xml:space="preserve">Sponsor IRR</t>
  </si>
  <si>
    <t xml:space="preserve">Exit at 7.0x</t>
  </si>
  <si>
    <t xml:space="preserve">Exit at 8.0x</t>
  </si>
  <si>
    <t xml:space="preserve">Exit at 9.0x</t>
  </si>
  <si>
    <t xml:space="preserve">Exit at 10.0x</t>
  </si>
  <si>
    <t xml:space="preserve">Exit at 11.0x</t>
  </si>
  <si>
    <t xml:space="preserve">From 9.0x to 8.0x: change in sponsor IRR</t>
  </si>
  <si>
    <t xml:space="preserve">From 9.0x to 10.0x: change in sponsor IRR</t>
  </si>
  <si>
    <t xml:space="preserve">One turn of exit multiple, in IRR (9.0x against 8.0x)</t>
  </si>
  <si>
    <t xml:space="preserve">2. Entry multiple with the debt held constant: a higher price means more equity, the same debt, the same path</t>
  </si>
  <si>
    <t xml:space="preserve">Entry at 8.0x</t>
  </si>
  <si>
    <t xml:space="preserve">Entry at 8.5x</t>
  </si>
  <si>
    <t xml:space="preserve">Entry at 9.0x</t>
  </si>
  <si>
    <t xml:space="preserve">Entry at 9.5x</t>
  </si>
  <si>
    <t xml:space="preserve">Entry at 10.0x</t>
  </si>
  <si>
    <t xml:space="preserve">Half a turn of price, in equity</t>
  </si>
  <si>
    <t xml:space="preserve">From 9.0x to 9.5x: change in sponsor IRR (a cost)</t>
  </si>
  <si>
    <t xml:space="preserve">From 9.0x to 8.5x: change in sponsor IRR (a gain)</t>
  </si>
  <si>
    <t xml:space="preserve">3. The same table done wrong (chapter 19): the debt held at the base case's share of total uses, so a higher price borrows more</t>
  </si>
  <si>
    <t xml:space="preserve">Debt, share of total uses in the base case (the share the wrong table keeps)</t>
  </si>
  <si>
    <t xml:space="preserve">Case sheet</t>
  </si>
  <si>
    <t xml:space="preserve">Debt</t>
  </si>
  <si>
    <t xml:space="preserve">Equity invested</t>
  </si>
  <si>
    <t xml:space="preserve">MOIC</t>
  </si>
  <si>
    <t xml:space="preserve">Debt / EBITDA</t>
  </si>
  <si>
    <t xml:space="preserve">Sens_Wrong_8.0x</t>
  </si>
  <si>
    <t xml:space="preserve">Sens_Wrong_8.5x</t>
  </si>
  <si>
    <t xml:space="preserve">Sens_Wrong_9.0x</t>
  </si>
  <si>
    <t xml:space="preserve">Sens_Wrong_9.5x</t>
  </si>
  <si>
    <t xml:space="preserve">Sens_Wrong_10.0x</t>
  </si>
  <si>
    <t xml:space="preserve">At 10.0x: debt the wrong table has quietly borrowed above the base case</t>
  </si>
  <si>
    <t xml:space="preserve">4. Leverage at closing: the second lien stays, the term loan moves, the equity is the balance (pricing and covenants held)</t>
  </si>
  <si>
    <t xml:space="preserve">Second-lien loan in every case</t>
  </si>
  <si>
    <t xml:space="preserve">Total debt / EBITDA</t>
  </si>
  <si>
    <t xml:space="preserve">Year-3 covenant headroom</t>
  </si>
  <si>
    <t xml:space="preserve">Sens_Leverage_4.5x</t>
  </si>
  <si>
    <t xml:space="preserve">Sens_Leverage_5.0x</t>
  </si>
  <si>
    <t xml:space="preserve">Case_Base</t>
  </si>
  <si>
    <t xml:space="preserve">Sens_Leverage_6.0x</t>
  </si>
  <si>
    <t xml:space="preserve">Sens_Leverage_6.5x</t>
  </si>
  <si>
    <t xml:space="preserve">5. Holding period: exit at the exit multiple at the end of the year shown (closed form from the base path)</t>
  </si>
  <si>
    <t xml:space="preserve">Exit at the end of year 3</t>
  </si>
  <si>
    <t xml:space="preserve">Exit at the end of year 4</t>
  </si>
  <si>
    <t xml:space="preserve">Exit at the end of year 5</t>
  </si>
  <si>
    <t xml:space="preserve">Exit at the end of year 6</t>
  </si>
  <si>
    <t xml:space="preserve">Exit at the end of year 7</t>
  </si>
  <si>
    <t xml:space="preserve">The exit year with the highest sponsor IRR</t>
  </si>
  <si>
    <t xml:space="preserve">6. The value plan delivered: the margin improvement scaled; growth, the add-on and the bad year unchanged</t>
  </si>
  <si>
    <t xml:space="preserve">Plan delivered</t>
  </si>
  <si>
    <t xml:space="preserve">Year-5 margin</t>
  </si>
  <si>
    <t xml:space="preserve">Year-5 EBITDA</t>
  </si>
  <si>
    <t xml:space="preserve">Sens_Plan_0pct</t>
  </si>
  <si>
    <t xml:space="preserve">Sens_Plan_50pct</t>
  </si>
  <si>
    <t xml:space="preserve">Sens_Plan_150pct</t>
  </si>
  <si>
    <t xml:space="preserve">The whole margin plan, in IRR (all of it against none of it)</t>
  </si>
  <si>
    <t xml:space="preserve">7. The downside case (Case_Downside): half the plan and an exit at 7.5x</t>
  </si>
  <si>
    <t xml:space="preserve">Year-3 covenant breach (turns)</t>
  </si>
  <si>
    <t xml:space="preserve">Options that pay (the time-vested half only: the sponsor's multiple is below the performance test)</t>
  </si>
  <si>
    <t xml:space="preserve">million</t>
  </si>
  <si>
    <t xml:space="preserve">Management receives</t>
  </si>
  <si>
    <t xml:space="preserve">The CEO receives</t>
  </si>
  <si>
    <t xml:space="preserve">8. Two inputs at once: entry multiple (debt held constant) and exit multiple; each row below is one closed-form exit</t>
  </si>
  <si>
    <t xml:space="preserve">Entry 8.0x, exit 7.0x</t>
  </si>
  <si>
    <t xml:space="preserve">Entry 8.0x, exit 8.0x</t>
  </si>
  <si>
    <t xml:space="preserve">Entry 8.0x, exit 9.0x</t>
  </si>
  <si>
    <t xml:space="preserve">Entry 8.0x, exit 10.0x</t>
  </si>
  <si>
    <t xml:space="preserve">Entry 8.0x, exit 11.0x</t>
  </si>
  <si>
    <t xml:space="preserve">Entry 8.5x, exit 7.0x</t>
  </si>
  <si>
    <t xml:space="preserve">Entry 8.5x, exit 8.0x</t>
  </si>
  <si>
    <t xml:space="preserve">Entry 8.5x, exit 9.0x</t>
  </si>
  <si>
    <t xml:space="preserve">Entry 8.5x, exit 10.0x</t>
  </si>
  <si>
    <t xml:space="preserve">Entry 8.5x, exit 11.0x</t>
  </si>
  <si>
    <t xml:space="preserve">Entry 9.0x, exit 7.0x</t>
  </si>
  <si>
    <t xml:space="preserve">Entry 9.0x, exit 8.0x</t>
  </si>
  <si>
    <t xml:space="preserve">Entry 9.0x, exit 9.0x</t>
  </si>
  <si>
    <t xml:space="preserve">Entry 9.0x, exit 10.0x</t>
  </si>
  <si>
    <t xml:space="preserve">Entry 9.0x, exit 11.0x</t>
  </si>
  <si>
    <t xml:space="preserve">Entry 9.5x, exit 7.0x</t>
  </si>
  <si>
    <t xml:space="preserve">Entry 9.5x, exit 8.0x</t>
  </si>
  <si>
    <t xml:space="preserve">Entry 9.5x, exit 9.0x</t>
  </si>
  <si>
    <t xml:space="preserve">Entry 9.5x, exit 10.0x</t>
  </si>
  <si>
    <t xml:space="preserve">Entry 9.5x, exit 11.0x</t>
  </si>
  <si>
    <t xml:space="preserve">Entry 10.0x, exit 7.0x</t>
  </si>
  <si>
    <t xml:space="preserve">Entry 10.0x, exit 8.0x</t>
  </si>
  <si>
    <t xml:space="preserve">Entry 10.0x, exit 9.0x</t>
  </si>
  <si>
    <t xml:space="preserve">Entry 10.0x, exit 10.0x</t>
  </si>
  <si>
    <t xml:space="preserve">Entry 10.0x, exit 11.0x</t>
  </si>
  <si>
    <t xml:space="preserve">Sponsor IRR: entry multiple down the rows, exit multiple across the columns</t>
  </si>
  <si>
    <t xml:space="preserve">9. No-sweep variant (Case_No_Sweep): all excess cash kept on the balance sheet instead of prepaying the term loan</t>
  </si>
  <si>
    <t xml:space="preserve">Sponsor IRR without the sweep</t>
  </si>
  <si>
    <t xml:space="preserve">Sponsor MOIC without the sweep</t>
  </si>
  <si>
    <t xml:space="preserve">What the sweep is worth in IRR (base case less no sweep)</t>
  </si>
  <si>
    <t xml:space="preserve">The term loan's rate</t>
  </si>
  <si>
    <t xml:space="preserve">The yield on cash</t>
  </si>
  <si>
    <t xml:space="preserve">The scenarios of chapters 6, 11, 12 and 13, side by side</t>
  </si>
  <si>
    <t xml:space="preserve">Every figure reads its case sheet. Year-3 is the tight covenant test; the exit is at the end of the holding period.</t>
  </si>
  <si>
    <t xml:space="preserve">Sheet</t>
  </si>
  <si>
    <t xml:space="preserve">Year-1 cash interest</t>
  </si>
  <si>
    <t xml:space="preserve">Year-3 covenant leverage</t>
  </si>
  <si>
    <t xml:space="preserve">Year-3 maximum</t>
  </si>
  <si>
    <t xml:space="preserve">Year-3 headroom</t>
  </si>
  <si>
    <t xml:space="preserve">EBITDA at exit</t>
  </si>
  <si>
    <t xml:space="preserve">Base case</t>
  </si>
  <si>
    <t xml:space="preserve">Unitranche instead of first and second lien (chapter 6)</t>
  </si>
  <si>
    <t xml:space="preserve">Case_Unitranche</t>
  </si>
  <si>
    <t xml:space="preserve">SOFR two points higher in every year (chapter 6)</t>
  </si>
  <si>
    <t xml:space="preserve">Case_Rates_Up</t>
  </si>
  <si>
    <t xml:space="preserve">No add-on (chapter 11)</t>
  </si>
  <si>
    <t xml:space="preserve">Case_No_Addon</t>
  </si>
  <si>
    <t xml:space="preserve">No bad year: revenue up 4.0 percent in year 3, no margin shock (chapter 12)</t>
  </si>
  <si>
    <t xml:space="preserve">Case_No_Bad_Year</t>
  </si>
  <si>
    <t xml:space="preserve">Deeper bad year, the lenders do nothing (chapter 12)</t>
  </si>
  <si>
    <t xml:space="preserve">Case_Deeper_Bad_Year</t>
  </si>
  <si>
    <t xml:space="preserve">Deeper bad year with an equity cure in year 3 (chapter 12)</t>
  </si>
  <si>
    <t xml:space="preserve">Case_Equity_Cure</t>
  </si>
  <si>
    <t xml:space="preserve">Deeper bad year with an amend and extend (chapter 12)</t>
  </si>
  <si>
    <t xml:space="preserve">Case_Amend_Extend</t>
  </si>
  <si>
    <t xml:space="preserve">Dividend recapitalization in year 4 (chapter 13)</t>
  </si>
  <si>
    <t xml:space="preserve">Case_Recap</t>
  </si>
  <si>
    <t xml:space="preserve">Dividend recapitalization, exit at 7.0x (chapter 13)</t>
  </si>
  <si>
    <t xml:space="preserve">Case_Recap_Exit_7x</t>
  </si>
  <si>
    <t xml:space="preserve">Downside: half the plan, exit at 7.5x (chapters 9 and 16)</t>
  </si>
  <si>
    <t xml:space="preserve">Case_Downside</t>
  </si>
  <si>
    <t xml:space="preserve">No excess cash flow sweep (chapter 16)</t>
  </si>
  <si>
    <t xml:space="preserve">Case_No_Sweep</t>
  </si>
  <si>
    <t xml:space="preserve">All-equity purchase: same price, same plan, no debt (chapter 15)</t>
  </si>
  <si>
    <t xml:space="preserve">Case_All_Equity</t>
  </si>
  <si>
    <t xml:space="preserve">Chapter 6: the unitranche alternative and rates two points higher</t>
  </si>
  <si>
    <t xml:space="preserve">Unitranche: one loan of</t>
  </si>
  <si>
    <t xml:space="preserve">as a multiple of EBITDA</t>
  </si>
  <si>
    <t xml:space="preserve">at SOFR plus</t>
  </si>
  <si>
    <t xml:space="preserve">all-in rate</t>
  </si>
  <si>
    <t xml:space="preserve">Year-1 cash interest, unitranche</t>
  </si>
  <si>
    <t xml:space="preserve">Year-1 cash interest, two tranches (base case)</t>
  </si>
  <si>
    <t xml:space="preserve">Sponsor IRR, unitranche</t>
  </si>
  <si>
    <t xml:space="preserve">Sponsor MOIC, unitranche</t>
  </si>
  <si>
    <t xml:space="preserve">Year-3 covenant headroom, unitranche</t>
  </si>
  <si>
    <t xml:space="preserve">Year-3 covenant headroom, base case</t>
  </si>
  <si>
    <t xml:space="preserve">Rates scenario: SOFR in every year</t>
  </si>
  <si>
    <t xml:space="preserve">Year-1 cash interest, rates up</t>
  </si>
  <si>
    <t xml:space="preserve">Sponsor IRR, rates up</t>
  </si>
  <si>
    <t xml:space="preserve">Sponsor MOIC, rates up</t>
  </si>
  <si>
    <t xml:space="preserve">Year-3 covenant headroom, rates up (negative = a breach)</t>
  </si>
  <si>
    <t xml:space="preserve">Chapter 12: the deeper bad year and the three ways out</t>
  </si>
  <si>
    <t xml:space="preserve">Platform revenue growth in year 3</t>
  </si>
  <si>
    <t xml:space="preserve">Platform margin in year 3</t>
  </si>
  <si>
    <t xml:space="preserve">Margin shock in year 3</t>
  </si>
  <si>
    <t xml:space="preserve">Platform EBITDA in year 3</t>
  </si>
  <si>
    <t xml:space="preserve">Total EBITDA in year 3</t>
  </si>
  <si>
    <t xml:space="preserve">Net debt at the end of year 3</t>
  </si>
  <si>
    <t xml:space="preserve">Covenant EBITDA in year 3</t>
  </si>
  <si>
    <t xml:space="preserve">Covenant leverage in year 3</t>
  </si>
  <si>
    <t xml:space="preserve">Maximum allowed in year 3</t>
  </si>
  <si>
    <t xml:space="preserve">Breach (turns)</t>
  </si>
  <si>
    <t xml:space="preserve">If the lenders did nothing: sponsor IRR</t>
  </si>
  <si>
    <t xml:space="preserve">and MOIC</t>
  </si>
  <si>
    <t xml:space="preserve">The sponsor's multiple with the whole pool counted as exercised (the performance test)</t>
  </si>
  <si>
    <t xml:space="preserve">The test</t>
  </si>
  <si>
    <t xml:space="preserve">Option 1, the equity cure: the amount that restores the test</t>
  </si>
  <si>
    <t xml:space="preserve">The sponsor injects (rounded up to the tenth)</t>
  </si>
  <si>
    <t xml:space="preserve">Covenant leverage after the cure</t>
  </si>
  <si>
    <t xml:space="preserve">Headroom after the cure</t>
  </si>
  <si>
    <t xml:space="preserve">Sponsor IRR with the cure</t>
  </si>
  <si>
    <t xml:space="preserve">Sponsor MOIC with the cure</t>
  </si>
  <si>
    <t xml:space="preserve">Sponsor equity invested in total (closing plus the cure)</t>
  </si>
  <si>
    <t xml:space="preserve">of which at closing</t>
  </si>
  <si>
    <t xml:space="preserve">The sponsor's multiple with the whole pool counted, with the cure</t>
  </si>
  <si>
    <t xml:space="preserve">Option 2, amend and extend: consent fee, share of the term loan</t>
  </si>
  <si>
    <t xml:space="preserve">Consent fee paid in year 3</t>
  </si>
  <si>
    <t xml:space="preserve">Margin step-up for the rest of the loan</t>
  </si>
  <si>
    <t xml:space="preserve">Covenant reset on every remaining test</t>
  </si>
  <si>
    <t xml:space="preserve">New maximum in year 3</t>
  </si>
  <si>
    <t xml:space="preserve">Sponsor IRR with the amend and extend</t>
  </si>
  <si>
    <t xml:space="preserve">Sponsor MOIC with the amend and extend</t>
  </si>
  <si>
    <t xml:space="preserve">Extra cash interest in years 4 and 5 against the stress case</t>
  </si>
  <si>
    <t xml:space="preserve">The no-bad-year path: platform revenue growth in year 3</t>
  </si>
  <si>
    <t xml:space="preserve">Sponsor IRR with no bad year</t>
  </si>
  <si>
    <t xml:space="preserve">Sponsor MOIC with no bad year</t>
  </si>
  <si>
    <t xml:space="preserve">What the bad year cost in IRR</t>
  </si>
  <si>
    <t xml:space="preserve">and in exit equity</t>
  </si>
  <si>
    <t xml:space="preserve">Chapter 13: the dividend recapitalization</t>
  </si>
  <si>
    <t xml:space="preserve">Incremental term loan drawn at the end of year 4</t>
  </si>
  <si>
    <t xml:space="preserve">Fee paid</t>
  </si>
  <si>
    <t xml:space="preserve">Dividend to the sponsor</t>
  </si>
  <si>
    <t xml:space="preserve">Dividend to management's rollover shares</t>
  </si>
  <si>
    <t xml:space="preserve">Net leverage after the recap (end of year 4)</t>
  </si>
  <si>
    <t xml:space="preserve">Net debt after the recap</t>
  </si>
  <si>
    <t xml:space="preserve">Year-4 covenant headroom with the recap</t>
  </si>
  <si>
    <t xml:space="preserve">Year-4 covenant headroom without</t>
  </si>
  <si>
    <t xml:space="preserve">Net debt at exit with the recap</t>
  </si>
  <si>
    <t xml:space="preserve">Equity value at exit with the recap</t>
  </si>
  <si>
    <t xml:space="preserve">Exit equity given up</t>
  </si>
  <si>
    <t xml:space="preserve">of which the year of extra interest and the fee, net of tax (the rest is the dividend itself)</t>
  </si>
  <si>
    <t xml:space="preserve">Sponsor flow in year 4</t>
  </si>
  <si>
    <t xml:space="preserve">Sponsor flow in year 5</t>
  </si>
  <si>
    <t xml:space="preserve">Sponsor IRR with the recap</t>
  </si>
  <si>
    <t xml:space="preserve">Sponsor MOIC with the recap</t>
  </si>
  <si>
    <t xml:space="preserve">IRR added by the recap</t>
  </si>
  <si>
    <t xml:space="preserve">MOIC taken away by the recap</t>
  </si>
  <si>
    <t xml:space="preserve">Share of the sponsor's money returned a year before the exit</t>
  </si>
  <si>
    <t xml:space="preserve">Net leverage at exit with the recap</t>
  </si>
  <si>
    <t xml:space="preserve">Year-5 cash interest with the recap</t>
  </si>
  <si>
    <t xml:space="preserve">At an exit of 7.0x (Case_Recap_Exit_7x): the recapped deal's exit equity</t>
  </si>
  <si>
    <t xml:space="preserve">and the sponsor's multiple</t>
  </si>
  <si>
    <t xml:space="preserve">The minimal arithmetic of leverage: a toy company, not Kestrel (chapter 1)</t>
  </si>
  <si>
    <t xml:space="preserve">Three cases side by side: sold at the entry multiple; sold at 8.0x; EBITDA flat and sold at 10.0x. Amounts in millions of US dollars. Yellow = input; grey = formula.</t>
  </si>
  <si>
    <t xml:space="preserve">Sold at the entry multiple</t>
  </si>
  <si>
    <t xml:space="preserve">Sold at 8.0x</t>
  </si>
  <si>
    <t xml:space="preserve">EBITDA flat, sold at 10.0x</t>
  </si>
  <si>
    <t xml:space="preserve">Inputs</t>
  </si>
  <si>
    <t xml:space="preserve">Enterprise value at purchase</t>
  </si>
  <si>
    <t xml:space="preserve">EBITDA at purchase</t>
  </si>
  <si>
    <t xml:space="preserve">Debt at purchase</t>
  </si>
  <si>
    <t xml:space="preserve">EBITDA growth over the hold</t>
  </si>
  <si>
    <t xml:space="preserve">Debt paid down over the hold</t>
  </si>
  <si>
    <t xml:space="preserve">Holding period</t>
  </si>
  <si>
    <t xml:space="preserve">Entry multiple (enterprise value / EBITDA)</t>
  </si>
  <si>
    <t xml:space="preserve">With the debt</t>
  </si>
  <si>
    <t xml:space="preserve">Equity invested (enterprise value less debt)</t>
  </si>
  <si>
    <t xml:space="preserve">Debt at exit</t>
  </si>
  <si>
    <t xml:space="preserve">Equity at exit</t>
  </si>
  <si>
    <t xml:space="preserve">Multiple of money</t>
  </si>
  <si>
    <t xml:space="preserve">IRR (one flow in, one flow out)</t>
  </si>
  <si>
    <t xml:space="preserve">The same company bought with no debt (the paydown kept as cash)</t>
  </si>
  <si>
    <t xml:space="preserve">Multiple of money without debt</t>
  </si>
  <si>
    <t xml:space="preserve">IRR without debt</t>
  </si>
  <si>
    <t xml:space="preserve">Two turns of leverage in words (case A)</t>
  </si>
  <si>
    <t xml:space="preserve">Rise in enterprise value</t>
  </si>
  <si>
    <t xml:space="preserve">Rise in equity</t>
  </si>
  <si>
    <t xml:space="preserve">A fall in enterprise value of</t>
  </si>
  <si>
    <t xml:space="preserve">Enterprise value after the fall</t>
  </si>
  <si>
    <t xml:space="preserve">Equity left if the paydown still happens</t>
  </si>
  <si>
    <t xml:space="preserve">Equity left if it does not</t>
  </si>
  <si>
    <t xml:space="preserve">Loss on the equity in that case</t>
  </si>
  <si>
    <t xml:space="preserve">Case: Base case</t>
  </si>
  <si>
    <t xml:space="preserve">Scenario inputs at the top; the full model of the case below. Yellow = this scenario's own value; grey = follows Assumptions.</t>
  </si>
  <si>
    <t xml:space="preserve">Scenario inputs</t>
  </si>
  <si>
    <t xml:space="preserve">First-lien term loan B, multiple of EBITDA</t>
  </si>
  <si>
    <t xml:space="preserve">Second-lien loan, multiple of EBITDA</t>
  </si>
  <si>
    <t xml:space="preserve">Add-on acquired at the end of year 2 (1 = yes, 0 = no)</t>
  </si>
  <si>
    <t xml:space="preserve">Dividend recapitalization in the recap year (1 = yes, 0 = no)</t>
  </si>
  <si>
    <t xml:space="preserve">All-equity purchase, no debt (1 = yes, 0 = no)</t>
  </si>
  <si>
    <t xml:space="preserve">Amend and extend agreed in year 3 (1 = yes, 0 = no)</t>
  </si>
  <si>
    <t xml:space="preserve">Base rate (SOFR), flat in every year</t>
  </si>
  <si>
    <t xml:space="preserve">Exit fees, share of enterprise value at exit</t>
  </si>
  <si>
    <t xml:space="preserve">Debt held at a fixed share of total uses (0 = off; the mistaken sensitivity)</t>
  </si>
  <si>
    <t xml:space="preserve">Sources and uses at closing ($ millions)</t>
  </si>
  <si>
    <t xml:space="preserve">Underwriting EBITDA</t>
  </si>
  <si>
    <t xml:space="preserve">Enterprise value = entry multiple x underwriting EBITDA</t>
  </si>
  <si>
    <t xml:space="preserve">Debt if held at a fixed share of total uses (0 unless that switch is on)</t>
  </si>
  <si>
    <t xml:space="preserve">Second-lien loan</t>
  </si>
  <si>
    <t xml:space="preserve">First-lien term loan B</t>
  </si>
  <si>
    <t xml:space="preserve">Financing fees on the funded debt</t>
  </si>
  <si>
    <t xml:space="preserve">Uses</t>
  </si>
  <si>
    <t xml:space="preserve">Purchase of the equity (paid to the seller)</t>
  </si>
  <si>
    <t xml:space="preserve">Refinancing of net debt and debt-like items</t>
  </si>
  <si>
    <t xml:space="preserve">Transaction fees (expensed)</t>
  </si>
  <si>
    <t xml:space="preserve">Financing fees (capitalized)</t>
  </si>
  <si>
    <t xml:space="preserve">Cash to the balance sheet</t>
  </si>
  <si>
    <t xml:space="preserve">Total uses</t>
  </si>
  <si>
    <t xml:space="preserve">Sources</t>
  </si>
  <si>
    <t xml:space="preserve">Revolver drawn at closing</t>
  </si>
  <si>
    <t xml:space="preserve">Total equity (the balancing item)</t>
  </si>
  <si>
    <t xml:space="preserve">Management rollover</t>
  </si>
  <si>
    <t xml:space="preserve">Total sources</t>
  </si>
  <si>
    <t xml:space="preserve">Sources less uses (must be zero)</t>
  </si>
  <si>
    <t xml:space="preserve">Leverage and fees at closing</t>
  </si>
  <si>
    <t xml:space="preserve">Total debt</t>
  </si>
  <si>
    <t xml:space="preserve">Net debt / EBITDA</t>
  </si>
  <si>
    <t xml:space="preserve">Equity, share of total sources</t>
  </si>
  <si>
    <t xml:space="preserve">Debt, share of total sources</t>
  </si>
  <si>
    <t xml:space="preserve">Debt to enterprise value</t>
  </si>
  <si>
    <t xml:space="preserve">Fees of both kinds</t>
  </si>
  <si>
    <t xml:space="preserve">Fees, share of enterprise value</t>
  </si>
  <si>
    <t xml:space="preserve">Fees, share of the equity</t>
  </si>
  <si>
    <t xml:space="preserve">Equity needed at the comparison price with the same debt</t>
  </si>
  <si>
    <t xml:space="preserve">Operating model ($ millions)</t>
  </si>
  <si>
    <t xml:space="preserve">Platform revenue</t>
  </si>
  <si>
    <t xml:space="preserve">Platform EBITDA margin (year-0 margin + plan x improvement + shock)</t>
  </si>
  <si>
    <t xml:space="preserve">Platform EBITDA</t>
  </si>
  <si>
    <t xml:space="preserve">Add-on revenue (owned from the end of the add-on year)</t>
  </si>
  <si>
    <t xml:space="preserve">Add-on EBITDA</t>
  </si>
  <si>
    <t xml:space="preserve">Cost synergies achieved</t>
  </si>
  <si>
    <t xml:space="preserve">Revenue (the add-on counts from the year after its acquisition)</t>
  </si>
  <si>
    <t xml:space="preserve">EBITDA</t>
  </si>
  <si>
    <t xml:space="preserve">EBITDA margin</t>
  </si>
  <si>
    <t xml:space="preserve">Depreciation and amortization</t>
  </si>
  <si>
    <t xml:space="preserve">Capital expenditure</t>
  </si>
  <si>
    <t xml:space="preserve">Net working capital on the year's revenue</t>
  </si>
  <si>
    <t xml:space="preserve">Working capital arriving with the add-on (not through cash flow)</t>
  </si>
  <si>
    <t xml:space="preserve">Net working capital on the balance sheet</t>
  </si>
  <si>
    <t xml:space="preserve">Change in net working capital (cash use)</t>
  </si>
  <si>
    <t xml:space="preserve">Events and free cash flow ($ millions)</t>
  </si>
  <si>
    <t xml:space="preserve">Add-on purchase price</t>
  </si>
  <si>
    <t xml:space="preserve">Add-on fees (expensed)</t>
  </si>
  <si>
    <t xml:space="preserve">Incremental term loan drawn for the add-on</t>
  </si>
  <si>
    <t xml:space="preserve">Financing fee on the incremental loan (capitalized)</t>
  </si>
  <si>
    <t xml:space="preserve">Incremental term loan drawn for the recapitalization</t>
  </si>
  <si>
    <t xml:space="preserve">Recapitalization fee (expensed)</t>
  </si>
  <si>
    <t xml:space="preserve">Dividend paid to all shareholders</t>
  </si>
  <si>
    <t xml:space="preserve">Amend-and-extend consent fee (expensed)</t>
  </si>
  <si>
    <t xml:space="preserve">Equity cure received from the sponsor</t>
  </si>
  <si>
    <t xml:space="preserve">Free cash flow (EBITDA - cash taxes - cash interest - capex - change in NWC - expensed fees)</t>
  </si>
  <si>
    <t xml:space="preserve">Capital expenditure plus change in NWC</t>
  </si>
  <si>
    <t xml:space="preserve">Cash roll ($ millions)</t>
  </si>
  <si>
    <t xml:space="preserve">Opening cash</t>
  </si>
  <si>
    <t xml:space="preserve">Cash before the revolver and the sweep (opening + FCF - amortization - add-on and recap flows + cure)</t>
  </si>
  <si>
    <t xml:space="preserve">Closing cash (after the revolver draw or repayment and the sweep)</t>
  </si>
  <si>
    <t xml:space="preserve">Interest on opening balances ($ millions)</t>
  </si>
  <si>
    <t xml:space="preserve">Term loan margin (stepped up after an amend and extend)</t>
  </si>
  <si>
    <t xml:space="preserve">Term loan rate</t>
  </si>
  <si>
    <t xml:space="preserve">Term loan interest</t>
  </si>
  <si>
    <t xml:space="preserve">Second-lien interest</t>
  </si>
  <si>
    <t xml:space="preserve">Revolver interest and commitment fee</t>
  </si>
  <si>
    <t xml:space="preserve">Less interest on cash</t>
  </si>
  <si>
    <t xml:space="preserve">Net cash interest</t>
  </si>
  <si>
    <t xml:space="preserve">Amortization of capitalized financing fees (straight line over the remaining life)</t>
  </si>
  <si>
    <t xml:space="preserve">Interest cover (EBITDA / net cash interest)</t>
  </si>
  <si>
    <t xml:space="preserve">Debt service ($ millions)</t>
  </si>
  <si>
    <t xml:space="preserve">Mandatory amortization of the term loan</t>
  </si>
  <si>
    <t xml:space="preserve">Revolver drawn to hold the minimum cash</t>
  </si>
  <si>
    <t xml:space="preserve">Revolver repaid from cash above the minimum</t>
  </si>
  <si>
    <t xml:space="preserve">Cash before the sweep</t>
  </si>
  <si>
    <t xml:space="preserve">Sweep share (step rule on net leverage at the start of the year)</t>
  </si>
  <si>
    <t xml:space="preserve">Cash above the minimum, available for the sweep</t>
  </si>
  <si>
    <t xml:space="preserve">Excess cash flow sweep (only when the revolver is undrawn)</t>
  </si>
  <si>
    <t xml:space="preserve">Sweep above the available cash (must be zero)</t>
  </si>
  <si>
    <t xml:space="preserve">Balances at the year end ($ millions)</t>
  </si>
  <si>
    <t xml:space="preserve">Term loan original principal (for the mandatory amortization)</t>
  </si>
  <si>
    <t xml:space="preserve">Revolver drawn</t>
  </si>
  <si>
    <t xml:space="preserve">Cash</t>
  </si>
  <si>
    <t xml:space="preserve">Net debt</t>
  </si>
  <si>
    <t xml:space="preserve">Closing debt less (opening debt - repayments + draws) (must be zero)</t>
  </si>
  <si>
    <t xml:space="preserve">Income statement and tax ($ millions)</t>
  </si>
  <si>
    <t xml:space="preserve">EBIT (EBITDA - D&amp;A)</t>
  </si>
  <si>
    <t xml:space="preserve">Interest expense (net cash interest + fee amortization)</t>
  </si>
  <si>
    <t xml:space="preserve">Pretax income (after expensed deal fees)</t>
  </si>
  <si>
    <t xml:space="preserve">Deductible interest cap (share of EBITDA)</t>
  </si>
  <si>
    <t xml:space="preserve">Interest brought to the test (this year's plus the carryforward)</t>
  </si>
  <si>
    <t xml:space="preserve">Deductible interest</t>
  </si>
  <si>
    <t xml:space="preserve">Disallowed interest carried forward</t>
  </si>
  <si>
    <t xml:space="preserve">Taxable income before losses</t>
  </si>
  <si>
    <t xml:space="preserve">Tax losses used</t>
  </si>
  <si>
    <t xml:space="preserve">Tax losses carried forward</t>
  </si>
  <si>
    <t xml:space="preserve">Cash taxes</t>
  </si>
  <si>
    <t xml:space="preserve">Net income</t>
  </si>
  <si>
    <t xml:space="preserve">Tax without the interest cap (for comparison)</t>
  </si>
  <si>
    <t xml:space="preserve">Cash cost of the cap</t>
  </si>
  <si>
    <t xml:space="preserve">Balance sheet at the year end ($ millions)</t>
  </si>
  <si>
    <t xml:space="preserve">Net working capital</t>
  </si>
  <si>
    <t xml:space="preserve">Net fixed assets</t>
  </si>
  <si>
    <t xml:space="preserve">Goodwill and intangibles</t>
  </si>
  <si>
    <t xml:space="preserve">Capitalized financing fees</t>
  </si>
  <si>
    <t xml:space="preserve">Total assets</t>
  </si>
  <si>
    <t xml:space="preserve">Equity (book value)</t>
  </si>
  <si>
    <t xml:space="preserve">Debt and equity</t>
  </si>
  <si>
    <t xml:space="preserve">Assets less debt and equity (must be zero)</t>
  </si>
  <si>
    <t xml:space="preserve">Covenant test at each year end</t>
  </si>
  <si>
    <t xml:space="preserve">EBITDA pro forma for the add-on (full year in the year of acquisition)</t>
  </si>
  <si>
    <t xml:space="preserve">Run-rate synergy add-back (synergies not yet achieved, capped)</t>
  </si>
  <si>
    <t xml:space="preserve">Covenant EBITDA (pro forma + add-back + equity cure deemed EBITDA)</t>
  </si>
  <si>
    <t xml:space="preserve">Total net debt</t>
  </si>
  <si>
    <t xml:space="preserve">Covenant leverage (net debt / covenant EBITDA)</t>
  </si>
  <si>
    <t xml:space="preserve">Maximum allowed (reset after an amend and extend)</t>
  </si>
  <si>
    <t xml:space="preserve">Headroom (turns)</t>
  </si>
  <si>
    <t xml:space="preserve">EBITDA cushion (how far covenant EBITDA could fall)</t>
  </si>
  <si>
    <t xml:space="preserve">EBITDA cushion in dollars</t>
  </si>
  <si>
    <t xml:space="preserve">Equity cure that would restore the original test (0 if it passes)</t>
  </si>
  <si>
    <t xml:space="preserve">Breach without the synergy add-back (net debt / EBITDA less the original maximum)</t>
  </si>
  <si>
    <t xml:space="preserve">Breach in turns (covenant leverage less the maximum; negative when the test passes)</t>
  </si>
  <si>
    <t xml:space="preserve">Exit at the end of the holding period ($ millions)</t>
  </si>
  <si>
    <t xml:space="preserve">Enterprise value = exit multiple x EBITDA</t>
  </si>
  <si>
    <t xml:space="preserve">Less net debt at exit</t>
  </si>
  <si>
    <t xml:space="preserve">of which term loan</t>
  </si>
  <si>
    <t xml:space="preserve">of which second lien</t>
  </si>
  <si>
    <t xml:space="preserve">of which revolver</t>
  </si>
  <si>
    <t xml:space="preserve">less cash</t>
  </si>
  <si>
    <t xml:space="preserve">Less exit fees</t>
  </si>
  <si>
    <t xml:space="preserve">One turn of exit multiple, in equity after exit fees</t>
  </si>
  <si>
    <t xml:space="preserve">The shares, the options and the price per share</t>
  </si>
  <si>
    <t xml:space="preserve">Ordinary shares at closing (million)</t>
  </si>
  <si>
    <t xml:space="preserve">of which the sponsor</t>
  </si>
  <si>
    <t xml:space="preserve">Sponsor share of the ordinary shares at closing</t>
  </si>
  <si>
    <t xml:space="preserve">of which management's rollover</t>
  </si>
  <si>
    <t xml:space="preserve">Management share of the ordinary shares</t>
  </si>
  <si>
    <t xml:space="preserve">of which the CEO</t>
  </si>
  <si>
    <t xml:space="preserve">Equity cures received during the hold (new shares to the sponsor at the entry price)</t>
  </si>
  <si>
    <t xml:space="preserve">Ordinary shares at exit (million)</t>
  </si>
  <si>
    <t xml:space="preserve">Sponsor shares at exit (million)</t>
  </si>
  <si>
    <t xml:space="preserve">Options in the pool (million), on the shares at closing</t>
  </si>
  <si>
    <t xml:space="preserve">Price per share with the whole pool exercised (treasury method: the strike is paid in)</t>
  </si>
  <si>
    <t xml:space="preserve">Interim flows to the sponsor during the hold (dividends less cures)</t>
  </si>
  <si>
    <t xml:space="preserve">Sponsor multiple with the whole pool exercised (the performance test)</t>
  </si>
  <si>
    <t xml:space="preserve">Options vested: the whole pool if the test is met, half otherwise</t>
  </si>
  <si>
    <t xml:space="preserve">Price per share with the vested options exercised</t>
  </si>
  <si>
    <t xml:space="preserve">Options exercised (none if out of the money)</t>
  </si>
  <si>
    <t xml:space="preserve">Price per share at exit</t>
  </si>
  <si>
    <t xml:space="preserve">Who gets what</t>
  </si>
  <si>
    <t xml:space="preserve">Sponsor share of the equity value</t>
  </si>
  <si>
    <t xml:space="preserve">Management's rollover shares</t>
  </si>
  <si>
    <t xml:space="preserve">Value of the options (price less strike, on the options exercised)</t>
  </si>
  <si>
    <t xml:space="preserve">Sponsor + management shares + options - equity value (must be zero)</t>
  </si>
  <si>
    <t xml:space="preserve">Management in total (shares and options)</t>
  </si>
  <si>
    <t xml:space="preserve">Management multiple on the rollover</t>
  </si>
  <si>
    <t xml:space="preserve">The CEO's rollover shares</t>
  </si>
  <si>
    <t xml:space="preserve">The CEO's share of the option value</t>
  </si>
  <si>
    <t xml:space="preserve">The CEO in total, before tax</t>
  </si>
  <si>
    <t xml:space="preserve">The CEO's multiple on the rollover</t>
  </si>
  <si>
    <t xml:space="preserve">Sponsor proceeds had there been no option pool</t>
  </si>
  <si>
    <t xml:space="preserve">Cost of the pool to the sponsor</t>
  </si>
  <si>
    <t xml:space="preserve">Cash flows and returns ($ millions)</t>
  </si>
  <si>
    <t xml:space="preserve">Cumulative equity cures</t>
  </si>
  <si>
    <t xml:space="preserve">Sponsor shares outstanding (million)</t>
  </si>
  <si>
    <t xml:space="preserve">All shares outstanding (million)</t>
  </si>
  <si>
    <t xml:space="preserve">Interim flow to the sponsor (its share of the dividend, less the cure it funds)</t>
  </si>
  <si>
    <t xml:space="preserve">Sponsor cash flows</t>
  </si>
  <si>
    <t xml:space="preserve">All shareholders' cash flows</t>
  </si>
  <si>
    <t xml:space="preserve">Date of the flow (from the closing date)</t>
  </si>
  <si>
    <t xml:space="preserve">Sponsor IRR (annual flows at year ends)</t>
  </si>
  <si>
    <t xml:space="preserve">Sponsor IRR by XIRR on the dated flows</t>
  </si>
  <si>
    <t xml:space="preserve">Sponsor multiple of money (proceeds / equity invested)</t>
  </si>
  <si>
    <t xml:space="preserve">Sponsor equity invested in total (including cures)</t>
  </si>
  <si>
    <t xml:space="preserve">All shareholders' IRR</t>
  </si>
  <si>
    <t xml:space="preserve">All shareholders' multiple</t>
  </si>
  <si>
    <t xml:space="preserve">Gain of all shareholders (sum of the flows)</t>
  </si>
  <si>
    <t xml:space="preserve">Over the holding period</t>
  </si>
  <si>
    <t xml:space="preserve">Cumulative free cash flow</t>
  </si>
  <si>
    <t xml:space="preserve">Cumulative net cash interest</t>
  </si>
  <si>
    <t xml:space="preserve">Cumulative cash taxes</t>
  </si>
  <si>
    <t xml:space="preserve">Cumulative mandatory amortization</t>
  </si>
  <si>
    <t xml:space="preserve">Cumulative sweep</t>
  </si>
  <si>
    <t xml:space="preserve">Dividends paid</t>
  </si>
  <si>
    <t xml:space="preserve">Term loan repaid (mandatory plus sweep)</t>
  </si>
  <si>
    <t xml:space="preserve">Deleveraging: net debt at closing less net debt at exit</t>
  </si>
  <si>
    <t xml:space="preserve">EBITDA growth a year, compounded</t>
  </si>
  <si>
    <t xml:space="preserve">Revenue growth a year, compounded</t>
  </si>
  <si>
    <t xml:space="preserve">Case: Unitranche instead of first and second lien (chapter 6)</t>
  </si>
  <si>
    <t xml:space="preserve">Case: SOFR two points higher in every year (chapter 6)</t>
  </si>
  <si>
    <t xml:space="preserve">Case: No add-on (chapter 11)</t>
  </si>
  <si>
    <t xml:space="preserve">Case: No bad year: revenue up 4.0 percent in year 3, no margin shock (chapter 12)</t>
  </si>
  <si>
    <t xml:space="preserve">Case: Deeper bad year, the lenders do nothing (chapter 12)</t>
  </si>
  <si>
    <t xml:space="preserve">Case: Deeper bad year with an equity cure in year 3 (chapter 12)</t>
  </si>
  <si>
    <t xml:space="preserve">Case: Deeper bad year with an amend and extend (chapter 12)</t>
  </si>
  <si>
    <t xml:space="preserve">Case: Dividend recapitalization in year 4 (chapter 13)</t>
  </si>
  <si>
    <t xml:space="preserve">Case: Dividend recapitalization, exit at 7.0x (chapter 13)</t>
  </si>
  <si>
    <t xml:space="preserve">Case: Downside: half the plan, exit at 7.5x (chapters 9 and 16)</t>
  </si>
  <si>
    <t xml:space="preserve">Case: No excess cash flow sweep (chapter 16)</t>
  </si>
  <si>
    <t xml:space="preserve">Case: All-equity purchase: same price, same plan, no debt (chapter 15)</t>
  </si>
  <si>
    <t xml:space="preserve">Case: Entry at 8.0x with the debt held at the base case's share of total uses (the wrong table, chapters 16 and 19)</t>
  </si>
  <si>
    <t xml:space="preserve">Case: Entry at 8.5x with the debt held at the base case's share of total uses (the wrong table, chapters 16 and 19)</t>
  </si>
  <si>
    <t xml:space="preserve">Case: Entry at 9.0x with the debt held at the base case's share of total uses (the wrong table, chapters 16 and 19)</t>
  </si>
  <si>
    <t xml:space="preserve">Case: Entry at 9.5x with the debt held at the base case's share of total uses (the wrong table, chapters 16 and 19)</t>
  </si>
  <si>
    <t xml:space="preserve">Case: Entry at 10.0x with the debt held at the base case's share of total uses (the wrong table, chapters 16 and 19)</t>
  </si>
  <si>
    <t xml:space="preserve">Case: Total debt at closing 4.5x EBITDA (chapter 16)</t>
  </si>
  <si>
    <t xml:space="preserve">Case: Total debt at closing 5.0x EBITDA (chapter 16)</t>
  </si>
  <si>
    <t xml:space="preserve">Case: Total debt at closing 6.0x EBITDA (chapter 16)</t>
  </si>
  <si>
    <t xml:space="preserve">Case: Total debt at closing 6.5x EBITDA (chapter 16)</t>
  </si>
  <si>
    <t xml:space="preserve">Case: 0 percent of the margin plan delivered (chapter 16)</t>
  </si>
  <si>
    <t xml:space="preserve">Case: 50 percent of the margin plan delivered (chapter 16)</t>
  </si>
  <si>
    <t xml:space="preserve">Case: 150 percent of the margin plan delivered (chapter 16)</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</si>
  <si>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</si>
  <si>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</si>
  <si>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</si>
  <si>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</si>
  <si>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</si>
  <si>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</si>
  <si>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t>
  </si>
  <si>
    <t xml:space="preserve">Figure printed in the book (facts.json key), or logic check</t>
  </si>
  <si>
    <t xml:space="preserve">Book</t>
  </si>
  <si>
    <t xml:space="preserve">Workbook</t>
  </si>
  <si>
    <t xml:space="preserve">Difference</t>
  </si>
  <si>
    <t xml:space="preserve">Tolerance</t>
  </si>
  <si>
    <t xml:space="preserve">Status</t>
  </si>
  <si>
    <t xml:space="preserve">Toy_Company</t>
  </si>
  <si>
    <t xml:space="preserve">MIN_EV: Toy company, enterprise value at purchase, case A</t>
  </si>
  <si>
    <t xml:space="preserve">MIN_EBITDA: Toy company, ebitda at purchase, case A</t>
  </si>
  <si>
    <t xml:space="preserve">MIN_MULT: Toy company, entry multiple (enterprise value / ebitda), case A</t>
  </si>
  <si>
    <t xml:space="preserve">MIN_DEBT: Toy company, debt at purchase, case A</t>
  </si>
  <si>
    <t xml:space="preserve">MIN_EQ: Toy company, equity invested (enterprise value less debt), case A</t>
  </si>
  <si>
    <t xml:space="preserve">MIN_GROWTH: Toy company, ebitda growth over the hold, case A</t>
  </si>
  <si>
    <t xml:space="preserve">MIN_EBITDA1: Toy company, ebitda at exit, case A</t>
  </si>
  <si>
    <t xml:space="preserve">MIN_PAYDOWN: Toy company, debt paid down over the hold, case A</t>
  </si>
  <si>
    <t xml:space="preserve">MIN_DEBT1: Toy company, debt at exit, case A</t>
  </si>
  <si>
    <t xml:space="preserve">MIN_MULT_2: Toy company, exit multiple, case A</t>
  </si>
  <si>
    <t xml:space="preserve">MIN_EV1: Toy company, enterprise value at exit, case A</t>
  </si>
  <si>
    <t xml:space="preserve">MIN_EQ1: Toy company, equity at exit, case A</t>
  </si>
  <si>
    <t xml:space="preserve">MIN_MOIC: Toy company, multiple of money, case A</t>
  </si>
  <si>
    <t xml:space="preserve">MIN_IRR: Toy company, irr (one flow in, one flow out), case A</t>
  </si>
  <si>
    <t xml:space="preserve">MIN_EV_2: Toy company, enterprise value at purchase, case A</t>
  </si>
  <si>
    <t xml:space="preserve">MIN_PAYDOWN_2: Toy company, debt paid down over the hold, case A</t>
  </si>
  <si>
    <t xml:space="preserve">MIN_UNLEV_MOIC: Toy company, multiple of money without debt, case A</t>
  </si>
  <si>
    <t xml:space="preserve">MIN_UNLEV_IRR: Toy company, irr without debt, case A</t>
  </si>
  <si>
    <t xml:space="preserve">MIN_MULT8: Toy company, exit multiple, case B</t>
  </si>
  <si>
    <t xml:space="preserve">MIN_EV1_8: Toy company, enterprise value at exit, case B</t>
  </si>
  <si>
    <t xml:space="preserve">MIN_EQ1_8: Toy company, equity at exit, case B</t>
  </si>
  <si>
    <t xml:space="preserve">MIN_MOIC_8: Toy company, multiple of money, case B</t>
  </si>
  <si>
    <t xml:space="preserve">MIN_IRR_8: Toy company, irr (one flow in, one flow out), case B</t>
  </si>
  <si>
    <t xml:space="preserve">MIN_UNLEV_MOIC_8: Toy company, multiple of money without debt, case B</t>
  </si>
  <si>
    <t xml:space="preserve">MIN_UNLEV_IRR_8: Toy company, irr without debt, case B</t>
  </si>
  <si>
    <t xml:space="preserve">MIN_EBITDA_2: Toy company, ebitda at exit, case C</t>
  </si>
  <si>
    <t xml:space="preserve">MIN_MULT_3: Toy company, exit multiple, case C</t>
  </si>
  <si>
    <t xml:space="preserve">MIN_EQ1_FLAT: Toy company, equity at exit, case C</t>
  </si>
  <si>
    <t xml:space="preserve">MIN_MOIC_FLAT: Toy company, multiple of money, case C</t>
  </si>
  <si>
    <t xml:space="preserve">MIN_PAYDOWN_3: Toy company, debt paid down over the hold, case C</t>
  </si>
  <si>
    <t xml:space="preserve">MIN_IRR_FLAT: Toy company, irr (one flow in, one flow out), case C</t>
  </si>
  <si>
    <t xml:space="preserve">MIN_EV_MOVE: Rise in enterprise value</t>
  </si>
  <si>
    <t xml:space="preserve">MIN_EQ_MOVE: Rise in equity</t>
  </si>
  <si>
    <t xml:space="preserve">MIN_EV_DOWN: A fall in enterprise value of</t>
  </si>
  <si>
    <t xml:space="preserve">MIN_EV_DOWN_V: Enterprise value after the fall</t>
  </si>
  <si>
    <t xml:space="preserve">MIN_EQ_DOWN: Equity left if the paydown still happens</t>
  </si>
  <si>
    <t xml:space="preserve">MIN_EQ_3: Toy company, equity invested (enterprise value less debt), case A</t>
  </si>
  <si>
    <t xml:space="preserve">MIN_EQ_DOWN2: Equity left if it does not</t>
  </si>
  <si>
    <t xml:space="preserve">MIN_EQ_DOWN_PCT: Loss on the equity in that case</t>
  </si>
  <si>
    <t xml:space="preserve">Toy company: the equity gain equals the gain in enterprise value plus the debt paid down (case A)</t>
  </si>
  <si>
    <t xml:space="preserve">holds</t>
  </si>
  <si>
    <t xml:space="preserve">BASE: sources = uses</t>
  </si>
  <si>
    <t xml:space="preserve">BASE: the balance sheet closes every year (assets = debt + equity)</t>
  </si>
  <si>
    <t xml:space="preserve">BASE: closing debt = opening debt - repayments + draws, every year</t>
  </si>
  <si>
    <t xml:space="preserve">BASE: the sweep never exceeds the cash above the minimum</t>
  </si>
  <si>
    <t xml:space="preserve">BASE: cash never falls below the minimum while the revolver has room (levered cases)</t>
  </si>
  <si>
    <t xml:space="preserve">BASE: year-3 covenant headroom = maximum less covenant leverage</t>
  </si>
  <si>
    <t xml:space="preserve">BASE: sponsor + management shares + options = equity value at exit</t>
  </si>
  <si>
    <t xml:space="preserve">BASE: sponsor IRR by XIRR on dated flows equals the IRR shown within 0.0005</t>
  </si>
  <si>
    <t xml:space="preserve">BASE: the sponsor's multiple = proceeds / equity invested</t>
  </si>
  <si>
    <t xml:space="preserve">UNI: sources = uses</t>
  </si>
  <si>
    <t xml:space="preserve">UNI: the balance sheet closes every year (assets = debt + equity)</t>
  </si>
  <si>
    <t xml:space="preserve">UNI: closing debt = opening debt - repayments + draws, every year</t>
  </si>
  <si>
    <t xml:space="preserve">UNI: the sweep never exceeds the cash above the minimum</t>
  </si>
  <si>
    <t xml:space="preserve">UNI: cash never falls below the minimum while the revolver has room (levered cases)</t>
  </si>
  <si>
    <t xml:space="preserve">UNI: year-3 covenant headroom = maximum less covenant leverage</t>
  </si>
  <si>
    <t xml:space="preserve">UNI: sponsor + management shares + options = equity value at exit</t>
  </si>
  <si>
    <t xml:space="preserve">UNI: sponsor IRR by XIRR on dated flows equals the IRR shown within 0.0005</t>
  </si>
  <si>
    <t xml:space="preserve">UNI: the sponsor's multiple = proceeds / equity invested</t>
  </si>
  <si>
    <t xml:space="preserve">RATES: sources = uses</t>
  </si>
  <si>
    <t xml:space="preserve">RATES: the balance sheet closes every year (assets = debt + equity)</t>
  </si>
  <si>
    <t xml:space="preserve">RATES: closing debt = opening debt - repayments + draws, every year</t>
  </si>
  <si>
    <t xml:space="preserve">RATES: the sweep never exceeds the cash above the minimum</t>
  </si>
  <si>
    <t xml:space="preserve">RATES: cash never falls below the minimum while the revolver has room (levered cases)</t>
  </si>
  <si>
    <t xml:space="preserve">RATES: year-3 covenant headroom = maximum less covenant leverage</t>
  </si>
  <si>
    <t xml:space="preserve">RATES: sponsor + management shares + options = equity value at exit</t>
  </si>
  <si>
    <t xml:space="preserve">RATES: sponsor IRR by XIRR on dated flows equals the IRR shown within 0.0005</t>
  </si>
  <si>
    <t xml:space="preserve">RATES: the sponsor's multiple = proceeds / equity invested</t>
  </si>
  <si>
    <t xml:space="preserve">NOADDON: sources = uses</t>
  </si>
  <si>
    <t xml:space="preserve">NOADDON: the balance sheet closes every year (assets = debt + equity)</t>
  </si>
  <si>
    <t xml:space="preserve">NOADDON: closing debt = opening debt - repayments + draws, every year</t>
  </si>
  <si>
    <t xml:space="preserve">NOADDON: the sweep never exceeds the cash above the minimum</t>
  </si>
  <si>
    <t xml:space="preserve">NOADDON: cash never falls below the minimum while the revolver has room (levered cases)</t>
  </si>
  <si>
    <t xml:space="preserve">NOADDON: year-3 covenant headroom = maximum less covenant leverage</t>
  </si>
  <si>
    <t xml:space="preserve">NOADDON: sponsor + management shares + options = equity value at exit</t>
  </si>
  <si>
    <t xml:space="preserve">NOADDON: sponsor IRR by XIRR on dated flows equals the IRR shown within 0.0005</t>
  </si>
  <si>
    <t xml:space="preserve">NOADDON: the sponsor's multiple = proceeds / equity invested</t>
  </si>
  <si>
    <t xml:space="preserve">NOBAD: sources = uses</t>
  </si>
  <si>
    <t xml:space="preserve">NOBAD: the balance sheet closes every year (assets = debt + equity)</t>
  </si>
  <si>
    <t xml:space="preserve">NOBAD: closing debt = opening debt - repayments + draws, every year</t>
  </si>
  <si>
    <t xml:space="preserve">NOBAD: the sweep never exceeds the cash above the minimum</t>
  </si>
  <si>
    <t xml:space="preserve">NOBAD: cash never falls below the minimum while the revolver has room (levered cases)</t>
  </si>
  <si>
    <t xml:space="preserve">NOBAD: year-3 covenant headroom = maximum less covenant leverage</t>
  </si>
  <si>
    <t xml:space="preserve">NOBAD: sponsor + management shares + options = equity value at exit</t>
  </si>
  <si>
    <t xml:space="preserve">NOBAD: sponsor IRR by XIRR on dated flows equals the IRR shown within 0.0005</t>
  </si>
  <si>
    <t xml:space="preserve">NOBAD: the sponsor's multiple = proceeds / equity invested</t>
  </si>
  <si>
    <t xml:space="preserve">STRESS: sources = uses</t>
  </si>
  <si>
    <t xml:space="preserve">STRESS: the balance sheet closes every year (assets = debt + equity)</t>
  </si>
  <si>
    <t xml:space="preserve">STRESS: closing debt = opening debt - repayments + draws, every year</t>
  </si>
  <si>
    <t xml:space="preserve">STRESS: the sweep never exceeds the cash above the minimum</t>
  </si>
  <si>
    <t xml:space="preserve">STRESS: cash never falls below the minimum while the revolver has room (levered cases)</t>
  </si>
  <si>
    <t xml:space="preserve">STRESS: year-3 covenant headroom = maximum less covenant leverage</t>
  </si>
  <si>
    <t xml:space="preserve">STRESS: sponsor + management shares + options = equity value at exit</t>
  </si>
  <si>
    <t xml:space="preserve">STRESS: sponsor IRR by XIRR on dated flows equals the IRR shown within 0.0005</t>
  </si>
  <si>
    <t xml:space="preserve">STRESS: the sponsor's multiple = proceeds / equity invested</t>
  </si>
  <si>
    <t xml:space="preserve">CURE: sources = uses</t>
  </si>
  <si>
    <t xml:space="preserve">CURE: the balance sheet closes every year (assets = debt + equity)</t>
  </si>
  <si>
    <t xml:space="preserve">CURE: closing debt = opening debt - repayments + draws, every year</t>
  </si>
  <si>
    <t xml:space="preserve">CURE: the sweep never exceeds the cash above the minimum</t>
  </si>
  <si>
    <t xml:space="preserve">CURE: cash never falls below the minimum while the revolver has room (levered cases)</t>
  </si>
  <si>
    <t xml:space="preserve">CURE: year-3 covenant headroom = maximum less covenant leverage</t>
  </si>
  <si>
    <t xml:space="preserve">CURE: sponsor + management shares + options = equity value at exit</t>
  </si>
  <si>
    <t xml:space="preserve">CURE: sponsor IRR by XIRR on dated flows equals the IRR shown within 0.0005</t>
  </si>
  <si>
    <t xml:space="preserve">CURE: the sponsor's multiple = proceeds / equity invested</t>
  </si>
  <si>
    <t xml:space="preserve">AE: sources = uses</t>
  </si>
  <si>
    <t xml:space="preserve">AE: the balance sheet closes every year (assets = debt + equity)</t>
  </si>
  <si>
    <t xml:space="preserve">AE: closing debt = opening debt - repayments + draws, every year</t>
  </si>
  <si>
    <t xml:space="preserve">AE: the sweep never exceeds the cash above the minimum</t>
  </si>
  <si>
    <t xml:space="preserve">AE: cash never falls below the minimum while the revolver has room (levered cases)</t>
  </si>
  <si>
    <t xml:space="preserve">AE: year-3 covenant headroom = maximum less covenant leverage</t>
  </si>
  <si>
    <t xml:space="preserve">AE: sponsor + management shares + options = equity value at exit</t>
  </si>
  <si>
    <t xml:space="preserve">AE: sponsor IRR by XIRR on dated flows equals the IRR shown within 0.0005</t>
  </si>
  <si>
    <t xml:space="preserve">AE: the sponsor's multiple = proceeds / equity invested</t>
  </si>
  <si>
    <t xml:space="preserve">RECAP: sources = uses</t>
  </si>
  <si>
    <t xml:space="preserve">RECAP: the balance sheet closes every year (assets = debt + equity)</t>
  </si>
  <si>
    <t xml:space="preserve">RECAP: closing debt = opening debt - repayments + draws, every year</t>
  </si>
  <si>
    <t xml:space="preserve">RECAP: the sweep never exceeds the cash above the minimum</t>
  </si>
  <si>
    <t xml:space="preserve">RECAP: cash never falls below the minimum while the revolver has room (levered cases)</t>
  </si>
  <si>
    <t xml:space="preserve">RECAP: year-3 covenant headroom = maximum less covenant leverage</t>
  </si>
  <si>
    <t xml:space="preserve">RECAP: sponsor + management shares + options = equity value at exit</t>
  </si>
  <si>
    <t xml:space="preserve">RECAP: sponsor IRR by XIRR on dated flows equals the IRR shown within 0.0005</t>
  </si>
  <si>
    <t xml:space="preserve">RECAP: the sponsor's multiple = proceeds / equity invested</t>
  </si>
  <si>
    <t xml:space="preserve">RECAP7: sources = uses</t>
  </si>
  <si>
    <t xml:space="preserve">RECAP7: the balance sheet closes every year (assets = debt + equity)</t>
  </si>
  <si>
    <t xml:space="preserve">RECAP7: closing debt = opening debt - repayments + draws, every year</t>
  </si>
  <si>
    <t xml:space="preserve">RECAP7: the sweep never exceeds the cash above the minimum</t>
  </si>
  <si>
    <t xml:space="preserve">RECAP7: cash never falls below the minimum while the revolver has room (levered cases)</t>
  </si>
  <si>
    <t xml:space="preserve">RECAP7: year-3 covenant headroom = maximum less covenant leverage</t>
  </si>
  <si>
    <t xml:space="preserve">RECAP7: sponsor + management shares + options = equity value at exit</t>
  </si>
  <si>
    <t xml:space="preserve">RECAP7: sponsor IRR by XIRR on dated flows equals the IRR shown within 0.0005</t>
  </si>
  <si>
    <t xml:space="preserve">RECAP7: the sponsor's multiple = proceeds / equity invested</t>
  </si>
  <si>
    <t xml:space="preserve">DOWN: sources = uses</t>
  </si>
  <si>
    <t xml:space="preserve">DOWN: the balance sheet closes every year (assets = debt + equity)</t>
  </si>
  <si>
    <t xml:space="preserve">DOWN: closing debt = opening debt - repayments + draws, every year</t>
  </si>
  <si>
    <t xml:space="preserve">DOWN: the sweep never exceeds the cash above the minimum</t>
  </si>
  <si>
    <t xml:space="preserve">DOWN: cash never falls below the minimum while the revolver has room (levered cases)</t>
  </si>
  <si>
    <t xml:space="preserve">DOWN: year-3 covenant headroom = maximum less covenant leverage</t>
  </si>
  <si>
    <t xml:space="preserve">DOWN: sponsor + management shares + options = equity value at exit</t>
  </si>
  <si>
    <t xml:space="preserve">DOWN: sponsor IRR by XIRR on dated flows equals the IRR shown within 0.0005</t>
  </si>
  <si>
    <t xml:space="preserve">DOWN: the sponsor's multiple = proceeds / equity invested</t>
  </si>
  <si>
    <t xml:space="preserve">NOSWEEP: sources = uses</t>
  </si>
  <si>
    <t xml:space="preserve">NOSWEEP: the balance sheet closes every year (assets = debt + equity)</t>
  </si>
  <si>
    <t xml:space="preserve">NOSWEEP: closing debt = opening debt - repayments + draws, every year</t>
  </si>
  <si>
    <t xml:space="preserve">NOSWEEP: the sweep never exceeds the cash above the minimum</t>
  </si>
  <si>
    <t xml:space="preserve">NOSWEEP: cash never falls below the minimum while the revolver has room (levered cases)</t>
  </si>
  <si>
    <t xml:space="preserve">NOSWEEP: year-3 covenant headroom = maximum less covenant leverage</t>
  </si>
  <si>
    <t xml:space="preserve">NOSWEEP: sponsor + management shares + options = equity value at exit</t>
  </si>
  <si>
    <t xml:space="preserve">NOSWEEP: sponsor IRR by XIRR on dated flows equals the IRR shown within 0.0005</t>
  </si>
  <si>
    <t xml:space="preserve">NOSWEEP: the sponsor's multiple = proceeds / equity invested</t>
  </si>
  <si>
    <t xml:space="preserve">UNLEV: sources = uses</t>
  </si>
  <si>
    <t xml:space="preserve">UNLEV: the balance sheet closes every year (assets = debt + equity)</t>
  </si>
  <si>
    <t xml:space="preserve">UNLEV: closing debt = opening debt - repayments + draws, every year</t>
  </si>
  <si>
    <t xml:space="preserve">UNLEV: the sweep never exceeds the cash above the minimum</t>
  </si>
  <si>
    <t xml:space="preserve">UNLEV: cash never falls below the minimum while the revolver has room (levered cases)</t>
  </si>
  <si>
    <t xml:space="preserve">UNLEV: year-3 covenant headroom = maximum less covenant leverage</t>
  </si>
  <si>
    <t xml:space="preserve">UNLEV: sponsor + management shares + options = equity value at exit</t>
  </si>
  <si>
    <t xml:space="preserve">UNLEV: sponsor IRR by XIRR on dated flows equals the IRR shown within 0.0005</t>
  </si>
  <si>
    <t xml:space="preserve">UNLEV: the sponsor's multiple = proceeds / equity invested</t>
  </si>
  <si>
    <t xml:space="preserve">SR80: sources = uses</t>
  </si>
  <si>
    <t xml:space="preserve">SR80: the balance sheet closes every year (assets = debt + equity)</t>
  </si>
  <si>
    <t xml:space="preserve">SR80: closing debt = opening debt - repayments + draws, every year</t>
  </si>
  <si>
    <t xml:space="preserve">SR80: the sweep never exceeds the cash above the minimum</t>
  </si>
  <si>
    <t xml:space="preserve">SR80: cash never falls below the minimum while the revolver has room (levered cases)</t>
  </si>
  <si>
    <t xml:space="preserve">SR80: year-3 covenant headroom = maximum less covenant leverage</t>
  </si>
  <si>
    <t xml:space="preserve">SR80: sponsor + management shares + options = equity value at exit</t>
  </si>
  <si>
    <t xml:space="preserve">SR80: sponsor IRR by XIRR on dated flows equals the IRR shown within 0.0005</t>
  </si>
  <si>
    <t xml:space="preserve">SR80: the sponsor's multiple = proceeds / equity invested</t>
  </si>
  <si>
    <t xml:space="preserve">SR85: sources = uses</t>
  </si>
  <si>
    <t xml:space="preserve">SR85: the balance sheet closes every year (assets = debt + equity)</t>
  </si>
  <si>
    <t xml:space="preserve">SR85: closing debt = opening debt - repayments + draws, every year</t>
  </si>
  <si>
    <t xml:space="preserve">SR85: the sweep never exceeds the cash above the minimum</t>
  </si>
  <si>
    <t xml:space="preserve">SR85: cash never falls below the minimum while the revolver has room (levered cases)</t>
  </si>
  <si>
    <t xml:space="preserve">SR85: year-3 covenant headroom = maximum less covenant leverage</t>
  </si>
  <si>
    <t xml:space="preserve">SR85: sponsor + management shares + options = equity value at exit</t>
  </si>
  <si>
    <t xml:space="preserve">SR85: sponsor IRR by XIRR on dated flows equals the IRR shown within 0.0005</t>
  </si>
  <si>
    <t xml:space="preserve">SR85: the sponsor's multiple = proceeds / equity invested</t>
  </si>
  <si>
    <t xml:space="preserve">SR90: sources = uses</t>
  </si>
  <si>
    <t xml:space="preserve">SR90: the balance sheet closes every year (assets = debt + equity)</t>
  </si>
  <si>
    <t xml:space="preserve">SR90: closing debt = opening debt - repayments + draws, every year</t>
  </si>
  <si>
    <t xml:space="preserve">SR90: the sweep never exceeds the cash above the minimum</t>
  </si>
  <si>
    <t xml:space="preserve">SR90: cash never falls below the minimum while the revolver has room (levered cases)</t>
  </si>
  <si>
    <t xml:space="preserve">SR90: year-3 covenant headroom = maximum less covenant leverage</t>
  </si>
  <si>
    <t xml:space="preserve">SR90: sponsor + management shares + options = equity value at exit</t>
  </si>
  <si>
    <t xml:space="preserve">SR90: sponsor IRR by XIRR on dated flows equals the IRR shown within 0.0005</t>
  </si>
  <si>
    <t xml:space="preserve">SR90: the sponsor's multiple = proceeds / equity invested</t>
  </si>
  <si>
    <t xml:space="preserve">SR95: sources = uses</t>
  </si>
  <si>
    <t xml:space="preserve">SR95: the balance sheet closes every year (assets = debt + equity)</t>
  </si>
  <si>
    <t xml:space="preserve">SR95: closing debt = opening debt - repayments + draws, every year</t>
  </si>
  <si>
    <t xml:space="preserve">SR95: the sweep never exceeds the cash above the minimum</t>
  </si>
  <si>
    <t xml:space="preserve">SR95: cash never falls below the minimum while the revolver has room (levered cases)</t>
  </si>
  <si>
    <t xml:space="preserve">SR95: year-3 covenant headroom = maximum less covenant leverage</t>
  </si>
  <si>
    <t xml:space="preserve">SR95: sponsor + management shares + options = equity value at exit</t>
  </si>
  <si>
    <t xml:space="preserve">SR95: sponsor IRR by XIRR on dated flows equals the IRR shown within 0.0005</t>
  </si>
  <si>
    <t xml:space="preserve">SR95: the sponsor's multiple = proceeds / equity invested</t>
  </si>
  <si>
    <t xml:space="preserve">SR100: sources = uses</t>
  </si>
  <si>
    <t xml:space="preserve">SR100: the balance sheet closes every year (assets = debt + equity)</t>
  </si>
  <si>
    <t xml:space="preserve">SR100: closing debt = opening debt - repayments + draws, every year</t>
  </si>
  <si>
    <t xml:space="preserve">SR100: the sweep never exceeds the cash above the minimum</t>
  </si>
  <si>
    <t xml:space="preserve">SR100: cash never falls below the minimum while the revolver has room (levered cases)</t>
  </si>
  <si>
    <t xml:space="preserve">SR100: year-3 covenant headroom = maximum less covenant leverage</t>
  </si>
  <si>
    <t xml:space="preserve">SR100: sponsor + management shares + options = equity value at exit</t>
  </si>
  <si>
    <t xml:space="preserve">SR100: sponsor IRR by XIRR on dated flows equals the IRR shown within 0.0005</t>
  </si>
  <si>
    <t xml:space="preserve">SR100: the sponsor's multiple = proceeds / equity invested</t>
  </si>
  <si>
    <t xml:space="preserve">SL45: sources = uses</t>
  </si>
  <si>
    <t xml:space="preserve">SL45: the balance sheet closes every year (assets = debt + equity)</t>
  </si>
  <si>
    <t xml:space="preserve">SL45: closing debt = opening debt - repayments + draws, every year</t>
  </si>
  <si>
    <t xml:space="preserve">SL45: the sweep never exceeds the cash above the minimum</t>
  </si>
  <si>
    <t xml:space="preserve">SL45: cash never falls below the minimum while the revolver has room (levered cases)</t>
  </si>
  <si>
    <t xml:space="preserve">SL45: year-3 covenant headroom = maximum less covenant leverage</t>
  </si>
  <si>
    <t xml:space="preserve">SL45: sponsor + management shares + options = equity value at exit</t>
  </si>
  <si>
    <t xml:space="preserve">SL45: sponsor IRR by XIRR on dated flows equals the IRR shown within 0.0005</t>
  </si>
  <si>
    <t xml:space="preserve">SL45: the sponsor's multiple = proceeds / equity invested</t>
  </si>
  <si>
    <t xml:space="preserve">SL50: sources = uses</t>
  </si>
  <si>
    <t xml:space="preserve">SL50: the balance sheet closes every year (assets = debt + equity)</t>
  </si>
  <si>
    <t xml:space="preserve">SL50: closing debt = opening debt - repayments + draws, every year</t>
  </si>
  <si>
    <t xml:space="preserve">SL50: the sweep never exceeds the cash above the minimum</t>
  </si>
  <si>
    <t xml:space="preserve">SL50: cash never falls below the minimum while the revolver has room (levered cases)</t>
  </si>
  <si>
    <t xml:space="preserve">SL50: year-3 covenant headroom = maximum less covenant leverage</t>
  </si>
  <si>
    <t xml:space="preserve">SL50: sponsor + management shares + options = equity value at exit</t>
  </si>
  <si>
    <t xml:space="preserve">SL50: sponsor IRR by XIRR on dated flows equals the IRR shown within 0.0005</t>
  </si>
  <si>
    <t xml:space="preserve">SL50: the sponsor's multiple = proceeds / equity invested</t>
  </si>
  <si>
    <t xml:space="preserve">SL60: sources = uses</t>
  </si>
  <si>
    <t xml:space="preserve">SL60: the balance sheet closes every year (assets = debt + equity)</t>
  </si>
  <si>
    <t xml:space="preserve">SL60: closing debt = opening debt - repayments + draws, every year</t>
  </si>
  <si>
    <t xml:space="preserve">SL60: the sweep never exceeds the cash above the minimum</t>
  </si>
  <si>
    <t xml:space="preserve">SL60: cash never falls below the minimum while the revolver has room (levered cases)</t>
  </si>
  <si>
    <t xml:space="preserve">SL60: year-3 covenant headroom = maximum less covenant leverage</t>
  </si>
  <si>
    <t xml:space="preserve">SL60: sponsor + management shares + options = equity value at exit</t>
  </si>
  <si>
    <t xml:space="preserve">SL60: sponsor IRR by XIRR on dated flows equals the IRR shown within 0.0005</t>
  </si>
  <si>
    <t xml:space="preserve">SL60: the sponsor's multiple = proceeds / equity invested</t>
  </si>
  <si>
    <t xml:space="preserve">SL65: sources = uses</t>
  </si>
  <si>
    <t xml:space="preserve">SL65: the balance sheet closes every year (assets = debt + equity)</t>
  </si>
  <si>
    <t xml:space="preserve">SL65: closing debt = opening debt - repayments + draws, every year</t>
  </si>
  <si>
    <t xml:space="preserve">SL65: the sweep never exceeds the cash above the minimum</t>
  </si>
  <si>
    <t xml:space="preserve">SL65: cash never falls below the minimum while the revolver has room (levered cases)</t>
  </si>
  <si>
    <t xml:space="preserve">SL65: year-3 covenant headroom = maximum less covenant leverage</t>
  </si>
  <si>
    <t xml:space="preserve">SL65: sponsor + management shares + options = equity value at exit</t>
  </si>
  <si>
    <t xml:space="preserve">SL65: sponsor IRR by XIRR on dated flows equals the IRR shown within 0.0005</t>
  </si>
  <si>
    <t xml:space="preserve">SL65: the sponsor's multiple = proceeds / equity invested</t>
  </si>
  <si>
    <t xml:space="preserve">SP0: sources = uses</t>
  </si>
  <si>
    <t xml:space="preserve">SP0: the balance sheet closes every year (assets = debt + equity)</t>
  </si>
  <si>
    <t xml:space="preserve">SP0: closing debt = opening debt - repayments + draws, every year</t>
  </si>
  <si>
    <t xml:space="preserve">SP0: the sweep never exceeds the cash above the minimum</t>
  </si>
  <si>
    <t xml:space="preserve">SP0: cash never falls below the minimum while the revolver has room (levered cases)</t>
  </si>
  <si>
    <t xml:space="preserve">SP0: year-3 covenant headroom = maximum less covenant leverage</t>
  </si>
  <si>
    <t xml:space="preserve">SP0: sponsor + management shares + options = equity value at exit</t>
  </si>
  <si>
    <t xml:space="preserve">SP0: sponsor IRR by XIRR on dated flows equals the IRR shown within 0.0005</t>
  </si>
  <si>
    <t xml:space="preserve">SP0: the sponsor's multiple = proceeds / equity invested</t>
  </si>
  <si>
    <t xml:space="preserve">SP50: sources = uses</t>
  </si>
  <si>
    <t xml:space="preserve">SP50: the balance sheet closes every year (assets = debt + equity)</t>
  </si>
  <si>
    <t xml:space="preserve">SP50: closing debt = opening debt - repayments + draws, every year</t>
  </si>
  <si>
    <t xml:space="preserve">SP50: the sweep never exceeds the cash above the minimum</t>
  </si>
  <si>
    <t xml:space="preserve">SP50: cash never falls below the minimum while the revolver has room (levered cases)</t>
  </si>
  <si>
    <t xml:space="preserve">SP50: year-3 covenant headroom = maximum less covenant leverage</t>
  </si>
  <si>
    <t xml:space="preserve">SP50: sponsor + management shares + options = equity value at exit</t>
  </si>
  <si>
    <t xml:space="preserve">SP50: sponsor IRR by XIRR on dated flows equals the IRR shown within 0.0005</t>
  </si>
  <si>
    <t xml:space="preserve">SP50: the sponsor's multiple = proceeds / equity invested</t>
  </si>
  <si>
    <t xml:space="preserve">SP150: sources = uses</t>
  </si>
  <si>
    <t xml:space="preserve">SP150: the balance sheet closes every year (assets = debt + equity)</t>
  </si>
  <si>
    <t xml:space="preserve">SP150: closing debt = opening debt - repayments + draws, every year</t>
  </si>
  <si>
    <t xml:space="preserve">SP150: the sweep never exceeds the cash above the minimum</t>
  </si>
  <si>
    <t xml:space="preserve">SP150: cash never falls below the minimum while the revolver has room (levered cases)</t>
  </si>
  <si>
    <t xml:space="preserve">SP150: year-3 covenant headroom = maximum less covenant leverage</t>
  </si>
  <si>
    <t xml:space="preserve">SP150: sponsor + management shares + options = equity value at exit</t>
  </si>
  <si>
    <t xml:space="preserve">SP150: sponsor IRR by XIRR on dated flows equals the IRR shown within 0.0005</t>
  </si>
  <si>
    <t xml:space="preserve">SP150: the sponsor's multiple = proceeds / equity invested</t>
  </si>
  <si>
    <t xml:space="preserve">Bridge</t>
  </si>
  <si>
    <t xml:space="preserve">BR_GROWTH: EBITDA growth x entry multiple</t>
  </si>
  <si>
    <t xml:space="preserve">BR_GROWTH_PCT: EBITDA growth x entry multiple, share of the gain</t>
  </si>
  <si>
    <t xml:space="preserve">BR_MULT: Multiple change x exit EBITDA</t>
  </si>
  <si>
    <t xml:space="preserve">BR_MULT_PCT: Multiple change x exit EBITDA, share of the gain</t>
  </si>
  <si>
    <t xml:space="preserve">BR_DELEVER: Deleveraging: net debt at entry less net debt at exit</t>
  </si>
  <si>
    <t xml:space="preserve">BR_DELEVER_PCT: Deleveraging: net debt at entry less net debt at exit, share of the gain</t>
  </si>
  <si>
    <t xml:space="preserve">BR_FEES_ENTRY: Fees at entry: transaction fees plus financing fees</t>
  </si>
  <si>
    <t xml:space="preserve">BR_FEES_EXIT: Fees at exit</t>
  </si>
  <si>
    <t xml:space="preserve">BR_FEES: Fees at entry and exit (negative)</t>
  </si>
  <si>
    <t xml:space="preserve">BR_FEES_PCT: Fees at entry and exit (negative), share of the gain</t>
  </si>
  <si>
    <t xml:space="preserve">BR_TOTAL: Total: the sum of the components</t>
  </si>
  <si>
    <t xml:space="preserve">BR_TOTAL_PCT: Total, share of the gain</t>
  </si>
  <si>
    <t xml:space="preserve">BR_PLATFORM: The platform: (platform EBITDA at exit - EBITDA at entry) x entry multiple</t>
  </si>
  <si>
    <t xml:space="preserve">BR_ADDON_15: The add-on with its synergies, at the entry multiple</t>
  </si>
  <si>
    <t xml:space="preserve">BR_ADDON: The add-on with its synergies, at the entry multiple</t>
  </si>
  <si>
    <t xml:space="preserve">BR_GROWTH_11: EBITDA growth x entry multiple</t>
  </si>
  <si>
    <t xml:space="preserve">EBITDA5_15: EBITDA of the exit year</t>
  </si>
  <si>
    <t xml:space="preserve">EBITDA0_15: Underwriting EBITDA at entry</t>
  </si>
  <si>
    <t xml:space="preserve">ENTRY_MULT_15: Entry multiple</t>
  </si>
  <si>
    <t xml:space="preserve">EXIT_MULT_15: Exit multiple</t>
  </si>
  <si>
    <t xml:space="preserve">ENTRY_MULT_15B: Entry multiple</t>
  </si>
  <si>
    <t xml:space="preserve">EBITDA5_15B: EBITDA of the exit year</t>
  </si>
  <si>
    <t xml:space="preserve">NETDEBT0_15: Net debt at closing</t>
  </si>
  <si>
    <t xml:space="preserve">NETDEBT5_15: Net debt at exit</t>
  </si>
  <si>
    <t xml:space="preserve">EQ_EXIT_15: Equity value at exit</t>
  </si>
  <si>
    <t xml:space="preserve">EQUITY0_15: Equity invested by all shareholders</t>
  </si>
  <si>
    <t xml:space="preserve">EBITDA_P5_15: Platform EBITDA of the exit year</t>
  </si>
  <si>
    <t xml:space="preserve">EBITDA0_15B: Underwriting EBITDA at entry</t>
  </si>
  <si>
    <t xml:space="preserve">ENTRY_MULT_15C: Entry multiple</t>
  </si>
  <si>
    <t xml:space="preserve">EV_GAIN: Gain in enterprise value</t>
  </si>
  <si>
    <t xml:space="preserve">EV_GAIN_PCT: Gain in enterprise value, share of the entry value</t>
  </si>
  <si>
    <t xml:space="preserve">EV_CAGR: Enterprise value growth a year, compounded</t>
  </si>
  <si>
    <t xml:space="preserve">EQ_GAIN_PCT: Gain on the equity, share of the equity invested</t>
  </si>
  <si>
    <t xml:space="preserve">L2_GAIN: Total: the sum of the components</t>
  </si>
  <si>
    <t xml:space="preserve">L2_GROWTH: EBITDA growth x entry multiple</t>
  </si>
  <si>
    <t xml:space="preserve">L2_DELEVER: Deleveraging: net debt at entry less net debt at exit</t>
  </si>
  <si>
    <t xml:space="preserve">L2_FEES: Fees of both ends together</t>
  </si>
  <si>
    <t xml:space="preserve">ARB_MULT: Add-on EBITDA at exit x (exit multiple - add-on price multiple)</t>
  </si>
  <si>
    <t xml:space="preserve">ARB_SYN: Synergies at the exit multiple</t>
  </si>
  <si>
    <t xml:space="preserve">AEBITDA5_GROWTH: The add-on's own EBITDA growth since acquisition</t>
  </si>
  <si>
    <t xml:space="preserve">ARB_GROWTH: That growth at the exit multiple</t>
  </si>
  <si>
    <t xml:space="preserve">ADDON_EQ_GAIN: What the add-on added to the exit equity</t>
  </si>
  <si>
    <t xml:space="preserve">ADDON_EQ_GAIN_2: What the add-on added to the exit equity</t>
  </si>
  <si>
    <t xml:space="preserve">ADDON_IRR_GAIN: What the add-on added to the sponsor IRR</t>
  </si>
  <si>
    <t xml:space="preserve">NOADDON_EBITDA5: Without the add-on: EBITDA of the exit year (Case_No_Addon)</t>
  </si>
  <si>
    <t xml:space="preserve">NOADDON_EQ: Without the add-on: equity value at exit</t>
  </si>
  <si>
    <t xml:space="preserve">NOADDON_IRR: Without the add-on: sponsor IRR</t>
  </si>
  <si>
    <t xml:space="preserve">NOADDON_MOIC: Without the add-on: sponsor MOIC</t>
  </si>
  <si>
    <t xml:space="preserve">UNLEV_EQ: Equity invested with no debt</t>
  </si>
  <si>
    <t xml:space="preserve">UNLEV_EXIT: Equity value at exit (enterprise value plus cash less exit fees)</t>
  </si>
  <si>
    <t xml:space="preserve">UNLEV_EV: Enterprise value at exit</t>
  </si>
  <si>
    <t xml:space="preserve">UNLEV_CASH5: Cash at exit</t>
  </si>
  <si>
    <t xml:space="preserve">UNLEV_IRR: Sponsor IRR with no debt</t>
  </si>
  <si>
    <t xml:space="preserve">UNLEV_MOIC: Sponsor MOIC with no debt</t>
  </si>
  <si>
    <t xml:space="preserve">UNLEV_IRR_2: Sponsor IRR with no debt</t>
  </si>
  <si>
    <t xml:space="preserve">IRR_15: Sponsor IRR with the debt (Case_Base)</t>
  </si>
  <si>
    <t xml:space="preserve">LEV_EFFECT: The effect of leverage on the IRR</t>
  </si>
  <si>
    <t xml:space="preserve">UNLEV_TAX: Cumulative cash taxes with no debt</t>
  </si>
  <si>
    <t xml:space="preserve">TAX_TOT_15: Cumulative cash taxes with the debt</t>
  </si>
  <si>
    <t xml:space="preserve">TAX_SHIELD: The tax shield over the hold</t>
  </si>
  <si>
    <t xml:space="preserve">INT_TOT_15: Cumulative cash interest with the debt</t>
  </si>
  <si>
    <t xml:space="preserve">L3_UNLEV: Sponsor IRR with no debt</t>
  </si>
  <si>
    <t xml:space="preserve">EV_EXIT_15: Enterprise value = exit multiple x EBITDA</t>
  </si>
  <si>
    <t xml:space="preserve">EV0_15: Enterprise value = entry multiple x underwriting EBITDA</t>
  </si>
  <si>
    <t xml:space="preserve">L2_TURN: One turn of exit multiple, in equity after exit fees</t>
  </si>
  <si>
    <t xml:space="preserve">Bridge: the components add exactly to the gain of all shareholders</t>
  </si>
  <si>
    <t xml:space="preserve">Bridge: the platform and the add-on split adds to the EBITDA-growth term</t>
  </si>
  <si>
    <t xml:space="preserve">Bridge: leverage raises the IRR above the all-equity purchase</t>
  </si>
  <si>
    <t xml:space="preserve">Sensitivities</t>
  </si>
  <si>
    <t xml:space="preserve">SE7_M: Exit at 7.0x: exit multiple</t>
  </si>
  <si>
    <t xml:space="preserve">SE7_EV: Exit at 7.0x: enterprise value at exit</t>
  </si>
  <si>
    <t xml:space="preserve">SE7_EQ: Exit at 7.0x: equity value at exit</t>
  </si>
  <si>
    <t xml:space="preserve">SE7_IRR: Exit at 7.0x: sponsor IRR</t>
  </si>
  <si>
    <t xml:space="preserve">SE7_MOIC: Exit at 7.0x: sponsor MOIC</t>
  </si>
  <si>
    <t xml:space="preserve">SE8_M: Exit at 8.0x: exit multiple</t>
  </si>
  <si>
    <t xml:space="preserve">SE8_EV: Exit at 8.0x: enterprise value at exit</t>
  </si>
  <si>
    <t xml:space="preserve">SE8_EQ: Exit at 8.0x: equity value at exit</t>
  </si>
  <si>
    <t xml:space="preserve">SE8_IRR: Exit at 8.0x: sponsor IRR</t>
  </si>
  <si>
    <t xml:space="preserve">SE8_MOIC: Exit at 8.0x: sponsor MOIC</t>
  </si>
  <si>
    <t xml:space="preserve">SE9_M: Exit at 9.0x: exit multiple</t>
  </si>
  <si>
    <t xml:space="preserve">SE9_EV: Exit at 9.0x: enterprise value at exit</t>
  </si>
  <si>
    <t xml:space="preserve">SE9_EQ: Exit at 9.0x: equity value at exit</t>
  </si>
  <si>
    <t xml:space="preserve">SE9_IRR: Exit at 9.0x: sponsor IRR</t>
  </si>
  <si>
    <t xml:space="preserve">SE9_MOIC: Exit at 9.0x: sponsor MOIC</t>
  </si>
  <si>
    <t xml:space="preserve">SE10_M: Exit at 10.0x: exit multiple</t>
  </si>
  <si>
    <t xml:space="preserve">SE10_EV: Exit at 10.0x: enterprise value at exit</t>
  </si>
  <si>
    <t xml:space="preserve">SE10_EQ: Exit at 10.0x: equity value at exit</t>
  </si>
  <si>
    <t xml:space="preserve">SE10_IRR: Exit at 10.0x: sponsor IRR</t>
  </si>
  <si>
    <t xml:space="preserve">SE10_MOIC: Exit at 10.0x: sponsor MOIC</t>
  </si>
  <si>
    <t xml:space="preserve">SE11_M: Exit at 11.0x: exit multiple</t>
  </si>
  <si>
    <t xml:space="preserve">SE11_EV: Exit at 11.0x: enterprise value at exit</t>
  </si>
  <si>
    <t xml:space="preserve">SE11_EQ: Exit at 11.0x: equity value at exit</t>
  </si>
  <si>
    <t xml:space="preserve">SE11_IRR: Exit at 11.0x: sponsor IRR</t>
  </si>
  <si>
    <t xml:space="preserve">SE11_MOIC: Exit at 11.0x: sponsor MOIC</t>
  </si>
  <si>
    <t xml:space="preserve">SE_9: Exit at 9.0x: exit multiple</t>
  </si>
  <si>
    <t xml:space="preserve">SE_8: Exit at 8.0x: exit multiple</t>
  </si>
  <si>
    <t xml:space="preserve">SE_DOWN1: From 9.0x to 8.0x: change in sponsor IRR</t>
  </si>
  <si>
    <t xml:space="preserve">SE_10: Exit at 10.0x: exit multiple</t>
  </si>
  <si>
    <t xml:space="preserve">SE_UP1: From 9.0x to 10.0x: change in sponsor IRR</t>
  </si>
  <si>
    <t xml:space="preserve">SE_MOIC_2: Exit at 9.0x: sponsor MOIC</t>
  </si>
  <si>
    <t xml:space="preserve">SE_9B: Exit at 9.0x: exit multiple</t>
  </si>
  <si>
    <t xml:space="preserve">SE_MOIC_7: Exit at 7.0x: sponsor MOIC</t>
  </si>
  <si>
    <t xml:space="preserve">SE_7: Exit at 7.0x: exit multiple</t>
  </si>
  <si>
    <t xml:space="preserve">SE_IRR_11: Exit at 11.0x: sponsor IRR</t>
  </si>
  <si>
    <t xml:space="preserve">SE_IRR_7: Exit at 7.0x: sponsor IRR</t>
  </si>
  <si>
    <t xml:space="preserve">EXIT8_14: Exit at 8.0x: exit multiple</t>
  </si>
  <si>
    <t xml:space="preserve">EQ_AT8: Exit at 8.0x: equity value at exit</t>
  </si>
  <si>
    <t xml:space="preserve">EXIT10_14: Exit at 10.0x: exit multiple</t>
  </si>
  <si>
    <t xml:space="preserve">EQ_AT10: Exit at 10.0x: equity value at exit</t>
  </si>
  <si>
    <t xml:space="preserve">EXIT7: Exit at 7.0x: exit multiple</t>
  </si>
  <si>
    <t xml:space="preserve">MOIC_AT7_13: Exit at 7.0x: sponsor MOIC</t>
  </si>
  <si>
    <t xml:space="preserve">TURN_WORTH: One turn of exit multiple, in IRR (9.0x against 8.0x)</t>
  </si>
  <si>
    <t xml:space="preserve">L5_TURN: One turn of exit multiple, in IRR (9.0x against 8.0x)</t>
  </si>
  <si>
    <t xml:space="preserve">Sensitivities: the closed-form exit at the base multiples reproduces Case_Base's IRR and MOIC</t>
  </si>
  <si>
    <t xml:space="preserve">SN80_M: Entry at 8.0x: entry multiple</t>
  </si>
  <si>
    <t xml:space="preserve">SN80_EV: Entry at 8.0x: enterprise value at entry</t>
  </si>
  <si>
    <t xml:space="preserve">SN80_EQ: Entry at 8.0x: equity invested</t>
  </si>
  <si>
    <t xml:space="preserve">SN80_IRR: Entry at 8.0x: sponsor IRR</t>
  </si>
  <si>
    <t xml:space="preserve">SN80_MOIC: Entry at 8.0x: sponsor MOIC</t>
  </si>
  <si>
    <t xml:space="preserve">SN85_M: Entry at 8.5x: entry multiple</t>
  </si>
  <si>
    <t xml:space="preserve">SN85_EV: Entry at 8.5x: enterprise value at entry</t>
  </si>
  <si>
    <t xml:space="preserve">SN85_EQ: Entry at 8.5x: equity invested</t>
  </si>
  <si>
    <t xml:space="preserve">SN85_IRR: Entry at 8.5x: sponsor IRR</t>
  </si>
  <si>
    <t xml:space="preserve">SN85_MOIC: Entry at 8.5x: sponsor MOIC</t>
  </si>
  <si>
    <t xml:space="preserve">SN90_M: Entry at 9.0x: entry multiple</t>
  </si>
  <si>
    <t xml:space="preserve">SN90_EV: Entry at 9.0x: enterprise value at entry</t>
  </si>
  <si>
    <t xml:space="preserve">SN90_EQ: Entry at 9.0x: equity invested</t>
  </si>
  <si>
    <t xml:space="preserve">SN90_IRR: Entry at 9.0x: sponsor IRR</t>
  </si>
  <si>
    <t xml:space="preserve">SN90_MOIC: Entry at 9.0x: sponsor MOIC</t>
  </si>
  <si>
    <t xml:space="preserve">SN95_M: Entry at 9.5x: entry multiple</t>
  </si>
  <si>
    <t xml:space="preserve">SN95_EV: Entry at 9.5x: enterprise value at entry</t>
  </si>
  <si>
    <t xml:space="preserve">SN95_EQ: Entry at 9.5x: equity invested</t>
  </si>
  <si>
    <t xml:space="preserve">SN95_IRR: Entry at 9.5x: sponsor IRR</t>
  </si>
  <si>
    <t xml:space="preserve">SN95_MOIC: Entry at 9.5x: sponsor MOIC</t>
  </si>
  <si>
    <t xml:space="preserve">SN100_M: Entry at 10.0x: entry multiple</t>
  </si>
  <si>
    <t xml:space="preserve">SN100_EV: Entry at 10.0x: enterprise value at entry</t>
  </si>
  <si>
    <t xml:space="preserve">SN100_EQ: Entry at 10.0x: equity invested</t>
  </si>
  <si>
    <t xml:space="preserve">SN100_IRR: Entry at 10.0x: sponsor IRR</t>
  </si>
  <si>
    <t xml:space="preserve">SN100_MOIC: Entry at 10.0x: sponsor MOIC</t>
  </si>
  <si>
    <t xml:space="preserve">HALF_TURN: Half a turn of price, in equity</t>
  </si>
  <si>
    <t xml:space="preserve">SN_9: Entry at 9.0x: entry multiple</t>
  </si>
  <si>
    <t xml:space="preserve">SN_95: Entry at 9.5x: entry multiple</t>
  </si>
  <si>
    <t xml:space="preserve">SN_DOWN: From 9.0x to 9.5x: change in sponsor IRR (a cost)</t>
  </si>
  <si>
    <t xml:space="preserve">SN_85: Entry at 8.5x: entry multiple</t>
  </si>
  <si>
    <t xml:space="preserve">SN_UP: From 9.0x to 8.5x: change in sponsor IRR (a gain)</t>
  </si>
  <si>
    <t xml:space="preserve">SN_IRR_10: Entry at 10.0x: sponsor IRR</t>
  </si>
  <si>
    <t xml:space="preserve">HALF_TURN_WORTH: From 9.0x to 9.5x: change in sponsor IRR (a cost)</t>
  </si>
  <si>
    <t xml:space="preserve">L5_PRICE: From 9.0x to 9.5x: change in sponsor IRR (a cost)</t>
  </si>
  <si>
    <t xml:space="preserve">SR80_M: Wrong table, entry at 8.0x: M</t>
  </si>
  <si>
    <t xml:space="preserve">SR80_DEBT: Wrong table, entry at 8.0x: DEBT</t>
  </si>
  <si>
    <t xml:space="preserve">SR80_EQ: Wrong table, entry at 8.0x: EQ</t>
  </si>
  <si>
    <t xml:space="preserve">SR80_IRR: Wrong table, entry at 8.0x: IRR</t>
  </si>
  <si>
    <t xml:space="preserve">SR80_MOIC: Wrong table, entry at 8.0x: MOIC</t>
  </si>
  <si>
    <t xml:space="preserve">SR85_M: Wrong table, entry at 8.5x: M</t>
  </si>
  <si>
    <t xml:space="preserve">SR85_DEBT: Wrong table, entry at 8.5x: DEBT</t>
  </si>
  <si>
    <t xml:space="preserve">SR85_EQ: Wrong table, entry at 8.5x: EQ</t>
  </si>
  <si>
    <t xml:space="preserve">SR85_IRR: Wrong table, entry at 8.5x: IRR</t>
  </si>
  <si>
    <t xml:space="preserve">SR85_MOIC: Wrong table, entry at 8.5x: MOIC</t>
  </si>
  <si>
    <t xml:space="preserve">SR90_M: Wrong table, entry at 9.0x: M</t>
  </si>
  <si>
    <t xml:space="preserve">SR90_DEBT: Wrong table, entry at 9.0x: DEBT</t>
  </si>
  <si>
    <t xml:space="preserve">SR90_EQ: Wrong table, entry at 9.0x: EQ</t>
  </si>
  <si>
    <t xml:space="preserve">SR90_IRR: Wrong table, entry at 9.0x: IRR</t>
  </si>
  <si>
    <t xml:space="preserve">SR90_MOIC: Wrong table, entry at 9.0x: MOIC</t>
  </si>
  <si>
    <t xml:space="preserve">SR95_M: Wrong table, entry at 9.5x: M</t>
  </si>
  <si>
    <t xml:space="preserve">SR95_DEBT: Wrong table, entry at 9.5x: DEBT</t>
  </si>
  <si>
    <t xml:space="preserve">SR95_EQ: Wrong table, entry at 9.5x: EQ</t>
  </si>
  <si>
    <t xml:space="preserve">SR95_IRR: Wrong table, entry at 9.5x: IRR</t>
  </si>
  <si>
    <t xml:space="preserve">SR95_MOIC: Wrong table, entry at 9.5x: MOIC</t>
  </si>
  <si>
    <t xml:space="preserve">SR100_M: Wrong table, entry at 10.0x: M</t>
  </si>
  <si>
    <t xml:space="preserve">SR100_DEBT: Wrong table, entry at 10.0x: DEBT</t>
  </si>
  <si>
    <t xml:space="preserve">SR100_EQ: Wrong table, entry at 10.0x: EQ</t>
  </si>
  <si>
    <t xml:space="preserve">SR100_IRR: Wrong table, entry at 10.0x: IRR</t>
  </si>
  <si>
    <t xml:space="preserve">SR100_MOIC: Wrong table, entry at 10.0x: MOIC</t>
  </si>
  <si>
    <t xml:space="preserve">DEBT_SHARE_2: Debt, share of total uses in the base case (the share the wrong table keeps)</t>
  </si>
  <si>
    <t xml:space="preserve">SR_10: Wrong table, entry at 10.0x: M</t>
  </si>
  <si>
    <t xml:space="preserve">SR_IRR_10: Wrong table, entry at 10.0x: IRR</t>
  </si>
  <si>
    <t xml:space="preserve">SR_EXTRA_DEBT: At 10.0x: debt the wrong table has quietly borrowed above the base case</t>
  </si>
  <si>
    <t xml:space="preserve">SR_LEV_10: Wrong table, entry at 10.0x: LEV</t>
  </si>
  <si>
    <t xml:space="preserve">Sensitivities: at the base entry multiple the wrong table and the right one agree</t>
  </si>
  <si>
    <t xml:space="preserve">SL45_M: Leverage 4.5x: M</t>
  </si>
  <si>
    <t xml:space="preserve">SL45_DEBT: Leverage 4.5x: DEBT</t>
  </si>
  <si>
    <t xml:space="preserve">SL45_EQ: Leverage 4.5x: EQ</t>
  </si>
  <si>
    <t xml:space="preserve">SL45_IRR: Leverage 4.5x: IRR</t>
  </si>
  <si>
    <t xml:space="preserve">SL45_MOIC: Leverage 4.5x: MOIC</t>
  </si>
  <si>
    <t xml:space="preserve">SL45_HR: Leverage 4.5x: HR</t>
  </si>
  <si>
    <t xml:space="preserve">SL50_M: Leverage 5.0x: M</t>
  </si>
  <si>
    <t xml:space="preserve">SL50_DEBT: Leverage 5.0x: DEBT</t>
  </si>
  <si>
    <t xml:space="preserve">SL50_EQ: Leverage 5.0x: EQ</t>
  </si>
  <si>
    <t xml:space="preserve">SL50_IRR: Leverage 5.0x: IRR</t>
  </si>
  <si>
    <t xml:space="preserve">SL50_MOIC: Leverage 5.0x: MOIC</t>
  </si>
  <si>
    <t xml:space="preserve">SL50_HR: Leverage 5.0x: HR</t>
  </si>
  <si>
    <t xml:space="preserve">SL55_M: Leverage 5.5x: M</t>
  </si>
  <si>
    <t xml:space="preserve">SL55_DEBT: Leverage 5.5x: DEBT</t>
  </si>
  <si>
    <t xml:space="preserve">SL55_EQ: Leverage 5.5x: EQ</t>
  </si>
  <si>
    <t xml:space="preserve">SL55_IRR: Leverage 5.5x: IRR</t>
  </si>
  <si>
    <t xml:space="preserve">SL55_MOIC: Leverage 5.5x: MOIC</t>
  </si>
  <si>
    <t xml:space="preserve">SL55_HR: Leverage 5.5x: HR</t>
  </si>
  <si>
    <t xml:space="preserve">SL60_M: Leverage 6.0x: M</t>
  </si>
  <si>
    <t xml:space="preserve">SL60_DEBT: Leverage 6.0x: DEBT</t>
  </si>
  <si>
    <t xml:space="preserve">SL60_EQ: Leverage 6.0x: EQ</t>
  </si>
  <si>
    <t xml:space="preserve">SL60_IRR: Leverage 6.0x: IRR</t>
  </si>
  <si>
    <t xml:space="preserve">SL60_MOIC: Leverage 6.0x: MOIC</t>
  </si>
  <si>
    <t xml:space="preserve">SL60_HR: Leverage 6.0x: HR</t>
  </si>
  <si>
    <t xml:space="preserve">SL65_M: Leverage 6.5x: M</t>
  </si>
  <si>
    <t xml:space="preserve">SL65_DEBT: Leverage 6.5x: DEBT</t>
  </si>
  <si>
    <t xml:space="preserve">SL65_EQ: Leverage 6.5x: EQ</t>
  </si>
  <si>
    <t xml:space="preserve">SL65_IRR: Leverage 6.5x: IRR</t>
  </si>
  <si>
    <t xml:space="preserve">SL65_MOIC: Leverage 6.5x: MOIC</t>
  </si>
  <si>
    <t xml:space="preserve">SL65_HR: Leverage 6.5x: HR</t>
  </si>
  <si>
    <t xml:space="preserve">SL_16: Second-lien loan in every case</t>
  </si>
  <si>
    <t xml:space="preserve">SL_60: Leverage 6.0x: M</t>
  </si>
  <si>
    <t xml:space="preserve">SL_65: Leverage 6.5x: M</t>
  </si>
  <si>
    <t xml:space="preserve">SH3_EBITDA: Exit at the end of year 3: EBITDA at exit</t>
  </si>
  <si>
    <t xml:space="preserve">SH3_ND: Exit at the end of year 3: net debt at exit</t>
  </si>
  <si>
    <t xml:space="preserve">SH3_EQ: Exit at the end of year 3: equity value at exit</t>
  </si>
  <si>
    <t xml:space="preserve">SH3_IRR: Exit at the end of year 3: sponsor IRR</t>
  </si>
  <si>
    <t xml:space="preserve">SH3_MOIC: Exit at the end of year 3: sponsor MOIC</t>
  </si>
  <si>
    <t xml:space="preserve">SH4_EBITDA: Exit at the end of year 4: EBITDA at exit</t>
  </si>
  <si>
    <t xml:space="preserve">SH4_ND: Exit at the end of year 4: net debt at exit</t>
  </si>
  <si>
    <t xml:space="preserve">SH4_EQ: Exit at the end of year 4: equity value at exit</t>
  </si>
  <si>
    <t xml:space="preserve">SH4_IRR: Exit at the end of year 4: sponsor IRR</t>
  </si>
  <si>
    <t xml:space="preserve">SH4_MOIC: Exit at the end of year 4: sponsor MOIC</t>
  </si>
  <si>
    <t xml:space="preserve">SH5_EBITDA: Exit at the end of year 5: EBITDA at exit</t>
  </si>
  <si>
    <t xml:space="preserve">SH5_ND: Exit at the end of year 5: net debt at exit</t>
  </si>
  <si>
    <t xml:space="preserve">SH5_EQ: Exit at the end of year 5: equity value at exit</t>
  </si>
  <si>
    <t xml:space="preserve">SH5_IRR: Exit at the end of year 5: sponsor IRR</t>
  </si>
  <si>
    <t xml:space="preserve">SH5_MOIC: Exit at the end of year 5: sponsor MOIC</t>
  </si>
  <si>
    <t xml:space="preserve">SH6_EBITDA: Exit at the end of year 6: EBITDA at exit</t>
  </si>
  <si>
    <t xml:space="preserve">SH6_ND: Exit at the end of year 6: net debt at exit</t>
  </si>
  <si>
    <t xml:space="preserve">SH6_EQ: Exit at the end of year 6: equity value at exit</t>
  </si>
  <si>
    <t xml:space="preserve">SH6_IRR: Exit at the end of year 6: sponsor IRR</t>
  </si>
  <si>
    <t xml:space="preserve">SH6_MOIC: Exit at the end of year 6: sponsor MOIC</t>
  </si>
  <si>
    <t xml:space="preserve">SH7_EBITDA: Exit at the end of year 7: EBITDA at exit</t>
  </si>
  <si>
    <t xml:space="preserve">SH7_ND: Exit at the end of year 7: net debt at exit</t>
  </si>
  <si>
    <t xml:space="preserve">SH7_EQ: Exit at the end of year 7: equity value at exit</t>
  </si>
  <si>
    <t xml:space="preserve">SH7_IRR: Exit at the end of year 7: sponsor IRR</t>
  </si>
  <si>
    <t xml:space="preserve">SH7_MOIC: Exit at the end of year 7: sponsor MOIC</t>
  </si>
  <si>
    <t xml:space="preserve">SH_PEAK: The exit year with the highest sponsor IRR</t>
  </si>
  <si>
    <t xml:space="preserve">SH3_IRR_2: Exit at the end of year 3: sponsor IRR</t>
  </si>
  <si>
    <t xml:space="preserve">Assumptions</t>
  </si>
  <si>
    <t xml:space="preserve">EXIT_MULT_16: Exit multiple (enterprise value / EBITDA of the exit year)</t>
  </si>
  <si>
    <t xml:space="preserve">SP0_K: Plan 0 percent: K</t>
  </si>
  <si>
    <t xml:space="preserve">SP0_MARGIN: Plan 0 percent: MARGIN</t>
  </si>
  <si>
    <t xml:space="preserve">SP0_EBITDA: Plan 0 percent: EBITDA</t>
  </si>
  <si>
    <t xml:space="preserve">SP0_IRR: Plan 0 percent: IRR</t>
  </si>
  <si>
    <t xml:space="preserve">SP0_MOIC: Plan 0 percent: MOIC</t>
  </si>
  <si>
    <t xml:space="preserve">SP0_HR: Plan 0 percent: HR</t>
  </si>
  <si>
    <t xml:space="preserve">SP0_IRR_2: Plan 0 percent: IRR</t>
  </si>
  <si>
    <t xml:space="preserve">SP50_K: Plan 50 percent: K</t>
  </si>
  <si>
    <t xml:space="preserve">SP50_MARGIN: Plan 50 percent: MARGIN</t>
  </si>
  <si>
    <t xml:space="preserve">SP50_EBITDA: Plan 50 percent: EBITDA</t>
  </si>
  <si>
    <t xml:space="preserve">SP50_IRR: Plan 50 percent: IRR</t>
  </si>
  <si>
    <t xml:space="preserve">SP50_MOIC: Plan 50 percent: MOIC</t>
  </si>
  <si>
    <t xml:space="preserve">SP50_HR: Plan 50 percent: HR</t>
  </si>
  <si>
    <t xml:space="preserve">SP50_IRR_2: Plan 50 percent: IRR</t>
  </si>
  <si>
    <t xml:space="preserve">SP100_K: Plan 100 percent: K</t>
  </si>
  <si>
    <t xml:space="preserve">SP100_MARGIN: Plan 100 percent: MARGIN</t>
  </si>
  <si>
    <t xml:space="preserve">SP100_EBITDA: Plan 100 percent: EBITDA</t>
  </si>
  <si>
    <t xml:space="preserve">SP100_IRR: Plan 100 percent: IRR</t>
  </si>
  <si>
    <t xml:space="preserve">SP100_MOIC: Plan 100 percent: MOIC</t>
  </si>
  <si>
    <t xml:space="preserve">SP100_HR: Plan 100 percent: HR</t>
  </si>
  <si>
    <t xml:space="preserve">SP100_IRR_2: Plan 100 percent: IRR</t>
  </si>
  <si>
    <t xml:space="preserve">SP150_K: Plan 150 percent: K</t>
  </si>
  <si>
    <t xml:space="preserve">SP150_MARGIN: Plan 150 percent: MARGIN</t>
  </si>
  <si>
    <t xml:space="preserve">SP150_EBITDA: Plan 150 percent: EBITDA</t>
  </si>
  <si>
    <t xml:space="preserve">SP150_IRR: Plan 150 percent: IRR</t>
  </si>
  <si>
    <t xml:space="preserve">SP150_MOIC: Plan 150 percent: MOIC</t>
  </si>
  <si>
    <t xml:space="preserve">SP150_HR: Plan 150 percent: HR</t>
  </si>
  <si>
    <t xml:space="preserve">SP150_IRR_2: Plan 150 percent: IRR</t>
  </si>
  <si>
    <t xml:space="preserve">PLAN_WORTH: The whole margin plan, in IRR (all of it against none of it)</t>
  </si>
  <si>
    <t xml:space="preserve">L5_PLAN: The whole margin plan, in IRR (all of it against none of it)</t>
  </si>
  <si>
    <t xml:space="preserve">DOWN_M: Exit multiple</t>
  </si>
  <si>
    <t xml:space="preserve">DOWN_EBITDA5: Year-5 EBITDA</t>
  </si>
  <si>
    <t xml:space="preserve">DOWN_EQ: Equity value at exit</t>
  </si>
  <si>
    <t xml:space="preserve">DOWN_IRR: Sponsor IRR</t>
  </si>
  <si>
    <t xml:space="preserve">DOWN_MOIC: Sponsor MOIC</t>
  </si>
  <si>
    <t xml:space="preserve">DOWN_BREACH3: Year-3 covenant breach (turns)</t>
  </si>
  <si>
    <t xml:space="preserve">DOWN_EXIT_MULT: Exit multiple</t>
  </si>
  <si>
    <t xml:space="preserve">DOWN_MOIC_9: Sponsor MOIC</t>
  </si>
  <si>
    <t xml:space="preserve">DOWN_VESTED: Options that pay (the time-vested half only: the sponsor's multiple is below the performance test)</t>
  </si>
  <si>
    <t xml:space="preserve">DOWN_MGMT: Management receives</t>
  </si>
  <si>
    <t xml:space="preserve">DOWN_CEO: The CEO receives</t>
  </si>
  <si>
    <t xml:space="preserve">PERF_MOIC_2: Performance vesting: half the pool vests only if the sponsor's MOIC reaches</t>
  </si>
  <si>
    <t xml:space="preserve">Sensitivities: in the downside only half the pool vests (the sponsor's multiple is below the test)</t>
  </si>
  <si>
    <t xml:space="preserve">GX7: Grid: exit multiple 7.0x</t>
  </si>
  <si>
    <t xml:space="preserve">GX8: Grid: exit multiple 8.0x</t>
  </si>
  <si>
    <t xml:space="preserve">GX9: Grid: exit multiple 9.0x</t>
  </si>
  <si>
    <t xml:space="preserve">GX10: Grid: exit multiple 10.0x</t>
  </si>
  <si>
    <t xml:space="preserve">GX11: Grid: exit multiple 11.0x</t>
  </si>
  <si>
    <t xml:space="preserve">GN80: Grid: entry multiple 8.0x</t>
  </si>
  <si>
    <t xml:space="preserve">G80_7: Grid: sponsor IRR at entry 8.0x, exit 7.0x</t>
  </si>
  <si>
    <t xml:space="preserve">G80_8: Grid: sponsor IRR at entry 8.0x, exit 8.0x</t>
  </si>
  <si>
    <t xml:space="preserve">G80_9: Grid: sponsor IRR at entry 8.0x, exit 9.0x</t>
  </si>
  <si>
    <t xml:space="preserve">G80_10: Grid: sponsor IRR at entry 8.0x, exit 10.0x</t>
  </si>
  <si>
    <t xml:space="preserve">G80_11: Grid: sponsor IRR at entry 8.0x, exit 11.0x</t>
  </si>
  <si>
    <t xml:space="preserve">GN85: Grid: entry multiple 8.5x</t>
  </si>
  <si>
    <t xml:space="preserve">G85_7: Grid: sponsor IRR at entry 8.5x, exit 7.0x</t>
  </si>
  <si>
    <t xml:space="preserve">G85_8: Grid: sponsor IRR at entry 8.5x, exit 8.0x</t>
  </si>
  <si>
    <t xml:space="preserve">G85_9: Grid: sponsor IRR at entry 8.5x, exit 9.0x</t>
  </si>
  <si>
    <t xml:space="preserve">G85_10: Grid: sponsor IRR at entry 8.5x, exit 10.0x</t>
  </si>
  <si>
    <t xml:space="preserve">G85_11: Grid: sponsor IRR at entry 8.5x, exit 11.0x</t>
  </si>
  <si>
    <t xml:space="preserve">GN90: Grid: entry multiple 9.0x</t>
  </si>
  <si>
    <t xml:space="preserve">G90_7: Grid: sponsor IRR at entry 9.0x, exit 7.0x</t>
  </si>
  <si>
    <t xml:space="preserve">G90_8: Grid: sponsor IRR at entry 9.0x, exit 8.0x</t>
  </si>
  <si>
    <t xml:space="preserve">G90_9: Grid: sponsor IRR at entry 9.0x, exit 9.0x</t>
  </si>
  <si>
    <t xml:space="preserve">G90_10: Grid: sponsor IRR at entry 9.0x, exit 10.0x</t>
  </si>
  <si>
    <t xml:space="preserve">G90_11: Grid: sponsor IRR at entry 9.0x, exit 11.0x</t>
  </si>
  <si>
    <t xml:space="preserve">GN95: Grid: entry multiple 9.5x</t>
  </si>
  <si>
    <t xml:space="preserve">G95_7: Grid: sponsor IRR at entry 9.5x, exit 7.0x</t>
  </si>
  <si>
    <t xml:space="preserve">G95_8: Grid: sponsor IRR at entry 9.5x, exit 8.0x</t>
  </si>
  <si>
    <t xml:space="preserve">G95_9: Grid: sponsor IRR at entry 9.5x, exit 9.0x</t>
  </si>
  <si>
    <t xml:space="preserve">G95_10: Grid: sponsor IRR at entry 9.5x, exit 10.0x</t>
  </si>
  <si>
    <t xml:space="preserve">G95_11: Grid: sponsor IRR at entry 9.5x, exit 11.0x</t>
  </si>
  <si>
    <t xml:space="preserve">GN100: Grid: entry multiple 10.0x</t>
  </si>
  <si>
    <t xml:space="preserve">G100_7: Grid: sponsor IRR at entry 10.0x, exit 7.0x</t>
  </si>
  <si>
    <t xml:space="preserve">G100_8: Grid: sponsor IRR at entry 10.0x, exit 8.0x</t>
  </si>
  <si>
    <t xml:space="preserve">G100_9: Grid: sponsor IRR at entry 10.0x, exit 9.0x</t>
  </si>
  <si>
    <t xml:space="preserve">G100_10: Grid: sponsor IRR at entry 10.0x, exit 10.0x</t>
  </si>
  <si>
    <t xml:space="preserve">G100_11: Grid: sponsor IRR at entry 10.0x, exit 11.0x</t>
  </si>
  <si>
    <t xml:space="preserve">NOSWEEP_IRR: Sponsor IRR without the sweep</t>
  </si>
  <si>
    <t xml:space="preserve">NOSWEEP_MOIC: Sponsor MOIC without the sweep</t>
  </si>
  <si>
    <t xml:space="preserve">SWEEP_WORTH: What the sweep is worth in IRR (base case less no sweep)</t>
  </si>
  <si>
    <t xml:space="preserve">TLB_RATE_16: The term loan's rate</t>
  </si>
  <si>
    <t xml:space="preserve">CASH_YIELD_16: The yield on cash</t>
  </si>
  <si>
    <t xml:space="preserve">Scenarios</t>
  </si>
  <si>
    <t xml:space="preserve">UNI_AMT: Unitranche: one loan of</t>
  </si>
  <si>
    <t xml:space="preserve">UNI_MULT: as a multiple of EBITDA</t>
  </si>
  <si>
    <t xml:space="preserve">UNI_SPREAD: at SOFR plus</t>
  </si>
  <si>
    <t xml:space="preserve">UNI_RATE: all-in rate</t>
  </si>
  <si>
    <t xml:space="preserve">UNI_INT1: Year-1 cash interest, unitranche</t>
  </si>
  <si>
    <t xml:space="preserve">INT1_2: Year-1 cash interest, two tranches (base case)</t>
  </si>
  <si>
    <t xml:space="preserve">UNI_IRR: Sponsor IRR, unitranche</t>
  </si>
  <si>
    <t xml:space="preserve">UNI_MOIC: Sponsor MOIC, unitranche</t>
  </si>
  <si>
    <t xml:space="preserve">UNI_HEADROOM3: Year-3 covenant headroom, unitranche</t>
  </si>
  <si>
    <t xml:space="preserve">HEADROOM3_6: Year-3 covenant headroom, base case</t>
  </si>
  <si>
    <t xml:space="preserve">SOFR_UP: Rates scenario: SOFR in every year</t>
  </si>
  <si>
    <t xml:space="preserve">RATES_INT1: Year-1 cash interest, rates up</t>
  </si>
  <si>
    <t xml:space="preserve">RATES_IRR: Sponsor IRR, rates up</t>
  </si>
  <si>
    <t xml:space="preserve">RATES_MOIC: Sponsor MOIC, rates up</t>
  </si>
  <si>
    <t xml:space="preserve">RATES_HEADROOM3: Year-3 covenant headroom, rates up (negative = a breach)</t>
  </si>
  <si>
    <t xml:space="preserve">IRR_BASE_6: Sponsor IRR (annual flows at year ends)</t>
  </si>
  <si>
    <t xml:space="preserve">MOIC_BASE_6: Sponsor multiple of money (proceeds / equity invested)</t>
  </si>
  <si>
    <t xml:space="preserve">STRESS_G3: Platform revenue growth in year 3</t>
  </si>
  <si>
    <t xml:space="preserve">STRESS_MARGIN3: Platform margin in year 3</t>
  </si>
  <si>
    <t xml:space="preserve">STRESS_SHOCK3: Margin shock in year 3</t>
  </si>
  <si>
    <t xml:space="preserve">STRESS_EBITDA_P3: Platform EBITDA in year 3</t>
  </si>
  <si>
    <t xml:space="preserve">STRESS_EBITDA3: Total EBITDA in year 3</t>
  </si>
  <si>
    <t xml:space="preserve">STRESS_NETDEBT3: Net debt at the end of year 3</t>
  </si>
  <si>
    <t xml:space="preserve">STRESS_COVEBITDA3: Covenant EBITDA in year 3</t>
  </si>
  <si>
    <t xml:space="preserve">STRESS_COVLEV3: Covenant leverage in year 3</t>
  </si>
  <si>
    <t xml:space="preserve">COV3_12B: Maximum allowed in year 3</t>
  </si>
  <si>
    <t xml:space="preserve">STRESS_BREACH3: Breach (turns)</t>
  </si>
  <si>
    <t xml:space="preserve">STRESS_IRR: If the lenders did nothing: sponsor IRR</t>
  </si>
  <si>
    <t xml:space="preserve">STRESS_MOIC: and MOIC</t>
  </si>
  <si>
    <t xml:space="preserve">STRESS_MOIC_FULL: The sponsor's multiple with the whole pool counted as exercised (the performance test)</t>
  </si>
  <si>
    <t xml:space="preserve">PERF_MOIC_12: The test</t>
  </si>
  <si>
    <t xml:space="preserve">STRESS_MOIC_2: and MOIC</t>
  </si>
  <si>
    <t xml:space="preserve">CURE_NEED: Option 1, the equity cure: the amount that restores the test</t>
  </si>
  <si>
    <t xml:space="preserve">CURE_AMT: The sponsor injects (rounded up to the tenth)</t>
  </si>
  <si>
    <t xml:space="preserve">CURE_COVLEV3: Covenant leverage after the cure</t>
  </si>
  <si>
    <t xml:space="preserve">CURE_HEADROOM3: Headroom after the cure</t>
  </si>
  <si>
    <t xml:space="preserve">CURE_IRR: Sponsor IRR with the cure</t>
  </si>
  <si>
    <t xml:space="preserve">CURE_MOIC: Sponsor MOIC with the cure</t>
  </si>
  <si>
    <t xml:space="preserve">CURE_INVESTED: Sponsor equity invested in total (closing plus the cure)</t>
  </si>
  <si>
    <t xml:space="preserve">SP_EQ_12: of which at closing</t>
  </si>
  <si>
    <t xml:space="preserve">CURE_AMT_2: The sponsor injects (rounded up to the tenth)</t>
  </si>
  <si>
    <t xml:space="preserve">CURE_MOIC_FULL: The sponsor's multiple with the whole pool counted, with the cure</t>
  </si>
  <si>
    <t xml:space="preserve">AE_FEE_PCT: Option 2, amend and extend: consent fee, share of the term loan</t>
  </si>
  <si>
    <t xml:space="preserve">AE_FEE: Consent fee paid in year 3</t>
  </si>
  <si>
    <t xml:space="preserve">AE_STEP: Margin step-up for the rest of the loan</t>
  </si>
  <si>
    <t xml:space="preserve">AE_RESET: Covenant reset on every remaining test</t>
  </si>
  <si>
    <t xml:space="preserve">AE_COVLEV3: Covenant leverage in year 3</t>
  </si>
  <si>
    <t xml:space="preserve">AE_COV3: New maximum in year 3</t>
  </si>
  <si>
    <t xml:space="preserve">AE_IRR: Sponsor IRR with the amend and extend</t>
  </si>
  <si>
    <t xml:space="preserve">AE_MOIC: Sponsor MOIC with the amend and extend</t>
  </si>
  <si>
    <t xml:space="preserve">AE_EXTRA_INT: Extra cash interest in years 4 and 5 against the stress case</t>
  </si>
  <si>
    <t xml:space="preserve">NOBAD_G3: The no-bad-year path: platform revenue growth in year 3</t>
  </si>
  <si>
    <t xml:space="preserve">NOBAD_IRR: Sponsor IRR with no bad year</t>
  </si>
  <si>
    <t xml:space="preserve">NOBAD_MOIC: Sponsor MOIC with no bad year</t>
  </si>
  <si>
    <t xml:space="preserve">BADYEAR_COST: What the bad year cost in IRR</t>
  </si>
  <si>
    <t xml:space="preserve">BADYEAR_EQ: and in exit equity</t>
  </si>
  <si>
    <t xml:space="preserve">L5_BAD: What the bad year cost in IRR</t>
  </si>
  <si>
    <t xml:space="preserve">Chapter 12: the deeper bad year breaks the year-3 test and the cure restores it</t>
  </si>
  <si>
    <t xml:space="preserve">Chapter 12: the cure is at least the amount needed and at most one tenth above it</t>
  </si>
  <si>
    <t xml:space="preserve">Chapter 12: the amend and extend passes the reset test in year 3</t>
  </si>
  <si>
    <t xml:space="preserve">RECAP_DEBT: Incremental term loan drawn at the end of year 4</t>
  </si>
  <si>
    <t xml:space="preserve">RECAP_FEE_PCT: Fee on the incremental loan</t>
  </si>
  <si>
    <t xml:space="preserve">RECAP_FEE: Fee paid</t>
  </si>
  <si>
    <t xml:space="preserve">RECAP_DIV_SP: Dividend to the sponsor</t>
  </si>
  <si>
    <t xml:space="preserve">RECAP_DIV_MGMT: Dividend to management's rollover shares</t>
  </si>
  <si>
    <t xml:space="preserve">RECAP_NETLEV4: Net leverage after the recap (end of year 4)</t>
  </si>
  <si>
    <t xml:space="preserve">RECAP_NETDEBT4: Net debt after the recap</t>
  </si>
  <si>
    <t xml:space="preserve">RECAP_MAX: Incremental-debt test: net leverage after the recap at most</t>
  </si>
  <si>
    <t xml:space="preserve">RECAP_HEADROOM4: Year-4 covenant headroom with the recap</t>
  </si>
  <si>
    <t xml:space="preserve">RECAP_NETDEBT5: Net debt at exit with the recap</t>
  </si>
  <si>
    <t xml:space="preserve">RECAP_EQ: Equity value at exit with the recap</t>
  </si>
  <si>
    <t xml:space="preserve">RECAP_EQ_DIFF: Exit equity given up</t>
  </si>
  <si>
    <t xml:space="preserve">RECAP_DEBT_2: Incremental term loan drawn at the end of year 4</t>
  </si>
  <si>
    <t xml:space="preserve">RECAP_CARRY_COST: of which the year of extra interest and the fee, net of tax (the rest is the dividend itself)</t>
  </si>
  <si>
    <t xml:space="preserve">RECAP_SP_Y4: Sponsor flow in year 4</t>
  </si>
  <si>
    <t xml:space="preserve">RECAP_SP_Y5: Sponsor flow in year 5</t>
  </si>
  <si>
    <t xml:space="preserve">RECAP_IRR: Sponsor IRR with the recap</t>
  </si>
  <si>
    <t xml:space="preserve">RECAP_MOIC: Sponsor MOIC with the recap</t>
  </si>
  <si>
    <t xml:space="preserve">RECAP_IRR_GAIN: IRR added by the recap</t>
  </si>
  <si>
    <t xml:space="preserve">RECAP_MOIC_LOSS: MOIC taken away by the recap</t>
  </si>
  <si>
    <t xml:space="preserve">RECAP_PCT_RETURNED: Share of the sponsor's money returned a year before the exit</t>
  </si>
  <si>
    <t xml:space="preserve">RECAP_NETLEV5: Net leverage at exit with the recap</t>
  </si>
  <si>
    <t xml:space="preserve">RECAP_INT5: Year-5 cash interest with the recap</t>
  </si>
  <si>
    <t xml:space="preserve">RECAP_EQ_AT7: At an exit of 7.0x (Case_Recap_Exit_7x): the recapped deal's exit equity</t>
  </si>
  <si>
    <t xml:space="preserve">RECAP_MOIC_AT7: and the sponsor's multiple</t>
  </si>
  <si>
    <t xml:space="preserve">HEADROOM4_13: Year-4 covenant headroom without</t>
  </si>
  <si>
    <t xml:space="preserve">Chapter 13: the recap passes the incremental-debt test (net leverage after it at most the maximum)</t>
  </si>
  <si>
    <t xml:space="preserve">Chapter 13: the dividend to the sponsor and to management adds to the dividend paid</t>
  </si>
</sst>
</file>

<file path=xl/styles.xml><?xml version="1.0" encoding="utf-8"?>
<styleSheet xmlns="http://schemas.openxmlformats.org/spreadsheetml/2006/main">
  <numFmts count="22">
    <numFmt numFmtId="164" formatCode="General"/>
    <numFmt numFmtId="165" formatCode="0.00%"/>
    <numFmt numFmtId="166" formatCode="0%"/>
    <numFmt numFmtId="167" formatCode="yyyy\-mm\-dd"/>
    <numFmt numFmtId="168" formatCode="\$#,##0.0;&quot;-$&quot;#,##0.0;\$0.0"/>
    <numFmt numFmtId="169" formatCode="0.0%"/>
    <numFmt numFmtId="170" formatCode="0.000%"/>
    <numFmt numFmtId="171" formatCode="0.0\x"/>
    <numFmt numFmtId="172" formatCode="0.00\x"/>
    <numFmt numFmtId="173" formatCode="0"/>
    <numFmt numFmtId="174" formatCode="\$#,##0.00;&quot;-$&quot;#,##0.00;\$0.00"/>
    <numFmt numFmtId="175" formatCode="&quot;Year &quot;0"/>
    <numFmt numFmtId="176" formatCode="#,##0.00"/>
    <numFmt numFmtId="177" formatCode="\$#,##0.0000;&quot;-$&quot;#,##0.0000;\$0.0000"/>
    <numFmt numFmtId="178" formatCode="0.000\x"/>
    <numFmt numFmtId="179" formatCode="#,##0.0"/>
    <numFmt numFmtId="180" formatCode="#,##0"/>
    <numFmt numFmtId="181" formatCode="0.000000"/>
    <numFmt numFmtId="182" formatCode="#,##0.000"/>
    <numFmt numFmtId="183" formatCode="#,##0.0000"/>
    <numFmt numFmtId="184" formatCode="0.0000%"/>
    <numFmt numFmtId="185" formatCode="#,##0.000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70" fontId="6" fillId="4"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75" fontId="7" fillId="2" borderId="1" xfId="0" applyFont="true" applyBorder="true" applyAlignment="true" applyProtection="false">
      <alignment horizontal="center"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69" fontId="7" fillId="4"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76" fontId="6" fillId="4" borderId="1" xfId="0" applyFont="true" applyBorder="true" applyAlignment="false" applyProtection="false">
      <alignment horizontal="general" vertical="bottom" textRotation="0" wrapText="false" indent="0" shrinkToFit="false"/>
      <protection locked="true" hidden="false"/>
    </xf>
    <xf numFmtId="177" fontId="6" fillId="4" borderId="1" xfId="0" applyFont="true" applyBorder="true" applyAlignment="false" applyProtection="false">
      <alignment horizontal="general" vertical="bottom" textRotation="0" wrapText="false" indent="0" shrinkToFit="false"/>
      <protection locked="true" hidden="false"/>
    </xf>
    <xf numFmtId="171" fontId="7"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78" fontId="6" fillId="4" borderId="1" xfId="0" applyFont="true" applyBorder="true" applyAlignment="false" applyProtection="false">
      <alignment horizontal="general" vertical="bottom" textRotation="0" wrapText="false" indent="0" shrinkToFit="false"/>
      <protection locked="true" hidden="false"/>
    </xf>
    <xf numFmtId="174" fontId="7" fillId="4" borderId="1" xfId="0" applyFont="true" applyBorder="true" applyAlignment="false" applyProtection="false">
      <alignment horizontal="general" vertical="bottom" textRotation="0" wrapText="false" indent="0" shrinkToFit="false"/>
      <protection locked="true" hidden="false"/>
    </xf>
    <xf numFmtId="172" fontId="7" fillId="4" borderId="1" xfId="0" applyFont="true" applyBorder="true" applyAlignment="false" applyProtection="false">
      <alignment horizontal="general" vertical="bottom" textRotation="0" wrapText="false" indent="0" shrinkToFit="false"/>
      <protection locked="true" hidden="false"/>
    </xf>
    <xf numFmtId="179" fontId="6" fillId="4" borderId="1" xfId="0" applyFont="true" applyBorder="true" applyAlignment="false" applyProtection="false">
      <alignment horizontal="general" vertical="bottom" textRotation="0" wrapText="false" indent="0" shrinkToFit="false"/>
      <protection locked="true" hidden="false"/>
    </xf>
    <xf numFmtId="177" fontId="7" fillId="4"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73"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80" fontId="8" fillId="3" borderId="1" xfId="0" applyFont="true" applyBorder="true" applyAlignment="false" applyProtection="false">
      <alignment horizontal="general" vertical="bottom" textRotation="0" wrapText="false" indent="0" shrinkToFit="false"/>
      <protection locked="true" hidden="false"/>
    </xf>
    <xf numFmtId="181" fontId="6" fillId="4" borderId="1" xfId="0" applyFont="true" applyBorder="true" applyAlignment="false" applyProtection="false">
      <alignment horizontal="general" vertical="bottom" textRotation="0" wrapText="false" indent="0" shrinkToFit="false"/>
      <protection locked="true" hidden="false"/>
    </xf>
    <xf numFmtId="181" fontId="8" fillId="3" borderId="1" xfId="0" applyFont="true" applyBorder="true" applyAlignment="false" applyProtection="false">
      <alignment horizontal="general" vertical="bottom" textRotation="0" wrapText="false" indent="0" shrinkToFit="false"/>
      <protection locked="true" hidden="false"/>
    </xf>
    <xf numFmtId="179" fontId="8" fillId="3" borderId="1" xfId="0" applyFont="true" applyBorder="true" applyAlignment="false" applyProtection="false">
      <alignment horizontal="general" vertical="bottom" textRotation="0" wrapText="false" indent="0" shrinkToFit="false"/>
      <protection locked="true" hidden="false"/>
    </xf>
    <xf numFmtId="182" fontId="6" fillId="4" borderId="1" xfId="0" applyFont="true" applyBorder="true" applyAlignment="false" applyProtection="false">
      <alignment horizontal="general" vertical="bottom" textRotation="0" wrapText="false" indent="0" shrinkToFit="false"/>
      <protection locked="true" hidden="false"/>
    </xf>
    <xf numFmtId="176" fontId="8" fillId="3" borderId="1" xfId="0" applyFont="true" applyBorder="true" applyAlignment="false" applyProtection="false">
      <alignment horizontal="general" vertical="bottom" textRotation="0" wrapText="false" indent="0" shrinkToFit="false"/>
      <protection locked="true" hidden="false"/>
    </xf>
    <xf numFmtId="183" fontId="6" fillId="4" borderId="1" xfId="0" applyFont="true" applyBorder="true" applyAlignment="false" applyProtection="false">
      <alignment horizontal="general" vertical="bottom" textRotation="0" wrapText="false" indent="0" shrinkToFit="false"/>
      <protection locked="true" hidden="false"/>
    </xf>
    <xf numFmtId="184" fontId="6" fillId="4" borderId="1" xfId="0" applyFont="true" applyBorder="true" applyAlignment="false" applyProtection="false">
      <alignment horizontal="general" vertical="bottom" textRotation="0" wrapText="false" indent="0" shrinkToFit="false"/>
      <protection locked="true" hidden="false"/>
    </xf>
    <xf numFmtId="182" fontId="8" fillId="3" borderId="1" xfId="0" applyFont="true" applyBorder="true" applyAlignment="false" applyProtection="false">
      <alignment horizontal="general" vertical="bottom" textRotation="0" wrapText="false" indent="0" shrinkToFit="false"/>
      <protection locked="true" hidden="false"/>
    </xf>
    <xf numFmtId="185" fontId="6"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4" fontId="6" fillId="4" borderId="1" xfId="0" applyFont="true" applyBorder="tru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worksheet" Target="worksheets/sheet32.xml"/><Relationship Id="rId3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8.65" hidden="false" customHeight="false" outlineLevel="0" collapsed="false">
      <c r="B2" s="1" t="s">
        <v>0</v>
      </c>
    </row>
    <row r="3" customFormat="false" ht="28.3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45" hidden="false" customHeight="true" outlineLevel="0" collapsed="false">
      <c r="B6" s="3" t="s">
        <v>3</v>
      </c>
    </row>
    <row r="7" customFormat="false" ht="15" hidden="false" customHeight="false" outlineLevel="0" collapsed="false">
      <c r="B7" s="4" t="s">
        <v>4</v>
      </c>
    </row>
    <row r="8" customFormat="false" ht="45" hidden="false" customHeight="true" outlineLevel="0" collapsed="false">
      <c r="B8" s="3" t="s">
        <v>5</v>
      </c>
    </row>
    <row r="9" customFormat="false" ht="15" hidden="false" customHeight="false" outlineLevel="0" collapsed="false">
      <c r="B9" s="4" t="s">
        <v>6</v>
      </c>
    </row>
    <row r="10" customFormat="false" ht="30" hidden="false" customHeight="true" outlineLevel="0" collapsed="false">
      <c r="B10" s="3" t="s">
        <v>7</v>
      </c>
    </row>
    <row r="11" customFormat="false" ht="15" hidden="false" customHeight="false" outlineLevel="0" collapsed="false">
      <c r="B11" s="4" t="s">
        <v>8</v>
      </c>
    </row>
    <row r="12" customFormat="false" ht="75" hidden="false" customHeight="true" outlineLevel="0" collapsed="false">
      <c r="B12" s="3" t="s">
        <v>9</v>
      </c>
    </row>
    <row r="13" customFormat="false" ht="60" hidden="false" customHeight="true" outlineLevel="0" collapsed="false">
      <c r="B13" s="3" t="s">
        <v>10</v>
      </c>
    </row>
    <row r="14" customFormat="false" ht="45" hidden="false" customHeight="true" outlineLevel="0" collapsed="false">
      <c r="B14" s="3" t="s">
        <v>11</v>
      </c>
    </row>
    <row r="15" customFormat="false" ht="15" hidden="false" customHeight="false" outlineLevel="0" collapsed="false">
      <c r="B15" s="4" t="s">
        <v>12</v>
      </c>
    </row>
    <row r="16" customFormat="false" ht="30" hidden="false" customHeight="true" outlineLevel="0" collapsed="false">
      <c r="B16" s="3" t="s">
        <v>13</v>
      </c>
    </row>
    <row r="17" customFormat="false" ht="15" hidden="false" customHeight="false" outlineLevel="0" collapsed="false">
      <c r="B17" s="3"/>
    </row>
    <row r="18" customFormat="false" ht="15" hidden="false" customHeight="true" outlineLevel="0" collapsed="false">
      <c r="B18" s="3" t="s">
        <v>14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1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2"/>
    <col collapsed="false" customWidth="true" hidden="false" outlineLevel="0" max="4" min="4" style="0" width="14"/>
    <col collapsed="false" customWidth="true" hidden="false" outlineLevel="0" max="12" min="5" style="0" width="12"/>
    <col collapsed="false" customWidth="true" hidden="false" outlineLevel="0" max="13" min="13" style="0" width="14"/>
  </cols>
  <sheetData>
    <row r="1" customFormat="false" ht="6" hidden="false" customHeight="true" outlineLevel="0" collapsed="false"/>
    <row r="2" customFormat="false" ht="17.35" hidden="false" customHeight="false" outlineLevel="0" collapsed="false">
      <c r="B2" s="5" t="s">
        <v>15</v>
      </c>
    </row>
    <row r="3" customFormat="false" ht="15" hidden="false" customHeight="false" outlineLevel="0" collapsed="false">
      <c r="B3" s="6" t="s">
        <v>16</v>
      </c>
    </row>
    <row r="5" customFormat="false" ht="15" hidden="false" customHeight="false" outlineLevel="0" collapsed="false">
      <c r="B5" s="7" t="s">
        <v>17</v>
      </c>
      <c r="C5" s="8"/>
      <c r="D5" s="8"/>
      <c r="E5" s="8"/>
      <c r="F5" s="8"/>
      <c r="G5" s="8"/>
      <c r="H5" s="8"/>
      <c r="I5" s="8"/>
      <c r="J5" s="8"/>
      <c r="K5" s="8"/>
      <c r="L5" s="8"/>
    </row>
    <row r="6" customFormat="false" ht="15" hidden="false" customHeight="false" outlineLevel="0" collapsed="false">
      <c r="B6" s="9" t="s">
        <v>18</v>
      </c>
      <c r="D6" s="10" t="n">
        <v>0.04</v>
      </c>
    </row>
    <row r="7" customFormat="false" ht="15" hidden="false" customHeight="false" outlineLevel="0" collapsed="false">
      <c r="B7" s="9" t="s">
        <v>19</v>
      </c>
      <c r="D7" s="11" t="n">
        <v>0.25</v>
      </c>
    </row>
    <row r="8" customFormat="false" ht="15" hidden="false" customHeight="false" outlineLevel="0" collapsed="false">
      <c r="B8" s="9" t="s">
        <v>20</v>
      </c>
      <c r="D8" s="11" t="n">
        <v>0.3</v>
      </c>
    </row>
    <row r="9" customFormat="false" ht="15" hidden="false" customHeight="false" outlineLevel="0" collapsed="false">
      <c r="B9" s="9" t="s">
        <v>21</v>
      </c>
      <c r="D9" s="10" t="n">
        <v>0.02</v>
      </c>
    </row>
    <row r="10" customFormat="false" ht="15" hidden="false" customHeight="false" outlineLevel="0" collapsed="false">
      <c r="B10" s="9" t="s">
        <v>22</v>
      </c>
      <c r="D10" s="12" t="n">
        <v>46203</v>
      </c>
    </row>
    <row r="12" customFormat="false" ht="15" hidden="false" customHeight="false" outlineLevel="0" collapsed="false">
      <c r="B12" s="7" t="s">
        <v>23</v>
      </c>
      <c r="C12" s="8"/>
      <c r="D12" s="8"/>
      <c r="E12" s="8"/>
      <c r="F12" s="8"/>
      <c r="G12" s="8"/>
      <c r="H12" s="8"/>
      <c r="I12" s="8"/>
      <c r="J12" s="8"/>
      <c r="K12" s="8"/>
      <c r="L12" s="8"/>
    </row>
    <row r="13" customFormat="false" ht="15" hidden="false" customHeight="false" outlineLevel="0" collapsed="false">
      <c r="B13" s="9" t="s">
        <v>24</v>
      </c>
      <c r="C13" s="6" t="s">
        <v>25</v>
      </c>
      <c r="D13" s="13" t="n">
        <v>320</v>
      </c>
    </row>
    <row r="14" customFormat="false" ht="15" hidden="false" customHeight="false" outlineLevel="0" collapsed="false">
      <c r="B14" s="9" t="s">
        <v>26</v>
      </c>
      <c r="C14" s="6" t="s">
        <v>25</v>
      </c>
      <c r="D14" s="13" t="n">
        <v>46.5</v>
      </c>
    </row>
    <row r="15" customFormat="false" ht="15" hidden="false" customHeight="false" outlineLevel="0" collapsed="false">
      <c r="B15" s="9" t="s">
        <v>27</v>
      </c>
      <c r="D15" s="14" t="n">
        <f aca="false">$D$14/$D$13</f>
        <v>0.1453125</v>
      </c>
    </row>
    <row r="16" customFormat="false" ht="30" hidden="false" customHeight="true" outlineLevel="0" collapsed="false">
      <c r="B16" s="15" t="s">
        <v>28</v>
      </c>
      <c r="C16" s="16"/>
      <c r="D16" s="16" t="s">
        <v>29</v>
      </c>
      <c r="E16" s="16" t="s">
        <v>30</v>
      </c>
    </row>
    <row r="17" customFormat="false" ht="15" hidden="false" customHeight="false" outlineLevel="0" collapsed="false">
      <c r="B17" s="9" t="s">
        <v>31</v>
      </c>
      <c r="D17" s="13" t="n">
        <v>2.5</v>
      </c>
      <c r="E17" s="13" t="n">
        <v>2.5</v>
      </c>
    </row>
    <row r="18" customFormat="false" ht="15" hidden="false" customHeight="false" outlineLevel="0" collapsed="false">
      <c r="B18" s="9" t="s">
        <v>32</v>
      </c>
      <c r="D18" s="13" t="n">
        <v>1</v>
      </c>
      <c r="E18" s="13" t="n">
        <v>1</v>
      </c>
    </row>
    <row r="19" customFormat="false" ht="15" hidden="false" customHeight="false" outlineLevel="0" collapsed="false">
      <c r="B19" s="9" t="s">
        <v>33</v>
      </c>
      <c r="D19" s="13" t="n">
        <v>3</v>
      </c>
      <c r="E19" s="13" t="n">
        <v>0</v>
      </c>
    </row>
    <row r="20" customFormat="false" ht="15" hidden="false" customHeight="false" outlineLevel="0" collapsed="false">
      <c r="B20" s="9" t="s">
        <v>34</v>
      </c>
      <c r="D20" s="13" t="n">
        <v>2</v>
      </c>
      <c r="E20" s="13" t="n">
        <v>0</v>
      </c>
    </row>
    <row r="21" customFormat="false" ht="15" hidden="false" customHeight="false" outlineLevel="0" collapsed="false">
      <c r="B21" s="17" t="s">
        <v>35</v>
      </c>
      <c r="D21" s="18" t="n">
        <f aca="false">SUM(D17:D20)</f>
        <v>8.5</v>
      </c>
      <c r="E21" s="18" t="n">
        <f aca="false">SUM(E17:E20)</f>
        <v>3.5</v>
      </c>
    </row>
    <row r="22" customFormat="false" ht="15" hidden="false" customHeight="false" outlineLevel="0" collapsed="false">
      <c r="B22" s="9" t="s">
        <v>36</v>
      </c>
      <c r="C22" s="6" t="s">
        <v>25</v>
      </c>
      <c r="D22" s="19" t="n">
        <f aca="false">$D$14+$D$21</f>
        <v>55</v>
      </c>
    </row>
    <row r="23" customFormat="false" ht="15" hidden="false" customHeight="false" outlineLevel="0" collapsed="false">
      <c r="B23" s="9" t="s">
        <v>37</v>
      </c>
      <c r="D23" s="14" t="n">
        <f aca="false">$D$22/$D$13</f>
        <v>0.171875</v>
      </c>
    </row>
    <row r="24" customFormat="false" ht="15" hidden="false" customHeight="false" outlineLevel="0" collapsed="false">
      <c r="B24" s="9" t="s">
        <v>38</v>
      </c>
      <c r="C24" s="6" t="s">
        <v>25</v>
      </c>
      <c r="D24" s="19" t="n">
        <f aca="false">$D$14+$E$21</f>
        <v>50</v>
      </c>
    </row>
    <row r="25" customFormat="false" ht="15" hidden="false" customHeight="false" outlineLevel="0" collapsed="false">
      <c r="B25" s="9" t="s">
        <v>39</v>
      </c>
      <c r="D25" s="20" t="n">
        <f aca="false">$D$24/$D$13</f>
        <v>0.15625</v>
      </c>
    </row>
    <row r="26" customFormat="false" ht="15" hidden="false" customHeight="false" outlineLevel="0" collapsed="false">
      <c r="B26" s="9" t="s">
        <v>40</v>
      </c>
      <c r="C26" s="6" t="s">
        <v>25</v>
      </c>
      <c r="D26" s="19" t="n">
        <f aca="false">$D$21-$E$21</f>
        <v>5</v>
      </c>
    </row>
    <row r="27" customFormat="false" ht="15" hidden="false" customHeight="false" outlineLevel="0" collapsed="false">
      <c r="B27" s="9" t="s">
        <v>41</v>
      </c>
      <c r="D27" s="11" t="n">
        <v>0.12</v>
      </c>
    </row>
    <row r="28" customFormat="false" ht="15" hidden="false" customHeight="false" outlineLevel="0" collapsed="false">
      <c r="B28" s="9" t="s">
        <v>42</v>
      </c>
      <c r="D28" s="11" t="n">
        <v>0.15</v>
      </c>
    </row>
    <row r="29" customFormat="false" ht="15" hidden="false" customHeight="false" outlineLevel="0" collapsed="false">
      <c r="B29" s="9" t="s">
        <v>43</v>
      </c>
      <c r="D29" s="21" t="n">
        <v>0.035</v>
      </c>
    </row>
    <row r="30" customFormat="false" ht="15" hidden="false" customHeight="false" outlineLevel="0" collapsed="false">
      <c r="B30" s="9" t="s">
        <v>44</v>
      </c>
      <c r="D30" s="21" t="n">
        <v>0.03</v>
      </c>
    </row>
    <row r="31" customFormat="false" ht="15" hidden="false" customHeight="false" outlineLevel="0" collapsed="false">
      <c r="B31" s="9" t="s">
        <v>45</v>
      </c>
      <c r="C31" s="6" t="s">
        <v>25</v>
      </c>
      <c r="D31" s="19" t="n">
        <f aca="false">$D$24-$D$30*$D$13</f>
        <v>40.4</v>
      </c>
    </row>
    <row r="32" customFormat="false" ht="15" hidden="false" customHeight="false" outlineLevel="0" collapsed="false">
      <c r="B32" s="9" t="s">
        <v>46</v>
      </c>
      <c r="D32" s="14" t="n">
        <f aca="false">$D$31/$D$24</f>
        <v>0.808</v>
      </c>
    </row>
    <row r="33" customFormat="false" ht="15" hidden="false" customHeight="false" outlineLevel="0" collapsed="false">
      <c r="B33" s="9" t="s">
        <v>47</v>
      </c>
      <c r="C33" s="6" t="s">
        <v>25</v>
      </c>
      <c r="D33" s="13" t="n">
        <v>40</v>
      </c>
    </row>
    <row r="34" customFormat="false" ht="15" hidden="false" customHeight="false" outlineLevel="0" collapsed="false">
      <c r="B34" s="9" t="s">
        <v>48</v>
      </c>
      <c r="C34" s="6" t="s">
        <v>25</v>
      </c>
      <c r="D34" s="13" t="n">
        <v>3</v>
      </c>
    </row>
    <row r="35" customFormat="false" ht="15" hidden="false" customHeight="false" outlineLevel="0" collapsed="false">
      <c r="B35" s="9" t="s">
        <v>49</v>
      </c>
      <c r="C35" s="6" t="s">
        <v>25</v>
      </c>
      <c r="D35" s="13" t="n">
        <v>2</v>
      </c>
    </row>
    <row r="36" customFormat="false" ht="15" hidden="false" customHeight="false" outlineLevel="0" collapsed="false">
      <c r="B36" s="9" t="s">
        <v>50</v>
      </c>
      <c r="C36" s="6" t="s">
        <v>25</v>
      </c>
      <c r="D36" s="13" t="n">
        <v>10</v>
      </c>
    </row>
    <row r="37" customFormat="false" ht="15" hidden="false" customHeight="false" outlineLevel="0" collapsed="false">
      <c r="B37" s="9" t="s">
        <v>51</v>
      </c>
      <c r="C37" s="6" t="s">
        <v>25</v>
      </c>
      <c r="D37" s="19" t="n">
        <f aca="false">$D$33+$D$34+$D$35-$D$36</f>
        <v>35</v>
      </c>
    </row>
    <row r="39" customFormat="false" ht="15" hidden="false" customHeight="false" outlineLevel="0" collapsed="false">
      <c r="B39" s="7" t="s">
        <v>52</v>
      </c>
      <c r="C39" s="8"/>
      <c r="D39" s="8"/>
      <c r="E39" s="8"/>
      <c r="F39" s="8"/>
      <c r="G39" s="8"/>
      <c r="H39" s="8"/>
      <c r="I39" s="8"/>
      <c r="J39" s="8"/>
      <c r="K39" s="8"/>
      <c r="L39" s="8"/>
    </row>
    <row r="40" customFormat="false" ht="15" hidden="false" customHeight="false" outlineLevel="0" collapsed="false">
      <c r="B40" s="9" t="s">
        <v>53</v>
      </c>
      <c r="D40" s="11" t="n">
        <v>0.38</v>
      </c>
    </row>
    <row r="41" customFormat="false" ht="15" hidden="false" customHeight="false" outlineLevel="0" collapsed="false">
      <c r="B41" s="9" t="s">
        <v>54</v>
      </c>
      <c r="D41" s="11" t="n">
        <v>0.45</v>
      </c>
    </row>
    <row r="42" customFormat="false" ht="15" hidden="false" customHeight="false" outlineLevel="0" collapsed="false">
      <c r="B42" s="9" t="s">
        <v>55</v>
      </c>
      <c r="D42" s="21" t="n">
        <v>0.03</v>
      </c>
    </row>
    <row r="43" customFormat="false" ht="15" hidden="false" customHeight="false" outlineLevel="0" collapsed="false">
      <c r="B43" s="9" t="s">
        <v>56</v>
      </c>
      <c r="D43" s="21" t="n">
        <v>0.015</v>
      </c>
    </row>
    <row r="44" customFormat="false" ht="15" hidden="false" customHeight="false" outlineLevel="0" collapsed="false">
      <c r="B44" s="9" t="s">
        <v>57</v>
      </c>
      <c r="D44" s="14" t="n">
        <f aca="false">$D$42+$D$43</f>
        <v>0.045</v>
      </c>
    </row>
    <row r="45" customFormat="false" ht="21.75" hidden="false" customHeight="true" outlineLevel="0" collapsed="false">
      <c r="B45" s="15" t="s">
        <v>58</v>
      </c>
      <c r="C45" s="16"/>
      <c r="D45" s="16" t="s">
        <v>59</v>
      </c>
    </row>
    <row r="46" customFormat="false" ht="15" hidden="false" customHeight="false" outlineLevel="0" collapsed="false">
      <c r="B46" s="9" t="s">
        <v>60</v>
      </c>
      <c r="D46" s="22" t="n">
        <v>10.6</v>
      </c>
    </row>
    <row r="47" customFormat="false" ht="15" hidden="false" customHeight="false" outlineLevel="0" collapsed="false">
      <c r="B47" s="9" t="s">
        <v>61</v>
      </c>
      <c r="D47" s="22" t="n">
        <v>9.4</v>
      </c>
    </row>
    <row r="48" customFormat="false" ht="15" hidden="false" customHeight="false" outlineLevel="0" collapsed="false">
      <c r="B48" s="9" t="s">
        <v>62</v>
      </c>
      <c r="D48" s="22" t="n">
        <v>8.2</v>
      </c>
    </row>
    <row r="49" customFormat="false" ht="15" hidden="false" customHeight="false" outlineLevel="0" collapsed="false">
      <c r="B49" s="9" t="s">
        <v>63</v>
      </c>
      <c r="D49" s="22" t="n">
        <v>10.1</v>
      </c>
    </row>
    <row r="50" customFormat="false" ht="15" hidden="false" customHeight="false" outlineLevel="0" collapsed="false">
      <c r="B50" s="9" t="s">
        <v>64</v>
      </c>
      <c r="D50" s="22" t="n">
        <v>8.8</v>
      </c>
    </row>
    <row r="51" customFormat="false" ht="15" hidden="false" customHeight="false" outlineLevel="0" collapsed="false">
      <c r="B51" s="9" t="s">
        <v>65</v>
      </c>
      <c r="D51" s="23" t="n">
        <f aca="false">MEDIAN(D46:D50)</f>
        <v>9.4</v>
      </c>
    </row>
    <row r="52" customFormat="false" ht="15" hidden="false" customHeight="false" outlineLevel="0" collapsed="false">
      <c r="B52" s="9" t="s">
        <v>66</v>
      </c>
      <c r="D52" s="23" t="n">
        <f aca="false">MIN(D46:D50)</f>
        <v>8.2</v>
      </c>
    </row>
    <row r="53" customFormat="false" ht="15" hidden="false" customHeight="false" outlineLevel="0" collapsed="false">
      <c r="B53" s="9" t="s">
        <v>67</v>
      </c>
      <c r="D53" s="23" t="n">
        <f aca="false">MAX(D46:D50)</f>
        <v>10.6</v>
      </c>
    </row>
    <row r="54" customFormat="false" ht="21.75" hidden="false" customHeight="true" outlineLevel="0" collapsed="false">
      <c r="B54" s="15" t="s">
        <v>68</v>
      </c>
      <c r="C54" s="16"/>
      <c r="D54" s="16" t="s">
        <v>69</v>
      </c>
    </row>
    <row r="55" customFormat="false" ht="15" hidden="false" customHeight="false" outlineLevel="0" collapsed="false">
      <c r="B55" s="9" t="s">
        <v>70</v>
      </c>
      <c r="D55" s="22" t="n">
        <v>9.6</v>
      </c>
    </row>
    <row r="56" customFormat="false" ht="15" hidden="false" customHeight="false" outlineLevel="0" collapsed="false">
      <c r="B56" s="9" t="s">
        <v>71</v>
      </c>
      <c r="D56" s="22" t="n">
        <v>8.5</v>
      </c>
    </row>
    <row r="57" customFormat="false" ht="15" hidden="false" customHeight="false" outlineLevel="0" collapsed="false">
      <c r="B57" s="9" t="s">
        <v>72</v>
      </c>
      <c r="D57" s="22" t="n">
        <v>10</v>
      </c>
    </row>
    <row r="58" customFormat="false" ht="15" hidden="false" customHeight="false" outlineLevel="0" collapsed="false">
      <c r="B58" s="9" t="s">
        <v>73</v>
      </c>
      <c r="D58" s="22" t="n">
        <v>8.9</v>
      </c>
    </row>
    <row r="59" customFormat="false" ht="15" hidden="false" customHeight="false" outlineLevel="0" collapsed="false">
      <c r="B59" s="9" t="s">
        <v>74</v>
      </c>
      <c r="D59" s="24" t="n">
        <f aca="false">MEDIAN(D55:D58)</f>
        <v>9.25</v>
      </c>
    </row>
    <row r="60" customFormat="false" ht="15" hidden="false" customHeight="false" outlineLevel="0" collapsed="false">
      <c r="B60" s="9" t="s">
        <v>75</v>
      </c>
      <c r="D60" s="23" t="n">
        <f aca="false">MIN(D55:D58)</f>
        <v>8.5</v>
      </c>
    </row>
    <row r="61" customFormat="false" ht="15" hidden="false" customHeight="false" outlineLevel="0" collapsed="false">
      <c r="B61" s="9" t="s">
        <v>76</v>
      </c>
      <c r="D61" s="23" t="n">
        <f aca="false">MAX(D55:D58)</f>
        <v>10</v>
      </c>
    </row>
    <row r="63" customFormat="false" ht="15" hidden="false" customHeight="false" outlineLevel="0" collapsed="false">
      <c r="B63" s="7" t="s">
        <v>77</v>
      </c>
      <c r="C63" s="8"/>
      <c r="D63" s="8"/>
      <c r="E63" s="8"/>
      <c r="F63" s="8"/>
      <c r="G63" s="8"/>
      <c r="H63" s="8"/>
      <c r="I63" s="8"/>
      <c r="J63" s="8"/>
      <c r="K63" s="8"/>
      <c r="L63" s="8"/>
    </row>
    <row r="64" customFormat="false" ht="15" hidden="false" customHeight="false" outlineLevel="0" collapsed="false">
      <c r="B64" s="9" t="s">
        <v>78</v>
      </c>
      <c r="C64" s="6" t="s">
        <v>79</v>
      </c>
      <c r="D64" s="22" t="n">
        <v>9</v>
      </c>
    </row>
    <row r="65" customFormat="false" ht="15" hidden="false" customHeight="false" outlineLevel="0" collapsed="false">
      <c r="B65" s="9" t="s">
        <v>80</v>
      </c>
      <c r="C65" s="6" t="s">
        <v>25</v>
      </c>
      <c r="D65" s="19" t="n">
        <f aca="false">$D$64*$D$24</f>
        <v>450</v>
      </c>
    </row>
    <row r="66" customFormat="false" ht="15" hidden="false" customHeight="false" outlineLevel="0" collapsed="false">
      <c r="B66" s="9" t="s">
        <v>81</v>
      </c>
      <c r="C66" s="6" t="s">
        <v>25</v>
      </c>
      <c r="D66" s="19" t="n">
        <f aca="false">$D$65-$D$37</f>
        <v>415</v>
      </c>
    </row>
    <row r="67" customFormat="false" ht="15" hidden="false" customHeight="false" outlineLevel="0" collapsed="false">
      <c r="B67" s="9" t="s">
        <v>82</v>
      </c>
      <c r="D67" s="23" t="n">
        <f aca="false">$D$65/$D$22</f>
        <v>8.18181818181818</v>
      </c>
    </row>
    <row r="68" customFormat="false" ht="15" hidden="false" customHeight="false" outlineLevel="0" collapsed="false">
      <c r="B68" s="9" t="s">
        <v>83</v>
      </c>
      <c r="C68" s="6" t="s">
        <v>25</v>
      </c>
      <c r="D68" s="19" t="n">
        <f aca="false">$D$64*$D$22</f>
        <v>495</v>
      </c>
    </row>
    <row r="69" customFormat="false" ht="15" hidden="false" customHeight="false" outlineLevel="0" collapsed="false">
      <c r="B69" s="9" t="s">
        <v>84</v>
      </c>
      <c r="C69" s="6" t="s">
        <v>25</v>
      </c>
      <c r="D69" s="19" t="n">
        <f aca="false">$D$68-$D$65</f>
        <v>45</v>
      </c>
    </row>
    <row r="70" customFormat="false" ht="15" hidden="false" customHeight="false" outlineLevel="0" collapsed="false">
      <c r="B70" s="9" t="s">
        <v>85</v>
      </c>
      <c r="C70" s="6" t="s">
        <v>25</v>
      </c>
      <c r="D70" s="13" t="n">
        <v>1</v>
      </c>
    </row>
    <row r="71" customFormat="false" ht="15" hidden="false" customHeight="false" outlineLevel="0" collapsed="false">
      <c r="B71" s="9" t="s">
        <v>86</v>
      </c>
      <c r="C71" s="6" t="s">
        <v>25</v>
      </c>
      <c r="D71" s="19" t="n">
        <f aca="false">$D$64*$D$70</f>
        <v>9</v>
      </c>
    </row>
    <row r="72" customFormat="false" ht="15" hidden="false" customHeight="false" outlineLevel="0" collapsed="false">
      <c r="B72" s="9" t="s">
        <v>87</v>
      </c>
      <c r="C72" s="6" t="s">
        <v>79</v>
      </c>
      <c r="D72" s="22" t="n">
        <v>10</v>
      </c>
    </row>
    <row r="73" customFormat="false" ht="15" hidden="false" customHeight="false" outlineLevel="0" collapsed="false">
      <c r="B73" s="9" t="s">
        <v>88</v>
      </c>
      <c r="C73" s="6" t="s">
        <v>25</v>
      </c>
      <c r="D73" s="13" t="n">
        <v>4.5</v>
      </c>
    </row>
    <row r="74" customFormat="false" ht="15" hidden="false" customHeight="false" outlineLevel="0" collapsed="false">
      <c r="B74" s="9" t="s">
        <v>89</v>
      </c>
      <c r="C74" s="6" t="s">
        <v>25</v>
      </c>
      <c r="D74" s="13" t="n">
        <v>3</v>
      </c>
    </row>
    <row r="75" customFormat="false" ht="15" hidden="false" customHeight="false" outlineLevel="0" collapsed="false">
      <c r="B75" s="9" t="s">
        <v>90</v>
      </c>
      <c r="C75" s="6" t="s">
        <v>25</v>
      </c>
      <c r="D75" s="13" t="n">
        <v>2</v>
      </c>
    </row>
    <row r="76" customFormat="false" ht="15" hidden="false" customHeight="false" outlineLevel="0" collapsed="false">
      <c r="B76" s="9" t="s">
        <v>91</v>
      </c>
      <c r="C76" s="6" t="s">
        <v>25</v>
      </c>
      <c r="D76" s="19" t="n">
        <f aca="false">$D$73+$D$74+$D$75</f>
        <v>9.5</v>
      </c>
    </row>
    <row r="77" customFormat="false" ht="15" hidden="false" customHeight="false" outlineLevel="0" collapsed="false">
      <c r="B77" s="9" t="s">
        <v>92</v>
      </c>
      <c r="D77" s="21" t="n">
        <v>0.02</v>
      </c>
    </row>
    <row r="78" customFormat="false" ht="15" hidden="false" customHeight="false" outlineLevel="0" collapsed="false">
      <c r="B78" s="9" t="s">
        <v>93</v>
      </c>
      <c r="C78" s="6" t="s">
        <v>25</v>
      </c>
      <c r="D78" s="13" t="n">
        <v>10</v>
      </c>
    </row>
    <row r="79" customFormat="false" ht="15" hidden="false" customHeight="false" outlineLevel="0" collapsed="false">
      <c r="B79" s="9" t="s">
        <v>94</v>
      </c>
      <c r="C79" s="6" t="s">
        <v>25</v>
      </c>
      <c r="D79" s="13" t="n">
        <v>10</v>
      </c>
    </row>
    <row r="81" customFormat="false" ht="15" hidden="false" customHeight="false" outlineLevel="0" collapsed="false">
      <c r="B81" s="7" t="s">
        <v>95</v>
      </c>
      <c r="C81" s="8"/>
      <c r="D81" s="8"/>
      <c r="E81" s="8"/>
      <c r="F81" s="8"/>
      <c r="G81" s="8"/>
      <c r="H81" s="8"/>
      <c r="I81" s="8"/>
      <c r="J81" s="8"/>
      <c r="K81" s="8"/>
      <c r="L81" s="8"/>
    </row>
    <row r="82" customFormat="false" ht="15" hidden="false" customHeight="false" outlineLevel="0" collapsed="false">
      <c r="B82" s="9" t="s">
        <v>96</v>
      </c>
      <c r="C82" s="6" t="s">
        <v>79</v>
      </c>
      <c r="D82" s="22" t="n">
        <v>4.5</v>
      </c>
    </row>
    <row r="83" customFormat="false" ht="15" hidden="false" customHeight="false" outlineLevel="0" collapsed="false">
      <c r="B83" s="9" t="s">
        <v>97</v>
      </c>
      <c r="D83" s="10" t="n">
        <v>0.045</v>
      </c>
    </row>
    <row r="84" customFormat="false" ht="15" hidden="false" customHeight="false" outlineLevel="0" collapsed="false">
      <c r="B84" s="9" t="s">
        <v>98</v>
      </c>
      <c r="D84" s="25" t="n">
        <f aca="false">$D$6+$D$83</f>
        <v>0.085</v>
      </c>
    </row>
    <row r="85" customFormat="false" ht="15" hidden="false" customHeight="false" outlineLevel="0" collapsed="false">
      <c r="B85" s="9" t="s">
        <v>99</v>
      </c>
      <c r="D85" s="11" t="n">
        <v>0.01</v>
      </c>
    </row>
    <row r="86" customFormat="false" ht="15" hidden="false" customHeight="false" outlineLevel="0" collapsed="false">
      <c r="B86" s="9" t="s">
        <v>100</v>
      </c>
      <c r="C86" s="6" t="s">
        <v>101</v>
      </c>
      <c r="D86" s="26" t="n">
        <v>7</v>
      </c>
    </row>
    <row r="87" customFormat="false" ht="15" hidden="false" customHeight="false" outlineLevel="0" collapsed="false">
      <c r="B87" s="9" t="s">
        <v>102</v>
      </c>
      <c r="C87" s="6" t="s">
        <v>79</v>
      </c>
      <c r="D87" s="22" t="n">
        <v>1</v>
      </c>
    </row>
    <row r="88" customFormat="false" ht="15" hidden="false" customHeight="false" outlineLevel="0" collapsed="false">
      <c r="B88" s="9" t="s">
        <v>103</v>
      </c>
      <c r="D88" s="10" t="n">
        <v>0.11</v>
      </c>
    </row>
    <row r="89" customFormat="false" ht="15" hidden="false" customHeight="false" outlineLevel="0" collapsed="false">
      <c r="B89" s="9" t="s">
        <v>104</v>
      </c>
      <c r="C89" s="6" t="s">
        <v>101</v>
      </c>
      <c r="D89" s="26" t="n">
        <v>8</v>
      </c>
    </row>
    <row r="90" customFormat="false" ht="15" hidden="false" customHeight="false" outlineLevel="0" collapsed="false">
      <c r="B90" s="9" t="s">
        <v>105</v>
      </c>
      <c r="C90" s="6" t="s">
        <v>25</v>
      </c>
      <c r="D90" s="13" t="n">
        <v>40</v>
      </c>
    </row>
    <row r="91" customFormat="false" ht="15" hidden="false" customHeight="false" outlineLevel="0" collapsed="false">
      <c r="B91" s="9" t="s">
        <v>106</v>
      </c>
      <c r="D91" s="10" t="n">
        <v>0.04</v>
      </c>
    </row>
    <row r="92" customFormat="false" ht="15" hidden="false" customHeight="false" outlineLevel="0" collapsed="false">
      <c r="B92" s="9" t="s">
        <v>107</v>
      </c>
      <c r="D92" s="10" t="n">
        <v>0.005</v>
      </c>
    </row>
    <row r="93" customFormat="false" ht="15" hidden="false" customHeight="false" outlineLevel="0" collapsed="false">
      <c r="B93" s="9" t="s">
        <v>108</v>
      </c>
      <c r="C93" s="6" t="s">
        <v>101</v>
      </c>
      <c r="D93" s="26" t="n">
        <v>6</v>
      </c>
    </row>
    <row r="94" customFormat="false" ht="15" hidden="false" customHeight="false" outlineLevel="0" collapsed="false">
      <c r="B94" s="9" t="s">
        <v>109</v>
      </c>
      <c r="D94" s="11" t="n">
        <v>0.35</v>
      </c>
    </row>
    <row r="95" customFormat="false" ht="15" hidden="false" customHeight="false" outlineLevel="0" collapsed="false">
      <c r="B95" s="9" t="s">
        <v>110</v>
      </c>
      <c r="D95" s="10" t="n">
        <v>0.06</v>
      </c>
    </row>
    <row r="96" customFormat="false" ht="15" hidden="false" customHeight="false" outlineLevel="0" collapsed="false">
      <c r="B96" s="9" t="s">
        <v>111</v>
      </c>
      <c r="D96" s="25" t="n">
        <f aca="false">$D$6+$D$95</f>
        <v>0.1</v>
      </c>
    </row>
    <row r="97" customFormat="false" ht="15" hidden="false" customHeight="false" outlineLevel="0" collapsed="false">
      <c r="B97" s="9" t="s">
        <v>112</v>
      </c>
      <c r="C97" s="6" t="s">
        <v>79</v>
      </c>
      <c r="D97" s="23" t="n">
        <f aca="false">$D$82+$D$87</f>
        <v>5.5</v>
      </c>
    </row>
    <row r="98" customFormat="false" ht="15" hidden="false" customHeight="false" outlineLevel="0" collapsed="false">
      <c r="B98" s="9" t="s">
        <v>113</v>
      </c>
      <c r="D98" s="26" t="n">
        <v>1</v>
      </c>
    </row>
    <row r="99" customFormat="false" ht="30" hidden="false" customHeight="true" outlineLevel="0" collapsed="false">
      <c r="B99" s="15" t="s">
        <v>114</v>
      </c>
      <c r="C99" s="16"/>
      <c r="D99" s="16" t="s">
        <v>115</v>
      </c>
      <c r="E99" s="16" t="s">
        <v>116</v>
      </c>
    </row>
    <row r="100" customFormat="false" ht="15" hidden="false" customHeight="false" outlineLevel="0" collapsed="false">
      <c r="B100" s="9" t="s">
        <v>117</v>
      </c>
      <c r="D100" s="22" t="n">
        <v>4.5</v>
      </c>
      <c r="E100" s="11" t="n">
        <v>0.5</v>
      </c>
    </row>
    <row r="101" customFormat="false" ht="15" hidden="false" customHeight="false" outlineLevel="0" collapsed="false">
      <c r="B101" s="9" t="s">
        <v>118</v>
      </c>
      <c r="D101" s="22" t="n">
        <v>3.5</v>
      </c>
      <c r="E101" s="11" t="n">
        <v>0.25</v>
      </c>
    </row>
    <row r="102" customFormat="false" ht="15" hidden="false" customHeight="false" outlineLevel="0" collapsed="false">
      <c r="B102" s="9" t="s">
        <v>119</v>
      </c>
      <c r="D102" s="22" t="n">
        <v>0</v>
      </c>
      <c r="E102" s="11" t="n">
        <v>0</v>
      </c>
    </row>
    <row r="103" customFormat="false" ht="15" hidden="false" customHeight="false" outlineLevel="0" collapsed="false">
      <c r="B103" s="9" t="s">
        <v>120</v>
      </c>
      <c r="D103" s="11" t="n">
        <v>0.2</v>
      </c>
    </row>
    <row r="104" customFormat="false" ht="15" hidden="false" customHeight="false" outlineLevel="0" collapsed="false">
      <c r="B104" s="9" t="s">
        <v>121</v>
      </c>
      <c r="C104" s="6" t="s">
        <v>25</v>
      </c>
      <c r="D104" s="13" t="n">
        <v>3</v>
      </c>
    </row>
    <row r="106" customFormat="false" ht="15" hidden="false" customHeight="false" outlineLevel="0" collapsed="false">
      <c r="B106" s="7" t="s">
        <v>122</v>
      </c>
      <c r="C106" s="8"/>
      <c r="D106" s="8"/>
      <c r="E106" s="8"/>
      <c r="F106" s="8"/>
      <c r="G106" s="8"/>
      <c r="H106" s="8"/>
      <c r="I106" s="8"/>
      <c r="J106" s="8"/>
      <c r="K106" s="8"/>
      <c r="L106" s="8"/>
    </row>
    <row r="107" customFormat="false" ht="15" hidden="false" customHeight="false" outlineLevel="0" collapsed="false">
      <c r="B107" s="9" t="s">
        <v>123</v>
      </c>
      <c r="C107" s="6" t="s">
        <v>25</v>
      </c>
      <c r="D107" s="13" t="n">
        <v>10</v>
      </c>
    </row>
    <row r="108" customFormat="false" ht="15" hidden="false" customHeight="false" outlineLevel="0" collapsed="false">
      <c r="B108" s="9" t="s">
        <v>124</v>
      </c>
      <c r="C108" s="6" t="s">
        <v>125</v>
      </c>
      <c r="D108" s="27" t="n">
        <v>1</v>
      </c>
    </row>
    <row r="109" customFormat="false" ht="15" hidden="false" customHeight="false" outlineLevel="0" collapsed="false">
      <c r="B109" s="9" t="s">
        <v>126</v>
      </c>
      <c r="D109" s="11" t="n">
        <v>0.08</v>
      </c>
    </row>
    <row r="110" customFormat="false" ht="15" hidden="false" customHeight="false" outlineLevel="0" collapsed="false">
      <c r="B110" s="9" t="s">
        <v>127</v>
      </c>
      <c r="C110" s="6" t="s">
        <v>79</v>
      </c>
      <c r="D110" s="22" t="n">
        <v>2</v>
      </c>
    </row>
    <row r="111" customFormat="false" ht="15" hidden="false" customHeight="false" outlineLevel="0" collapsed="false">
      <c r="B111" s="9" t="s">
        <v>128</v>
      </c>
      <c r="C111" s="6" t="s">
        <v>25</v>
      </c>
      <c r="D111" s="13" t="n">
        <v>4</v>
      </c>
    </row>
    <row r="112" customFormat="false" ht="15" hidden="false" customHeight="false" outlineLevel="0" collapsed="false">
      <c r="B112" s="9" t="s">
        <v>129</v>
      </c>
      <c r="D112" s="11" t="n">
        <v>0.35</v>
      </c>
    </row>
    <row r="114" customFormat="false" ht="15" hidden="false" customHeight="false" outlineLevel="0" collapsed="false">
      <c r="B114" s="7" t="s">
        <v>130</v>
      </c>
      <c r="C114" s="8"/>
      <c r="D114" s="8"/>
      <c r="E114" s="8"/>
      <c r="F114" s="8"/>
      <c r="G114" s="8"/>
      <c r="H114" s="8"/>
      <c r="I114" s="8"/>
      <c r="J114" s="8"/>
      <c r="K114" s="8"/>
      <c r="L114" s="8"/>
    </row>
    <row r="115" customFormat="false" ht="15" hidden="false" customHeight="false" outlineLevel="0" collapsed="false">
      <c r="B115" s="9" t="s">
        <v>131</v>
      </c>
      <c r="D115" s="26" t="n">
        <v>1</v>
      </c>
    </row>
    <row r="116" customFormat="false" ht="15" hidden="false" customHeight="false" outlineLevel="0" collapsed="false">
      <c r="B116" s="9" t="s">
        <v>132</v>
      </c>
      <c r="C116" s="6" t="s">
        <v>133</v>
      </c>
      <c r="D116" s="26" t="n">
        <v>2</v>
      </c>
    </row>
    <row r="117" customFormat="false" ht="15" hidden="false" customHeight="false" outlineLevel="0" collapsed="false">
      <c r="B117" s="9" t="s">
        <v>134</v>
      </c>
      <c r="C117" s="6" t="s">
        <v>25</v>
      </c>
      <c r="D117" s="13" t="n">
        <v>60</v>
      </c>
    </row>
    <row r="118" customFormat="false" ht="15" hidden="false" customHeight="false" outlineLevel="0" collapsed="false">
      <c r="B118" s="9" t="s">
        <v>135</v>
      </c>
      <c r="C118" s="6" t="s">
        <v>25</v>
      </c>
      <c r="D118" s="13" t="n">
        <v>8</v>
      </c>
    </row>
    <row r="119" customFormat="false" ht="15" hidden="false" customHeight="false" outlineLevel="0" collapsed="false">
      <c r="B119" s="9" t="s">
        <v>136</v>
      </c>
      <c r="D119" s="14" t="n">
        <f aca="false">$D$118/$D$117</f>
        <v>0.133333333333333</v>
      </c>
    </row>
    <row r="120" customFormat="false" ht="15" hidden="false" customHeight="false" outlineLevel="0" collapsed="false">
      <c r="B120" s="9" t="s">
        <v>137</v>
      </c>
      <c r="C120" s="6" t="s">
        <v>79</v>
      </c>
      <c r="D120" s="22" t="n">
        <v>6.5</v>
      </c>
    </row>
    <row r="121" customFormat="false" ht="15" hidden="false" customHeight="false" outlineLevel="0" collapsed="false">
      <c r="B121" s="9" t="s">
        <v>138</v>
      </c>
      <c r="C121" s="6" t="s">
        <v>25</v>
      </c>
      <c r="D121" s="19" t="n">
        <f aca="false">$D$120*$D$118</f>
        <v>52</v>
      </c>
    </row>
    <row r="122" customFormat="false" ht="15" hidden="false" customHeight="false" outlineLevel="0" collapsed="false">
      <c r="B122" s="9" t="s">
        <v>139</v>
      </c>
      <c r="C122" s="6" t="s">
        <v>25</v>
      </c>
      <c r="D122" s="13" t="n">
        <v>1.5</v>
      </c>
    </row>
    <row r="123" customFormat="false" ht="15" hidden="false" customHeight="false" outlineLevel="0" collapsed="false">
      <c r="B123" s="9" t="s">
        <v>140</v>
      </c>
      <c r="D123" s="21" t="n">
        <v>0.04</v>
      </c>
    </row>
    <row r="124" customFormat="false" ht="15" hidden="false" customHeight="false" outlineLevel="0" collapsed="false">
      <c r="B124" s="9" t="s">
        <v>141</v>
      </c>
      <c r="D124" s="11" t="n">
        <v>0.1</v>
      </c>
    </row>
    <row r="125" customFormat="false" ht="15" hidden="false" customHeight="false" outlineLevel="0" collapsed="false">
      <c r="B125" s="9" t="s">
        <v>142</v>
      </c>
      <c r="C125" s="6" t="s">
        <v>25</v>
      </c>
      <c r="D125" s="13" t="n">
        <v>40</v>
      </c>
    </row>
    <row r="126" customFormat="false" ht="15" hidden="false" customHeight="false" outlineLevel="0" collapsed="false">
      <c r="B126" s="9" t="s">
        <v>143</v>
      </c>
      <c r="C126" s="6" t="s">
        <v>25</v>
      </c>
      <c r="D126" s="19" t="n">
        <f aca="false">$D$77*$D$125</f>
        <v>0.8</v>
      </c>
    </row>
    <row r="127" customFormat="false" ht="15" hidden="false" customHeight="false" outlineLevel="0" collapsed="false">
      <c r="B127" s="9" t="s">
        <v>144</v>
      </c>
      <c r="C127" s="6" t="s">
        <v>25</v>
      </c>
      <c r="D127" s="19" t="n">
        <f aca="false">$D$121+$D$122+$D$126-$D$125</f>
        <v>14.3</v>
      </c>
    </row>
    <row r="128" customFormat="false" ht="15" hidden="false" customHeight="false" outlineLevel="0" collapsed="false">
      <c r="B128" s="9" t="s">
        <v>145</v>
      </c>
      <c r="C128" s="6" t="s">
        <v>25</v>
      </c>
      <c r="D128" s="19" t="n">
        <f aca="false">$D$122+$D$126</f>
        <v>2.3</v>
      </c>
    </row>
    <row r="130" customFormat="false" ht="15" hidden="false" customHeight="false" outlineLevel="0" collapsed="false">
      <c r="B130" s="7" t="s">
        <v>146</v>
      </c>
      <c r="C130" s="8"/>
      <c r="D130" s="8"/>
      <c r="E130" s="8"/>
      <c r="F130" s="8"/>
      <c r="G130" s="8"/>
      <c r="H130" s="8"/>
      <c r="I130" s="8"/>
      <c r="J130" s="8"/>
      <c r="K130" s="8"/>
      <c r="L130" s="8"/>
    </row>
    <row r="131" customFormat="false" ht="15" hidden="false" customHeight="false" outlineLevel="0" collapsed="false">
      <c r="B131" s="9" t="s">
        <v>147</v>
      </c>
      <c r="C131" s="6" t="s">
        <v>79</v>
      </c>
      <c r="D131" s="22" t="n">
        <v>9</v>
      </c>
    </row>
    <row r="132" customFormat="false" ht="15" hidden="false" customHeight="false" outlineLevel="0" collapsed="false">
      <c r="B132" s="9" t="s">
        <v>148</v>
      </c>
      <c r="D132" s="21" t="n">
        <v>0.015</v>
      </c>
    </row>
    <row r="133" customFormat="false" ht="15" hidden="false" customHeight="false" outlineLevel="0" collapsed="false">
      <c r="B133" s="9" t="s">
        <v>149</v>
      </c>
      <c r="C133" s="6" t="s">
        <v>133</v>
      </c>
      <c r="D133" s="26" t="n">
        <v>5</v>
      </c>
    </row>
    <row r="135" customFormat="false" ht="15" hidden="false" customHeight="false" outlineLevel="0" collapsed="false">
      <c r="B135" s="7" t="s">
        <v>150</v>
      </c>
      <c r="C135" s="8"/>
      <c r="D135" s="8"/>
      <c r="E135" s="8"/>
      <c r="F135" s="8"/>
      <c r="G135" s="8"/>
      <c r="H135" s="8"/>
      <c r="I135" s="8"/>
      <c r="J135" s="8"/>
      <c r="K135" s="8"/>
      <c r="L135" s="8"/>
    </row>
    <row r="136" customFormat="false" ht="15" hidden="false" customHeight="false" outlineLevel="0" collapsed="false">
      <c r="B136" s="9" t="s">
        <v>151</v>
      </c>
      <c r="D136" s="11" t="n">
        <v>1</v>
      </c>
    </row>
    <row r="137" customFormat="false" ht="15" hidden="false" customHeight="false" outlineLevel="0" collapsed="false">
      <c r="B137" s="9" t="s">
        <v>152</v>
      </c>
      <c r="D137" s="26" t="n">
        <v>0</v>
      </c>
    </row>
    <row r="138" customFormat="false" ht="15" hidden="false" customHeight="false" outlineLevel="0" collapsed="false">
      <c r="B138" s="9" t="s">
        <v>153</v>
      </c>
      <c r="C138" s="6" t="s">
        <v>133</v>
      </c>
      <c r="D138" s="26" t="n">
        <v>4</v>
      </c>
    </row>
    <row r="139" customFormat="false" ht="15" hidden="false" customHeight="false" outlineLevel="0" collapsed="false">
      <c r="B139" s="9" t="s">
        <v>154</v>
      </c>
      <c r="C139" s="6" t="s">
        <v>25</v>
      </c>
      <c r="D139" s="13" t="n">
        <v>35</v>
      </c>
    </row>
    <row r="140" customFormat="false" ht="15" hidden="false" customHeight="false" outlineLevel="0" collapsed="false">
      <c r="B140" s="9" t="s">
        <v>155</v>
      </c>
      <c r="D140" s="21" t="n">
        <v>0.02</v>
      </c>
    </row>
    <row r="141" customFormat="false" ht="15" hidden="false" customHeight="false" outlineLevel="0" collapsed="false">
      <c r="B141" s="9" t="s">
        <v>156</v>
      </c>
      <c r="C141" s="6" t="s">
        <v>79</v>
      </c>
      <c r="D141" s="28" t="n">
        <v>4.25</v>
      </c>
    </row>
    <row r="142" customFormat="false" ht="15" hidden="false" customHeight="false" outlineLevel="0" collapsed="false">
      <c r="B142" s="9" t="s">
        <v>157</v>
      </c>
      <c r="D142" s="26" t="n">
        <v>0</v>
      </c>
    </row>
    <row r="143" customFormat="false" ht="15" hidden="false" customHeight="false" outlineLevel="0" collapsed="false">
      <c r="B143" s="9" t="s">
        <v>158</v>
      </c>
      <c r="C143" s="6" t="s">
        <v>25</v>
      </c>
      <c r="D143" s="13" t="n">
        <v>0</v>
      </c>
    </row>
    <row r="144" customFormat="false" ht="15" hidden="false" customHeight="false" outlineLevel="0" collapsed="false">
      <c r="B144" s="9" t="s">
        <v>159</v>
      </c>
      <c r="C144" s="6" t="s">
        <v>133</v>
      </c>
      <c r="D144" s="26" t="n">
        <v>0</v>
      </c>
    </row>
    <row r="145" customFormat="false" ht="15" hidden="false" customHeight="false" outlineLevel="0" collapsed="false">
      <c r="B145" s="9" t="s">
        <v>160</v>
      </c>
      <c r="D145" s="26" t="n">
        <v>0</v>
      </c>
    </row>
    <row r="146" customFormat="false" ht="15" hidden="false" customHeight="false" outlineLevel="0" collapsed="false">
      <c r="B146" s="9" t="s">
        <v>161</v>
      </c>
      <c r="C146" s="6" t="s">
        <v>133</v>
      </c>
      <c r="D146" s="26" t="n">
        <v>3</v>
      </c>
    </row>
    <row r="147" customFormat="false" ht="15" hidden="false" customHeight="false" outlineLevel="0" collapsed="false">
      <c r="B147" s="9" t="s">
        <v>162</v>
      </c>
      <c r="D147" s="21" t="n">
        <v>0.01</v>
      </c>
    </row>
    <row r="148" customFormat="false" ht="15" hidden="false" customHeight="false" outlineLevel="0" collapsed="false">
      <c r="B148" s="9" t="s">
        <v>163</v>
      </c>
      <c r="D148" s="10" t="n">
        <v>0.01</v>
      </c>
    </row>
    <row r="149" customFormat="false" ht="15" hidden="false" customHeight="false" outlineLevel="0" collapsed="false">
      <c r="B149" s="9" t="s">
        <v>164</v>
      </c>
      <c r="C149" s="6" t="s">
        <v>79</v>
      </c>
      <c r="D149" s="28" t="n">
        <v>0.75</v>
      </c>
    </row>
    <row r="150" customFormat="false" ht="15" hidden="false" customHeight="false" outlineLevel="0" collapsed="false">
      <c r="B150" s="9" t="s">
        <v>165</v>
      </c>
      <c r="D150" s="21" t="n">
        <v>-0.12</v>
      </c>
    </row>
    <row r="151" customFormat="false" ht="15" hidden="false" customHeight="false" outlineLevel="0" collapsed="false">
      <c r="B151" s="9" t="s">
        <v>166</v>
      </c>
      <c r="D151" s="21" t="n">
        <v>-0.045</v>
      </c>
    </row>
    <row r="152" customFormat="false" ht="15" hidden="false" customHeight="false" outlineLevel="0" collapsed="false">
      <c r="B152" s="9" t="s">
        <v>167</v>
      </c>
      <c r="D152" s="21" t="n">
        <v>0</v>
      </c>
    </row>
    <row r="153" customFormat="false" ht="15" hidden="false" customHeight="false" outlineLevel="0" collapsed="false">
      <c r="B153" s="9" t="s">
        <v>168</v>
      </c>
      <c r="D153" s="10" t="n">
        <v>0.06</v>
      </c>
    </row>
    <row r="155" customFormat="false" ht="15" hidden="false" customHeight="false" outlineLevel="0" collapsed="false">
      <c r="B155" s="7" t="s">
        <v>169</v>
      </c>
      <c r="C155" s="8"/>
      <c r="D155" s="8"/>
      <c r="E155" s="8"/>
      <c r="F155" s="8"/>
      <c r="G155" s="8"/>
      <c r="H155" s="8"/>
      <c r="I155" s="8"/>
      <c r="J155" s="8"/>
      <c r="K155" s="8"/>
      <c r="L155" s="8"/>
    </row>
    <row r="156" customFormat="false" ht="15" hidden="false" customHeight="false" outlineLevel="0" collapsed="false">
      <c r="B156" s="9" t="s">
        <v>170</v>
      </c>
      <c r="D156" s="21" t="n">
        <v>0.02</v>
      </c>
    </row>
    <row r="157" customFormat="false" ht="15" hidden="false" customHeight="false" outlineLevel="0" collapsed="false">
      <c r="B157" s="9" t="s">
        <v>171</v>
      </c>
      <c r="D157" s="11" t="n">
        <v>0.2</v>
      </c>
    </row>
    <row r="158" customFormat="false" ht="15" hidden="false" customHeight="false" outlineLevel="0" collapsed="false">
      <c r="B158" s="9" t="s">
        <v>172</v>
      </c>
      <c r="D158" s="29" t="n">
        <f aca="false">1-$D$157</f>
        <v>0.8</v>
      </c>
    </row>
    <row r="159" customFormat="false" ht="15" hidden="false" customHeight="false" outlineLevel="0" collapsed="false">
      <c r="B159" s="9" t="s">
        <v>173</v>
      </c>
      <c r="D159" s="11" t="n">
        <v>0.08</v>
      </c>
    </row>
    <row r="160" customFormat="false" ht="15" hidden="false" customHeight="false" outlineLevel="0" collapsed="false">
      <c r="B160" s="9" t="s">
        <v>174</v>
      </c>
      <c r="D160" s="10" t="n">
        <v>0.065</v>
      </c>
    </row>
    <row r="161" customFormat="false" ht="15" hidden="false" customHeight="false" outlineLevel="0" collapsed="false">
      <c r="B161" s="9" t="s">
        <v>175</v>
      </c>
      <c r="C161" s="6" t="s">
        <v>176</v>
      </c>
      <c r="D161" s="26" t="n">
        <v>12</v>
      </c>
    </row>
    <row r="163" customFormat="false" ht="15" hidden="false" customHeight="false" outlineLevel="0" collapsed="false">
      <c r="B163" s="7" t="s">
        <v>177</v>
      </c>
      <c r="C163" s="8"/>
      <c r="D163" s="8"/>
      <c r="E163" s="8"/>
      <c r="F163" s="8"/>
      <c r="G163" s="8"/>
      <c r="H163" s="8"/>
      <c r="I163" s="8"/>
      <c r="J163" s="8"/>
      <c r="K163" s="8"/>
      <c r="L163" s="8"/>
    </row>
    <row r="164" customFormat="false" ht="15" hidden="false" customHeight="false" outlineLevel="0" collapsed="false">
      <c r="B164" s="7" t="s">
        <v>178</v>
      </c>
      <c r="F164" s="30" t="n">
        <v>1</v>
      </c>
      <c r="G164" s="30" t="n">
        <v>2</v>
      </c>
      <c r="H164" s="30" t="n">
        <v>3</v>
      </c>
      <c r="I164" s="30" t="n">
        <v>4</v>
      </c>
      <c r="J164" s="30" t="n">
        <v>5</v>
      </c>
      <c r="K164" s="30" t="n">
        <v>6</v>
      </c>
      <c r="L164" s="30" t="n">
        <v>7</v>
      </c>
    </row>
    <row r="165" customFormat="false" ht="15" hidden="false" customHeight="false" outlineLevel="0" collapsed="false">
      <c r="B165" s="9" t="s">
        <v>179</v>
      </c>
      <c r="F165" s="21" t="n">
        <v>0.05</v>
      </c>
      <c r="G165" s="21" t="n">
        <v>0.06</v>
      </c>
      <c r="H165" s="21" t="n">
        <v>-0.06</v>
      </c>
      <c r="I165" s="21" t="n">
        <v>0.07</v>
      </c>
      <c r="J165" s="21" t="n">
        <v>0.05</v>
      </c>
      <c r="K165" s="21" t="n">
        <v>0.04</v>
      </c>
      <c r="L165" s="21" t="n">
        <v>0.04</v>
      </c>
    </row>
    <row r="166" customFormat="false" ht="15" hidden="false" customHeight="false" outlineLevel="0" collapsed="false">
      <c r="B166" s="9" t="s">
        <v>180</v>
      </c>
      <c r="F166" s="31" t="n">
        <v>0.00625</v>
      </c>
      <c r="G166" s="31" t="n">
        <v>0.01375</v>
      </c>
      <c r="H166" s="31" t="n">
        <v>0.01875</v>
      </c>
      <c r="I166" s="31" t="n">
        <v>0.01875</v>
      </c>
      <c r="J166" s="31" t="n">
        <v>0.01875</v>
      </c>
      <c r="K166" s="31" t="n">
        <v>0.01875</v>
      </c>
      <c r="L166" s="31" t="n">
        <v>0.01875</v>
      </c>
    </row>
    <row r="167" customFormat="false" ht="15" hidden="false" customHeight="false" outlineLevel="0" collapsed="false">
      <c r="B167" s="9" t="s">
        <v>181</v>
      </c>
      <c r="F167" s="21" t="n">
        <v>0</v>
      </c>
      <c r="G167" s="21" t="n">
        <v>0</v>
      </c>
      <c r="H167" s="21" t="n">
        <v>-0.03</v>
      </c>
      <c r="I167" s="21" t="n">
        <v>-0.01</v>
      </c>
      <c r="J167" s="21" t="n">
        <v>0</v>
      </c>
      <c r="K167" s="21" t="n">
        <v>0</v>
      </c>
      <c r="L167" s="21" t="n">
        <v>0</v>
      </c>
    </row>
    <row r="168" customFormat="false" ht="15" hidden="false" customHeight="false" outlineLevel="0" collapsed="false">
      <c r="B168" s="9" t="s">
        <v>182</v>
      </c>
      <c r="F168" s="13" t="n">
        <v>0</v>
      </c>
      <c r="G168" s="13" t="n">
        <v>0</v>
      </c>
      <c r="H168" s="13" t="n">
        <v>1</v>
      </c>
      <c r="I168" s="13" t="n">
        <v>2.5</v>
      </c>
      <c r="J168" s="13" t="n">
        <v>3</v>
      </c>
      <c r="K168" s="13" t="n">
        <v>3</v>
      </c>
      <c r="L168" s="13" t="n">
        <v>3</v>
      </c>
    </row>
    <row r="169" customFormat="false" ht="15" hidden="false" customHeight="false" outlineLevel="0" collapsed="false">
      <c r="B169" s="9" t="s">
        <v>183</v>
      </c>
      <c r="F169" s="28" t="n">
        <v>5.75</v>
      </c>
      <c r="G169" s="28" t="n">
        <v>5.25</v>
      </c>
      <c r="H169" s="28" t="n">
        <v>4.75</v>
      </c>
      <c r="I169" s="28" t="n">
        <v>4.25</v>
      </c>
      <c r="J169" s="28" t="n">
        <v>4</v>
      </c>
      <c r="K169" s="28" t="n">
        <v>4</v>
      </c>
      <c r="L169" s="28" t="n">
        <v>4</v>
      </c>
    </row>
    <row r="170" customFormat="false" ht="15" hidden="false" customHeight="false" outlineLevel="0" collapsed="false">
      <c r="B170" s="9" t="s">
        <v>184</v>
      </c>
      <c r="D170" s="14" t="n">
        <f aca="false">$D$25+$H$166</f>
        <v>0.175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76"/>
    <col collapsed="false" customWidth="true" hidden="false" outlineLevel="0" max="3" min="3" style="0" width="12"/>
    <col collapsed="false" customWidth="true" hidden="false" outlineLevel="0" max="4" min="4" style="0" width="14"/>
    <col collapsed="false" customWidth="true" hidden="false" outlineLevel="0" max="5" min="5" style="0" width="16"/>
  </cols>
  <sheetData>
    <row r="1" customFormat="false" ht="6" hidden="false" customHeight="true" outlineLevel="0" collapsed="false"/>
    <row r="2" customFormat="false" ht="17.35" hidden="false" customHeight="false" outlineLevel="0" collapsed="false">
      <c r="B2" s="5" t="s">
        <v>185</v>
      </c>
    </row>
    <row r="3" customFormat="false" ht="15" hidden="false" customHeight="false" outlineLevel="0" collapsed="false">
      <c r="B3" s="6" t="s">
        <v>186</v>
      </c>
    </row>
    <row r="5" customFormat="false" ht="15" hidden="false" customHeight="false" outlineLevel="0" collapsed="false">
      <c r="B5" s="7" t="s">
        <v>187</v>
      </c>
      <c r="C5" s="8"/>
      <c r="D5" s="8"/>
      <c r="E5" s="8"/>
      <c r="F5" s="8"/>
    </row>
    <row r="6" customFormat="false" ht="15" hidden="false" customHeight="false" outlineLevel="0" collapsed="false">
      <c r="B6" s="9" t="s">
        <v>188</v>
      </c>
      <c r="C6" s="6" t="s">
        <v>25</v>
      </c>
      <c r="D6" s="19" t="n">
        <f aca="false">Case_Base!$D$28</f>
        <v>50</v>
      </c>
    </row>
    <row r="7" customFormat="false" ht="15" hidden="false" customHeight="false" outlineLevel="0" collapsed="false">
      <c r="B7" s="9" t="s">
        <v>189</v>
      </c>
      <c r="C7" s="6" t="s">
        <v>25</v>
      </c>
      <c r="D7" s="19" t="n">
        <f aca="false">Case_Base!$D$171</f>
        <v>77.82288952</v>
      </c>
    </row>
    <row r="8" customFormat="false" ht="15" hidden="false" customHeight="false" outlineLevel="0" collapsed="false">
      <c r="B8" s="9" t="s">
        <v>190</v>
      </c>
      <c r="C8" s="6" t="s">
        <v>79</v>
      </c>
      <c r="D8" s="23" t="n">
        <f aca="false">Case_Base!$D$6</f>
        <v>9</v>
      </c>
    </row>
    <row r="9" customFormat="false" ht="15" hidden="false" customHeight="false" outlineLevel="0" collapsed="false">
      <c r="B9" s="9" t="s">
        <v>191</v>
      </c>
      <c r="C9" s="6" t="s">
        <v>79</v>
      </c>
      <c r="D9" s="23" t="n">
        <f aca="false">Case_Base!$D$7</f>
        <v>9</v>
      </c>
    </row>
    <row r="10" customFormat="false" ht="15" hidden="false" customHeight="false" outlineLevel="0" collapsed="false">
      <c r="B10" s="9" t="s">
        <v>192</v>
      </c>
      <c r="C10" s="6" t="s">
        <v>25</v>
      </c>
      <c r="D10" s="19" t="n">
        <f aca="false">Case_Base!$D$54</f>
        <v>265</v>
      </c>
    </row>
    <row r="11" customFormat="false" ht="15" hidden="false" customHeight="false" outlineLevel="0" collapsed="false">
      <c r="B11" s="9" t="s">
        <v>193</v>
      </c>
      <c r="C11" s="6" t="s">
        <v>25</v>
      </c>
      <c r="D11" s="19" t="n">
        <f aca="false">Case_Base!$D$173</f>
        <v>229.684737262957</v>
      </c>
    </row>
    <row r="12" customFormat="false" ht="15" hidden="false" customHeight="false" outlineLevel="0" collapsed="false">
      <c r="B12" s="9" t="s">
        <v>194</v>
      </c>
      <c r="C12" s="6" t="s">
        <v>25</v>
      </c>
      <c r="D12" s="19" t="n">
        <f aca="false">Case_Base!$D$46</f>
        <v>200</v>
      </c>
    </row>
    <row r="13" customFormat="false" ht="15" hidden="false" customHeight="false" outlineLevel="0" collapsed="false">
      <c r="B13" s="9" t="s">
        <v>195</v>
      </c>
      <c r="C13" s="6" t="s">
        <v>25</v>
      </c>
      <c r="D13" s="19" t="n">
        <f aca="false">Case_Base!$D$179</f>
        <v>460.215178331843</v>
      </c>
    </row>
    <row r="15" customFormat="false" ht="15" hidden="false" customHeight="false" outlineLevel="0" collapsed="false">
      <c r="B15" s="7" t="s">
        <v>196</v>
      </c>
      <c r="C15" s="8"/>
      <c r="D15" s="8"/>
      <c r="E15" s="8"/>
      <c r="F15" s="8"/>
    </row>
    <row r="16" customFormat="false" ht="15" hidden="false" customHeight="false" outlineLevel="0" collapsed="false">
      <c r="B16" s="9" t="s">
        <v>197</v>
      </c>
      <c r="C16" s="6" t="s">
        <v>25</v>
      </c>
      <c r="D16" s="19" t="n">
        <f aca="false">Assumptions!$D$76+Case_Base!$D$33</f>
        <v>15</v>
      </c>
    </row>
    <row r="17" customFormat="false" ht="15" hidden="false" customHeight="false" outlineLevel="0" collapsed="false">
      <c r="B17" s="9" t="s">
        <v>198</v>
      </c>
      <c r="C17" s="6" t="s">
        <v>25</v>
      </c>
      <c r="D17" s="19" t="n">
        <f aca="false">Case_Base!$D$178</f>
        <v>10.5060900852</v>
      </c>
    </row>
    <row r="18" customFormat="false" ht="15" hidden="false" customHeight="false" outlineLevel="0" collapsed="false">
      <c r="B18" s="9" t="s">
        <v>199</v>
      </c>
      <c r="C18" s="6" t="s">
        <v>25</v>
      </c>
      <c r="D18" s="19" t="n">
        <f aca="false">$D$16+$D$17</f>
        <v>25.5060900852</v>
      </c>
    </row>
    <row r="20" customFormat="false" ht="15" hidden="false" customHeight="false" outlineLevel="0" collapsed="false">
      <c r="B20" s="7" t="s">
        <v>200</v>
      </c>
      <c r="C20" s="8"/>
      <c r="D20" s="8"/>
      <c r="E20" s="8"/>
      <c r="F20" s="8"/>
    </row>
    <row r="21" customFormat="false" ht="21.75" hidden="false" customHeight="true" outlineLevel="0" collapsed="false">
      <c r="B21" s="15" t="s">
        <v>201</v>
      </c>
      <c r="C21" s="16"/>
      <c r="D21" s="16" t="s">
        <v>25</v>
      </c>
      <c r="E21" s="16" t="s">
        <v>202</v>
      </c>
    </row>
    <row r="22" customFormat="false" ht="15" hidden="false" customHeight="false" outlineLevel="0" collapsed="false">
      <c r="B22" s="9" t="s">
        <v>203</v>
      </c>
      <c r="D22" s="19" t="n">
        <f aca="false">($D$7-$D$6)*$D$8</f>
        <v>250.40600568</v>
      </c>
      <c r="E22" s="14" t="n">
        <f aca="false">$D$22/$D$27</f>
        <v>0.962303610747358</v>
      </c>
    </row>
    <row r="23" customFormat="false" ht="15" hidden="false" customHeight="false" outlineLevel="0" collapsed="false">
      <c r="B23" s="9" t="s">
        <v>204</v>
      </c>
      <c r="D23" s="19" t="n">
        <f aca="false">($D$9-$D$8)*$D$7</f>
        <v>0</v>
      </c>
      <c r="E23" s="14" t="n">
        <f aca="false">$D$23/$D$27</f>
        <v>0</v>
      </c>
    </row>
    <row r="24" customFormat="false" ht="15" hidden="false" customHeight="false" outlineLevel="0" collapsed="false">
      <c r="B24" s="9" t="s">
        <v>205</v>
      </c>
      <c r="D24" s="19" t="n">
        <f aca="false">$D$10-$D$11</f>
        <v>35.3152627370429</v>
      </c>
      <c r="E24" s="14" t="n">
        <f aca="false">$D$24/$D$27</f>
        <v>0.135715614144563</v>
      </c>
    </row>
    <row r="25" customFormat="false" ht="15" hidden="false" customHeight="false" outlineLevel="0" collapsed="false">
      <c r="B25" s="9" t="s">
        <v>206</v>
      </c>
      <c r="D25" s="19" t="n">
        <f aca="false">Case_Base!$D$236-Case_Base!$D$188</f>
        <v>0</v>
      </c>
      <c r="E25" s="14" t="n">
        <f aca="false">$D$25/$D$27</f>
        <v>0</v>
      </c>
    </row>
    <row r="26" customFormat="false" ht="15" hidden="false" customHeight="false" outlineLevel="0" collapsed="false">
      <c r="B26" s="9" t="s">
        <v>207</v>
      </c>
      <c r="D26" s="19" t="n">
        <f aca="false">-($D$16+$D$17)</f>
        <v>-25.5060900852</v>
      </c>
      <c r="E26" s="14" t="n">
        <f aca="false">$D$26/$D$27</f>
        <v>-0.0980192248919201</v>
      </c>
    </row>
    <row r="27" customFormat="false" ht="15" hidden="false" customHeight="false" outlineLevel="0" collapsed="false">
      <c r="B27" s="17" t="s">
        <v>208</v>
      </c>
      <c r="D27" s="18" t="n">
        <f aca="false">SUM(D22:D26)</f>
        <v>260.215178331843</v>
      </c>
      <c r="E27" s="32" t="n">
        <f aca="false">SUM(E22:E26)</f>
        <v>1</v>
      </c>
    </row>
    <row r="28" customFormat="false" ht="15" hidden="false" customHeight="false" outlineLevel="0" collapsed="false">
      <c r="B28" s="9" t="s">
        <v>209</v>
      </c>
      <c r="D28" s="19" t="n">
        <f aca="false">Case_Base!$D$229</f>
        <v>260.215178331843</v>
      </c>
    </row>
    <row r="29" customFormat="false" ht="15" hidden="false" customHeight="false" outlineLevel="0" collapsed="false">
      <c r="B29" s="9" t="s">
        <v>210</v>
      </c>
      <c r="D29" s="19" t="n">
        <f aca="false">$D$27-$D$28</f>
        <v>0</v>
      </c>
    </row>
    <row r="31" customFormat="false" ht="15" hidden="false" customHeight="false" outlineLevel="0" collapsed="false">
      <c r="B31" s="7" t="s">
        <v>211</v>
      </c>
      <c r="C31" s="8"/>
      <c r="D31" s="8"/>
      <c r="E31" s="8"/>
      <c r="F31" s="8"/>
    </row>
    <row r="32" customFormat="false" ht="15" hidden="false" customHeight="false" outlineLevel="0" collapsed="false">
      <c r="B32" s="9" t="s">
        <v>212</v>
      </c>
      <c r="C32" s="6" t="s">
        <v>25</v>
      </c>
      <c r="D32" s="19" t="n">
        <f aca="false">INDEX(Case_Base!$E$67:$L$67,1,Case_Base!$D$170+1)</f>
        <v>65.82397752</v>
      </c>
    </row>
    <row r="33" customFormat="false" ht="15" hidden="false" customHeight="false" outlineLevel="0" collapsed="false">
      <c r="B33" s="9" t="s">
        <v>213</v>
      </c>
      <c r="C33" s="6" t="s">
        <v>25</v>
      </c>
      <c r="D33" s="19" t="n">
        <f aca="false">INDEX(Case_Base!$E$69:$L$69,1,Case_Base!$D$170+1)</f>
        <v>8.998912</v>
      </c>
    </row>
    <row r="34" customFormat="false" ht="15" hidden="false" customHeight="false" outlineLevel="0" collapsed="false">
      <c r="B34" s="9" t="s">
        <v>214</v>
      </c>
      <c r="C34" s="6" t="s">
        <v>25</v>
      </c>
      <c r="D34" s="19" t="n">
        <f aca="false">INDEX(Case_Base!$E$70:$L$70,1,Case_Base!$D$170+1)</f>
        <v>3</v>
      </c>
    </row>
    <row r="35" customFormat="false" ht="15" hidden="false" customHeight="false" outlineLevel="0" collapsed="false">
      <c r="B35" s="9" t="s">
        <v>215</v>
      </c>
      <c r="C35" s="6" t="s">
        <v>25</v>
      </c>
      <c r="D35" s="19" t="n">
        <f aca="false">($D$32-$D$6)*$D$8</f>
        <v>142.41579768</v>
      </c>
    </row>
    <row r="36" customFormat="false" ht="15" hidden="false" customHeight="false" outlineLevel="0" collapsed="false">
      <c r="B36" s="9" t="s">
        <v>216</v>
      </c>
      <c r="C36" s="6" t="s">
        <v>25</v>
      </c>
      <c r="D36" s="19" t="n">
        <f aca="false">($D$33+$D$34)*$D$8</f>
        <v>107.990208</v>
      </c>
    </row>
    <row r="37" customFormat="false" ht="15" hidden="false" customHeight="false" outlineLevel="0" collapsed="false">
      <c r="B37" s="9" t="s">
        <v>217</v>
      </c>
      <c r="D37" s="19" t="n">
        <f aca="false">$D$35+$D$36-$D$22</f>
        <v>0</v>
      </c>
    </row>
    <row r="39" customFormat="false" ht="15" hidden="false" customHeight="false" outlineLevel="0" collapsed="false">
      <c r="B39" s="7" t="s">
        <v>218</v>
      </c>
      <c r="C39" s="8"/>
      <c r="D39" s="8"/>
      <c r="E39" s="8"/>
      <c r="F39" s="8"/>
    </row>
    <row r="40" customFormat="false" ht="15" hidden="false" customHeight="false" outlineLevel="0" collapsed="false">
      <c r="B40" s="9" t="s">
        <v>219</v>
      </c>
      <c r="C40" s="6" t="s">
        <v>25</v>
      </c>
      <c r="D40" s="19" t="n">
        <f aca="false">($D$9-Assumptions!$D$120)*$D$33</f>
        <v>22.49728</v>
      </c>
    </row>
    <row r="41" customFormat="false" ht="15" hidden="false" customHeight="false" outlineLevel="0" collapsed="false">
      <c r="B41" s="9" t="s">
        <v>220</v>
      </c>
      <c r="C41" s="6" t="s">
        <v>25</v>
      </c>
      <c r="D41" s="19" t="n">
        <f aca="false">$D$9*$D$34</f>
        <v>27</v>
      </c>
    </row>
    <row r="42" customFormat="false" ht="15" hidden="false" customHeight="false" outlineLevel="0" collapsed="false">
      <c r="B42" s="9" t="s">
        <v>221</v>
      </c>
      <c r="C42" s="6" t="s">
        <v>25</v>
      </c>
      <c r="D42" s="19" t="n">
        <f aca="false">$D$33-Assumptions!$D$118</f>
        <v>0.998912000000001</v>
      </c>
    </row>
    <row r="43" customFormat="false" ht="15" hidden="false" customHeight="false" outlineLevel="0" collapsed="false">
      <c r="B43" s="9" t="s">
        <v>222</v>
      </c>
      <c r="C43" s="6" t="s">
        <v>25</v>
      </c>
      <c r="D43" s="19" t="n">
        <f aca="false">$D$9*$D$42</f>
        <v>8.99020800000001</v>
      </c>
    </row>
    <row r="44" customFormat="false" ht="15" hidden="false" customHeight="false" outlineLevel="0" collapsed="false">
      <c r="B44" s="9" t="s">
        <v>223</v>
      </c>
      <c r="C44" s="6" t="s">
        <v>25</v>
      </c>
      <c r="D44" s="19" t="n">
        <f aca="false">Assumptions!$D$128</f>
        <v>2.3</v>
      </c>
    </row>
    <row r="45" customFormat="false" ht="15" hidden="false" customHeight="false" outlineLevel="0" collapsed="false">
      <c r="B45" s="9" t="s">
        <v>224</v>
      </c>
      <c r="C45" s="6" t="s">
        <v>25</v>
      </c>
      <c r="D45" s="19" t="n">
        <f aca="false">$D$40+$D$41-$D$44</f>
        <v>47.19728</v>
      </c>
    </row>
    <row r="46" customFormat="false" ht="15" hidden="false" customHeight="false" outlineLevel="0" collapsed="false">
      <c r="B46" s="9" t="s">
        <v>225</v>
      </c>
      <c r="C46" s="6" t="s">
        <v>25</v>
      </c>
      <c r="D46" s="19" t="n">
        <f aca="false">Case_No_Addon!$D$171</f>
        <v>65.82397752</v>
      </c>
    </row>
    <row r="47" customFormat="false" ht="15" hidden="false" customHeight="false" outlineLevel="0" collapsed="false">
      <c r="B47" s="9" t="s">
        <v>226</v>
      </c>
      <c r="C47" s="6" t="s">
        <v>25</v>
      </c>
      <c r="D47" s="19" t="n">
        <f aca="false">Case_No_Addon!$D$179</f>
        <v>398.045145092003</v>
      </c>
    </row>
    <row r="48" customFormat="false" ht="15" hidden="false" customHeight="false" outlineLevel="0" collapsed="false">
      <c r="B48" s="9" t="s">
        <v>227</v>
      </c>
      <c r="D48" s="25" t="n">
        <f aca="false">Case_No_Addon!$D$223</f>
        <v>0.142775357604457</v>
      </c>
    </row>
    <row r="49" customFormat="false" ht="15" hidden="false" customHeight="false" outlineLevel="0" collapsed="false">
      <c r="B49" s="9" t="s">
        <v>228</v>
      </c>
      <c r="C49" s="6" t="s">
        <v>79</v>
      </c>
      <c r="D49" s="24" t="n">
        <f aca="false">Case_No_Addon!$D$225</f>
        <v>1.94896632023252</v>
      </c>
    </row>
    <row r="50" customFormat="false" ht="15" hidden="false" customHeight="false" outlineLevel="0" collapsed="false">
      <c r="B50" s="9" t="s">
        <v>229</v>
      </c>
      <c r="C50" s="6" t="s">
        <v>25</v>
      </c>
      <c r="D50" s="19" t="n">
        <f aca="false">$D$13-$D$47</f>
        <v>62.1700332398396</v>
      </c>
    </row>
    <row r="51" customFormat="false" ht="15" hidden="false" customHeight="false" outlineLevel="0" collapsed="false">
      <c r="B51" s="9" t="s">
        <v>230</v>
      </c>
      <c r="C51" s="6" t="s">
        <v>231</v>
      </c>
      <c r="D51" s="25" t="n">
        <f aca="false">Case_Base!$D$223-$D$48</f>
        <v>0.0277089859402295</v>
      </c>
    </row>
    <row r="53" customFormat="false" ht="15" hidden="false" customHeight="false" outlineLevel="0" collapsed="false">
      <c r="B53" s="7" t="s">
        <v>232</v>
      </c>
      <c r="C53" s="8"/>
      <c r="D53" s="8"/>
      <c r="E53" s="8"/>
      <c r="F53" s="8"/>
    </row>
    <row r="54" customFormat="false" ht="15" hidden="false" customHeight="false" outlineLevel="0" collapsed="false">
      <c r="B54" s="9" t="s">
        <v>233</v>
      </c>
      <c r="C54" s="6" t="s">
        <v>25</v>
      </c>
      <c r="D54" s="19" t="n">
        <f aca="false">Case_Base!$D$241</f>
        <v>250.40600568</v>
      </c>
    </row>
    <row r="55" customFormat="false" ht="15" hidden="false" customHeight="false" outlineLevel="0" collapsed="false">
      <c r="B55" s="9" t="s">
        <v>234</v>
      </c>
      <c r="D55" s="14" t="n">
        <f aca="false">Case_Base!$D$242</f>
        <v>0.5564577904</v>
      </c>
    </row>
    <row r="56" customFormat="false" ht="15" hidden="false" customHeight="false" outlineLevel="0" collapsed="false">
      <c r="B56" s="9" t="s">
        <v>235</v>
      </c>
      <c r="D56" s="25" t="n">
        <f aca="false">Case_Base!$D$243</f>
        <v>0.0925151535860498</v>
      </c>
    </row>
    <row r="57" customFormat="false" ht="15" hidden="false" customHeight="false" outlineLevel="0" collapsed="false">
      <c r="B57" s="9" t="s">
        <v>236</v>
      </c>
      <c r="D57" s="14" t="n">
        <f aca="false">Case_Base!$D$244</f>
        <v>1.30107589165922</v>
      </c>
    </row>
    <row r="59" customFormat="false" ht="15" hidden="false" customHeight="false" outlineLevel="0" collapsed="false">
      <c r="B59" s="7" t="s">
        <v>237</v>
      </c>
      <c r="C59" s="8"/>
      <c r="D59" s="8"/>
      <c r="E59" s="8"/>
      <c r="F59" s="8"/>
    </row>
    <row r="60" customFormat="false" ht="15" hidden="false" customHeight="false" outlineLevel="0" collapsed="false">
      <c r="B60" s="9" t="s">
        <v>238</v>
      </c>
      <c r="C60" s="6" t="s">
        <v>25</v>
      </c>
      <c r="D60" s="19" t="n">
        <f aca="false">Case_All_Equity!$D$46</f>
        <v>469.5</v>
      </c>
    </row>
    <row r="61" customFormat="false" ht="15" hidden="false" customHeight="false" outlineLevel="0" collapsed="false">
      <c r="B61" s="9" t="s">
        <v>239</v>
      </c>
      <c r="C61" s="6" t="s">
        <v>25</v>
      </c>
      <c r="D61" s="19" t="n">
        <f aca="false">Case_All_Equity!$D$172</f>
        <v>700.40600568</v>
      </c>
    </row>
    <row r="62" customFormat="false" ht="15" hidden="false" customHeight="false" outlineLevel="0" collapsed="false">
      <c r="B62" s="9" t="s">
        <v>240</v>
      </c>
      <c r="C62" s="6" t="s">
        <v>25</v>
      </c>
      <c r="D62" s="19" t="n">
        <f aca="false">Case_All_Equity!$D$177</f>
        <v>151.376016667106</v>
      </c>
    </row>
    <row r="63" customFormat="false" ht="15" hidden="false" customHeight="false" outlineLevel="0" collapsed="false">
      <c r="B63" s="9" t="s">
        <v>241</v>
      </c>
      <c r="C63" s="6" t="s">
        <v>25</v>
      </c>
      <c r="D63" s="19" t="n">
        <f aca="false">Case_All_Equity!$D$179</f>
        <v>841.275932261906</v>
      </c>
    </row>
    <row r="64" customFormat="false" ht="15" hidden="false" customHeight="false" outlineLevel="0" collapsed="false">
      <c r="B64" s="9" t="s">
        <v>242</v>
      </c>
      <c r="D64" s="25" t="n">
        <f aca="false">Case_All_Equity!$D$223</f>
        <v>0.119557250498785</v>
      </c>
    </row>
    <row r="65" customFormat="false" ht="15" hidden="false" customHeight="false" outlineLevel="0" collapsed="false">
      <c r="B65" s="9" t="s">
        <v>243</v>
      </c>
      <c r="C65" s="6" t="s">
        <v>79</v>
      </c>
      <c r="D65" s="24" t="n">
        <f aca="false">Case_All_Equity!$D$225</f>
        <v>1.75886106159246</v>
      </c>
    </row>
    <row r="66" customFormat="false" ht="15" hidden="false" customHeight="false" outlineLevel="0" collapsed="false">
      <c r="B66" s="9" t="s">
        <v>244</v>
      </c>
      <c r="D66" s="25" t="n">
        <f aca="false">Case_Base!$D$223</f>
        <v>0.170484343544686</v>
      </c>
    </row>
    <row r="67" customFormat="false" ht="15" hidden="false" customHeight="false" outlineLevel="0" collapsed="false">
      <c r="B67" s="9" t="s">
        <v>245</v>
      </c>
      <c r="C67" s="6" t="s">
        <v>231</v>
      </c>
      <c r="D67" s="25" t="n">
        <f aca="false">$D$66-$D$64</f>
        <v>0.0509270930459008</v>
      </c>
    </row>
    <row r="68" customFormat="false" ht="15" hidden="false" customHeight="false" outlineLevel="0" collapsed="false">
      <c r="B68" s="9" t="s">
        <v>246</v>
      </c>
      <c r="C68" s="6" t="s">
        <v>25</v>
      </c>
      <c r="D68" s="19" t="n">
        <f aca="false">Case_All_Equity!$D$233</f>
        <v>63.7436580943688</v>
      </c>
    </row>
    <row r="69" customFormat="false" ht="15" hidden="false" customHeight="false" outlineLevel="0" collapsed="false">
      <c r="B69" s="9" t="s">
        <v>247</v>
      </c>
      <c r="C69" s="6" t="s">
        <v>25</v>
      </c>
      <c r="D69" s="19" t="n">
        <f aca="false">Case_Base!$D$233</f>
        <v>38.700696366</v>
      </c>
    </row>
    <row r="70" customFormat="false" ht="15" hidden="false" customHeight="false" outlineLevel="0" collapsed="false">
      <c r="B70" s="9" t="s">
        <v>248</v>
      </c>
      <c r="C70" s="6" t="s">
        <v>25</v>
      </c>
      <c r="D70" s="19" t="n">
        <f aca="false">$D$68-$D$69</f>
        <v>25.0429617283687</v>
      </c>
    </row>
    <row r="71" customFormat="false" ht="15" hidden="false" customHeight="false" outlineLevel="0" collapsed="false">
      <c r="B71" s="9" t="s">
        <v>249</v>
      </c>
      <c r="C71" s="6" t="s">
        <v>25</v>
      </c>
      <c r="D71" s="19" t="n">
        <f aca="false">Case_Base!$D$232</f>
        <v>126.460291536957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X1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24" min="3" style="0" width="13"/>
  </cols>
  <sheetData>
    <row r="1" customFormat="false" ht="6" hidden="false" customHeight="true" outlineLevel="0" collapsed="false"/>
    <row r="2" customFormat="false" ht="17.35" hidden="false" customHeight="false" outlineLevel="0" collapsed="false">
      <c r="B2" s="5" t="s">
        <v>250</v>
      </c>
    </row>
    <row r="3" customFormat="false" ht="15" hidden="false" customHeight="false" outlineLevel="0" collapsed="false">
      <c r="B3" s="6" t="s">
        <v>251</v>
      </c>
    </row>
    <row r="5" customFormat="false" ht="15" hidden="false" customHeight="false" outlineLevel="0" collapsed="false">
      <c r="B5" s="7" t="s">
        <v>252</v>
      </c>
      <c r="C5" s="8"/>
      <c r="D5" s="8"/>
      <c r="E5" s="8"/>
      <c r="F5" s="8"/>
      <c r="G5" s="8"/>
      <c r="H5" s="8"/>
      <c r="I5" s="8"/>
      <c r="J5" s="8"/>
      <c r="K5" s="8"/>
      <c r="L5" s="8"/>
      <c r="M5" s="8"/>
      <c r="N5" s="8"/>
      <c r="O5" s="8"/>
      <c r="P5" s="8"/>
      <c r="Q5" s="8"/>
      <c r="R5" s="8"/>
      <c r="S5" s="8"/>
      <c r="T5" s="8"/>
      <c r="U5" s="8"/>
      <c r="V5" s="8"/>
      <c r="W5" s="8"/>
      <c r="X5" s="8"/>
    </row>
    <row r="6" customFormat="false" ht="45" hidden="false" customHeight="true" outlineLevel="0" collapsed="false">
      <c r="B6" s="15" t="s">
        <v>253</v>
      </c>
      <c r="C6" s="16" t="s">
        <v>190</v>
      </c>
      <c r="D6" s="16" t="s">
        <v>191</v>
      </c>
      <c r="E6" s="16" t="s">
        <v>254</v>
      </c>
      <c r="F6" s="16" t="s">
        <v>80</v>
      </c>
      <c r="G6" s="16" t="s">
        <v>255</v>
      </c>
      <c r="H6" s="16" t="s">
        <v>256</v>
      </c>
      <c r="I6" s="16" t="s">
        <v>257</v>
      </c>
      <c r="J6" s="16" t="s">
        <v>258</v>
      </c>
      <c r="K6" s="16" t="s">
        <v>239</v>
      </c>
      <c r="L6" s="16" t="s">
        <v>259</v>
      </c>
      <c r="M6" s="16" t="s">
        <v>195</v>
      </c>
      <c r="N6" s="16" t="s">
        <v>260</v>
      </c>
      <c r="O6" s="16" t="s">
        <v>261</v>
      </c>
      <c r="P6" s="16" t="s">
        <v>262</v>
      </c>
      <c r="Q6" s="16" t="s">
        <v>263</v>
      </c>
      <c r="R6" s="16" t="s">
        <v>264</v>
      </c>
      <c r="S6" s="16" t="s">
        <v>265</v>
      </c>
      <c r="T6" s="16" t="s">
        <v>266</v>
      </c>
      <c r="U6" s="16" t="s">
        <v>267</v>
      </c>
      <c r="V6" s="16" t="s">
        <v>268</v>
      </c>
      <c r="W6" s="16" t="s">
        <v>269</v>
      </c>
      <c r="X6" s="16" t="s">
        <v>270</v>
      </c>
    </row>
    <row r="7" customFormat="false" ht="15" hidden="false" customHeight="false" outlineLevel="0" collapsed="false">
      <c r="B7" s="9" t="s">
        <v>271</v>
      </c>
      <c r="C7" s="23" t="n">
        <f aca="false">Assumptions!$D$64</f>
        <v>9</v>
      </c>
      <c r="D7" s="22" t="n">
        <v>7</v>
      </c>
      <c r="E7" s="33" t="n">
        <f aca="false">Assumptions!$D$133</f>
        <v>5</v>
      </c>
      <c r="F7" s="19" t="n">
        <f aca="false">$C$7*Assumptions!$D$24</f>
        <v>450</v>
      </c>
      <c r="G7" s="19" t="n">
        <f aca="false">$F$7+Assumptions!$D$76+Case_Base!$D$33+Assumptions!$D$78-Case_Base!$D$52</f>
        <v>200</v>
      </c>
      <c r="H7" s="19" t="n">
        <f aca="false">$G$7-Assumptions!$D$107</f>
        <v>190</v>
      </c>
      <c r="I7" s="19" t="n">
        <f aca="false">INDEX(Case_Base!$E$72:$L$72,1,$E$7+1)</f>
        <v>77.82288952</v>
      </c>
      <c r="J7" s="19" t="n">
        <f aca="false">INDEX(Case_Base!$E$124:$L$124,1,$E$7+1)</f>
        <v>229.684737262957</v>
      </c>
      <c r="K7" s="19" t="n">
        <f aca="false">$D$7*$I$7</f>
        <v>544.76022664</v>
      </c>
      <c r="L7" s="19" t="n">
        <f aca="false">Assumptions!$D$132*$K$7</f>
        <v>8.1714033996</v>
      </c>
      <c r="M7" s="19" t="n">
        <f aca="false">$K$7-$J$7-$L$7</f>
        <v>306.904085977443</v>
      </c>
      <c r="N7" s="34" t="n">
        <f aca="false">$G$7/Assumptions!$D$108</f>
        <v>200</v>
      </c>
      <c r="O7" s="34" t="n">
        <f aca="false">$N$7*Assumptions!$D$109/(1-Assumptions!$D$109)</f>
        <v>17.3913043478261</v>
      </c>
      <c r="P7" s="35" t="n">
        <f aca="false">($M$7+$O$7*Assumptions!$D$108)/($N$7+$O$7)</f>
        <v>1.49175879549624</v>
      </c>
      <c r="Q7" s="34" t="n">
        <f aca="false">IF($P$7/Assumptions!$D$108&gt;=Assumptions!$D$110,$O$7,$O$7*0.5)</f>
        <v>8.69565217391304</v>
      </c>
      <c r="R7" s="35" t="n">
        <f aca="false">($M$7+$Q$7*Assumptions!$D$108)/($N$7+$Q$7)</f>
        <v>1.51224874530858</v>
      </c>
      <c r="S7" s="35" t="n">
        <f aca="false">IF($R$7&lt;Assumptions!$D$108,$M$7/$N$7,$R$7)</f>
        <v>1.51224874530858</v>
      </c>
      <c r="T7" s="34" t="n">
        <f aca="false">IF($R$7&lt;Assumptions!$D$108,0,$Q$7)</f>
        <v>8.69565217391304</v>
      </c>
      <c r="U7" s="19" t="n">
        <f aca="false">$T$7*MAX(0,$S$7-Assumptions!$D$108)</f>
        <v>4.45433691572679</v>
      </c>
      <c r="V7" s="19" t="n">
        <f aca="false">$H$7/Assumptions!$D$108*$S$7</f>
        <v>287.32726160863</v>
      </c>
      <c r="W7" s="24" t="n">
        <f aca="false">$V$7/$H$7</f>
        <v>1.51224874530858</v>
      </c>
      <c r="X7" s="25" t="n">
        <f aca="false">$W$7^(1/$E$7)-1</f>
        <v>0.0862371367757975</v>
      </c>
    </row>
    <row r="8" customFormat="false" ht="15" hidden="false" customHeight="false" outlineLevel="0" collapsed="false">
      <c r="B8" s="9" t="s">
        <v>272</v>
      </c>
      <c r="C8" s="23" t="n">
        <f aca="false">Assumptions!$D$64</f>
        <v>9</v>
      </c>
      <c r="D8" s="22" t="n">
        <v>8</v>
      </c>
      <c r="E8" s="33" t="n">
        <f aca="false">Assumptions!$D$133</f>
        <v>5</v>
      </c>
      <c r="F8" s="19" t="n">
        <f aca="false">$C$8*Assumptions!$D$24</f>
        <v>450</v>
      </c>
      <c r="G8" s="19" t="n">
        <f aca="false">$F$8+Assumptions!$D$76+Case_Base!$D$33+Assumptions!$D$78-Case_Base!$D$52</f>
        <v>200</v>
      </c>
      <c r="H8" s="19" t="n">
        <f aca="false">$G$8-Assumptions!$D$107</f>
        <v>190</v>
      </c>
      <c r="I8" s="19" t="n">
        <f aca="false">INDEX(Case_Base!$E$72:$L$72,1,$E$8+1)</f>
        <v>77.82288952</v>
      </c>
      <c r="J8" s="19" t="n">
        <f aca="false">INDEX(Case_Base!$E$124:$L$124,1,$E$8+1)</f>
        <v>229.684737262957</v>
      </c>
      <c r="K8" s="19" t="n">
        <f aca="false">$D$8*$I$8</f>
        <v>622.58311616</v>
      </c>
      <c r="L8" s="19" t="n">
        <f aca="false">Assumptions!$D$132*$K$8</f>
        <v>9.3387467424</v>
      </c>
      <c r="M8" s="19" t="n">
        <f aca="false">$K$8-$J$8-$L$8</f>
        <v>383.559632154643</v>
      </c>
      <c r="N8" s="34" t="n">
        <f aca="false">$G$8/Assumptions!$D$108</f>
        <v>200</v>
      </c>
      <c r="O8" s="34" t="n">
        <f aca="false">$N$8*Assumptions!$D$109/(1-Assumptions!$D$109)</f>
        <v>17.3913043478261</v>
      </c>
      <c r="P8" s="35" t="n">
        <f aca="false">($M$8+$O$8*Assumptions!$D$108)/($N$8+$O$8)</f>
        <v>1.84437430791136</v>
      </c>
      <c r="Q8" s="34" t="n">
        <f aca="false">IF($P$8/Assumptions!$D$108&gt;=Assumptions!$D$110,$O$8,$O$8*0.5)</f>
        <v>8.69565217391304</v>
      </c>
      <c r="R8" s="35" t="n">
        <f aca="false">($M$8+$Q$8*Assumptions!$D$108)/($N$8+$Q$8)</f>
        <v>1.879556570741</v>
      </c>
      <c r="S8" s="35" t="n">
        <f aca="false">IF($R$8&lt;Assumptions!$D$108,$M$8/$N$8,$R$8)</f>
        <v>1.879556570741</v>
      </c>
      <c r="T8" s="34" t="n">
        <f aca="false">IF($R$8&lt;Assumptions!$D$108,0,$Q$8)</f>
        <v>8.69565217391304</v>
      </c>
      <c r="U8" s="19" t="n">
        <f aca="false">$T$8*MAX(0,$S$8-Assumptions!$D$108)</f>
        <v>7.64831800644346</v>
      </c>
      <c r="V8" s="19" t="n">
        <f aca="false">$H$8/Assumptions!$D$108*$S$8</f>
        <v>357.11574844079</v>
      </c>
      <c r="W8" s="24" t="n">
        <f aca="false">$V$8/$H$8</f>
        <v>1.879556570741</v>
      </c>
      <c r="X8" s="25" t="n">
        <f aca="false">$W$8^(1/$E$8)-1</f>
        <v>0.134517189213139</v>
      </c>
    </row>
    <row r="9" customFormat="false" ht="15" hidden="false" customHeight="false" outlineLevel="0" collapsed="false">
      <c r="B9" s="9" t="s">
        <v>273</v>
      </c>
      <c r="C9" s="23" t="n">
        <f aca="false">Assumptions!$D$64</f>
        <v>9</v>
      </c>
      <c r="D9" s="22" t="n">
        <v>9</v>
      </c>
      <c r="E9" s="33" t="n">
        <f aca="false">Assumptions!$D$133</f>
        <v>5</v>
      </c>
      <c r="F9" s="19" t="n">
        <f aca="false">$C$9*Assumptions!$D$24</f>
        <v>450</v>
      </c>
      <c r="G9" s="19" t="n">
        <f aca="false">$F$9+Assumptions!$D$76+Case_Base!$D$33+Assumptions!$D$78-Case_Base!$D$52</f>
        <v>200</v>
      </c>
      <c r="H9" s="19" t="n">
        <f aca="false">$G$9-Assumptions!$D$107</f>
        <v>190</v>
      </c>
      <c r="I9" s="19" t="n">
        <f aca="false">INDEX(Case_Base!$E$72:$L$72,1,$E$9+1)</f>
        <v>77.82288952</v>
      </c>
      <c r="J9" s="19" t="n">
        <f aca="false">INDEX(Case_Base!$E$124:$L$124,1,$E$9+1)</f>
        <v>229.684737262957</v>
      </c>
      <c r="K9" s="19" t="n">
        <f aca="false">$D$9*$I$9</f>
        <v>700.40600568</v>
      </c>
      <c r="L9" s="19" t="n">
        <f aca="false">Assumptions!$D$132*$K$9</f>
        <v>10.5060900852</v>
      </c>
      <c r="M9" s="19" t="n">
        <f aca="false">$K$9-$J$9-$L$9</f>
        <v>460.215178331843</v>
      </c>
      <c r="N9" s="34" t="n">
        <f aca="false">$G$9/Assumptions!$D$108</f>
        <v>200</v>
      </c>
      <c r="O9" s="34" t="n">
        <f aca="false">$N$9*Assumptions!$D$109/(1-Assumptions!$D$109)</f>
        <v>17.3913043478261</v>
      </c>
      <c r="P9" s="35" t="n">
        <f aca="false">($M$9+$O$9*Assumptions!$D$108)/($N$9+$O$9)</f>
        <v>2.19698982032648</v>
      </c>
      <c r="Q9" s="34" t="n">
        <f aca="false">IF($P$9/Assumptions!$D$108&gt;=Assumptions!$D$110,$O$9,$O$9*0.5)</f>
        <v>17.3913043478261</v>
      </c>
      <c r="R9" s="35" t="n">
        <f aca="false">($M$9+$Q$9*Assumptions!$D$108)/($N$9+$Q$9)</f>
        <v>2.19698982032648</v>
      </c>
      <c r="S9" s="35" t="n">
        <f aca="false">IF($R$9&lt;Assumptions!$D$108,$M$9/$N$9,$R$9)</f>
        <v>2.19698982032648</v>
      </c>
      <c r="T9" s="34" t="n">
        <f aca="false">IF($R$9&lt;Assumptions!$D$108,0,$Q$9)</f>
        <v>17.3913043478261</v>
      </c>
      <c r="U9" s="19" t="n">
        <f aca="false">$T$9*MAX(0,$S$9-Assumptions!$D$108)</f>
        <v>20.8172142665474</v>
      </c>
      <c r="V9" s="19" t="n">
        <f aca="false">$H$9/Assumptions!$D$108*$S$9</f>
        <v>417.428065862031</v>
      </c>
      <c r="W9" s="24" t="n">
        <f aca="false">$V$9/$H$9</f>
        <v>2.19698982032648</v>
      </c>
      <c r="X9" s="25" t="n">
        <f aca="false">$W$9^(1/$E$9)-1</f>
        <v>0.170484343544686</v>
      </c>
    </row>
    <row r="10" customFormat="false" ht="15" hidden="false" customHeight="false" outlineLevel="0" collapsed="false">
      <c r="B10" s="9" t="s">
        <v>274</v>
      </c>
      <c r="C10" s="23" t="n">
        <f aca="false">Assumptions!$D$64</f>
        <v>9</v>
      </c>
      <c r="D10" s="22" t="n">
        <v>10</v>
      </c>
      <c r="E10" s="33" t="n">
        <f aca="false">Assumptions!$D$133</f>
        <v>5</v>
      </c>
      <c r="F10" s="19" t="n">
        <f aca="false">$C$10*Assumptions!$D$24</f>
        <v>450</v>
      </c>
      <c r="G10" s="19" t="n">
        <f aca="false">$F$10+Assumptions!$D$76+Case_Base!$D$33+Assumptions!$D$78-Case_Base!$D$52</f>
        <v>200</v>
      </c>
      <c r="H10" s="19" t="n">
        <f aca="false">$G$10-Assumptions!$D$107</f>
        <v>190</v>
      </c>
      <c r="I10" s="19" t="n">
        <f aca="false">INDEX(Case_Base!$E$72:$L$72,1,$E$10+1)</f>
        <v>77.82288952</v>
      </c>
      <c r="J10" s="19" t="n">
        <f aca="false">INDEX(Case_Base!$E$124:$L$124,1,$E$10+1)</f>
        <v>229.684737262957</v>
      </c>
      <c r="K10" s="19" t="n">
        <f aca="false">$D$10*$I$10</f>
        <v>778.2288952</v>
      </c>
      <c r="L10" s="19" t="n">
        <f aca="false">Assumptions!$D$132*$K$10</f>
        <v>11.673433428</v>
      </c>
      <c r="M10" s="19" t="n">
        <f aca="false">$K$10-$J$10-$L$10</f>
        <v>536.870724509043</v>
      </c>
      <c r="N10" s="34" t="n">
        <f aca="false">$G$10/Assumptions!$D$108</f>
        <v>200</v>
      </c>
      <c r="O10" s="34" t="n">
        <f aca="false">$N$10*Assumptions!$D$109/(1-Assumptions!$D$109)</f>
        <v>17.3913043478261</v>
      </c>
      <c r="P10" s="35" t="n">
        <f aca="false">($M$10+$O$10*Assumptions!$D$108)/($N$10+$O$10)</f>
        <v>2.5496053327416</v>
      </c>
      <c r="Q10" s="34" t="n">
        <f aca="false">IF($P$10/Assumptions!$D$108&gt;=Assumptions!$D$110,$O$10,$O$10*0.5)</f>
        <v>17.3913043478261</v>
      </c>
      <c r="R10" s="35" t="n">
        <f aca="false">($M$10+$Q$10*Assumptions!$D$108)/($N$10+$Q$10)</f>
        <v>2.5496053327416</v>
      </c>
      <c r="S10" s="35" t="n">
        <f aca="false">IF($R$10&lt;Assumptions!$D$108,$M$10/$N$10,$R$10)</f>
        <v>2.5496053327416</v>
      </c>
      <c r="T10" s="34" t="n">
        <f aca="false">IF($R$10&lt;Assumptions!$D$108,0,$Q$10)</f>
        <v>17.3913043478261</v>
      </c>
      <c r="U10" s="19" t="n">
        <f aca="false">$T$10*MAX(0,$S$10-Assumptions!$D$108)</f>
        <v>26.9496579607234</v>
      </c>
      <c r="V10" s="19" t="n">
        <f aca="false">$H$10/Assumptions!$D$108*$S$10</f>
        <v>484.425013220904</v>
      </c>
      <c r="W10" s="24" t="n">
        <f aca="false">$V$10/$H$10</f>
        <v>2.5496053327416</v>
      </c>
      <c r="X10" s="25" t="n">
        <f aca="false">$W$10^(1/$E$10)-1</f>
        <v>0.205853620791551</v>
      </c>
    </row>
    <row r="11" customFormat="false" ht="15" hidden="false" customHeight="false" outlineLevel="0" collapsed="false">
      <c r="B11" s="9" t="s">
        <v>275</v>
      </c>
      <c r="C11" s="23" t="n">
        <f aca="false">Assumptions!$D$64</f>
        <v>9</v>
      </c>
      <c r="D11" s="22" t="n">
        <v>11</v>
      </c>
      <c r="E11" s="33" t="n">
        <f aca="false">Assumptions!$D$133</f>
        <v>5</v>
      </c>
      <c r="F11" s="19" t="n">
        <f aca="false">$C$11*Assumptions!$D$24</f>
        <v>450</v>
      </c>
      <c r="G11" s="19" t="n">
        <f aca="false">$F$11+Assumptions!$D$76+Case_Base!$D$33+Assumptions!$D$78-Case_Base!$D$52</f>
        <v>200</v>
      </c>
      <c r="H11" s="19" t="n">
        <f aca="false">$G$11-Assumptions!$D$107</f>
        <v>190</v>
      </c>
      <c r="I11" s="19" t="n">
        <f aca="false">INDEX(Case_Base!$E$72:$L$72,1,$E$11+1)</f>
        <v>77.82288952</v>
      </c>
      <c r="J11" s="19" t="n">
        <f aca="false">INDEX(Case_Base!$E$124:$L$124,1,$E$11+1)</f>
        <v>229.684737262957</v>
      </c>
      <c r="K11" s="19" t="n">
        <f aca="false">$D$11*$I$11</f>
        <v>856.05178472</v>
      </c>
      <c r="L11" s="19" t="n">
        <f aca="false">Assumptions!$D$132*$K$11</f>
        <v>12.8407767708</v>
      </c>
      <c r="M11" s="19" t="n">
        <f aca="false">$K$11-$J$11-$L$11</f>
        <v>613.526270686243</v>
      </c>
      <c r="N11" s="34" t="n">
        <f aca="false">$G$11/Assumptions!$D$108</f>
        <v>200</v>
      </c>
      <c r="O11" s="34" t="n">
        <f aca="false">$N$11*Assumptions!$D$109/(1-Assumptions!$D$109)</f>
        <v>17.3913043478261</v>
      </c>
      <c r="P11" s="35" t="n">
        <f aca="false">($M$11+$O$11*Assumptions!$D$108)/($N$11+$O$11)</f>
        <v>2.90222084515672</v>
      </c>
      <c r="Q11" s="34" t="n">
        <f aca="false">IF($P$11/Assumptions!$D$108&gt;=Assumptions!$D$110,$O$11,$O$11*0.5)</f>
        <v>17.3913043478261</v>
      </c>
      <c r="R11" s="35" t="n">
        <f aca="false">($M$11+$Q$11*Assumptions!$D$108)/($N$11+$Q$11)</f>
        <v>2.90222084515672</v>
      </c>
      <c r="S11" s="35" t="n">
        <f aca="false">IF($R$11&lt;Assumptions!$D$108,$M$11/$N$11,$R$11)</f>
        <v>2.90222084515672</v>
      </c>
      <c r="T11" s="34" t="n">
        <f aca="false">IF($R$11&lt;Assumptions!$D$108,0,$Q$11)</f>
        <v>17.3913043478261</v>
      </c>
      <c r="U11" s="19" t="n">
        <f aca="false">$T$11*MAX(0,$S$11-Assumptions!$D$108)</f>
        <v>33.0821016548994</v>
      </c>
      <c r="V11" s="19" t="n">
        <f aca="false">$H$11/Assumptions!$D$108*$S$11</f>
        <v>551.421960579776</v>
      </c>
      <c r="W11" s="24" t="n">
        <f aca="false">$V$11/$H$11</f>
        <v>2.90222084515672</v>
      </c>
      <c r="X11" s="25" t="n">
        <f aca="false">$W$11^(1/$E$11)-1</f>
        <v>0.237502518384802</v>
      </c>
    </row>
    <row r="12" customFormat="false" ht="15" hidden="false" customHeight="false" outlineLevel="0" collapsed="false">
      <c r="B12" s="9" t="s">
        <v>276</v>
      </c>
      <c r="C12" s="6" t="s">
        <v>231</v>
      </c>
      <c r="D12" s="25" t="n">
        <f aca="false">$X$8-$X$9</f>
        <v>-0.0359671543315474</v>
      </c>
    </row>
    <row r="13" customFormat="false" ht="15" hidden="false" customHeight="false" outlineLevel="0" collapsed="false">
      <c r="B13" s="9" t="s">
        <v>277</v>
      </c>
      <c r="C13" s="6" t="s">
        <v>231</v>
      </c>
      <c r="D13" s="25" t="n">
        <f aca="false">$X$10-$X$9</f>
        <v>0.0353692772468652</v>
      </c>
    </row>
    <row r="14" customFormat="false" ht="15" hidden="false" customHeight="false" outlineLevel="0" collapsed="false">
      <c r="B14" s="9" t="s">
        <v>278</v>
      </c>
      <c r="C14" s="6" t="s">
        <v>231</v>
      </c>
      <c r="D14" s="25" t="n">
        <f aca="false">$X$9-$X$8</f>
        <v>0.0359671543315474</v>
      </c>
    </row>
    <row r="16" customFormat="false" ht="15" hidden="false" customHeight="false" outlineLevel="0" collapsed="false">
      <c r="B16" s="7" t="s">
        <v>279</v>
      </c>
      <c r="C16" s="8"/>
      <c r="D16" s="8"/>
      <c r="E16" s="8"/>
      <c r="F16" s="8"/>
      <c r="G16" s="8"/>
      <c r="H16" s="8"/>
      <c r="I16" s="8"/>
      <c r="J16" s="8"/>
      <c r="K16" s="8"/>
      <c r="L16" s="8"/>
      <c r="M16" s="8"/>
      <c r="N16" s="8"/>
      <c r="O16" s="8"/>
      <c r="P16" s="8"/>
      <c r="Q16" s="8"/>
      <c r="R16" s="8"/>
      <c r="S16" s="8"/>
      <c r="T16" s="8"/>
      <c r="U16" s="8"/>
      <c r="V16" s="8"/>
      <c r="W16" s="8"/>
      <c r="X16" s="8"/>
    </row>
    <row r="17" customFormat="false" ht="45" hidden="false" customHeight="true" outlineLevel="0" collapsed="false">
      <c r="B17" s="15" t="s">
        <v>253</v>
      </c>
      <c r="C17" s="16" t="s">
        <v>190</v>
      </c>
      <c r="D17" s="16" t="s">
        <v>191</v>
      </c>
      <c r="E17" s="16" t="s">
        <v>254</v>
      </c>
      <c r="F17" s="16" t="s">
        <v>80</v>
      </c>
      <c r="G17" s="16" t="s">
        <v>255</v>
      </c>
      <c r="H17" s="16" t="s">
        <v>256</v>
      </c>
      <c r="I17" s="16" t="s">
        <v>257</v>
      </c>
      <c r="J17" s="16" t="s">
        <v>258</v>
      </c>
      <c r="K17" s="16" t="s">
        <v>239</v>
      </c>
      <c r="L17" s="16" t="s">
        <v>259</v>
      </c>
      <c r="M17" s="16" t="s">
        <v>195</v>
      </c>
      <c r="N17" s="16" t="s">
        <v>260</v>
      </c>
      <c r="O17" s="16" t="s">
        <v>261</v>
      </c>
      <c r="P17" s="16" t="s">
        <v>262</v>
      </c>
      <c r="Q17" s="16" t="s">
        <v>263</v>
      </c>
      <c r="R17" s="16" t="s">
        <v>264</v>
      </c>
      <c r="S17" s="16" t="s">
        <v>265</v>
      </c>
      <c r="T17" s="16" t="s">
        <v>266</v>
      </c>
      <c r="U17" s="16" t="s">
        <v>267</v>
      </c>
      <c r="V17" s="16" t="s">
        <v>268</v>
      </c>
      <c r="W17" s="16" t="s">
        <v>269</v>
      </c>
      <c r="X17" s="16" t="s">
        <v>270</v>
      </c>
    </row>
    <row r="18" customFormat="false" ht="15" hidden="false" customHeight="false" outlineLevel="0" collapsed="false">
      <c r="B18" s="9" t="s">
        <v>280</v>
      </c>
      <c r="C18" s="22" t="n">
        <v>8</v>
      </c>
      <c r="D18" s="23" t="n">
        <f aca="false">Assumptions!$D$131</f>
        <v>9</v>
      </c>
      <c r="E18" s="33" t="n">
        <f aca="false">Assumptions!$D$133</f>
        <v>5</v>
      </c>
      <c r="F18" s="19" t="n">
        <f aca="false">$C$18*Assumptions!$D$24</f>
        <v>400</v>
      </c>
      <c r="G18" s="19" t="n">
        <f aca="false">$F$18+Assumptions!$D$76+Case_Base!$D$33+Assumptions!$D$78-Case_Base!$D$52</f>
        <v>150</v>
      </c>
      <c r="H18" s="19" t="n">
        <f aca="false">$G$18-Assumptions!$D$107</f>
        <v>140</v>
      </c>
      <c r="I18" s="19" t="n">
        <f aca="false">INDEX(Case_Base!$E$72:$L$72,1,$E$18+1)</f>
        <v>77.82288952</v>
      </c>
      <c r="J18" s="19" t="n">
        <f aca="false">INDEX(Case_Base!$E$124:$L$124,1,$E$18+1)</f>
        <v>229.684737262957</v>
      </c>
      <c r="K18" s="19" t="n">
        <f aca="false">$D$18*$I$18</f>
        <v>700.40600568</v>
      </c>
      <c r="L18" s="19" t="n">
        <f aca="false">Assumptions!$D$132*$K$18</f>
        <v>10.5060900852</v>
      </c>
      <c r="M18" s="19" t="n">
        <f aca="false">$K$18-$J$18-$L$18</f>
        <v>460.215178331843</v>
      </c>
      <c r="N18" s="34" t="n">
        <f aca="false">$G$18/Assumptions!$D$108</f>
        <v>150</v>
      </c>
      <c r="O18" s="34" t="n">
        <f aca="false">$N$18*Assumptions!$D$109/(1-Assumptions!$D$109)</f>
        <v>13.0434782608696</v>
      </c>
      <c r="P18" s="35" t="n">
        <f aca="false">($M$18+$O$18*Assumptions!$D$108)/($N$18+$O$18)</f>
        <v>2.90265309376864</v>
      </c>
      <c r="Q18" s="34" t="n">
        <f aca="false">IF($P$18/Assumptions!$D$108&gt;=Assumptions!$D$110,$O$18,$O$18*0.5)</f>
        <v>13.0434782608696</v>
      </c>
      <c r="R18" s="35" t="n">
        <f aca="false">($M$18+$Q$18*Assumptions!$D$108)/($N$18+$Q$18)</f>
        <v>2.90265309376864</v>
      </c>
      <c r="S18" s="35" t="n">
        <f aca="false">IF($R$18&lt;Assumptions!$D$108,$M$18/$N$18,$R$18)</f>
        <v>2.90265309376864</v>
      </c>
      <c r="T18" s="34" t="n">
        <f aca="false">IF($R$18&lt;Assumptions!$D$108,0,$Q$18)</f>
        <v>13.0434782608696</v>
      </c>
      <c r="U18" s="19" t="n">
        <f aca="false">$T$18*MAX(0,$S$18-Assumptions!$D$108)</f>
        <v>24.8172142665474</v>
      </c>
      <c r="V18" s="19" t="n">
        <f aca="false">$H$18/Assumptions!$D$108*$S$18</f>
        <v>406.371433127609</v>
      </c>
      <c r="W18" s="24" t="n">
        <f aca="false">$V$18/$H$18</f>
        <v>2.90265309376864</v>
      </c>
      <c r="X18" s="25" t="n">
        <f aca="false">$W$18^(1/$E$18)-1</f>
        <v>0.237539378218018</v>
      </c>
    </row>
    <row r="19" customFormat="false" ht="15" hidden="false" customHeight="false" outlineLevel="0" collapsed="false">
      <c r="B19" s="9" t="s">
        <v>281</v>
      </c>
      <c r="C19" s="22" t="n">
        <v>8.5</v>
      </c>
      <c r="D19" s="23" t="n">
        <f aca="false">Assumptions!$D$131</f>
        <v>9</v>
      </c>
      <c r="E19" s="33" t="n">
        <f aca="false">Assumptions!$D$133</f>
        <v>5</v>
      </c>
      <c r="F19" s="19" t="n">
        <f aca="false">$C$19*Assumptions!$D$24</f>
        <v>425</v>
      </c>
      <c r="G19" s="19" t="n">
        <f aca="false">$F$19+Assumptions!$D$76+Case_Base!$D$33+Assumptions!$D$78-Case_Base!$D$52</f>
        <v>175</v>
      </c>
      <c r="H19" s="19" t="n">
        <f aca="false">$G$19-Assumptions!$D$107</f>
        <v>165</v>
      </c>
      <c r="I19" s="19" t="n">
        <f aca="false">INDEX(Case_Base!$E$72:$L$72,1,$E$19+1)</f>
        <v>77.82288952</v>
      </c>
      <c r="J19" s="19" t="n">
        <f aca="false">INDEX(Case_Base!$E$124:$L$124,1,$E$19+1)</f>
        <v>229.684737262957</v>
      </c>
      <c r="K19" s="19" t="n">
        <f aca="false">$D$19*$I$19</f>
        <v>700.40600568</v>
      </c>
      <c r="L19" s="19" t="n">
        <f aca="false">Assumptions!$D$132*$K$19</f>
        <v>10.5060900852</v>
      </c>
      <c r="M19" s="19" t="n">
        <f aca="false">$K$19-$J$19-$L$19</f>
        <v>460.215178331843</v>
      </c>
      <c r="N19" s="34" t="n">
        <f aca="false">$G$19/Assumptions!$D$108</f>
        <v>175</v>
      </c>
      <c r="O19" s="34" t="n">
        <f aca="false">$N$19*Assumptions!$D$109/(1-Assumptions!$D$109)</f>
        <v>15.2173913043478</v>
      </c>
      <c r="P19" s="35" t="n">
        <f aca="false">($M$19+$O$19*Assumptions!$D$108)/($N$19+$O$19)</f>
        <v>2.49941693751597</v>
      </c>
      <c r="Q19" s="34" t="n">
        <f aca="false">IF($P$19/Assumptions!$D$108&gt;=Assumptions!$D$110,$O$19,$O$19*0.5)</f>
        <v>15.2173913043478</v>
      </c>
      <c r="R19" s="35" t="n">
        <f aca="false">($M$19+$Q$19*Assumptions!$D$108)/($N$19+$Q$19)</f>
        <v>2.49941693751597</v>
      </c>
      <c r="S19" s="35" t="n">
        <f aca="false">IF($R$19&lt;Assumptions!$D$108,$M$19/$N$19,$R$19)</f>
        <v>2.49941693751597</v>
      </c>
      <c r="T19" s="34" t="n">
        <f aca="false">IF($R$19&lt;Assumptions!$D$108,0,$Q$19)</f>
        <v>15.2173913043478</v>
      </c>
      <c r="U19" s="19" t="n">
        <f aca="false">$T$19*MAX(0,$S$19-Assumptions!$D$108)</f>
        <v>22.8172142665474</v>
      </c>
      <c r="V19" s="19" t="n">
        <f aca="false">$H$19/Assumptions!$D$108*$S$19</f>
        <v>412.403794690136</v>
      </c>
      <c r="W19" s="24" t="n">
        <f aca="false">$V$19/$H$19</f>
        <v>2.49941693751597</v>
      </c>
      <c r="X19" s="25" t="n">
        <f aca="false">$W$19^(1/$E$19)-1</f>
        <v>0.201068402306305</v>
      </c>
    </row>
    <row r="20" customFormat="false" ht="15" hidden="false" customHeight="false" outlineLevel="0" collapsed="false">
      <c r="B20" s="9" t="s">
        <v>282</v>
      </c>
      <c r="C20" s="22" t="n">
        <v>9</v>
      </c>
      <c r="D20" s="23" t="n">
        <f aca="false">Assumptions!$D$131</f>
        <v>9</v>
      </c>
      <c r="E20" s="33" t="n">
        <f aca="false">Assumptions!$D$133</f>
        <v>5</v>
      </c>
      <c r="F20" s="19" t="n">
        <f aca="false">$C$20*Assumptions!$D$24</f>
        <v>450</v>
      </c>
      <c r="G20" s="19" t="n">
        <f aca="false">$F$20+Assumptions!$D$76+Case_Base!$D$33+Assumptions!$D$78-Case_Base!$D$52</f>
        <v>200</v>
      </c>
      <c r="H20" s="19" t="n">
        <f aca="false">$G$20-Assumptions!$D$107</f>
        <v>190</v>
      </c>
      <c r="I20" s="19" t="n">
        <f aca="false">INDEX(Case_Base!$E$72:$L$72,1,$E$20+1)</f>
        <v>77.82288952</v>
      </c>
      <c r="J20" s="19" t="n">
        <f aca="false">INDEX(Case_Base!$E$124:$L$124,1,$E$20+1)</f>
        <v>229.684737262957</v>
      </c>
      <c r="K20" s="19" t="n">
        <f aca="false">$D$20*$I$20</f>
        <v>700.40600568</v>
      </c>
      <c r="L20" s="19" t="n">
        <f aca="false">Assumptions!$D$132*$K$20</f>
        <v>10.5060900852</v>
      </c>
      <c r="M20" s="19" t="n">
        <f aca="false">$K$20-$J$20-$L$20</f>
        <v>460.215178331843</v>
      </c>
      <c r="N20" s="34" t="n">
        <f aca="false">$G$20/Assumptions!$D$108</f>
        <v>200</v>
      </c>
      <c r="O20" s="34" t="n">
        <f aca="false">$N$20*Assumptions!$D$109/(1-Assumptions!$D$109)</f>
        <v>17.3913043478261</v>
      </c>
      <c r="P20" s="35" t="n">
        <f aca="false">($M$20+$O$20*Assumptions!$D$108)/($N$20+$O$20)</f>
        <v>2.19698982032648</v>
      </c>
      <c r="Q20" s="34" t="n">
        <f aca="false">IF($P$20/Assumptions!$D$108&gt;=Assumptions!$D$110,$O$20,$O$20*0.5)</f>
        <v>17.3913043478261</v>
      </c>
      <c r="R20" s="35" t="n">
        <f aca="false">($M$20+$Q$20*Assumptions!$D$108)/($N$20+$Q$20)</f>
        <v>2.19698982032648</v>
      </c>
      <c r="S20" s="35" t="n">
        <f aca="false">IF($R$20&lt;Assumptions!$D$108,$M$20/$N$20,$R$20)</f>
        <v>2.19698982032648</v>
      </c>
      <c r="T20" s="34" t="n">
        <f aca="false">IF($R$20&lt;Assumptions!$D$108,0,$Q$20)</f>
        <v>17.3913043478261</v>
      </c>
      <c r="U20" s="19" t="n">
        <f aca="false">$T$20*MAX(0,$S$20-Assumptions!$D$108)</f>
        <v>20.8172142665474</v>
      </c>
      <c r="V20" s="19" t="n">
        <f aca="false">$H$20/Assumptions!$D$108*$S$20</f>
        <v>417.428065862031</v>
      </c>
      <c r="W20" s="24" t="n">
        <f aca="false">$V$20/$H$20</f>
        <v>2.19698982032648</v>
      </c>
      <c r="X20" s="25" t="n">
        <f aca="false">$W$20^(1/$E$20)-1</f>
        <v>0.170484343544686</v>
      </c>
    </row>
    <row r="21" customFormat="false" ht="15" hidden="false" customHeight="false" outlineLevel="0" collapsed="false">
      <c r="B21" s="9" t="s">
        <v>283</v>
      </c>
      <c r="C21" s="22" t="n">
        <v>9.5</v>
      </c>
      <c r="D21" s="23" t="n">
        <f aca="false">Assumptions!$D$131</f>
        <v>9</v>
      </c>
      <c r="E21" s="33" t="n">
        <f aca="false">Assumptions!$D$133</f>
        <v>5</v>
      </c>
      <c r="F21" s="19" t="n">
        <f aca="false">$C$21*Assumptions!$D$24</f>
        <v>475</v>
      </c>
      <c r="G21" s="19" t="n">
        <f aca="false">$F$21+Assumptions!$D$76+Case_Base!$D$33+Assumptions!$D$78-Case_Base!$D$52</f>
        <v>225</v>
      </c>
      <c r="H21" s="19" t="n">
        <f aca="false">$G$21-Assumptions!$D$107</f>
        <v>215</v>
      </c>
      <c r="I21" s="19" t="n">
        <f aca="false">INDEX(Case_Base!$E$72:$L$72,1,$E$21+1)</f>
        <v>77.82288952</v>
      </c>
      <c r="J21" s="19" t="n">
        <f aca="false">INDEX(Case_Base!$E$124:$L$124,1,$E$21+1)</f>
        <v>229.684737262957</v>
      </c>
      <c r="K21" s="19" t="n">
        <f aca="false">$D$21*$I$21</f>
        <v>700.40600568</v>
      </c>
      <c r="L21" s="19" t="n">
        <f aca="false">Assumptions!$D$132*$K$21</f>
        <v>10.5060900852</v>
      </c>
      <c r="M21" s="19" t="n">
        <f aca="false">$K$21-$J$21-$L$21</f>
        <v>460.215178331843</v>
      </c>
      <c r="N21" s="34" t="n">
        <f aca="false">$G$21/Assumptions!$D$108</f>
        <v>225</v>
      </c>
      <c r="O21" s="34" t="n">
        <f aca="false">$N$21*Assumptions!$D$109/(1-Assumptions!$D$109)</f>
        <v>19.5652173913043</v>
      </c>
      <c r="P21" s="35" t="n">
        <f aca="false">($M$21+$O$21*Assumptions!$D$108)/($N$21+$O$21)</f>
        <v>1.96176872917909</v>
      </c>
      <c r="Q21" s="34" t="n">
        <f aca="false">IF($P$21/Assumptions!$D$108&gt;=Assumptions!$D$110,$O$21,$O$21*0.5)</f>
        <v>9.78260869565217</v>
      </c>
      <c r="R21" s="35" t="n">
        <f aca="false">($M$21+$Q$21*Assumptions!$D$108)/($N$21+$Q$21)</f>
        <v>2.00184242622822</v>
      </c>
      <c r="S21" s="35" t="n">
        <f aca="false">IF($R$21&lt;Assumptions!$D$108,$M$21/$N$21,$R$21)</f>
        <v>2.00184242622822</v>
      </c>
      <c r="T21" s="34" t="n">
        <f aca="false">IF($R$21&lt;Assumptions!$D$108,0,$Q$21)</f>
        <v>9.78260869565217</v>
      </c>
      <c r="U21" s="19" t="n">
        <f aca="false">$T$21*MAX(0,$S$21-Assumptions!$D$108)</f>
        <v>9.80063243049345</v>
      </c>
      <c r="V21" s="19" t="n">
        <f aca="false">$H$21/Assumptions!$D$108*$S$21</f>
        <v>430.396121639067</v>
      </c>
      <c r="W21" s="24" t="n">
        <f aca="false">$V$21/$H$21</f>
        <v>2.00184242622822</v>
      </c>
      <c r="X21" s="25" t="n">
        <f aca="false">$W$21^(1/$E$21)-1</f>
        <v>0.148909916251947</v>
      </c>
    </row>
    <row r="22" customFormat="false" ht="15" hidden="false" customHeight="false" outlineLevel="0" collapsed="false">
      <c r="B22" s="9" t="s">
        <v>284</v>
      </c>
      <c r="C22" s="22" t="n">
        <v>10</v>
      </c>
      <c r="D22" s="23" t="n">
        <f aca="false">Assumptions!$D$131</f>
        <v>9</v>
      </c>
      <c r="E22" s="33" t="n">
        <f aca="false">Assumptions!$D$133</f>
        <v>5</v>
      </c>
      <c r="F22" s="19" t="n">
        <f aca="false">$C$22*Assumptions!$D$24</f>
        <v>500</v>
      </c>
      <c r="G22" s="19" t="n">
        <f aca="false">$F$22+Assumptions!$D$76+Case_Base!$D$33+Assumptions!$D$78-Case_Base!$D$52</f>
        <v>250</v>
      </c>
      <c r="H22" s="19" t="n">
        <f aca="false">$G$22-Assumptions!$D$107</f>
        <v>240</v>
      </c>
      <c r="I22" s="19" t="n">
        <f aca="false">INDEX(Case_Base!$E$72:$L$72,1,$E$22+1)</f>
        <v>77.82288952</v>
      </c>
      <c r="J22" s="19" t="n">
        <f aca="false">INDEX(Case_Base!$E$124:$L$124,1,$E$22+1)</f>
        <v>229.684737262957</v>
      </c>
      <c r="K22" s="19" t="n">
        <f aca="false">$D$22*$I$22</f>
        <v>700.40600568</v>
      </c>
      <c r="L22" s="19" t="n">
        <f aca="false">Assumptions!$D$132*$K$22</f>
        <v>10.5060900852</v>
      </c>
      <c r="M22" s="19" t="n">
        <f aca="false">$K$22-$J$22-$L$22</f>
        <v>460.215178331843</v>
      </c>
      <c r="N22" s="34" t="n">
        <f aca="false">$G$22/Assumptions!$D$108</f>
        <v>250</v>
      </c>
      <c r="O22" s="34" t="n">
        <f aca="false">$N$22*Assumptions!$D$109/(1-Assumptions!$D$109)</f>
        <v>21.7391304347826</v>
      </c>
      <c r="P22" s="35" t="n">
        <f aca="false">($M$22+$O$22*Assumptions!$D$108)/($N$22+$O$22)</f>
        <v>1.77359185626118</v>
      </c>
      <c r="Q22" s="34" t="n">
        <f aca="false">IF($P$22/Assumptions!$D$108&gt;=Assumptions!$D$110,$O$22,$O$22*0.5)</f>
        <v>10.8695652173913</v>
      </c>
      <c r="R22" s="35" t="n">
        <f aca="false">($M$22+$Q$22*Assumptions!$D$108)/($N$22+$Q$22)</f>
        <v>1.80582485027206</v>
      </c>
      <c r="S22" s="35" t="n">
        <f aca="false">IF($R$22&lt;Assumptions!$D$108,$M$22/$N$22,$R$22)</f>
        <v>1.80582485027206</v>
      </c>
      <c r="T22" s="34" t="n">
        <f aca="false">IF($R$22&lt;Assumptions!$D$108,0,$Q$22)</f>
        <v>10.8695652173913</v>
      </c>
      <c r="U22" s="19" t="n">
        <f aca="false">$T$22*MAX(0,$S$22-Assumptions!$D$108)</f>
        <v>8.75896576382679</v>
      </c>
      <c r="V22" s="19" t="n">
        <f aca="false">$H$22/Assumptions!$D$108*$S$22</f>
        <v>433.397964065296</v>
      </c>
      <c r="W22" s="24" t="n">
        <f aca="false">$V$22/$H$22</f>
        <v>1.80582485027206</v>
      </c>
      <c r="X22" s="25" t="n">
        <f aca="false">$W$22^(1/$E$22)-1</f>
        <v>0.125473114678262</v>
      </c>
    </row>
    <row r="23" customFormat="false" ht="15" hidden="false" customHeight="false" outlineLevel="0" collapsed="false">
      <c r="B23" s="9" t="s">
        <v>285</v>
      </c>
      <c r="C23" s="6" t="s">
        <v>25</v>
      </c>
      <c r="D23" s="19" t="n">
        <f aca="false">0.5*Assumptions!$D$24</f>
        <v>25</v>
      </c>
    </row>
    <row r="24" customFormat="false" ht="15" hidden="false" customHeight="false" outlineLevel="0" collapsed="false">
      <c r="B24" s="9" t="s">
        <v>286</v>
      </c>
      <c r="C24" s="6" t="s">
        <v>231</v>
      </c>
      <c r="D24" s="25" t="n">
        <f aca="false">$X$20-$X$21</f>
        <v>0.0215744272927396</v>
      </c>
    </row>
    <row r="25" customFormat="false" ht="15" hidden="false" customHeight="false" outlineLevel="0" collapsed="false">
      <c r="B25" s="9" t="s">
        <v>287</v>
      </c>
      <c r="C25" s="6" t="s">
        <v>231</v>
      </c>
      <c r="D25" s="25" t="n">
        <f aca="false">$X$19-$X$20</f>
        <v>0.0305840587616184</v>
      </c>
    </row>
    <row r="27" customFormat="false" ht="15" hidden="false" customHeight="false" outlineLevel="0" collapsed="false">
      <c r="B27" s="7" t="s">
        <v>288</v>
      </c>
      <c r="C27" s="8"/>
      <c r="D27" s="8"/>
      <c r="E27" s="8"/>
      <c r="F27" s="8"/>
      <c r="G27" s="8"/>
      <c r="H27" s="8"/>
      <c r="I27" s="8"/>
      <c r="J27" s="8"/>
      <c r="K27" s="8"/>
      <c r="L27" s="8"/>
      <c r="M27" s="8"/>
      <c r="N27" s="8"/>
      <c r="O27" s="8"/>
      <c r="P27" s="8"/>
      <c r="Q27" s="8"/>
      <c r="R27" s="8"/>
      <c r="S27" s="8"/>
      <c r="T27" s="8"/>
      <c r="U27" s="8"/>
      <c r="V27" s="8"/>
      <c r="W27" s="8"/>
      <c r="X27" s="8"/>
    </row>
    <row r="28" customFormat="false" ht="15" hidden="false" customHeight="false" outlineLevel="0" collapsed="false">
      <c r="B28" s="9" t="s">
        <v>289</v>
      </c>
      <c r="D28" s="14" t="n">
        <f aca="false">Case_Base!$D$57</f>
        <v>0.578947368421053</v>
      </c>
    </row>
    <row r="29" customFormat="false" ht="30" hidden="false" customHeight="true" outlineLevel="0" collapsed="false">
      <c r="B29" s="15" t="s">
        <v>290</v>
      </c>
      <c r="C29" s="16" t="s">
        <v>190</v>
      </c>
      <c r="D29" s="16" t="s">
        <v>291</v>
      </c>
      <c r="E29" s="16" t="s">
        <v>292</v>
      </c>
      <c r="F29" s="16" t="s">
        <v>270</v>
      </c>
      <c r="G29" s="16" t="s">
        <v>293</v>
      </c>
      <c r="H29" s="16" t="s">
        <v>294</v>
      </c>
    </row>
    <row r="30" customFormat="false" ht="15" hidden="false" customHeight="false" outlineLevel="0" collapsed="false">
      <c r="B30" s="9" t="s">
        <v>295</v>
      </c>
      <c r="C30" s="23" t="n">
        <f aca="false">'Sens_Wrong_8.0x'!$D$6</f>
        <v>8</v>
      </c>
      <c r="D30" s="19" t="n">
        <f aca="false">'Sens_Wrong_8.0x'!$D$52</f>
        <v>245.713525026624</v>
      </c>
      <c r="E30" s="19" t="n">
        <f aca="false">'Sens_Wrong_8.0x'!$D$46</f>
        <v>178.700745473908</v>
      </c>
      <c r="F30" s="25" t="n">
        <f aca="false">'Sens_Wrong_8.0x'!$D$223</f>
        <v>0.216621171076233</v>
      </c>
      <c r="G30" s="24" t="n">
        <f aca="false">'Sens_Wrong_8.0x'!$D$225</f>
        <v>2.66548871343091</v>
      </c>
      <c r="H30" s="24" t="n">
        <f aca="false">'Sens_Wrong_8.0x'!$D$53</f>
        <v>4.91427050053248</v>
      </c>
    </row>
    <row r="31" customFormat="false" ht="15" hidden="false" customHeight="false" outlineLevel="0" collapsed="false">
      <c r="B31" s="9" t="s">
        <v>296</v>
      </c>
      <c r="C31" s="23" t="n">
        <f aca="false">'Sens_Wrong_8.5x'!$D$6</f>
        <v>8.5</v>
      </c>
      <c r="D31" s="19" t="n">
        <f aca="false">'Sens_Wrong_8.5x'!$D$52</f>
        <v>260.356762513312</v>
      </c>
      <c r="E31" s="19" t="n">
        <f aca="false">'Sens_Wrong_8.5x'!$D$46</f>
        <v>189.350372736954</v>
      </c>
      <c r="F31" s="25" t="n">
        <f aca="false">'Sens_Wrong_8.5x'!$D$223</f>
        <v>0.193166066206727</v>
      </c>
      <c r="G31" s="24" t="n">
        <f aca="false">'Sens_Wrong_8.5x'!$D$225</f>
        <v>2.41826821336943</v>
      </c>
      <c r="H31" s="24" t="n">
        <f aca="false">'Sens_Wrong_8.5x'!$D$53</f>
        <v>5.20713525026624</v>
      </c>
    </row>
    <row r="32" customFormat="false" ht="15" hidden="false" customHeight="false" outlineLevel="0" collapsed="false">
      <c r="B32" s="9" t="s">
        <v>297</v>
      </c>
      <c r="C32" s="23" t="n">
        <f aca="false">'Sens_Wrong_9.0x'!$D$6</f>
        <v>9</v>
      </c>
      <c r="D32" s="19" t="n">
        <f aca="false">'Sens_Wrong_9.0x'!$D$52</f>
        <v>275</v>
      </c>
      <c r="E32" s="19" t="n">
        <f aca="false">'Sens_Wrong_9.0x'!$D$46</f>
        <v>200</v>
      </c>
      <c r="F32" s="25" t="n">
        <f aca="false">'Sens_Wrong_9.0x'!$D$223</f>
        <v>0.170484343544686</v>
      </c>
      <c r="G32" s="24" t="n">
        <f aca="false">'Sens_Wrong_9.0x'!$D$225</f>
        <v>2.19698982032648</v>
      </c>
      <c r="H32" s="24" t="n">
        <f aca="false">'Sens_Wrong_9.0x'!$D$53</f>
        <v>5.5</v>
      </c>
    </row>
    <row r="33" customFormat="false" ht="15" hidden="false" customHeight="false" outlineLevel="0" collapsed="false">
      <c r="B33" s="9" t="s">
        <v>298</v>
      </c>
      <c r="C33" s="23" t="n">
        <f aca="false">'Sens_Wrong_9.5x'!$D$6</f>
        <v>9.5</v>
      </c>
      <c r="D33" s="19" t="n">
        <f aca="false">'Sens_Wrong_9.5x'!$D$52</f>
        <v>289.643237486688</v>
      </c>
      <c r="E33" s="19" t="n">
        <f aca="false">'Sens_Wrong_9.5x'!$D$46</f>
        <v>210.649627263046</v>
      </c>
      <c r="F33" s="25" t="n">
        <f aca="false">'Sens_Wrong_9.5x'!$D$223</f>
        <v>0.152883292716046</v>
      </c>
      <c r="G33" s="24" t="n">
        <f aca="false">'Sens_Wrong_9.5x'!$D$225</f>
        <v>2.03669842587499</v>
      </c>
      <c r="H33" s="24" t="n">
        <f aca="false">'Sens_Wrong_9.5x'!$D$53</f>
        <v>5.79286474973376</v>
      </c>
    </row>
    <row r="34" customFormat="false" ht="15" hidden="false" customHeight="false" outlineLevel="0" collapsed="false">
      <c r="B34" s="9" t="s">
        <v>299</v>
      </c>
      <c r="C34" s="23" t="n">
        <f aca="false">'Sens_Wrong_10.0x'!$D$6</f>
        <v>10</v>
      </c>
      <c r="D34" s="19" t="n">
        <f aca="false">'Sens_Wrong_10.0x'!$D$52</f>
        <v>304.286474973376</v>
      </c>
      <c r="E34" s="19" t="n">
        <f aca="false">'Sens_Wrong_10.0x'!$D$46</f>
        <v>221.299254526092</v>
      </c>
      <c r="F34" s="25" t="n">
        <f aca="false">'Sens_Wrong_10.0x'!$D$223</f>
        <v>0.130530022321263</v>
      </c>
      <c r="G34" s="24" t="n">
        <f aca="false">'Sens_Wrong_10.0x'!$D$225</f>
        <v>1.84676017167843</v>
      </c>
      <c r="H34" s="24" t="n">
        <f aca="false">'Sens_Wrong_10.0x'!$D$53</f>
        <v>6.08572949946752</v>
      </c>
    </row>
    <row r="35" customFormat="false" ht="15" hidden="false" customHeight="false" outlineLevel="0" collapsed="false">
      <c r="B35" s="9" t="s">
        <v>300</v>
      </c>
      <c r="C35" s="6" t="s">
        <v>25</v>
      </c>
      <c r="D35" s="19" t="n">
        <f aca="false">$D$34-Case_Base!$D$52</f>
        <v>29.286474973376</v>
      </c>
    </row>
    <row r="37" customFormat="false" ht="15" hidden="false" customHeight="false" outlineLevel="0" collapsed="false">
      <c r="B37" s="7" t="s">
        <v>301</v>
      </c>
      <c r="C37" s="8"/>
      <c r="D37" s="8"/>
      <c r="E37" s="8"/>
      <c r="F37" s="8"/>
      <c r="G37" s="8"/>
      <c r="H37" s="8"/>
      <c r="I37" s="8"/>
      <c r="J37" s="8"/>
      <c r="K37" s="8"/>
      <c r="L37" s="8"/>
      <c r="M37" s="8"/>
      <c r="N37" s="8"/>
      <c r="O37" s="8"/>
      <c r="P37" s="8"/>
      <c r="Q37" s="8"/>
      <c r="R37" s="8"/>
      <c r="S37" s="8"/>
      <c r="T37" s="8"/>
      <c r="U37" s="8"/>
      <c r="V37" s="8"/>
      <c r="W37" s="8"/>
      <c r="X37" s="8"/>
    </row>
    <row r="38" customFormat="false" ht="15" hidden="false" customHeight="false" outlineLevel="0" collapsed="false">
      <c r="B38" s="9" t="s">
        <v>302</v>
      </c>
      <c r="C38" s="6" t="s">
        <v>25</v>
      </c>
      <c r="D38" s="19" t="n">
        <f aca="false">Case_Base!$D$44</f>
        <v>50</v>
      </c>
    </row>
    <row r="39" customFormat="false" ht="30" hidden="false" customHeight="true" outlineLevel="0" collapsed="false">
      <c r="B39" s="15" t="s">
        <v>290</v>
      </c>
      <c r="C39" s="16" t="s">
        <v>303</v>
      </c>
      <c r="D39" s="16" t="s">
        <v>291</v>
      </c>
      <c r="E39" s="16" t="s">
        <v>292</v>
      </c>
      <c r="F39" s="16" t="s">
        <v>270</v>
      </c>
      <c r="G39" s="16" t="s">
        <v>293</v>
      </c>
      <c r="H39" s="16" t="s">
        <v>304</v>
      </c>
    </row>
    <row r="40" customFormat="false" ht="15" hidden="false" customHeight="false" outlineLevel="0" collapsed="false">
      <c r="B40" s="9" t="s">
        <v>305</v>
      </c>
      <c r="C40" s="23" t="n">
        <f aca="false">'Sens_Leverage_4.5x'!$D$53</f>
        <v>4.5</v>
      </c>
      <c r="D40" s="19" t="n">
        <f aca="false">'Sens_Leverage_4.5x'!$D$52</f>
        <v>225</v>
      </c>
      <c r="E40" s="19" t="n">
        <f aca="false">'Sens_Leverage_4.5x'!$D$46</f>
        <v>249</v>
      </c>
      <c r="F40" s="25" t="n">
        <f aca="false">'Sens_Leverage_4.5x'!$D$223</f>
        <v>0.153860455733027</v>
      </c>
      <c r="G40" s="24" t="n">
        <f aca="false">'Sens_Leverage_4.5x'!$D$225</f>
        <v>2.0453444134772</v>
      </c>
      <c r="H40" s="24" t="n">
        <f aca="false">'Sens_Leverage_4.5x'!$H$163</f>
        <v>1.17290647161258</v>
      </c>
    </row>
    <row r="41" customFormat="false" ht="15" hidden="false" customHeight="false" outlineLevel="0" collapsed="false">
      <c r="B41" s="9" t="s">
        <v>306</v>
      </c>
      <c r="C41" s="23" t="n">
        <f aca="false">'Sens_Leverage_5.0x'!$D$53</f>
        <v>5</v>
      </c>
      <c r="D41" s="19" t="n">
        <f aca="false">'Sens_Leverage_5.0x'!$D$52</f>
        <v>250</v>
      </c>
      <c r="E41" s="19" t="n">
        <f aca="false">'Sens_Leverage_5.0x'!$D$46</f>
        <v>224.5</v>
      </c>
      <c r="F41" s="25" t="n">
        <f aca="false">'Sens_Leverage_5.0x'!$D$223</f>
        <v>0.161313998103643</v>
      </c>
      <c r="G41" s="24" t="n">
        <f aca="false">'Sens_Leverage_5.0x'!$D$225</f>
        <v>2.11226452186265</v>
      </c>
      <c r="H41" s="24" t="n">
        <f aca="false">'Sens_Leverage_5.0x'!$H$163</f>
        <v>0.65060359312175</v>
      </c>
    </row>
    <row r="42" customFormat="false" ht="15" hidden="false" customHeight="false" outlineLevel="0" collapsed="false">
      <c r="B42" s="9" t="s">
        <v>307</v>
      </c>
      <c r="C42" s="23" t="n">
        <f aca="false">Case_Base!$D$53</f>
        <v>5.5</v>
      </c>
      <c r="D42" s="19" t="n">
        <f aca="false">Case_Base!$D$52</f>
        <v>275</v>
      </c>
      <c r="E42" s="19" t="n">
        <f aca="false">Case_Base!$D$46</f>
        <v>200</v>
      </c>
      <c r="F42" s="25" t="n">
        <f aca="false">Case_Base!$D$223</f>
        <v>0.170484343544686</v>
      </c>
      <c r="G42" s="24" t="n">
        <f aca="false">Case_Base!$D$225</f>
        <v>2.19698982032648</v>
      </c>
      <c r="H42" s="24" t="n">
        <f aca="false">Case_Base!$H$163</f>
        <v>0.122771617622552</v>
      </c>
    </row>
    <row r="43" customFormat="false" ht="15" hidden="false" customHeight="false" outlineLevel="0" collapsed="false">
      <c r="B43" s="9" t="s">
        <v>308</v>
      </c>
      <c r="C43" s="23" t="n">
        <f aca="false">'Sens_Leverage_6.0x'!$D$53</f>
        <v>6</v>
      </c>
      <c r="D43" s="19" t="n">
        <f aca="false">'Sens_Leverage_6.0x'!$D$52</f>
        <v>300</v>
      </c>
      <c r="E43" s="19" t="n">
        <f aca="false">'Sens_Leverage_6.0x'!$D$46</f>
        <v>175.5</v>
      </c>
      <c r="F43" s="25" t="n">
        <f aca="false">'Sens_Leverage_6.0x'!$D$223</f>
        <v>0.181095497761061</v>
      </c>
      <c r="G43" s="24" t="n">
        <f aca="false">'Sens_Leverage_6.0x'!$D$225</f>
        <v>2.29839712687024</v>
      </c>
      <c r="H43" s="24" t="n">
        <f aca="false">'Sens_Leverage_6.0x'!$H$163</f>
        <v>-0.407246664945171</v>
      </c>
    </row>
    <row r="44" customFormat="false" ht="15" hidden="false" customHeight="false" outlineLevel="0" collapsed="false">
      <c r="B44" s="9" t="s">
        <v>309</v>
      </c>
      <c r="C44" s="23" t="n">
        <f aca="false">'Sens_Leverage_6.5x'!$D$53</f>
        <v>6.5</v>
      </c>
      <c r="D44" s="19" t="n">
        <f aca="false">'Sens_Leverage_6.5x'!$D$52</f>
        <v>325</v>
      </c>
      <c r="E44" s="19" t="n">
        <f aca="false">'Sens_Leverage_6.5x'!$D$46</f>
        <v>151</v>
      </c>
      <c r="F44" s="25" t="n">
        <f aca="false">'Sens_Leverage_6.5x'!$D$223</f>
        <v>0.194587812879672</v>
      </c>
      <c r="G44" s="24" t="n">
        <f aca="false">'Sens_Leverage_6.5x'!$D$225</f>
        <v>2.43271032798698</v>
      </c>
      <c r="H44" s="24" t="n">
        <f aca="false">'Sens_Leverage_6.5x'!$H$163</f>
        <v>-0.938371260194337</v>
      </c>
    </row>
    <row r="46" customFormat="false" ht="15" hidden="false" customHeight="false" outlineLevel="0" collapsed="false">
      <c r="B46" s="7" t="s">
        <v>310</v>
      </c>
      <c r="C46" s="8"/>
      <c r="D46" s="8"/>
      <c r="E46" s="8"/>
      <c r="F46" s="8"/>
      <c r="G46" s="8"/>
      <c r="H46" s="8"/>
      <c r="I46" s="8"/>
      <c r="J46" s="8"/>
      <c r="K46" s="8"/>
      <c r="L46" s="8"/>
      <c r="M46" s="8"/>
      <c r="N46" s="8"/>
      <c r="O46" s="8"/>
      <c r="P46" s="8"/>
      <c r="Q46" s="8"/>
      <c r="R46" s="8"/>
      <c r="S46" s="8"/>
      <c r="T46" s="8"/>
      <c r="U46" s="8"/>
      <c r="V46" s="8"/>
      <c r="W46" s="8"/>
      <c r="X46" s="8"/>
    </row>
    <row r="47" customFormat="false" ht="45" hidden="false" customHeight="true" outlineLevel="0" collapsed="false">
      <c r="B47" s="15" t="s">
        <v>253</v>
      </c>
      <c r="C47" s="16" t="s">
        <v>190</v>
      </c>
      <c r="D47" s="16" t="s">
        <v>191</v>
      </c>
      <c r="E47" s="16" t="s">
        <v>254</v>
      </c>
      <c r="F47" s="16" t="s">
        <v>80</v>
      </c>
      <c r="G47" s="16" t="s">
        <v>255</v>
      </c>
      <c r="H47" s="16" t="s">
        <v>256</v>
      </c>
      <c r="I47" s="16" t="s">
        <v>257</v>
      </c>
      <c r="J47" s="16" t="s">
        <v>258</v>
      </c>
      <c r="K47" s="16" t="s">
        <v>239</v>
      </c>
      <c r="L47" s="16" t="s">
        <v>259</v>
      </c>
      <c r="M47" s="16" t="s">
        <v>195</v>
      </c>
      <c r="N47" s="16" t="s">
        <v>260</v>
      </c>
      <c r="O47" s="16" t="s">
        <v>261</v>
      </c>
      <c r="P47" s="16" t="s">
        <v>262</v>
      </c>
      <c r="Q47" s="16" t="s">
        <v>263</v>
      </c>
      <c r="R47" s="16" t="s">
        <v>264</v>
      </c>
      <c r="S47" s="16" t="s">
        <v>265</v>
      </c>
      <c r="T47" s="16" t="s">
        <v>266</v>
      </c>
      <c r="U47" s="16" t="s">
        <v>267</v>
      </c>
      <c r="V47" s="16" t="s">
        <v>268</v>
      </c>
      <c r="W47" s="16" t="s">
        <v>269</v>
      </c>
      <c r="X47" s="16" t="s">
        <v>270</v>
      </c>
    </row>
    <row r="48" customFormat="false" ht="15" hidden="false" customHeight="false" outlineLevel="0" collapsed="false">
      <c r="B48" s="9" t="s">
        <v>311</v>
      </c>
      <c r="C48" s="23" t="n">
        <f aca="false">Assumptions!$D$64</f>
        <v>9</v>
      </c>
      <c r="D48" s="23" t="n">
        <f aca="false">Assumptions!$D$131</f>
        <v>9</v>
      </c>
      <c r="E48" s="26" t="n">
        <v>3</v>
      </c>
      <c r="F48" s="19" t="n">
        <f aca="false">$C$48*Assumptions!$D$24</f>
        <v>450</v>
      </c>
      <c r="G48" s="19" t="n">
        <f aca="false">$F$48+Assumptions!$D$76+Case_Base!$D$33+Assumptions!$D$78-Case_Base!$D$52</f>
        <v>200</v>
      </c>
      <c r="H48" s="19" t="n">
        <f aca="false">$G$48-Assumptions!$D$107</f>
        <v>190</v>
      </c>
      <c r="I48" s="19" t="n">
        <f aca="false">INDEX(Case_Base!$E$72:$L$72,1,$E$48+1)</f>
        <v>57.864608</v>
      </c>
      <c r="J48" s="19" t="n">
        <f aca="false">INDEX(Case_Base!$E$124:$L$124,1,$E$48+1)</f>
        <v>277.0072132375</v>
      </c>
      <c r="K48" s="19" t="n">
        <f aca="false">$D$48*$I$48</f>
        <v>520.781472</v>
      </c>
      <c r="L48" s="19" t="n">
        <f aca="false">Assumptions!$D$132*$K$48</f>
        <v>7.81172208</v>
      </c>
      <c r="M48" s="19" t="n">
        <f aca="false">$K$48-$J$48-$L$48</f>
        <v>235.9625366825</v>
      </c>
      <c r="N48" s="34" t="n">
        <f aca="false">$G$48/Assumptions!$D$108</f>
        <v>200</v>
      </c>
      <c r="O48" s="34" t="n">
        <f aca="false">$N$48*Assumptions!$D$109/(1-Assumptions!$D$109)</f>
        <v>17.3913043478261</v>
      </c>
      <c r="P48" s="35" t="n">
        <f aca="false">($M$48+$O$48*Assumptions!$D$108)/($N$48+$O$48)</f>
        <v>1.1654276687395</v>
      </c>
      <c r="Q48" s="34" t="n">
        <f aca="false">IF($P$48/Assumptions!$D$108&gt;=Assumptions!$D$110,$O$48,$O$48*0.5)</f>
        <v>8.69565217391304</v>
      </c>
      <c r="R48" s="35" t="n">
        <f aca="false">($M$48+$Q$48*Assumptions!$D$108)/($N$48+$Q$48)</f>
        <v>1.17232048827031</v>
      </c>
      <c r="S48" s="35" t="n">
        <f aca="false">IF($R$48&lt;Assumptions!$D$108,$M$48/$N$48,$R$48)</f>
        <v>1.17232048827031</v>
      </c>
      <c r="T48" s="34" t="n">
        <f aca="false">IF($R$48&lt;Assumptions!$D$108,0,$Q$48)</f>
        <v>8.69565217391304</v>
      </c>
      <c r="U48" s="19" t="n">
        <f aca="false">$T$48*MAX(0,$S$48-Assumptions!$D$108)</f>
        <v>1.4984390284375</v>
      </c>
      <c r="V48" s="19" t="n">
        <f aca="false">$H$48/Assumptions!$D$108*$S$48</f>
        <v>222.740892771359</v>
      </c>
      <c r="W48" s="24" t="n">
        <f aca="false">$V$48/$H$48</f>
        <v>1.17232048827031</v>
      </c>
      <c r="X48" s="25" t="n">
        <f aca="false">$W$48^(1/$E$48)-1</f>
        <v>0.0544244109184953</v>
      </c>
    </row>
    <row r="49" customFormat="false" ht="15" hidden="false" customHeight="false" outlineLevel="0" collapsed="false">
      <c r="B49" s="9" t="s">
        <v>312</v>
      </c>
      <c r="C49" s="23" t="n">
        <f aca="false">Assumptions!$D$64</f>
        <v>9</v>
      </c>
      <c r="D49" s="23" t="n">
        <f aca="false">Assumptions!$D$131</f>
        <v>9</v>
      </c>
      <c r="E49" s="26" t="n">
        <v>4</v>
      </c>
      <c r="F49" s="19" t="n">
        <f aca="false">$C$49*Assumptions!$D$24</f>
        <v>450</v>
      </c>
      <c r="G49" s="19" t="n">
        <f aca="false">$F$49+Assumptions!$D$76+Case_Base!$D$33+Assumptions!$D$78-Case_Base!$D$52</f>
        <v>200</v>
      </c>
      <c r="H49" s="19" t="n">
        <f aca="false">$G$49-Assumptions!$D$107</f>
        <v>190</v>
      </c>
      <c r="I49" s="19" t="n">
        <f aca="false">INDEX(Case_Base!$E$72:$L$72,1,$E$49+1)</f>
        <v>70.26004512</v>
      </c>
      <c r="J49" s="19" t="n">
        <f aca="false">INDEX(Case_Base!$E$124:$L$124,1,$E$49+1)</f>
        <v>257.249427357219</v>
      </c>
      <c r="K49" s="19" t="n">
        <f aca="false">$D$49*$I$49</f>
        <v>632.34040608</v>
      </c>
      <c r="L49" s="19" t="n">
        <f aca="false">Assumptions!$D$132*$K$49</f>
        <v>9.4851060912</v>
      </c>
      <c r="M49" s="19" t="n">
        <f aca="false">$K$49-$J$49-$L$49</f>
        <v>365.605872631581</v>
      </c>
      <c r="N49" s="34" t="n">
        <f aca="false">$G$49/Assumptions!$D$108</f>
        <v>200</v>
      </c>
      <c r="O49" s="34" t="n">
        <f aca="false">$N$49*Assumptions!$D$109/(1-Assumptions!$D$109)</f>
        <v>17.3913043478261</v>
      </c>
      <c r="P49" s="35" t="n">
        <f aca="false">($M$49+$O$49*Assumptions!$D$108)/($N$49+$O$49)</f>
        <v>1.76178701410527</v>
      </c>
      <c r="Q49" s="34" t="n">
        <f aca="false">IF($P$49/Assumptions!$D$108&gt;=Assumptions!$D$110,$O$49,$O$49*0.5)</f>
        <v>8.69565217391304</v>
      </c>
      <c r="R49" s="35" t="n">
        <f aca="false">($M$49+$Q$49*Assumptions!$D$108)/($N$49+$Q$49)</f>
        <v>1.79352813969299</v>
      </c>
      <c r="S49" s="35" t="n">
        <f aca="false">IF($R$49&lt;Assumptions!$D$108,$M$49/$N$49,$R$49)</f>
        <v>1.79352813969299</v>
      </c>
      <c r="T49" s="34" t="n">
        <f aca="false">IF($R$49&lt;Assumptions!$D$108,0,$Q$49)</f>
        <v>8.69565217391304</v>
      </c>
      <c r="U49" s="19" t="n">
        <f aca="false">$T$49*MAX(0,$S$49-Assumptions!$D$108)</f>
        <v>6.90024469298255</v>
      </c>
      <c r="V49" s="19" t="n">
        <f aca="false">$H$49/Assumptions!$D$108*$S$49</f>
        <v>340.770346541669</v>
      </c>
      <c r="W49" s="24" t="n">
        <f aca="false">$V$49/$H$49</f>
        <v>1.79352813969299</v>
      </c>
      <c r="X49" s="25" t="n">
        <f aca="false">$W$49^(1/$E$49)-1</f>
        <v>0.157249625042556</v>
      </c>
    </row>
    <row r="50" customFormat="false" ht="15" hidden="false" customHeight="false" outlineLevel="0" collapsed="false">
      <c r="B50" s="9" t="s">
        <v>313</v>
      </c>
      <c r="C50" s="23" t="n">
        <f aca="false">Assumptions!$D$64</f>
        <v>9</v>
      </c>
      <c r="D50" s="23" t="n">
        <f aca="false">Assumptions!$D$131</f>
        <v>9</v>
      </c>
      <c r="E50" s="26" t="n">
        <v>5</v>
      </c>
      <c r="F50" s="19" t="n">
        <f aca="false">$C$50*Assumptions!$D$24</f>
        <v>450</v>
      </c>
      <c r="G50" s="19" t="n">
        <f aca="false">$F$50+Assumptions!$D$76+Case_Base!$D$33+Assumptions!$D$78-Case_Base!$D$52</f>
        <v>200</v>
      </c>
      <c r="H50" s="19" t="n">
        <f aca="false">$G$50-Assumptions!$D$107</f>
        <v>190</v>
      </c>
      <c r="I50" s="19" t="n">
        <f aca="false">INDEX(Case_Base!$E$72:$L$72,1,$E$50+1)</f>
        <v>77.82288952</v>
      </c>
      <c r="J50" s="19" t="n">
        <f aca="false">INDEX(Case_Base!$E$124:$L$124,1,$E$50+1)</f>
        <v>229.684737262957</v>
      </c>
      <c r="K50" s="19" t="n">
        <f aca="false">$D$50*$I$50</f>
        <v>700.40600568</v>
      </c>
      <c r="L50" s="19" t="n">
        <f aca="false">Assumptions!$D$132*$K$50</f>
        <v>10.5060900852</v>
      </c>
      <c r="M50" s="19" t="n">
        <f aca="false">$K$50-$J$50-$L$50</f>
        <v>460.215178331843</v>
      </c>
      <c r="N50" s="34" t="n">
        <f aca="false">$G$50/Assumptions!$D$108</f>
        <v>200</v>
      </c>
      <c r="O50" s="34" t="n">
        <f aca="false">$N$50*Assumptions!$D$109/(1-Assumptions!$D$109)</f>
        <v>17.3913043478261</v>
      </c>
      <c r="P50" s="35" t="n">
        <f aca="false">($M$50+$O$50*Assumptions!$D$108)/($N$50+$O$50)</f>
        <v>2.19698982032648</v>
      </c>
      <c r="Q50" s="34" t="n">
        <f aca="false">IF($P$50/Assumptions!$D$108&gt;=Assumptions!$D$110,$O$50,$O$50*0.5)</f>
        <v>17.3913043478261</v>
      </c>
      <c r="R50" s="35" t="n">
        <f aca="false">($M$50+$Q$50*Assumptions!$D$108)/($N$50+$Q$50)</f>
        <v>2.19698982032648</v>
      </c>
      <c r="S50" s="35" t="n">
        <f aca="false">IF($R$50&lt;Assumptions!$D$108,$M$50/$N$50,$R$50)</f>
        <v>2.19698982032648</v>
      </c>
      <c r="T50" s="34" t="n">
        <f aca="false">IF($R$50&lt;Assumptions!$D$108,0,$Q$50)</f>
        <v>17.3913043478261</v>
      </c>
      <c r="U50" s="19" t="n">
        <f aca="false">$T$50*MAX(0,$S$50-Assumptions!$D$108)</f>
        <v>20.8172142665474</v>
      </c>
      <c r="V50" s="19" t="n">
        <f aca="false">$H$50/Assumptions!$D$108*$S$50</f>
        <v>417.428065862031</v>
      </c>
      <c r="W50" s="24" t="n">
        <f aca="false">$V$50/$H$50</f>
        <v>2.19698982032648</v>
      </c>
      <c r="X50" s="25" t="n">
        <f aca="false">$W$50^(1/$E$50)-1</f>
        <v>0.170484343544686</v>
      </c>
    </row>
    <row r="51" customFormat="false" ht="15" hidden="false" customHeight="false" outlineLevel="0" collapsed="false">
      <c r="B51" s="9" t="s">
        <v>314</v>
      </c>
      <c r="C51" s="23" t="n">
        <f aca="false">Assumptions!$D$64</f>
        <v>9</v>
      </c>
      <c r="D51" s="23" t="n">
        <f aca="false">Assumptions!$D$131</f>
        <v>9</v>
      </c>
      <c r="E51" s="26" t="n">
        <v>6</v>
      </c>
      <c r="F51" s="19" t="n">
        <f aca="false">$C$51*Assumptions!$D$24</f>
        <v>450</v>
      </c>
      <c r="G51" s="19" t="n">
        <f aca="false">$F$51+Assumptions!$D$76+Case_Base!$D$33+Assumptions!$D$78-Case_Base!$D$52</f>
        <v>200</v>
      </c>
      <c r="H51" s="19" t="n">
        <f aca="false">$G$51-Assumptions!$D$107</f>
        <v>190</v>
      </c>
      <c r="I51" s="19" t="n">
        <f aca="false">INDEX(Case_Base!$E$72:$L$72,1,$E$51+1)</f>
        <v>80.8158051008</v>
      </c>
      <c r="J51" s="19" t="n">
        <f aca="false">INDEX(Case_Base!$E$124:$L$124,1,$E$51+1)</f>
        <v>198.371876130385</v>
      </c>
      <c r="K51" s="19" t="n">
        <f aca="false">$D$51*$I$51</f>
        <v>727.3422459072</v>
      </c>
      <c r="L51" s="19" t="n">
        <f aca="false">Assumptions!$D$132*$K$51</f>
        <v>10.910133688608</v>
      </c>
      <c r="M51" s="19" t="n">
        <f aca="false">$K$51-$J$51-$L$51</f>
        <v>518.060236088207</v>
      </c>
      <c r="N51" s="34" t="n">
        <f aca="false">$G$51/Assumptions!$D$108</f>
        <v>200</v>
      </c>
      <c r="O51" s="34" t="n">
        <f aca="false">$N$51*Assumptions!$D$109/(1-Assumptions!$D$109)</f>
        <v>17.3913043478261</v>
      </c>
      <c r="P51" s="35" t="n">
        <f aca="false">($M$51+$O$51*Assumptions!$D$108)/($N$51+$O$51)</f>
        <v>2.46307708600575</v>
      </c>
      <c r="Q51" s="34" t="n">
        <f aca="false">IF($P$51/Assumptions!$D$108&gt;=Assumptions!$D$110,$O$51,$O$51*0.5)</f>
        <v>17.3913043478261</v>
      </c>
      <c r="R51" s="35" t="n">
        <f aca="false">($M$51+$Q$51*Assumptions!$D$108)/($N$51+$Q$51)</f>
        <v>2.46307708600575</v>
      </c>
      <c r="S51" s="35" t="n">
        <f aca="false">IF($R$51&lt;Assumptions!$D$108,$M$51/$N$51,$R$51)</f>
        <v>2.46307708600575</v>
      </c>
      <c r="T51" s="34" t="n">
        <f aca="false">IF($R$51&lt;Assumptions!$D$108,0,$Q$51)</f>
        <v>17.3913043478261</v>
      </c>
      <c r="U51" s="19" t="n">
        <f aca="false">$T$51*MAX(0,$S$51-Assumptions!$D$108)</f>
        <v>25.4448188870566</v>
      </c>
      <c r="V51" s="19" t="n">
        <f aca="false">$H$51/Assumptions!$D$108*$S$51</f>
        <v>467.984646341093</v>
      </c>
      <c r="W51" s="24" t="n">
        <f aca="false">$V$51/$H$51</f>
        <v>2.46307708600575</v>
      </c>
      <c r="X51" s="25" t="n">
        <f aca="false">$W$51^(1/$E$51)-1</f>
        <v>0.162107580165833</v>
      </c>
    </row>
    <row r="52" customFormat="false" ht="15" hidden="false" customHeight="false" outlineLevel="0" collapsed="false">
      <c r="B52" s="9" t="s">
        <v>315</v>
      </c>
      <c r="C52" s="23" t="n">
        <f aca="false">Assumptions!$D$64</f>
        <v>9</v>
      </c>
      <c r="D52" s="23" t="n">
        <f aca="false">Assumptions!$D$131</f>
        <v>9</v>
      </c>
      <c r="E52" s="26" t="n">
        <v>7</v>
      </c>
      <c r="F52" s="19" t="n">
        <f aca="false">$C$52*Assumptions!$D$24</f>
        <v>450</v>
      </c>
      <c r="G52" s="19" t="n">
        <f aca="false">$F$52+Assumptions!$D$76+Case_Base!$D$33+Assumptions!$D$78-Case_Base!$D$52</f>
        <v>200</v>
      </c>
      <c r="H52" s="19" t="n">
        <f aca="false">$G$52-Assumptions!$D$107</f>
        <v>190</v>
      </c>
      <c r="I52" s="19" t="n">
        <f aca="false">INDEX(Case_Base!$E$72:$L$72,1,$E$52+1)</f>
        <v>83.928437304832</v>
      </c>
      <c r="J52" s="19" t="n">
        <f aca="false">INDEX(Case_Base!$E$124:$L$124,1,$E$52+1)</f>
        <v>164.169930854169</v>
      </c>
      <c r="K52" s="19" t="n">
        <f aca="false">$D$52*$I$52</f>
        <v>755.355935743488</v>
      </c>
      <c r="L52" s="19" t="n">
        <f aca="false">Assumptions!$D$132*$K$52</f>
        <v>11.3303390361523</v>
      </c>
      <c r="M52" s="19" t="n">
        <f aca="false">$K$52-$J$52-$L$52</f>
        <v>579.855665853167</v>
      </c>
      <c r="N52" s="34" t="n">
        <f aca="false">$G$52/Assumptions!$D$108</f>
        <v>200</v>
      </c>
      <c r="O52" s="34" t="n">
        <f aca="false">$N$52*Assumptions!$D$109/(1-Assumptions!$D$109)</f>
        <v>17.3913043478261</v>
      </c>
      <c r="P52" s="35" t="n">
        <f aca="false">($M$52+$O$52*Assumptions!$D$108)/($N$52+$O$52)</f>
        <v>2.74733606292457</v>
      </c>
      <c r="Q52" s="34" t="n">
        <f aca="false">IF($P$52/Assumptions!$D$108&gt;=Assumptions!$D$110,$O$52,$O$52*0.5)</f>
        <v>17.3913043478261</v>
      </c>
      <c r="R52" s="35" t="n">
        <f aca="false">($M$52+$Q$52*Assumptions!$D$108)/($N$52+$Q$52)</f>
        <v>2.74733606292457</v>
      </c>
      <c r="S52" s="35" t="n">
        <f aca="false">IF($R$52&lt;Assumptions!$D$108,$M$52/$N$52,$R$52)</f>
        <v>2.74733606292457</v>
      </c>
      <c r="T52" s="34" t="n">
        <f aca="false">IF($R$52&lt;Assumptions!$D$108,0,$Q$52)</f>
        <v>17.3913043478261</v>
      </c>
      <c r="U52" s="19" t="n">
        <f aca="false">$T$52*MAX(0,$S$52-Assumptions!$D$108)</f>
        <v>30.3884532682533</v>
      </c>
      <c r="V52" s="19" t="n">
        <f aca="false">$H$52/Assumptions!$D$108*$S$52</f>
        <v>521.993851955668</v>
      </c>
      <c r="W52" s="24" t="n">
        <f aca="false">$V$52/$H$52</f>
        <v>2.74733606292457</v>
      </c>
      <c r="X52" s="25" t="n">
        <f aca="false">$W$52^(1/$E$52)-1</f>
        <v>0.155318383319837</v>
      </c>
    </row>
    <row r="53" customFormat="false" ht="15" hidden="false" customHeight="false" outlineLevel="0" collapsed="false">
      <c r="B53" s="9" t="s">
        <v>316</v>
      </c>
      <c r="D53" s="33" t="n">
        <f aca="false">INDEX($E$48:$E$52,MATCH(MAX($X$48:$X$52),$X$48:$X$52,0))</f>
        <v>5</v>
      </c>
    </row>
    <row r="55" customFormat="false" ht="15" hidden="false" customHeight="false" outlineLevel="0" collapsed="false">
      <c r="B55" s="7" t="s">
        <v>317</v>
      </c>
      <c r="C55" s="8"/>
      <c r="D55" s="8"/>
      <c r="E55" s="8"/>
      <c r="F55" s="8"/>
      <c r="G55" s="8"/>
      <c r="H55" s="8"/>
      <c r="I55" s="8"/>
      <c r="J55" s="8"/>
      <c r="K55" s="8"/>
      <c r="L55" s="8"/>
      <c r="M55" s="8"/>
      <c r="N55" s="8"/>
      <c r="O55" s="8"/>
      <c r="P55" s="8"/>
      <c r="Q55" s="8"/>
      <c r="R55" s="8"/>
      <c r="S55" s="8"/>
      <c r="T55" s="8"/>
      <c r="U55" s="8"/>
      <c r="V55" s="8"/>
      <c r="W55" s="8"/>
      <c r="X55" s="8"/>
    </row>
    <row r="56" customFormat="false" ht="30" hidden="false" customHeight="true" outlineLevel="0" collapsed="false">
      <c r="B56" s="15" t="s">
        <v>290</v>
      </c>
      <c r="C56" s="16" t="s">
        <v>318</v>
      </c>
      <c r="D56" s="16" t="s">
        <v>319</v>
      </c>
      <c r="E56" s="16" t="s">
        <v>320</v>
      </c>
      <c r="F56" s="16" t="s">
        <v>270</v>
      </c>
      <c r="G56" s="16" t="s">
        <v>293</v>
      </c>
      <c r="H56" s="16" t="s">
        <v>304</v>
      </c>
    </row>
    <row r="57" customFormat="false" ht="15" hidden="false" customHeight="false" outlineLevel="0" collapsed="false">
      <c r="B57" s="9" t="s">
        <v>321</v>
      </c>
      <c r="C57" s="29" t="n">
        <f aca="false">Sens_Plan_0pct!$D$11</f>
        <v>0</v>
      </c>
      <c r="D57" s="14" t="n">
        <f aca="false">Sens_Plan_0pct!$J$73</f>
        <v>0.159525963647508</v>
      </c>
      <c r="E57" s="19" t="n">
        <f aca="false">Sens_Plan_0pct!$J$72</f>
        <v>70.7703205</v>
      </c>
      <c r="F57" s="25" t="n">
        <f aca="false">Sens_Plan_0pct!$D$223</f>
        <v>0.128391866356015</v>
      </c>
      <c r="G57" s="24" t="n">
        <f aca="false">Sens_Plan_0pct!$D$225</f>
        <v>1.829362343565</v>
      </c>
      <c r="H57" s="24" t="n">
        <f aca="false">Sens_Plan_0pct!$H$163</f>
        <v>-0.631861202674595</v>
      </c>
    </row>
    <row r="58" customFormat="false" ht="15" hidden="false" customHeight="false" outlineLevel="0" collapsed="false">
      <c r="B58" s="9" t="s">
        <v>322</v>
      </c>
      <c r="C58" s="29" t="n">
        <f aca="false">Sens_Plan_50pct!$D$11</f>
        <v>0.5</v>
      </c>
      <c r="D58" s="14" t="n">
        <f aca="false">Sens_Plan_50pct!$J$73</f>
        <v>0.167474690325283</v>
      </c>
      <c r="E58" s="19" t="n">
        <f aca="false">Sens_Plan_50pct!$J$72</f>
        <v>74.29660501</v>
      </c>
      <c r="F58" s="25" t="n">
        <f aca="false">Sens_Plan_50pct!$D$223</f>
        <v>0.153043445678605</v>
      </c>
      <c r="G58" s="24" t="n">
        <f aca="false">Sens_Plan_50pct!$D$225</f>
        <v>2.03811346035853</v>
      </c>
      <c r="H58" s="24" t="n">
        <f aca="false">Sens_Plan_50pct!$H$163</f>
        <v>-0.233547002847136</v>
      </c>
    </row>
    <row r="59" customFormat="false" ht="15" hidden="false" customHeight="false" outlineLevel="0" collapsed="false">
      <c r="B59" s="9" t="s">
        <v>307</v>
      </c>
      <c r="C59" s="29" t="n">
        <f aca="false">Case_Base!$D$11</f>
        <v>1</v>
      </c>
      <c r="D59" s="14" t="n">
        <f aca="false">Case_Base!$J$73</f>
        <v>0.175423417003058</v>
      </c>
      <c r="E59" s="19" t="n">
        <f aca="false">Case_Base!$J$72</f>
        <v>77.82288952</v>
      </c>
      <c r="F59" s="25" t="n">
        <f aca="false">Case_Base!$D$223</f>
        <v>0.170484343544686</v>
      </c>
      <c r="G59" s="24" t="n">
        <f aca="false">Case_Base!$D$225</f>
        <v>2.19698982032648</v>
      </c>
      <c r="H59" s="24" t="n">
        <f aca="false">Case_Base!$H$163</f>
        <v>0.122771617622552</v>
      </c>
    </row>
    <row r="60" customFormat="false" ht="15" hidden="false" customHeight="false" outlineLevel="0" collapsed="false">
      <c r="B60" s="9" t="s">
        <v>323</v>
      </c>
      <c r="C60" s="29" t="n">
        <f aca="false">Sens_Plan_150pct!$D$11</f>
        <v>1.5</v>
      </c>
      <c r="D60" s="14" t="n">
        <f aca="false">Sens_Plan_150pct!$J$73</f>
        <v>0.183372143680833</v>
      </c>
      <c r="E60" s="19" t="n">
        <f aca="false">Sens_Plan_150pct!$J$72</f>
        <v>81.34917403</v>
      </c>
      <c r="F60" s="25" t="n">
        <f aca="false">Sens_Plan_150pct!$D$223</f>
        <v>0.190881161363862</v>
      </c>
      <c r="G60" s="24" t="n">
        <f aca="false">Sens_Plan_150pct!$D$225</f>
        <v>2.3952018910973</v>
      </c>
      <c r="H60" s="24" t="n">
        <f aca="false">Sens_Plan_150pct!$H$163</f>
        <v>0.443588492331263</v>
      </c>
    </row>
    <row r="61" customFormat="false" ht="15" hidden="false" customHeight="false" outlineLevel="0" collapsed="false">
      <c r="B61" s="9" t="s">
        <v>324</v>
      </c>
      <c r="C61" s="6" t="s">
        <v>231</v>
      </c>
      <c r="D61" s="25" t="n">
        <f aca="false">$F$59-$F$57</f>
        <v>0.0420924771886712</v>
      </c>
    </row>
    <row r="63" customFormat="false" ht="15" hidden="false" customHeight="false" outlineLevel="0" collapsed="false">
      <c r="B63" s="7" t="s">
        <v>325</v>
      </c>
      <c r="C63" s="8"/>
      <c r="D63" s="8"/>
      <c r="E63" s="8"/>
      <c r="F63" s="8"/>
      <c r="G63" s="8"/>
      <c r="H63" s="8"/>
      <c r="I63" s="8"/>
      <c r="J63" s="8"/>
      <c r="K63" s="8"/>
      <c r="L63" s="8"/>
      <c r="M63" s="8"/>
      <c r="N63" s="8"/>
      <c r="O63" s="8"/>
      <c r="P63" s="8"/>
      <c r="Q63" s="8"/>
      <c r="R63" s="8"/>
      <c r="S63" s="8"/>
      <c r="T63" s="8"/>
      <c r="U63" s="8"/>
      <c r="V63" s="8"/>
      <c r="W63" s="8"/>
      <c r="X63" s="8"/>
    </row>
    <row r="64" customFormat="false" ht="15" hidden="false" customHeight="false" outlineLevel="0" collapsed="false">
      <c r="B64" s="9" t="s">
        <v>191</v>
      </c>
      <c r="C64" s="6" t="s">
        <v>79</v>
      </c>
      <c r="D64" s="23" t="n">
        <f aca="false">Case_Downside!$D$7</f>
        <v>7.5</v>
      </c>
    </row>
    <row r="65" customFormat="false" ht="15" hidden="false" customHeight="false" outlineLevel="0" collapsed="false">
      <c r="B65" s="9" t="s">
        <v>318</v>
      </c>
      <c r="D65" s="29" t="n">
        <f aca="false">Case_Downside!$D$11</f>
        <v>0.5</v>
      </c>
    </row>
    <row r="66" customFormat="false" ht="15" hidden="false" customHeight="false" outlineLevel="0" collapsed="false">
      <c r="B66" s="9" t="s">
        <v>320</v>
      </c>
      <c r="C66" s="6" t="s">
        <v>25</v>
      </c>
      <c r="D66" s="19" t="n">
        <f aca="false">Case_Downside!$J$72</f>
        <v>74.29660501</v>
      </c>
    </row>
    <row r="67" customFormat="false" ht="15" hidden="false" customHeight="false" outlineLevel="0" collapsed="false">
      <c r="B67" s="9" t="s">
        <v>195</v>
      </c>
      <c r="C67" s="6" t="s">
        <v>25</v>
      </c>
      <c r="D67" s="19" t="n">
        <f aca="false">Case_Downside!$D$179</f>
        <v>306.876531737765</v>
      </c>
    </row>
    <row r="68" customFormat="false" ht="15" hidden="false" customHeight="false" outlineLevel="0" collapsed="false">
      <c r="B68" s="9" t="s">
        <v>270</v>
      </c>
      <c r="D68" s="25" t="n">
        <f aca="false">Case_Downside!$D$223</f>
        <v>0.0862181687729054</v>
      </c>
    </row>
    <row r="69" customFormat="false" ht="15" hidden="false" customHeight="false" outlineLevel="0" collapsed="false">
      <c r="B69" s="9" t="s">
        <v>269</v>
      </c>
      <c r="C69" s="6" t="s">
        <v>79</v>
      </c>
      <c r="D69" s="24" t="n">
        <f aca="false">Case_Downside!$D$225</f>
        <v>1.51211671457679</v>
      </c>
    </row>
    <row r="70" customFormat="false" ht="15" hidden="false" customHeight="false" outlineLevel="0" collapsed="false">
      <c r="B70" s="9" t="s">
        <v>326</v>
      </c>
      <c r="C70" s="6" t="s">
        <v>79</v>
      </c>
      <c r="D70" s="24" t="n">
        <f aca="false">Case_Downside!$H$168</f>
        <v>0.233547002847136</v>
      </c>
    </row>
    <row r="71" customFormat="false" ht="15" hidden="false" customHeight="false" outlineLevel="0" collapsed="false">
      <c r="B71" s="9" t="s">
        <v>327</v>
      </c>
      <c r="C71" s="6" t="s">
        <v>328</v>
      </c>
      <c r="D71" s="34" t="n">
        <f aca="false">Case_Downside!$D$197</f>
        <v>8.69565217391304</v>
      </c>
    </row>
    <row r="72" customFormat="false" ht="15" hidden="false" customHeight="false" outlineLevel="0" collapsed="false">
      <c r="B72" s="9" t="s">
        <v>329</v>
      </c>
      <c r="C72" s="6" t="s">
        <v>25</v>
      </c>
      <c r="D72" s="19" t="n">
        <f aca="false">Case_Downside!$D$205</f>
        <v>19.5743559681748</v>
      </c>
    </row>
    <row r="73" customFormat="false" ht="15" hidden="false" customHeight="false" outlineLevel="0" collapsed="false">
      <c r="B73" s="9" t="s">
        <v>330</v>
      </c>
      <c r="C73" s="6" t="s">
        <v>25</v>
      </c>
      <c r="D73" s="19" t="n">
        <f aca="false">Case_Downside!$D$209</f>
        <v>7.60708294614957</v>
      </c>
    </row>
    <row r="75" customFormat="false" ht="15" hidden="false" customHeight="false" outlineLevel="0" collapsed="false">
      <c r="B75" s="7" t="s">
        <v>331</v>
      </c>
      <c r="C75" s="8"/>
      <c r="D75" s="8"/>
      <c r="E75" s="8"/>
      <c r="F75" s="8"/>
      <c r="G75" s="8"/>
      <c r="H75" s="8"/>
      <c r="I75" s="8"/>
      <c r="J75" s="8"/>
      <c r="K75" s="8"/>
      <c r="L75" s="8"/>
      <c r="M75" s="8"/>
      <c r="N75" s="8"/>
      <c r="O75" s="8"/>
      <c r="P75" s="8"/>
      <c r="Q75" s="8"/>
      <c r="R75" s="8"/>
      <c r="S75" s="8"/>
      <c r="T75" s="8"/>
      <c r="U75" s="8"/>
      <c r="V75" s="8"/>
      <c r="W75" s="8"/>
      <c r="X75" s="8"/>
    </row>
    <row r="76" customFormat="false" ht="45" hidden="false" customHeight="true" outlineLevel="0" collapsed="false">
      <c r="B76" s="15" t="s">
        <v>253</v>
      </c>
      <c r="C76" s="16" t="s">
        <v>190</v>
      </c>
      <c r="D76" s="16" t="s">
        <v>191</v>
      </c>
      <c r="E76" s="16" t="s">
        <v>254</v>
      </c>
      <c r="F76" s="16" t="s">
        <v>80</v>
      </c>
      <c r="G76" s="16" t="s">
        <v>255</v>
      </c>
      <c r="H76" s="16" t="s">
        <v>256</v>
      </c>
      <c r="I76" s="16" t="s">
        <v>257</v>
      </c>
      <c r="J76" s="16" t="s">
        <v>258</v>
      </c>
      <c r="K76" s="16" t="s">
        <v>239</v>
      </c>
      <c r="L76" s="16" t="s">
        <v>259</v>
      </c>
      <c r="M76" s="16" t="s">
        <v>195</v>
      </c>
      <c r="N76" s="16" t="s">
        <v>260</v>
      </c>
      <c r="O76" s="16" t="s">
        <v>261</v>
      </c>
      <c r="P76" s="16" t="s">
        <v>262</v>
      </c>
      <c r="Q76" s="16" t="s">
        <v>263</v>
      </c>
      <c r="R76" s="16" t="s">
        <v>264</v>
      </c>
      <c r="S76" s="16" t="s">
        <v>265</v>
      </c>
      <c r="T76" s="16" t="s">
        <v>266</v>
      </c>
      <c r="U76" s="16" t="s">
        <v>267</v>
      </c>
      <c r="V76" s="16" t="s">
        <v>268</v>
      </c>
      <c r="W76" s="16" t="s">
        <v>269</v>
      </c>
      <c r="X76" s="16" t="s">
        <v>270</v>
      </c>
    </row>
    <row r="77" customFormat="false" ht="15" hidden="false" customHeight="false" outlineLevel="0" collapsed="false">
      <c r="B77" s="9" t="s">
        <v>332</v>
      </c>
      <c r="C77" s="22" t="n">
        <v>8</v>
      </c>
      <c r="D77" s="22" t="n">
        <v>7</v>
      </c>
      <c r="E77" s="33" t="n">
        <f aca="false">Assumptions!$D$133</f>
        <v>5</v>
      </c>
      <c r="F77" s="19" t="n">
        <f aca="false">$C$77*Assumptions!$D$24</f>
        <v>400</v>
      </c>
      <c r="G77" s="19" t="n">
        <f aca="false">$F$77+Assumptions!$D$76+Case_Base!$D$33+Assumptions!$D$78-Case_Base!$D$52</f>
        <v>150</v>
      </c>
      <c r="H77" s="19" t="n">
        <f aca="false">$G$77-Assumptions!$D$107</f>
        <v>140</v>
      </c>
      <c r="I77" s="19" t="n">
        <f aca="false">INDEX(Case_Base!$E$72:$L$72,1,$E$77+1)</f>
        <v>77.82288952</v>
      </c>
      <c r="J77" s="19" t="n">
        <f aca="false">INDEX(Case_Base!$E$124:$L$124,1,$E$77+1)</f>
        <v>229.684737262957</v>
      </c>
      <c r="K77" s="19" t="n">
        <f aca="false">$D$77*$I$77</f>
        <v>544.76022664</v>
      </c>
      <c r="L77" s="19" t="n">
        <f aca="false">Assumptions!$D$132*$K$77</f>
        <v>8.1714033996</v>
      </c>
      <c r="M77" s="19" t="n">
        <f aca="false">$K$77-$J$77-$L$77</f>
        <v>306.904085977443</v>
      </c>
      <c r="N77" s="34" t="n">
        <f aca="false">$G$77/Assumptions!$D$108</f>
        <v>150</v>
      </c>
      <c r="O77" s="34" t="n">
        <f aca="false">$N$77*Assumptions!$D$109/(1-Assumptions!$D$109)</f>
        <v>13.0434782608696</v>
      </c>
      <c r="P77" s="35" t="n">
        <f aca="false">($M$77+$O$77*Assumptions!$D$108)/($N$77+$O$77)</f>
        <v>1.96234506066165</v>
      </c>
      <c r="Q77" s="34" t="n">
        <f aca="false">IF($P$77/Assumptions!$D$108&gt;=Assumptions!$D$110,$O$77,$O$77*0.5)</f>
        <v>6.52173913043478</v>
      </c>
      <c r="R77" s="35" t="n">
        <f aca="false">($M$77+$Q$77*Assumptions!$D$108)/($N$77+$Q$77)</f>
        <v>2.00244277152255</v>
      </c>
      <c r="S77" s="35" t="n">
        <f aca="false">IF($R$77&lt;Assumptions!$D$108,$M$77/$N$77,$R$77)</f>
        <v>2.00244277152255</v>
      </c>
      <c r="T77" s="34" t="n">
        <f aca="false">IF($R$77&lt;Assumptions!$D$108,0,$Q$77)</f>
        <v>6.52173913043478</v>
      </c>
      <c r="U77" s="19" t="n">
        <f aca="false">$T$77*MAX(0,$S$77-Assumptions!$D$108)</f>
        <v>6.53767024906012</v>
      </c>
      <c r="V77" s="19" t="n">
        <f aca="false">$H$77/Assumptions!$D$108*$S$77</f>
        <v>280.341988013157</v>
      </c>
      <c r="W77" s="24" t="n">
        <f aca="false">$V$77/$H$77</f>
        <v>2.00244277152255</v>
      </c>
      <c r="X77" s="25" t="n">
        <f aca="false">$W$77^(1/$E$77)-1</f>
        <v>0.148978818771661</v>
      </c>
    </row>
    <row r="78" customFormat="false" ht="15" hidden="false" customHeight="false" outlineLevel="0" collapsed="false">
      <c r="B78" s="9" t="s">
        <v>333</v>
      </c>
      <c r="C78" s="22" t="n">
        <v>8</v>
      </c>
      <c r="D78" s="22" t="n">
        <v>8</v>
      </c>
      <c r="E78" s="33" t="n">
        <f aca="false">Assumptions!$D$133</f>
        <v>5</v>
      </c>
      <c r="F78" s="19" t="n">
        <f aca="false">$C$78*Assumptions!$D$24</f>
        <v>400</v>
      </c>
      <c r="G78" s="19" t="n">
        <f aca="false">$F$78+Assumptions!$D$76+Case_Base!$D$33+Assumptions!$D$78-Case_Base!$D$52</f>
        <v>150</v>
      </c>
      <c r="H78" s="19" t="n">
        <f aca="false">$G$78-Assumptions!$D$107</f>
        <v>140</v>
      </c>
      <c r="I78" s="19" t="n">
        <f aca="false">INDEX(Case_Base!$E$72:$L$72,1,$E$78+1)</f>
        <v>77.82288952</v>
      </c>
      <c r="J78" s="19" t="n">
        <f aca="false">INDEX(Case_Base!$E$124:$L$124,1,$E$78+1)</f>
        <v>229.684737262957</v>
      </c>
      <c r="K78" s="19" t="n">
        <f aca="false">$D$78*$I$78</f>
        <v>622.58311616</v>
      </c>
      <c r="L78" s="19" t="n">
        <f aca="false">Assumptions!$D$132*$K$78</f>
        <v>9.3387467424</v>
      </c>
      <c r="M78" s="19" t="n">
        <f aca="false">$K$78-$J$78-$L$78</f>
        <v>383.559632154643</v>
      </c>
      <c r="N78" s="34" t="n">
        <f aca="false">$G$78/Assumptions!$D$108</f>
        <v>150</v>
      </c>
      <c r="O78" s="34" t="n">
        <f aca="false">$N$78*Assumptions!$D$109/(1-Assumptions!$D$109)</f>
        <v>13.0434782608696</v>
      </c>
      <c r="P78" s="35" t="n">
        <f aca="false">($M$78+$O$78*Assumptions!$D$108)/($N$78+$O$78)</f>
        <v>2.43249907721514</v>
      </c>
      <c r="Q78" s="34" t="n">
        <f aca="false">IF($P$78/Assumptions!$D$108&gt;=Assumptions!$D$110,$O$78,$O$78*0.5)</f>
        <v>13.0434782608696</v>
      </c>
      <c r="R78" s="35" t="n">
        <f aca="false">($M$78+$Q$78*Assumptions!$D$108)/($N$78+$Q$78)</f>
        <v>2.43249907721514</v>
      </c>
      <c r="S78" s="35" t="n">
        <f aca="false">IF($R$78&lt;Assumptions!$D$108,$M$78/$N$78,$R$78)</f>
        <v>2.43249907721514</v>
      </c>
      <c r="T78" s="34" t="n">
        <f aca="false">IF($R$78&lt;Assumptions!$D$108,0,$Q$78)</f>
        <v>13.0434782608696</v>
      </c>
      <c r="U78" s="19" t="n">
        <f aca="false">$T$78*MAX(0,$S$78-Assumptions!$D$108)</f>
        <v>18.6847705723714</v>
      </c>
      <c r="V78" s="19" t="n">
        <f aca="false">$H$78/Assumptions!$D$108*$S$78</f>
        <v>340.54987081012</v>
      </c>
      <c r="W78" s="24" t="n">
        <f aca="false">$V$78/$H$78</f>
        <v>2.43249907721514</v>
      </c>
      <c r="X78" s="25" t="n">
        <f aca="false">$W$78^(1/$E$78)-1</f>
        <v>0.194567065126789</v>
      </c>
    </row>
    <row r="79" customFormat="false" ht="15" hidden="false" customHeight="false" outlineLevel="0" collapsed="false">
      <c r="B79" s="9" t="s">
        <v>334</v>
      </c>
      <c r="C79" s="22" t="n">
        <v>8</v>
      </c>
      <c r="D79" s="22" t="n">
        <v>9</v>
      </c>
      <c r="E79" s="33" t="n">
        <f aca="false">Assumptions!$D$133</f>
        <v>5</v>
      </c>
      <c r="F79" s="19" t="n">
        <f aca="false">$C$79*Assumptions!$D$24</f>
        <v>400</v>
      </c>
      <c r="G79" s="19" t="n">
        <f aca="false">$F$79+Assumptions!$D$76+Case_Base!$D$33+Assumptions!$D$78-Case_Base!$D$52</f>
        <v>150</v>
      </c>
      <c r="H79" s="19" t="n">
        <f aca="false">$G$79-Assumptions!$D$107</f>
        <v>140</v>
      </c>
      <c r="I79" s="19" t="n">
        <f aca="false">INDEX(Case_Base!$E$72:$L$72,1,$E$79+1)</f>
        <v>77.82288952</v>
      </c>
      <c r="J79" s="19" t="n">
        <f aca="false">INDEX(Case_Base!$E$124:$L$124,1,$E$79+1)</f>
        <v>229.684737262957</v>
      </c>
      <c r="K79" s="19" t="n">
        <f aca="false">$D$79*$I$79</f>
        <v>700.40600568</v>
      </c>
      <c r="L79" s="19" t="n">
        <f aca="false">Assumptions!$D$132*$K$79</f>
        <v>10.5060900852</v>
      </c>
      <c r="M79" s="19" t="n">
        <f aca="false">$K$79-$J$79-$L$79</f>
        <v>460.215178331843</v>
      </c>
      <c r="N79" s="34" t="n">
        <f aca="false">$G$79/Assumptions!$D$108</f>
        <v>150</v>
      </c>
      <c r="O79" s="34" t="n">
        <f aca="false">$N$79*Assumptions!$D$109/(1-Assumptions!$D$109)</f>
        <v>13.0434782608696</v>
      </c>
      <c r="P79" s="35" t="n">
        <f aca="false">($M$79+$O$79*Assumptions!$D$108)/($N$79+$O$79)</f>
        <v>2.90265309376864</v>
      </c>
      <c r="Q79" s="34" t="n">
        <f aca="false">IF($P$79/Assumptions!$D$108&gt;=Assumptions!$D$110,$O$79,$O$79*0.5)</f>
        <v>13.0434782608696</v>
      </c>
      <c r="R79" s="35" t="n">
        <f aca="false">($M$79+$Q$79*Assumptions!$D$108)/($N$79+$Q$79)</f>
        <v>2.90265309376864</v>
      </c>
      <c r="S79" s="35" t="n">
        <f aca="false">IF($R$79&lt;Assumptions!$D$108,$M$79/$N$79,$R$79)</f>
        <v>2.90265309376864</v>
      </c>
      <c r="T79" s="34" t="n">
        <f aca="false">IF($R$79&lt;Assumptions!$D$108,0,$Q$79)</f>
        <v>13.0434782608696</v>
      </c>
      <c r="U79" s="19" t="n">
        <f aca="false">$T$79*MAX(0,$S$79-Assumptions!$D$108)</f>
        <v>24.8172142665474</v>
      </c>
      <c r="V79" s="19" t="n">
        <f aca="false">$H$79/Assumptions!$D$108*$S$79</f>
        <v>406.371433127609</v>
      </c>
      <c r="W79" s="24" t="n">
        <f aca="false">$V$79/$H$79</f>
        <v>2.90265309376864</v>
      </c>
      <c r="X79" s="25" t="n">
        <f aca="false">$W$79^(1/$E$79)-1</f>
        <v>0.237539378218018</v>
      </c>
    </row>
    <row r="80" customFormat="false" ht="15" hidden="false" customHeight="false" outlineLevel="0" collapsed="false">
      <c r="B80" s="9" t="s">
        <v>335</v>
      </c>
      <c r="C80" s="22" t="n">
        <v>8</v>
      </c>
      <c r="D80" s="22" t="n">
        <v>10</v>
      </c>
      <c r="E80" s="33" t="n">
        <f aca="false">Assumptions!$D$133</f>
        <v>5</v>
      </c>
      <c r="F80" s="19" t="n">
        <f aca="false">$C$80*Assumptions!$D$24</f>
        <v>400</v>
      </c>
      <c r="G80" s="19" t="n">
        <f aca="false">$F$80+Assumptions!$D$76+Case_Base!$D$33+Assumptions!$D$78-Case_Base!$D$52</f>
        <v>150</v>
      </c>
      <c r="H80" s="19" t="n">
        <f aca="false">$G$80-Assumptions!$D$107</f>
        <v>140</v>
      </c>
      <c r="I80" s="19" t="n">
        <f aca="false">INDEX(Case_Base!$E$72:$L$72,1,$E$80+1)</f>
        <v>77.82288952</v>
      </c>
      <c r="J80" s="19" t="n">
        <f aca="false">INDEX(Case_Base!$E$124:$L$124,1,$E$80+1)</f>
        <v>229.684737262957</v>
      </c>
      <c r="K80" s="19" t="n">
        <f aca="false">$D$80*$I$80</f>
        <v>778.2288952</v>
      </c>
      <c r="L80" s="19" t="n">
        <f aca="false">Assumptions!$D$132*$K$80</f>
        <v>11.673433428</v>
      </c>
      <c r="M80" s="19" t="n">
        <f aca="false">$K$80-$J$80-$L$80</f>
        <v>536.870724509043</v>
      </c>
      <c r="N80" s="34" t="n">
        <f aca="false">$G$80/Assumptions!$D$108</f>
        <v>150</v>
      </c>
      <c r="O80" s="34" t="n">
        <f aca="false">$N$80*Assumptions!$D$109/(1-Assumptions!$D$109)</f>
        <v>13.0434782608696</v>
      </c>
      <c r="P80" s="35" t="n">
        <f aca="false">($M$80+$O$80*Assumptions!$D$108)/($N$80+$O$80)</f>
        <v>3.37280711032213</v>
      </c>
      <c r="Q80" s="34" t="n">
        <f aca="false">IF($P$80/Assumptions!$D$108&gt;=Assumptions!$D$110,$O$80,$O$80*0.5)</f>
        <v>13.0434782608696</v>
      </c>
      <c r="R80" s="35" t="n">
        <f aca="false">($M$80+$Q$80*Assumptions!$D$108)/($N$80+$Q$80)</f>
        <v>3.37280711032213</v>
      </c>
      <c r="S80" s="35" t="n">
        <f aca="false">IF($R$80&lt;Assumptions!$D$108,$M$80/$N$80,$R$80)</f>
        <v>3.37280711032213</v>
      </c>
      <c r="T80" s="34" t="n">
        <f aca="false">IF($R$80&lt;Assumptions!$D$108,0,$Q$80)</f>
        <v>13.0434782608696</v>
      </c>
      <c r="U80" s="19" t="n">
        <f aca="false">$T$80*MAX(0,$S$80-Assumptions!$D$108)</f>
        <v>30.9496579607234</v>
      </c>
      <c r="V80" s="19" t="n">
        <f aca="false">$H$80/Assumptions!$D$108*$S$80</f>
        <v>472.192995445098</v>
      </c>
      <c r="W80" s="24" t="n">
        <f aca="false">$V$80/$H$80</f>
        <v>3.37280711032213</v>
      </c>
      <c r="X80" s="25" t="n">
        <f aca="false">$W$80^(1/$E$80)-1</f>
        <v>0.275258717372125</v>
      </c>
    </row>
    <row r="81" customFormat="false" ht="15" hidden="false" customHeight="false" outlineLevel="0" collapsed="false">
      <c r="B81" s="9" t="s">
        <v>336</v>
      </c>
      <c r="C81" s="22" t="n">
        <v>8</v>
      </c>
      <c r="D81" s="22" t="n">
        <v>11</v>
      </c>
      <c r="E81" s="33" t="n">
        <f aca="false">Assumptions!$D$133</f>
        <v>5</v>
      </c>
      <c r="F81" s="19" t="n">
        <f aca="false">$C$81*Assumptions!$D$24</f>
        <v>400</v>
      </c>
      <c r="G81" s="19" t="n">
        <f aca="false">$F$81+Assumptions!$D$76+Case_Base!$D$33+Assumptions!$D$78-Case_Base!$D$52</f>
        <v>150</v>
      </c>
      <c r="H81" s="19" t="n">
        <f aca="false">$G$81-Assumptions!$D$107</f>
        <v>140</v>
      </c>
      <c r="I81" s="19" t="n">
        <f aca="false">INDEX(Case_Base!$E$72:$L$72,1,$E$81+1)</f>
        <v>77.82288952</v>
      </c>
      <c r="J81" s="19" t="n">
        <f aca="false">INDEX(Case_Base!$E$124:$L$124,1,$E$81+1)</f>
        <v>229.684737262957</v>
      </c>
      <c r="K81" s="19" t="n">
        <f aca="false">$D$81*$I$81</f>
        <v>856.05178472</v>
      </c>
      <c r="L81" s="19" t="n">
        <f aca="false">Assumptions!$D$132*$K$81</f>
        <v>12.8407767708</v>
      </c>
      <c r="M81" s="19" t="n">
        <f aca="false">$K$81-$J$81-$L$81</f>
        <v>613.526270686243</v>
      </c>
      <c r="N81" s="34" t="n">
        <f aca="false">$G$81/Assumptions!$D$108</f>
        <v>150</v>
      </c>
      <c r="O81" s="34" t="n">
        <f aca="false">$N$81*Assumptions!$D$109/(1-Assumptions!$D$109)</f>
        <v>13.0434782608696</v>
      </c>
      <c r="P81" s="35" t="n">
        <f aca="false">($M$81+$O$81*Assumptions!$D$108)/($N$81+$O$81)</f>
        <v>3.84296112687562</v>
      </c>
      <c r="Q81" s="34" t="n">
        <f aca="false">IF($P$81/Assumptions!$D$108&gt;=Assumptions!$D$110,$O$81,$O$81*0.5)</f>
        <v>13.0434782608696</v>
      </c>
      <c r="R81" s="35" t="n">
        <f aca="false">($M$81+$Q$81*Assumptions!$D$108)/($N$81+$Q$81)</f>
        <v>3.84296112687562</v>
      </c>
      <c r="S81" s="35" t="n">
        <f aca="false">IF($R$81&lt;Assumptions!$D$108,$M$81/$N$81,$R$81)</f>
        <v>3.84296112687562</v>
      </c>
      <c r="T81" s="34" t="n">
        <f aca="false">IF($R$81&lt;Assumptions!$D$108,0,$Q$81)</f>
        <v>13.0434782608696</v>
      </c>
      <c r="U81" s="19" t="n">
        <f aca="false">$T$81*MAX(0,$S$81-Assumptions!$D$108)</f>
        <v>37.0821016548994</v>
      </c>
      <c r="V81" s="19" t="n">
        <f aca="false">$H$81/Assumptions!$D$108*$S$81</f>
        <v>538.014557762587</v>
      </c>
      <c r="W81" s="24" t="n">
        <f aca="false">$V$81/$H$81</f>
        <v>3.84296112687562</v>
      </c>
      <c r="X81" s="25" t="n">
        <f aca="false">$W$81^(1/$E$81)-1</f>
        <v>0.30898056452746</v>
      </c>
    </row>
    <row r="82" customFormat="false" ht="15" hidden="false" customHeight="false" outlineLevel="0" collapsed="false">
      <c r="B82" s="9" t="s">
        <v>337</v>
      </c>
      <c r="C82" s="22" t="n">
        <v>8.5</v>
      </c>
      <c r="D82" s="22" t="n">
        <v>7</v>
      </c>
      <c r="E82" s="33" t="n">
        <f aca="false">Assumptions!$D$133</f>
        <v>5</v>
      </c>
      <c r="F82" s="19" t="n">
        <f aca="false">$C$82*Assumptions!$D$24</f>
        <v>425</v>
      </c>
      <c r="G82" s="19" t="n">
        <f aca="false">$F$82+Assumptions!$D$76+Case_Base!$D$33+Assumptions!$D$78-Case_Base!$D$52</f>
        <v>175</v>
      </c>
      <c r="H82" s="19" t="n">
        <f aca="false">$G$82-Assumptions!$D$107</f>
        <v>165</v>
      </c>
      <c r="I82" s="19" t="n">
        <f aca="false">INDEX(Case_Base!$E$72:$L$72,1,$E$82+1)</f>
        <v>77.82288952</v>
      </c>
      <c r="J82" s="19" t="n">
        <f aca="false">INDEX(Case_Base!$E$124:$L$124,1,$E$82+1)</f>
        <v>229.684737262957</v>
      </c>
      <c r="K82" s="19" t="n">
        <f aca="false">$D$82*$I$82</f>
        <v>544.76022664</v>
      </c>
      <c r="L82" s="19" t="n">
        <f aca="false">Assumptions!$D$132*$K$82</f>
        <v>8.1714033996</v>
      </c>
      <c r="M82" s="19" t="n">
        <f aca="false">$K$82-$J$82-$L$82</f>
        <v>306.904085977443</v>
      </c>
      <c r="N82" s="34" t="n">
        <f aca="false">$G$82/Assumptions!$D$108</f>
        <v>175</v>
      </c>
      <c r="O82" s="34" t="n">
        <f aca="false">$N$82*Assumptions!$D$109/(1-Assumptions!$D$109)</f>
        <v>15.2173913043478</v>
      </c>
      <c r="P82" s="35" t="n">
        <f aca="false">($M$82+$O$82*Assumptions!$D$108)/($N$82+$O$82)</f>
        <v>1.69343862342427</v>
      </c>
      <c r="Q82" s="34" t="n">
        <f aca="false">IF($P$82/Assumptions!$D$108&gt;=Assumptions!$D$110,$O$82,$O$82*0.5)</f>
        <v>7.60869565217391</v>
      </c>
      <c r="R82" s="35" t="n">
        <f aca="false">($M$82+$Q$82*Assumptions!$D$108)/($N$82+$Q$82)</f>
        <v>1.72233189940028</v>
      </c>
      <c r="S82" s="35" t="n">
        <f aca="false">IF($R$82&lt;Assumptions!$D$108,$M$82/$N$82,$R$82)</f>
        <v>1.72233189940028</v>
      </c>
      <c r="T82" s="34" t="n">
        <f aca="false">IF($R$82&lt;Assumptions!$D$108,0,$Q$82)</f>
        <v>7.60869565217391</v>
      </c>
      <c r="U82" s="19" t="n">
        <f aca="false">$T$82*MAX(0,$S$82-Assumptions!$D$108)</f>
        <v>5.49600358239346</v>
      </c>
      <c r="V82" s="19" t="n">
        <f aca="false">$H$82/Assumptions!$D$108*$S$82</f>
        <v>284.184763401047</v>
      </c>
      <c r="W82" s="24" t="n">
        <f aca="false">$V$82/$H$82</f>
        <v>1.72233189940028</v>
      </c>
      <c r="X82" s="25" t="n">
        <f aca="false">$W$82^(1/$E$82)-1</f>
        <v>0.114867791924489</v>
      </c>
    </row>
    <row r="83" customFormat="false" ht="15" hidden="false" customHeight="false" outlineLevel="0" collapsed="false">
      <c r="B83" s="9" t="s">
        <v>338</v>
      </c>
      <c r="C83" s="22" t="n">
        <v>8.5</v>
      </c>
      <c r="D83" s="22" t="n">
        <v>8</v>
      </c>
      <c r="E83" s="33" t="n">
        <f aca="false">Assumptions!$D$133</f>
        <v>5</v>
      </c>
      <c r="F83" s="19" t="n">
        <f aca="false">$C$83*Assumptions!$D$24</f>
        <v>425</v>
      </c>
      <c r="G83" s="19" t="n">
        <f aca="false">$F$83+Assumptions!$D$76+Case_Base!$D$33+Assumptions!$D$78-Case_Base!$D$52</f>
        <v>175</v>
      </c>
      <c r="H83" s="19" t="n">
        <f aca="false">$G$83-Assumptions!$D$107</f>
        <v>165</v>
      </c>
      <c r="I83" s="19" t="n">
        <f aca="false">INDEX(Case_Base!$E$72:$L$72,1,$E$83+1)</f>
        <v>77.82288952</v>
      </c>
      <c r="J83" s="19" t="n">
        <f aca="false">INDEX(Case_Base!$E$124:$L$124,1,$E$83+1)</f>
        <v>229.684737262957</v>
      </c>
      <c r="K83" s="19" t="n">
        <f aca="false">$D$83*$I$83</f>
        <v>622.58311616</v>
      </c>
      <c r="L83" s="19" t="n">
        <f aca="false">Assumptions!$D$132*$K$83</f>
        <v>9.3387467424</v>
      </c>
      <c r="M83" s="19" t="n">
        <f aca="false">$K$83-$J$83-$L$83</f>
        <v>383.559632154643</v>
      </c>
      <c r="N83" s="34" t="n">
        <f aca="false">$G$83/Assumptions!$D$108</f>
        <v>175</v>
      </c>
      <c r="O83" s="34" t="n">
        <f aca="false">$N$83*Assumptions!$D$109/(1-Assumptions!$D$109)</f>
        <v>15.2173913043478</v>
      </c>
      <c r="P83" s="35" t="n">
        <f aca="false">($M$83+$O$83*Assumptions!$D$108)/($N$83+$O$83)</f>
        <v>2.09642778047012</v>
      </c>
      <c r="Q83" s="34" t="n">
        <f aca="false">IF($P$83/Assumptions!$D$108&gt;=Assumptions!$D$110,$O$83,$O$83*0.5)</f>
        <v>15.2173913043478</v>
      </c>
      <c r="R83" s="35" t="n">
        <f aca="false">($M$83+$Q$83*Assumptions!$D$108)/($N$83+$Q$83)</f>
        <v>2.09642778047012</v>
      </c>
      <c r="S83" s="35" t="n">
        <f aca="false">IF($R$83&lt;Assumptions!$D$108,$M$83/$N$83,$R$83)</f>
        <v>2.09642778047012</v>
      </c>
      <c r="T83" s="34" t="n">
        <f aca="false">IF($R$83&lt;Assumptions!$D$108,0,$Q$83)</f>
        <v>15.2173913043478</v>
      </c>
      <c r="U83" s="19" t="n">
        <f aca="false">$T$83*MAX(0,$S$83-Assumptions!$D$108)</f>
        <v>16.6847705723714</v>
      </c>
      <c r="V83" s="19" t="n">
        <f aca="false">$H$83/Assumptions!$D$108*$S$83</f>
        <v>345.91058377757</v>
      </c>
      <c r="W83" s="24" t="n">
        <f aca="false">$V$83/$H$83</f>
        <v>2.09642778047012</v>
      </c>
      <c r="X83" s="25" t="n">
        <f aca="false">$W$83^(1/$E$83)-1</f>
        <v>0.159567357497601</v>
      </c>
    </row>
    <row r="84" customFormat="false" ht="15" hidden="false" customHeight="false" outlineLevel="0" collapsed="false">
      <c r="B84" s="9" t="s">
        <v>339</v>
      </c>
      <c r="C84" s="22" t="n">
        <v>8.5</v>
      </c>
      <c r="D84" s="22" t="n">
        <v>9</v>
      </c>
      <c r="E84" s="33" t="n">
        <f aca="false">Assumptions!$D$133</f>
        <v>5</v>
      </c>
      <c r="F84" s="19" t="n">
        <f aca="false">$C$84*Assumptions!$D$24</f>
        <v>425</v>
      </c>
      <c r="G84" s="19" t="n">
        <f aca="false">$F$84+Assumptions!$D$76+Case_Base!$D$33+Assumptions!$D$78-Case_Base!$D$52</f>
        <v>175</v>
      </c>
      <c r="H84" s="19" t="n">
        <f aca="false">$G$84-Assumptions!$D$107</f>
        <v>165</v>
      </c>
      <c r="I84" s="19" t="n">
        <f aca="false">INDEX(Case_Base!$E$72:$L$72,1,$E$84+1)</f>
        <v>77.82288952</v>
      </c>
      <c r="J84" s="19" t="n">
        <f aca="false">INDEX(Case_Base!$E$124:$L$124,1,$E$84+1)</f>
        <v>229.684737262957</v>
      </c>
      <c r="K84" s="19" t="n">
        <f aca="false">$D$84*$I$84</f>
        <v>700.40600568</v>
      </c>
      <c r="L84" s="19" t="n">
        <f aca="false">Assumptions!$D$132*$K$84</f>
        <v>10.5060900852</v>
      </c>
      <c r="M84" s="19" t="n">
        <f aca="false">$K$84-$J$84-$L$84</f>
        <v>460.215178331843</v>
      </c>
      <c r="N84" s="34" t="n">
        <f aca="false">$G$84/Assumptions!$D$108</f>
        <v>175</v>
      </c>
      <c r="O84" s="34" t="n">
        <f aca="false">$N$84*Assumptions!$D$109/(1-Assumptions!$D$109)</f>
        <v>15.2173913043478</v>
      </c>
      <c r="P84" s="35" t="n">
        <f aca="false">($M$84+$O$84*Assumptions!$D$108)/($N$84+$O$84)</f>
        <v>2.49941693751597</v>
      </c>
      <c r="Q84" s="34" t="n">
        <f aca="false">IF($P$84/Assumptions!$D$108&gt;=Assumptions!$D$110,$O$84,$O$84*0.5)</f>
        <v>15.2173913043478</v>
      </c>
      <c r="R84" s="35" t="n">
        <f aca="false">($M$84+$Q$84*Assumptions!$D$108)/($N$84+$Q$84)</f>
        <v>2.49941693751597</v>
      </c>
      <c r="S84" s="35" t="n">
        <f aca="false">IF($R$84&lt;Assumptions!$D$108,$M$84/$N$84,$R$84)</f>
        <v>2.49941693751597</v>
      </c>
      <c r="T84" s="34" t="n">
        <f aca="false">IF($R$84&lt;Assumptions!$D$108,0,$Q$84)</f>
        <v>15.2173913043478</v>
      </c>
      <c r="U84" s="19" t="n">
        <f aca="false">$T$84*MAX(0,$S$84-Assumptions!$D$108)</f>
        <v>22.8172142665474</v>
      </c>
      <c r="V84" s="19" t="n">
        <f aca="false">$H$84/Assumptions!$D$108*$S$84</f>
        <v>412.403794690136</v>
      </c>
      <c r="W84" s="24" t="n">
        <f aca="false">$V$84/$H$84</f>
        <v>2.49941693751597</v>
      </c>
      <c r="X84" s="25" t="n">
        <f aca="false">$W$84^(1/$E$84)-1</f>
        <v>0.201068402306305</v>
      </c>
    </row>
    <row r="85" customFormat="false" ht="15" hidden="false" customHeight="false" outlineLevel="0" collapsed="false">
      <c r="B85" s="9" t="s">
        <v>340</v>
      </c>
      <c r="C85" s="22" t="n">
        <v>8.5</v>
      </c>
      <c r="D85" s="22" t="n">
        <v>10</v>
      </c>
      <c r="E85" s="33" t="n">
        <f aca="false">Assumptions!$D$133</f>
        <v>5</v>
      </c>
      <c r="F85" s="19" t="n">
        <f aca="false">$C$85*Assumptions!$D$24</f>
        <v>425</v>
      </c>
      <c r="G85" s="19" t="n">
        <f aca="false">$F$85+Assumptions!$D$76+Case_Base!$D$33+Assumptions!$D$78-Case_Base!$D$52</f>
        <v>175</v>
      </c>
      <c r="H85" s="19" t="n">
        <f aca="false">$G$85-Assumptions!$D$107</f>
        <v>165</v>
      </c>
      <c r="I85" s="19" t="n">
        <f aca="false">INDEX(Case_Base!$E$72:$L$72,1,$E$85+1)</f>
        <v>77.82288952</v>
      </c>
      <c r="J85" s="19" t="n">
        <f aca="false">INDEX(Case_Base!$E$124:$L$124,1,$E$85+1)</f>
        <v>229.684737262957</v>
      </c>
      <c r="K85" s="19" t="n">
        <f aca="false">$D$85*$I$85</f>
        <v>778.2288952</v>
      </c>
      <c r="L85" s="19" t="n">
        <f aca="false">Assumptions!$D$132*$K$85</f>
        <v>11.673433428</v>
      </c>
      <c r="M85" s="19" t="n">
        <f aca="false">$K$85-$J$85-$L$85</f>
        <v>536.870724509043</v>
      </c>
      <c r="N85" s="34" t="n">
        <f aca="false">$G$85/Assumptions!$D$108</f>
        <v>175</v>
      </c>
      <c r="O85" s="34" t="n">
        <f aca="false">$N$85*Assumptions!$D$109/(1-Assumptions!$D$109)</f>
        <v>15.2173913043478</v>
      </c>
      <c r="P85" s="35" t="n">
        <f aca="false">($M$85+$O$85*Assumptions!$D$108)/($N$85+$O$85)</f>
        <v>2.90240609456183</v>
      </c>
      <c r="Q85" s="34" t="n">
        <f aca="false">IF($P$85/Assumptions!$D$108&gt;=Assumptions!$D$110,$O$85,$O$85*0.5)</f>
        <v>15.2173913043478</v>
      </c>
      <c r="R85" s="35" t="n">
        <f aca="false">($M$85+$Q$85*Assumptions!$D$108)/($N$85+$Q$85)</f>
        <v>2.90240609456183</v>
      </c>
      <c r="S85" s="35" t="n">
        <f aca="false">IF($R$85&lt;Assumptions!$D$108,$M$85/$N$85,$R$85)</f>
        <v>2.90240609456183</v>
      </c>
      <c r="T85" s="34" t="n">
        <f aca="false">IF($R$85&lt;Assumptions!$D$108,0,$Q$85)</f>
        <v>15.2173913043478</v>
      </c>
      <c r="U85" s="19" t="n">
        <f aca="false">$T$85*MAX(0,$S$85-Assumptions!$D$108)</f>
        <v>28.9496579607234</v>
      </c>
      <c r="V85" s="19" t="n">
        <f aca="false">$H$85/Assumptions!$D$108*$S$85</f>
        <v>478.897005602701</v>
      </c>
      <c r="W85" s="24" t="n">
        <f aca="false">$V$85/$H$85</f>
        <v>2.90240609456183</v>
      </c>
      <c r="X85" s="25" t="n">
        <f aca="false">$W$85^(1/$E$85)-1</f>
        <v>0.23751831599392</v>
      </c>
    </row>
    <row r="86" customFormat="false" ht="15" hidden="false" customHeight="false" outlineLevel="0" collapsed="false">
      <c r="B86" s="9" t="s">
        <v>341</v>
      </c>
      <c r="C86" s="22" t="n">
        <v>8.5</v>
      </c>
      <c r="D86" s="22" t="n">
        <v>11</v>
      </c>
      <c r="E86" s="33" t="n">
        <f aca="false">Assumptions!$D$133</f>
        <v>5</v>
      </c>
      <c r="F86" s="19" t="n">
        <f aca="false">$C$86*Assumptions!$D$24</f>
        <v>425</v>
      </c>
      <c r="G86" s="19" t="n">
        <f aca="false">$F$86+Assumptions!$D$76+Case_Base!$D$33+Assumptions!$D$78-Case_Base!$D$52</f>
        <v>175</v>
      </c>
      <c r="H86" s="19" t="n">
        <f aca="false">$G$86-Assumptions!$D$107</f>
        <v>165</v>
      </c>
      <c r="I86" s="19" t="n">
        <f aca="false">INDEX(Case_Base!$E$72:$L$72,1,$E$86+1)</f>
        <v>77.82288952</v>
      </c>
      <c r="J86" s="19" t="n">
        <f aca="false">INDEX(Case_Base!$E$124:$L$124,1,$E$86+1)</f>
        <v>229.684737262957</v>
      </c>
      <c r="K86" s="19" t="n">
        <f aca="false">$D$86*$I$86</f>
        <v>856.05178472</v>
      </c>
      <c r="L86" s="19" t="n">
        <f aca="false">Assumptions!$D$132*$K$86</f>
        <v>12.8407767708</v>
      </c>
      <c r="M86" s="19" t="n">
        <f aca="false">$K$86-$J$86-$L$86</f>
        <v>613.526270686243</v>
      </c>
      <c r="N86" s="34" t="n">
        <f aca="false">$G$86/Assumptions!$D$108</f>
        <v>175</v>
      </c>
      <c r="O86" s="34" t="n">
        <f aca="false">$N$86*Assumptions!$D$109/(1-Assumptions!$D$109)</f>
        <v>15.2173913043478</v>
      </c>
      <c r="P86" s="35" t="n">
        <f aca="false">($M$86+$O$86*Assumptions!$D$108)/($N$86+$O$86)</f>
        <v>3.30539525160768</v>
      </c>
      <c r="Q86" s="34" t="n">
        <f aca="false">IF($P$86/Assumptions!$D$108&gt;=Assumptions!$D$110,$O$86,$O$86*0.5)</f>
        <v>15.2173913043478</v>
      </c>
      <c r="R86" s="35" t="n">
        <f aca="false">($M$86+$Q$86*Assumptions!$D$108)/($N$86+$Q$86)</f>
        <v>3.30539525160768</v>
      </c>
      <c r="S86" s="35" t="n">
        <f aca="false">IF($R$86&lt;Assumptions!$D$108,$M$86/$N$86,$R$86)</f>
        <v>3.30539525160768</v>
      </c>
      <c r="T86" s="34" t="n">
        <f aca="false">IF($R$86&lt;Assumptions!$D$108,0,$Q$86)</f>
        <v>15.2173913043478</v>
      </c>
      <c r="U86" s="19" t="n">
        <f aca="false">$T$86*MAX(0,$S$86-Assumptions!$D$108)</f>
        <v>35.0821016548994</v>
      </c>
      <c r="V86" s="19" t="n">
        <f aca="false">$H$86/Assumptions!$D$108*$S$86</f>
        <v>545.390216515267</v>
      </c>
      <c r="W86" s="24" t="n">
        <f aca="false">$V$86/$H$86</f>
        <v>3.30539525160768</v>
      </c>
      <c r="X86" s="25" t="n">
        <f aca="false">$W$86^(1/$E$86)-1</f>
        <v>0.270119780825261</v>
      </c>
    </row>
    <row r="87" customFormat="false" ht="15" hidden="false" customHeight="false" outlineLevel="0" collapsed="false">
      <c r="B87" s="9" t="s">
        <v>342</v>
      </c>
      <c r="C87" s="22" t="n">
        <v>9</v>
      </c>
      <c r="D87" s="22" t="n">
        <v>7</v>
      </c>
      <c r="E87" s="33" t="n">
        <f aca="false">Assumptions!$D$133</f>
        <v>5</v>
      </c>
      <c r="F87" s="19" t="n">
        <f aca="false">$C$87*Assumptions!$D$24</f>
        <v>450</v>
      </c>
      <c r="G87" s="19" t="n">
        <f aca="false">$F$87+Assumptions!$D$76+Case_Base!$D$33+Assumptions!$D$78-Case_Base!$D$52</f>
        <v>200</v>
      </c>
      <c r="H87" s="19" t="n">
        <f aca="false">$G$87-Assumptions!$D$107</f>
        <v>190</v>
      </c>
      <c r="I87" s="19" t="n">
        <f aca="false">INDEX(Case_Base!$E$72:$L$72,1,$E$87+1)</f>
        <v>77.82288952</v>
      </c>
      <c r="J87" s="19" t="n">
        <f aca="false">INDEX(Case_Base!$E$124:$L$124,1,$E$87+1)</f>
        <v>229.684737262957</v>
      </c>
      <c r="K87" s="19" t="n">
        <f aca="false">$D$87*$I$87</f>
        <v>544.76022664</v>
      </c>
      <c r="L87" s="19" t="n">
        <f aca="false">Assumptions!$D$132*$K$87</f>
        <v>8.1714033996</v>
      </c>
      <c r="M87" s="19" t="n">
        <f aca="false">$K$87-$J$87-$L$87</f>
        <v>306.904085977443</v>
      </c>
      <c r="N87" s="34" t="n">
        <f aca="false">$G$87/Assumptions!$D$108</f>
        <v>200</v>
      </c>
      <c r="O87" s="34" t="n">
        <f aca="false">$N$87*Assumptions!$D$109/(1-Assumptions!$D$109)</f>
        <v>17.3913043478261</v>
      </c>
      <c r="P87" s="35" t="n">
        <f aca="false">($M$87+$O$87*Assumptions!$D$108)/($N$87+$O$87)</f>
        <v>1.49175879549624</v>
      </c>
      <c r="Q87" s="34" t="n">
        <f aca="false">IF($P$87/Assumptions!$D$108&gt;=Assumptions!$D$110,$O$87,$O$87*0.5)</f>
        <v>8.69565217391304</v>
      </c>
      <c r="R87" s="35" t="n">
        <f aca="false">($M$87+$Q$87*Assumptions!$D$108)/($N$87+$Q$87)</f>
        <v>1.51224874530858</v>
      </c>
      <c r="S87" s="35" t="n">
        <f aca="false">IF($R$87&lt;Assumptions!$D$108,$M$87/$N$87,$R$87)</f>
        <v>1.51224874530858</v>
      </c>
      <c r="T87" s="34" t="n">
        <f aca="false">IF($R$87&lt;Assumptions!$D$108,0,$Q$87)</f>
        <v>8.69565217391304</v>
      </c>
      <c r="U87" s="19" t="n">
        <f aca="false">$T$87*MAX(0,$S$87-Assumptions!$D$108)</f>
        <v>4.45433691572679</v>
      </c>
      <c r="V87" s="19" t="n">
        <f aca="false">$H$87/Assumptions!$D$108*$S$87</f>
        <v>287.32726160863</v>
      </c>
      <c r="W87" s="24" t="n">
        <f aca="false">$V$87/$H$87</f>
        <v>1.51224874530858</v>
      </c>
      <c r="X87" s="25" t="n">
        <f aca="false">$W$87^(1/$E$87)-1</f>
        <v>0.0862371367757975</v>
      </c>
    </row>
    <row r="88" customFormat="false" ht="15" hidden="false" customHeight="false" outlineLevel="0" collapsed="false">
      <c r="B88" s="9" t="s">
        <v>343</v>
      </c>
      <c r="C88" s="22" t="n">
        <v>9</v>
      </c>
      <c r="D88" s="22" t="n">
        <v>8</v>
      </c>
      <c r="E88" s="33" t="n">
        <f aca="false">Assumptions!$D$133</f>
        <v>5</v>
      </c>
      <c r="F88" s="19" t="n">
        <f aca="false">$C$88*Assumptions!$D$24</f>
        <v>450</v>
      </c>
      <c r="G88" s="19" t="n">
        <f aca="false">$F$88+Assumptions!$D$76+Case_Base!$D$33+Assumptions!$D$78-Case_Base!$D$52</f>
        <v>200</v>
      </c>
      <c r="H88" s="19" t="n">
        <f aca="false">$G$88-Assumptions!$D$107</f>
        <v>190</v>
      </c>
      <c r="I88" s="19" t="n">
        <f aca="false">INDEX(Case_Base!$E$72:$L$72,1,$E$88+1)</f>
        <v>77.82288952</v>
      </c>
      <c r="J88" s="19" t="n">
        <f aca="false">INDEX(Case_Base!$E$124:$L$124,1,$E$88+1)</f>
        <v>229.684737262957</v>
      </c>
      <c r="K88" s="19" t="n">
        <f aca="false">$D$88*$I$88</f>
        <v>622.58311616</v>
      </c>
      <c r="L88" s="19" t="n">
        <f aca="false">Assumptions!$D$132*$K$88</f>
        <v>9.3387467424</v>
      </c>
      <c r="M88" s="19" t="n">
        <f aca="false">$K$88-$J$88-$L$88</f>
        <v>383.559632154643</v>
      </c>
      <c r="N88" s="34" t="n">
        <f aca="false">$G$88/Assumptions!$D$108</f>
        <v>200</v>
      </c>
      <c r="O88" s="34" t="n">
        <f aca="false">$N$88*Assumptions!$D$109/(1-Assumptions!$D$109)</f>
        <v>17.3913043478261</v>
      </c>
      <c r="P88" s="35" t="n">
        <f aca="false">($M$88+$O$88*Assumptions!$D$108)/($N$88+$O$88)</f>
        <v>1.84437430791136</v>
      </c>
      <c r="Q88" s="34" t="n">
        <f aca="false">IF($P$88/Assumptions!$D$108&gt;=Assumptions!$D$110,$O$88,$O$88*0.5)</f>
        <v>8.69565217391304</v>
      </c>
      <c r="R88" s="35" t="n">
        <f aca="false">($M$88+$Q$88*Assumptions!$D$108)/($N$88+$Q$88)</f>
        <v>1.879556570741</v>
      </c>
      <c r="S88" s="35" t="n">
        <f aca="false">IF($R$88&lt;Assumptions!$D$108,$M$88/$N$88,$R$88)</f>
        <v>1.879556570741</v>
      </c>
      <c r="T88" s="34" t="n">
        <f aca="false">IF($R$88&lt;Assumptions!$D$108,0,$Q$88)</f>
        <v>8.69565217391304</v>
      </c>
      <c r="U88" s="19" t="n">
        <f aca="false">$T$88*MAX(0,$S$88-Assumptions!$D$108)</f>
        <v>7.64831800644346</v>
      </c>
      <c r="V88" s="19" t="n">
        <f aca="false">$H$88/Assumptions!$D$108*$S$88</f>
        <v>357.11574844079</v>
      </c>
      <c r="W88" s="24" t="n">
        <f aca="false">$V$88/$H$88</f>
        <v>1.879556570741</v>
      </c>
      <c r="X88" s="25" t="n">
        <f aca="false">$W$88^(1/$E$88)-1</f>
        <v>0.134517189213139</v>
      </c>
    </row>
    <row r="89" customFormat="false" ht="15" hidden="false" customHeight="false" outlineLevel="0" collapsed="false">
      <c r="B89" s="9" t="s">
        <v>344</v>
      </c>
      <c r="C89" s="22" t="n">
        <v>9</v>
      </c>
      <c r="D89" s="22" t="n">
        <v>9</v>
      </c>
      <c r="E89" s="33" t="n">
        <f aca="false">Assumptions!$D$133</f>
        <v>5</v>
      </c>
      <c r="F89" s="19" t="n">
        <f aca="false">$C$89*Assumptions!$D$24</f>
        <v>450</v>
      </c>
      <c r="G89" s="19" t="n">
        <f aca="false">$F$89+Assumptions!$D$76+Case_Base!$D$33+Assumptions!$D$78-Case_Base!$D$52</f>
        <v>200</v>
      </c>
      <c r="H89" s="19" t="n">
        <f aca="false">$G$89-Assumptions!$D$107</f>
        <v>190</v>
      </c>
      <c r="I89" s="19" t="n">
        <f aca="false">INDEX(Case_Base!$E$72:$L$72,1,$E$89+1)</f>
        <v>77.82288952</v>
      </c>
      <c r="J89" s="19" t="n">
        <f aca="false">INDEX(Case_Base!$E$124:$L$124,1,$E$89+1)</f>
        <v>229.684737262957</v>
      </c>
      <c r="K89" s="19" t="n">
        <f aca="false">$D$89*$I$89</f>
        <v>700.40600568</v>
      </c>
      <c r="L89" s="19" t="n">
        <f aca="false">Assumptions!$D$132*$K$89</f>
        <v>10.5060900852</v>
      </c>
      <c r="M89" s="19" t="n">
        <f aca="false">$K$89-$J$89-$L$89</f>
        <v>460.215178331843</v>
      </c>
      <c r="N89" s="34" t="n">
        <f aca="false">$G$89/Assumptions!$D$108</f>
        <v>200</v>
      </c>
      <c r="O89" s="34" t="n">
        <f aca="false">$N$89*Assumptions!$D$109/(1-Assumptions!$D$109)</f>
        <v>17.3913043478261</v>
      </c>
      <c r="P89" s="35" t="n">
        <f aca="false">($M$89+$O$89*Assumptions!$D$108)/($N$89+$O$89)</f>
        <v>2.19698982032648</v>
      </c>
      <c r="Q89" s="34" t="n">
        <f aca="false">IF($P$89/Assumptions!$D$108&gt;=Assumptions!$D$110,$O$89,$O$89*0.5)</f>
        <v>17.3913043478261</v>
      </c>
      <c r="R89" s="35" t="n">
        <f aca="false">($M$89+$Q$89*Assumptions!$D$108)/($N$89+$Q$89)</f>
        <v>2.19698982032648</v>
      </c>
      <c r="S89" s="35" t="n">
        <f aca="false">IF($R$89&lt;Assumptions!$D$108,$M$89/$N$89,$R$89)</f>
        <v>2.19698982032648</v>
      </c>
      <c r="T89" s="34" t="n">
        <f aca="false">IF($R$89&lt;Assumptions!$D$108,0,$Q$89)</f>
        <v>17.3913043478261</v>
      </c>
      <c r="U89" s="19" t="n">
        <f aca="false">$T$89*MAX(0,$S$89-Assumptions!$D$108)</f>
        <v>20.8172142665474</v>
      </c>
      <c r="V89" s="19" t="n">
        <f aca="false">$H$89/Assumptions!$D$108*$S$89</f>
        <v>417.428065862031</v>
      </c>
      <c r="W89" s="24" t="n">
        <f aca="false">$V$89/$H$89</f>
        <v>2.19698982032648</v>
      </c>
      <c r="X89" s="25" t="n">
        <f aca="false">$W$89^(1/$E$89)-1</f>
        <v>0.170484343544686</v>
      </c>
    </row>
    <row r="90" customFormat="false" ht="15" hidden="false" customHeight="false" outlineLevel="0" collapsed="false">
      <c r="B90" s="9" t="s">
        <v>345</v>
      </c>
      <c r="C90" s="22" t="n">
        <v>9</v>
      </c>
      <c r="D90" s="22" t="n">
        <v>10</v>
      </c>
      <c r="E90" s="33" t="n">
        <f aca="false">Assumptions!$D$133</f>
        <v>5</v>
      </c>
      <c r="F90" s="19" t="n">
        <f aca="false">$C$90*Assumptions!$D$24</f>
        <v>450</v>
      </c>
      <c r="G90" s="19" t="n">
        <f aca="false">$F$90+Assumptions!$D$76+Case_Base!$D$33+Assumptions!$D$78-Case_Base!$D$52</f>
        <v>200</v>
      </c>
      <c r="H90" s="19" t="n">
        <f aca="false">$G$90-Assumptions!$D$107</f>
        <v>190</v>
      </c>
      <c r="I90" s="19" t="n">
        <f aca="false">INDEX(Case_Base!$E$72:$L$72,1,$E$90+1)</f>
        <v>77.82288952</v>
      </c>
      <c r="J90" s="19" t="n">
        <f aca="false">INDEX(Case_Base!$E$124:$L$124,1,$E$90+1)</f>
        <v>229.684737262957</v>
      </c>
      <c r="K90" s="19" t="n">
        <f aca="false">$D$90*$I$90</f>
        <v>778.2288952</v>
      </c>
      <c r="L90" s="19" t="n">
        <f aca="false">Assumptions!$D$132*$K$90</f>
        <v>11.673433428</v>
      </c>
      <c r="M90" s="19" t="n">
        <f aca="false">$K$90-$J$90-$L$90</f>
        <v>536.870724509043</v>
      </c>
      <c r="N90" s="34" t="n">
        <f aca="false">$G$90/Assumptions!$D$108</f>
        <v>200</v>
      </c>
      <c r="O90" s="34" t="n">
        <f aca="false">$N$90*Assumptions!$D$109/(1-Assumptions!$D$109)</f>
        <v>17.3913043478261</v>
      </c>
      <c r="P90" s="35" t="n">
        <f aca="false">($M$90+$O$90*Assumptions!$D$108)/($N$90+$O$90)</f>
        <v>2.5496053327416</v>
      </c>
      <c r="Q90" s="34" t="n">
        <f aca="false">IF($P$90/Assumptions!$D$108&gt;=Assumptions!$D$110,$O$90,$O$90*0.5)</f>
        <v>17.3913043478261</v>
      </c>
      <c r="R90" s="35" t="n">
        <f aca="false">($M$90+$Q$90*Assumptions!$D$108)/($N$90+$Q$90)</f>
        <v>2.5496053327416</v>
      </c>
      <c r="S90" s="35" t="n">
        <f aca="false">IF($R$90&lt;Assumptions!$D$108,$M$90/$N$90,$R$90)</f>
        <v>2.5496053327416</v>
      </c>
      <c r="T90" s="34" t="n">
        <f aca="false">IF($R$90&lt;Assumptions!$D$108,0,$Q$90)</f>
        <v>17.3913043478261</v>
      </c>
      <c r="U90" s="19" t="n">
        <f aca="false">$T$90*MAX(0,$S$90-Assumptions!$D$108)</f>
        <v>26.9496579607234</v>
      </c>
      <c r="V90" s="19" t="n">
        <f aca="false">$H$90/Assumptions!$D$108*$S$90</f>
        <v>484.425013220904</v>
      </c>
      <c r="W90" s="24" t="n">
        <f aca="false">$V$90/$H$90</f>
        <v>2.5496053327416</v>
      </c>
      <c r="X90" s="25" t="n">
        <f aca="false">$W$90^(1/$E$90)-1</f>
        <v>0.205853620791551</v>
      </c>
    </row>
    <row r="91" customFormat="false" ht="15" hidden="false" customHeight="false" outlineLevel="0" collapsed="false">
      <c r="B91" s="9" t="s">
        <v>346</v>
      </c>
      <c r="C91" s="22" t="n">
        <v>9</v>
      </c>
      <c r="D91" s="22" t="n">
        <v>11</v>
      </c>
      <c r="E91" s="33" t="n">
        <f aca="false">Assumptions!$D$133</f>
        <v>5</v>
      </c>
      <c r="F91" s="19" t="n">
        <f aca="false">$C$91*Assumptions!$D$24</f>
        <v>450</v>
      </c>
      <c r="G91" s="19" t="n">
        <f aca="false">$F$91+Assumptions!$D$76+Case_Base!$D$33+Assumptions!$D$78-Case_Base!$D$52</f>
        <v>200</v>
      </c>
      <c r="H91" s="19" t="n">
        <f aca="false">$G$91-Assumptions!$D$107</f>
        <v>190</v>
      </c>
      <c r="I91" s="19" t="n">
        <f aca="false">INDEX(Case_Base!$E$72:$L$72,1,$E$91+1)</f>
        <v>77.82288952</v>
      </c>
      <c r="J91" s="19" t="n">
        <f aca="false">INDEX(Case_Base!$E$124:$L$124,1,$E$91+1)</f>
        <v>229.684737262957</v>
      </c>
      <c r="K91" s="19" t="n">
        <f aca="false">$D$91*$I$91</f>
        <v>856.05178472</v>
      </c>
      <c r="L91" s="19" t="n">
        <f aca="false">Assumptions!$D$132*$K$91</f>
        <v>12.8407767708</v>
      </c>
      <c r="M91" s="19" t="n">
        <f aca="false">$K$91-$J$91-$L$91</f>
        <v>613.526270686243</v>
      </c>
      <c r="N91" s="34" t="n">
        <f aca="false">$G$91/Assumptions!$D$108</f>
        <v>200</v>
      </c>
      <c r="O91" s="34" t="n">
        <f aca="false">$N$91*Assumptions!$D$109/(1-Assumptions!$D$109)</f>
        <v>17.3913043478261</v>
      </c>
      <c r="P91" s="35" t="n">
        <f aca="false">($M$91+$O$91*Assumptions!$D$108)/($N$91+$O$91)</f>
        <v>2.90222084515672</v>
      </c>
      <c r="Q91" s="34" t="n">
        <f aca="false">IF($P$91/Assumptions!$D$108&gt;=Assumptions!$D$110,$O$91,$O$91*0.5)</f>
        <v>17.3913043478261</v>
      </c>
      <c r="R91" s="35" t="n">
        <f aca="false">($M$91+$Q$91*Assumptions!$D$108)/($N$91+$Q$91)</f>
        <v>2.90222084515672</v>
      </c>
      <c r="S91" s="35" t="n">
        <f aca="false">IF($R$91&lt;Assumptions!$D$108,$M$91/$N$91,$R$91)</f>
        <v>2.90222084515672</v>
      </c>
      <c r="T91" s="34" t="n">
        <f aca="false">IF($R$91&lt;Assumptions!$D$108,0,$Q$91)</f>
        <v>17.3913043478261</v>
      </c>
      <c r="U91" s="19" t="n">
        <f aca="false">$T$91*MAX(0,$S$91-Assumptions!$D$108)</f>
        <v>33.0821016548994</v>
      </c>
      <c r="V91" s="19" t="n">
        <f aca="false">$H$91/Assumptions!$D$108*$S$91</f>
        <v>551.421960579776</v>
      </c>
      <c r="W91" s="24" t="n">
        <f aca="false">$V$91/$H$91</f>
        <v>2.90222084515672</v>
      </c>
      <c r="X91" s="25" t="n">
        <f aca="false">$W$91^(1/$E$91)-1</f>
        <v>0.237502518384802</v>
      </c>
    </row>
    <row r="92" customFormat="false" ht="15" hidden="false" customHeight="false" outlineLevel="0" collapsed="false">
      <c r="B92" s="9" t="s">
        <v>347</v>
      </c>
      <c r="C92" s="22" t="n">
        <v>9.5</v>
      </c>
      <c r="D92" s="22" t="n">
        <v>7</v>
      </c>
      <c r="E92" s="33" t="n">
        <f aca="false">Assumptions!$D$133</f>
        <v>5</v>
      </c>
      <c r="F92" s="19" t="n">
        <f aca="false">$C$92*Assumptions!$D$24</f>
        <v>475</v>
      </c>
      <c r="G92" s="19" t="n">
        <f aca="false">$F$92+Assumptions!$D$76+Case_Base!$D$33+Assumptions!$D$78-Case_Base!$D$52</f>
        <v>225</v>
      </c>
      <c r="H92" s="19" t="n">
        <f aca="false">$G$92-Assumptions!$D$107</f>
        <v>215</v>
      </c>
      <c r="I92" s="19" t="n">
        <f aca="false">INDEX(Case_Base!$E$72:$L$72,1,$E$92+1)</f>
        <v>77.82288952</v>
      </c>
      <c r="J92" s="19" t="n">
        <f aca="false">INDEX(Case_Base!$E$124:$L$124,1,$E$92+1)</f>
        <v>229.684737262957</v>
      </c>
      <c r="K92" s="19" t="n">
        <f aca="false">$D$92*$I$92</f>
        <v>544.76022664</v>
      </c>
      <c r="L92" s="19" t="n">
        <f aca="false">Assumptions!$D$132*$K$92</f>
        <v>8.1714033996</v>
      </c>
      <c r="M92" s="19" t="n">
        <f aca="false">$K$92-$J$92-$L$92</f>
        <v>306.904085977443</v>
      </c>
      <c r="N92" s="34" t="n">
        <f aca="false">$G$92/Assumptions!$D$108</f>
        <v>225</v>
      </c>
      <c r="O92" s="34" t="n">
        <f aca="false">$N$92*Assumptions!$D$109/(1-Assumptions!$D$109)</f>
        <v>19.5652173913043</v>
      </c>
      <c r="P92" s="35" t="n">
        <f aca="false">($M$92+$O$92*Assumptions!$D$108)/($N$92+$O$92)</f>
        <v>1.33489670710777</v>
      </c>
      <c r="Q92" s="34" t="n">
        <f aca="false">IF($P$92/Assumptions!$D$108&gt;=Assumptions!$D$110,$O$92,$O$92*0.5)</f>
        <v>9.78260869565217</v>
      </c>
      <c r="R92" s="35" t="n">
        <f aca="false">($M$92+$Q$92*Assumptions!$D$108)/($N$92+$Q$92)</f>
        <v>1.34885073657059</v>
      </c>
      <c r="S92" s="35" t="n">
        <f aca="false">IF($R$92&lt;Assumptions!$D$108,$M$92/$N$92,$R$92)</f>
        <v>1.34885073657059</v>
      </c>
      <c r="T92" s="34" t="n">
        <f aca="false">IF($R$92&lt;Assumptions!$D$108,0,$Q$92)</f>
        <v>9.78260869565217</v>
      </c>
      <c r="U92" s="19" t="n">
        <f aca="false">$T$92*MAX(0,$S$92-Assumptions!$D$108)</f>
        <v>3.41267024906012</v>
      </c>
      <c r="V92" s="19" t="n">
        <f aca="false">$H$92/Assumptions!$D$108*$S$92</f>
        <v>290.002908362677</v>
      </c>
      <c r="W92" s="24" t="n">
        <f aca="false">$V$92/$H$92</f>
        <v>1.34885073657059</v>
      </c>
      <c r="X92" s="25" t="n">
        <f aca="false">$W$92^(1/$E$92)-1</f>
        <v>0.061677903800927</v>
      </c>
    </row>
    <row r="93" customFormat="false" ht="15" hidden="false" customHeight="false" outlineLevel="0" collapsed="false">
      <c r="B93" s="9" t="s">
        <v>348</v>
      </c>
      <c r="C93" s="22" t="n">
        <v>9.5</v>
      </c>
      <c r="D93" s="22" t="n">
        <v>8</v>
      </c>
      <c r="E93" s="33" t="n">
        <f aca="false">Assumptions!$D$133</f>
        <v>5</v>
      </c>
      <c r="F93" s="19" t="n">
        <f aca="false">$C$93*Assumptions!$D$24</f>
        <v>475</v>
      </c>
      <c r="G93" s="19" t="n">
        <f aca="false">$F$93+Assumptions!$D$76+Case_Base!$D$33+Assumptions!$D$78-Case_Base!$D$52</f>
        <v>225</v>
      </c>
      <c r="H93" s="19" t="n">
        <f aca="false">$G$93-Assumptions!$D$107</f>
        <v>215</v>
      </c>
      <c r="I93" s="19" t="n">
        <f aca="false">INDEX(Case_Base!$E$72:$L$72,1,$E$93+1)</f>
        <v>77.82288952</v>
      </c>
      <c r="J93" s="19" t="n">
        <f aca="false">INDEX(Case_Base!$E$124:$L$124,1,$E$93+1)</f>
        <v>229.684737262957</v>
      </c>
      <c r="K93" s="19" t="n">
        <f aca="false">$D$93*$I$93</f>
        <v>622.58311616</v>
      </c>
      <c r="L93" s="19" t="n">
        <f aca="false">Assumptions!$D$132*$K$93</f>
        <v>9.3387467424</v>
      </c>
      <c r="M93" s="19" t="n">
        <f aca="false">$K$93-$J$93-$L$93</f>
        <v>383.559632154643</v>
      </c>
      <c r="N93" s="34" t="n">
        <f aca="false">$G$93/Assumptions!$D$108</f>
        <v>225</v>
      </c>
      <c r="O93" s="34" t="n">
        <f aca="false">$N$93*Assumptions!$D$109/(1-Assumptions!$D$109)</f>
        <v>19.5652173913043</v>
      </c>
      <c r="P93" s="35" t="n">
        <f aca="false">($M$93+$O$93*Assumptions!$D$108)/($N$93+$O$93)</f>
        <v>1.64833271814343</v>
      </c>
      <c r="Q93" s="34" t="n">
        <f aca="false">IF($P$93/Assumptions!$D$108&gt;=Assumptions!$D$110,$O$93,$O$93*0.5)</f>
        <v>9.78260869565217</v>
      </c>
      <c r="R93" s="35" t="n">
        <f aca="false">($M$93+$Q$93*Assumptions!$D$108)/($N$93+$Q$93)</f>
        <v>1.67534658139941</v>
      </c>
      <c r="S93" s="35" t="n">
        <f aca="false">IF($R$93&lt;Assumptions!$D$108,$M$93/$N$93,$R$93)</f>
        <v>1.67534658139941</v>
      </c>
      <c r="T93" s="34" t="n">
        <f aca="false">IF($R$93&lt;Assumptions!$D$108,0,$Q$93)</f>
        <v>9.78260869565217</v>
      </c>
      <c r="U93" s="19" t="n">
        <f aca="false">$T$93*MAX(0,$S$93-Assumptions!$D$108)</f>
        <v>6.60665133977679</v>
      </c>
      <c r="V93" s="19" t="n">
        <f aca="false">$H$93/Assumptions!$D$108*$S$93</f>
        <v>360.199515000872</v>
      </c>
      <c r="W93" s="24" t="n">
        <f aca="false">$V$93/$H$93</f>
        <v>1.67534658139941</v>
      </c>
      <c r="X93" s="25" t="n">
        <f aca="false">$W$93^(1/$E$93)-1</f>
        <v>0.108717577283023</v>
      </c>
    </row>
    <row r="94" customFormat="false" ht="15" hidden="false" customHeight="false" outlineLevel="0" collapsed="false">
      <c r="B94" s="9" t="s">
        <v>349</v>
      </c>
      <c r="C94" s="22" t="n">
        <v>9.5</v>
      </c>
      <c r="D94" s="22" t="n">
        <v>9</v>
      </c>
      <c r="E94" s="33" t="n">
        <f aca="false">Assumptions!$D$133</f>
        <v>5</v>
      </c>
      <c r="F94" s="19" t="n">
        <f aca="false">$C$94*Assumptions!$D$24</f>
        <v>475</v>
      </c>
      <c r="G94" s="19" t="n">
        <f aca="false">$F$94+Assumptions!$D$76+Case_Base!$D$33+Assumptions!$D$78-Case_Base!$D$52</f>
        <v>225</v>
      </c>
      <c r="H94" s="19" t="n">
        <f aca="false">$G$94-Assumptions!$D$107</f>
        <v>215</v>
      </c>
      <c r="I94" s="19" t="n">
        <f aca="false">INDEX(Case_Base!$E$72:$L$72,1,$E$94+1)</f>
        <v>77.82288952</v>
      </c>
      <c r="J94" s="19" t="n">
        <f aca="false">INDEX(Case_Base!$E$124:$L$124,1,$E$94+1)</f>
        <v>229.684737262957</v>
      </c>
      <c r="K94" s="19" t="n">
        <f aca="false">$D$94*$I$94</f>
        <v>700.40600568</v>
      </c>
      <c r="L94" s="19" t="n">
        <f aca="false">Assumptions!$D$132*$K$94</f>
        <v>10.5060900852</v>
      </c>
      <c r="M94" s="19" t="n">
        <f aca="false">$K$94-$J$94-$L$94</f>
        <v>460.215178331843</v>
      </c>
      <c r="N94" s="34" t="n">
        <f aca="false">$G$94/Assumptions!$D$108</f>
        <v>225</v>
      </c>
      <c r="O94" s="34" t="n">
        <f aca="false">$N$94*Assumptions!$D$109/(1-Assumptions!$D$109)</f>
        <v>19.5652173913043</v>
      </c>
      <c r="P94" s="35" t="n">
        <f aca="false">($M$94+$O$94*Assumptions!$D$108)/($N$94+$O$94)</f>
        <v>1.96176872917909</v>
      </c>
      <c r="Q94" s="34" t="n">
        <f aca="false">IF($P$94/Assumptions!$D$108&gt;=Assumptions!$D$110,$O$94,$O$94*0.5)</f>
        <v>9.78260869565217</v>
      </c>
      <c r="R94" s="35" t="n">
        <f aca="false">($M$94+$Q$94*Assumptions!$D$108)/($N$94+$Q$94)</f>
        <v>2.00184242622822</v>
      </c>
      <c r="S94" s="35" t="n">
        <f aca="false">IF($R$94&lt;Assumptions!$D$108,$M$94/$N$94,$R$94)</f>
        <v>2.00184242622822</v>
      </c>
      <c r="T94" s="34" t="n">
        <f aca="false">IF($R$94&lt;Assumptions!$D$108,0,$Q$94)</f>
        <v>9.78260869565217</v>
      </c>
      <c r="U94" s="19" t="n">
        <f aca="false">$T$94*MAX(0,$S$94-Assumptions!$D$108)</f>
        <v>9.80063243049345</v>
      </c>
      <c r="V94" s="19" t="n">
        <f aca="false">$H$94/Assumptions!$D$108*$S$94</f>
        <v>430.396121639067</v>
      </c>
      <c r="W94" s="24" t="n">
        <f aca="false">$V$94/$H$94</f>
        <v>2.00184242622822</v>
      </c>
      <c r="X94" s="25" t="n">
        <f aca="false">$W$94^(1/$E$94)-1</f>
        <v>0.148909916251947</v>
      </c>
    </row>
    <row r="95" customFormat="false" ht="15" hidden="false" customHeight="false" outlineLevel="0" collapsed="false">
      <c r="B95" s="9" t="s">
        <v>350</v>
      </c>
      <c r="C95" s="22" t="n">
        <v>9.5</v>
      </c>
      <c r="D95" s="22" t="n">
        <v>10</v>
      </c>
      <c r="E95" s="33" t="n">
        <f aca="false">Assumptions!$D$133</f>
        <v>5</v>
      </c>
      <c r="F95" s="19" t="n">
        <f aca="false">$C$95*Assumptions!$D$24</f>
        <v>475</v>
      </c>
      <c r="G95" s="19" t="n">
        <f aca="false">$F$95+Assumptions!$D$76+Case_Base!$D$33+Assumptions!$D$78-Case_Base!$D$52</f>
        <v>225</v>
      </c>
      <c r="H95" s="19" t="n">
        <f aca="false">$G$95-Assumptions!$D$107</f>
        <v>215</v>
      </c>
      <c r="I95" s="19" t="n">
        <f aca="false">INDEX(Case_Base!$E$72:$L$72,1,$E$95+1)</f>
        <v>77.82288952</v>
      </c>
      <c r="J95" s="19" t="n">
        <f aca="false">INDEX(Case_Base!$E$124:$L$124,1,$E$95+1)</f>
        <v>229.684737262957</v>
      </c>
      <c r="K95" s="19" t="n">
        <f aca="false">$D$95*$I$95</f>
        <v>778.2288952</v>
      </c>
      <c r="L95" s="19" t="n">
        <f aca="false">Assumptions!$D$132*$K$95</f>
        <v>11.673433428</v>
      </c>
      <c r="M95" s="19" t="n">
        <f aca="false">$K$95-$J$95-$L$95</f>
        <v>536.870724509043</v>
      </c>
      <c r="N95" s="34" t="n">
        <f aca="false">$G$95/Assumptions!$D$108</f>
        <v>225</v>
      </c>
      <c r="O95" s="34" t="n">
        <f aca="false">$N$95*Assumptions!$D$109/(1-Assumptions!$D$109)</f>
        <v>19.5652173913043</v>
      </c>
      <c r="P95" s="35" t="n">
        <f aca="false">($M$95+$O$95*Assumptions!$D$108)/($N$95+$O$95)</f>
        <v>2.27520474021475</v>
      </c>
      <c r="Q95" s="34" t="n">
        <f aca="false">IF($P$95/Assumptions!$D$108&gt;=Assumptions!$D$110,$O$95,$O$95*0.5)</f>
        <v>19.5652173913043</v>
      </c>
      <c r="R95" s="35" t="n">
        <f aca="false">($M$95+$Q$95*Assumptions!$D$108)/($N$95+$Q$95)</f>
        <v>2.27520474021475</v>
      </c>
      <c r="S95" s="35" t="n">
        <f aca="false">IF($R$95&lt;Assumptions!$D$108,$M$95/$N$95,$R$95)</f>
        <v>2.27520474021475</v>
      </c>
      <c r="T95" s="34" t="n">
        <f aca="false">IF($R$95&lt;Assumptions!$D$108,0,$Q$95)</f>
        <v>19.5652173913043</v>
      </c>
      <c r="U95" s="19" t="n">
        <f aca="false">$T$95*MAX(0,$S$95-Assumptions!$D$108)</f>
        <v>24.9496579607234</v>
      </c>
      <c r="V95" s="19" t="n">
        <f aca="false">$H$95/Assumptions!$D$108*$S$95</f>
        <v>489.169019146172</v>
      </c>
      <c r="W95" s="24" t="n">
        <f aca="false">$V$95/$H$95</f>
        <v>2.27520474021475</v>
      </c>
      <c r="X95" s="25" t="n">
        <f aca="false">$W$95^(1/$E$95)-1</f>
        <v>0.178702207188634</v>
      </c>
    </row>
    <row r="96" customFormat="false" ht="15" hidden="false" customHeight="false" outlineLevel="0" collapsed="false">
      <c r="B96" s="9" t="s">
        <v>351</v>
      </c>
      <c r="C96" s="22" t="n">
        <v>9.5</v>
      </c>
      <c r="D96" s="22" t="n">
        <v>11</v>
      </c>
      <c r="E96" s="33" t="n">
        <f aca="false">Assumptions!$D$133</f>
        <v>5</v>
      </c>
      <c r="F96" s="19" t="n">
        <f aca="false">$C$96*Assumptions!$D$24</f>
        <v>475</v>
      </c>
      <c r="G96" s="19" t="n">
        <f aca="false">$F$96+Assumptions!$D$76+Case_Base!$D$33+Assumptions!$D$78-Case_Base!$D$52</f>
        <v>225</v>
      </c>
      <c r="H96" s="19" t="n">
        <f aca="false">$G$96-Assumptions!$D$107</f>
        <v>215</v>
      </c>
      <c r="I96" s="19" t="n">
        <f aca="false">INDEX(Case_Base!$E$72:$L$72,1,$E$96+1)</f>
        <v>77.82288952</v>
      </c>
      <c r="J96" s="19" t="n">
        <f aca="false">INDEX(Case_Base!$E$124:$L$124,1,$E$96+1)</f>
        <v>229.684737262957</v>
      </c>
      <c r="K96" s="19" t="n">
        <f aca="false">$D$96*$I$96</f>
        <v>856.05178472</v>
      </c>
      <c r="L96" s="19" t="n">
        <f aca="false">Assumptions!$D$132*$K$96</f>
        <v>12.8407767708</v>
      </c>
      <c r="M96" s="19" t="n">
        <f aca="false">$K$96-$J$96-$L$96</f>
        <v>613.526270686243</v>
      </c>
      <c r="N96" s="34" t="n">
        <f aca="false">$G$96/Assumptions!$D$108</f>
        <v>225</v>
      </c>
      <c r="O96" s="34" t="n">
        <f aca="false">$N$96*Assumptions!$D$109/(1-Assumptions!$D$109)</f>
        <v>19.5652173913043</v>
      </c>
      <c r="P96" s="35" t="n">
        <f aca="false">($M$96+$O$96*Assumptions!$D$108)/($N$96+$O$96)</f>
        <v>2.58864075125042</v>
      </c>
      <c r="Q96" s="34" t="n">
        <f aca="false">IF($P$96/Assumptions!$D$108&gt;=Assumptions!$D$110,$O$96,$O$96*0.5)</f>
        <v>19.5652173913043</v>
      </c>
      <c r="R96" s="35" t="n">
        <f aca="false">($M$96+$Q$96*Assumptions!$D$108)/($N$96+$Q$96)</f>
        <v>2.58864075125042</v>
      </c>
      <c r="S96" s="35" t="n">
        <f aca="false">IF($R$96&lt;Assumptions!$D$108,$M$96/$N$96,$R$96)</f>
        <v>2.58864075125042</v>
      </c>
      <c r="T96" s="34" t="n">
        <f aca="false">IF($R$96&lt;Assumptions!$D$108,0,$Q$96)</f>
        <v>19.5652173913043</v>
      </c>
      <c r="U96" s="19" t="n">
        <f aca="false">$T$96*MAX(0,$S$96-Assumptions!$D$108)</f>
        <v>31.0821016548994</v>
      </c>
      <c r="V96" s="19" t="n">
        <f aca="false">$H$96/Assumptions!$D$108*$S$96</f>
        <v>556.557761518839</v>
      </c>
      <c r="W96" s="24" t="n">
        <f aca="false">$V$96/$H$96</f>
        <v>2.58864075125042</v>
      </c>
      <c r="X96" s="25" t="n">
        <f aca="false">$W$96^(1/$E$96)-1</f>
        <v>0.209523628090407</v>
      </c>
    </row>
    <row r="97" customFormat="false" ht="15" hidden="false" customHeight="false" outlineLevel="0" collapsed="false">
      <c r="B97" s="9" t="s">
        <v>352</v>
      </c>
      <c r="C97" s="22" t="n">
        <v>10</v>
      </c>
      <c r="D97" s="22" t="n">
        <v>7</v>
      </c>
      <c r="E97" s="33" t="n">
        <f aca="false">Assumptions!$D$133</f>
        <v>5</v>
      </c>
      <c r="F97" s="19" t="n">
        <f aca="false">$C$97*Assumptions!$D$24</f>
        <v>500</v>
      </c>
      <c r="G97" s="19" t="n">
        <f aca="false">$F$97+Assumptions!$D$76+Case_Base!$D$33+Assumptions!$D$78-Case_Base!$D$52</f>
        <v>250</v>
      </c>
      <c r="H97" s="19" t="n">
        <f aca="false">$G$97-Assumptions!$D$107</f>
        <v>240</v>
      </c>
      <c r="I97" s="19" t="n">
        <f aca="false">INDEX(Case_Base!$E$72:$L$72,1,$E$97+1)</f>
        <v>77.82288952</v>
      </c>
      <c r="J97" s="19" t="n">
        <f aca="false">INDEX(Case_Base!$E$124:$L$124,1,$E$97+1)</f>
        <v>229.684737262957</v>
      </c>
      <c r="K97" s="19" t="n">
        <f aca="false">$D$97*$I$97</f>
        <v>544.76022664</v>
      </c>
      <c r="L97" s="19" t="n">
        <f aca="false">Assumptions!$D$132*$K$97</f>
        <v>8.1714033996</v>
      </c>
      <c r="M97" s="19" t="n">
        <f aca="false">$K$97-$J$97-$L$97</f>
        <v>306.904085977443</v>
      </c>
      <c r="N97" s="34" t="n">
        <f aca="false">$G$97/Assumptions!$D$108</f>
        <v>250</v>
      </c>
      <c r="O97" s="34" t="n">
        <f aca="false">$N$97*Assumptions!$D$109/(1-Assumptions!$D$109)</f>
        <v>21.7391304347826</v>
      </c>
      <c r="P97" s="35" t="n">
        <f aca="false">($M$97+$O$97*Assumptions!$D$108)/($N$97+$O$97)</f>
        <v>1.20940703639699</v>
      </c>
      <c r="Q97" s="34" t="n">
        <f aca="false">IF($P$97/Assumptions!$D$108&gt;=Assumptions!$D$110,$O$97,$O$97*0.5)</f>
        <v>10.8695652173913</v>
      </c>
      <c r="R97" s="35" t="n">
        <f aca="false">($M$97+$Q$97*Assumptions!$D$108)/($N$97+$Q$97)</f>
        <v>1.2181323295802</v>
      </c>
      <c r="S97" s="35" t="n">
        <f aca="false">IF($R$97&lt;Assumptions!$D$108,$M$97/$N$97,$R$97)</f>
        <v>1.2181323295802</v>
      </c>
      <c r="T97" s="34" t="n">
        <f aca="false">IF($R$97&lt;Assumptions!$D$108,0,$Q$97)</f>
        <v>10.8695652173913</v>
      </c>
      <c r="U97" s="19" t="n">
        <f aca="false">$T$97*MAX(0,$S$97-Assumptions!$D$108)</f>
        <v>2.37100358239346</v>
      </c>
      <c r="V97" s="19" t="n">
        <f aca="false">$H$97/Assumptions!$D$108*$S$97</f>
        <v>292.351759099248</v>
      </c>
      <c r="W97" s="24" t="n">
        <f aca="false">$V$97/$H$97</f>
        <v>1.2181323295802</v>
      </c>
      <c r="X97" s="25" t="n">
        <f aca="false">$W$97^(1/$E$97)-1</f>
        <v>0.0402528011800736</v>
      </c>
    </row>
    <row r="98" customFormat="false" ht="15" hidden="false" customHeight="false" outlineLevel="0" collapsed="false">
      <c r="B98" s="9" t="s">
        <v>353</v>
      </c>
      <c r="C98" s="22" t="n">
        <v>10</v>
      </c>
      <c r="D98" s="22" t="n">
        <v>8</v>
      </c>
      <c r="E98" s="33" t="n">
        <f aca="false">Assumptions!$D$133</f>
        <v>5</v>
      </c>
      <c r="F98" s="19" t="n">
        <f aca="false">$C$98*Assumptions!$D$24</f>
        <v>500</v>
      </c>
      <c r="G98" s="19" t="n">
        <f aca="false">$F$98+Assumptions!$D$76+Case_Base!$D$33+Assumptions!$D$78-Case_Base!$D$52</f>
        <v>250</v>
      </c>
      <c r="H98" s="19" t="n">
        <f aca="false">$G$98-Assumptions!$D$107</f>
        <v>240</v>
      </c>
      <c r="I98" s="19" t="n">
        <f aca="false">INDEX(Case_Base!$E$72:$L$72,1,$E$98+1)</f>
        <v>77.82288952</v>
      </c>
      <c r="J98" s="19" t="n">
        <f aca="false">INDEX(Case_Base!$E$124:$L$124,1,$E$98+1)</f>
        <v>229.684737262957</v>
      </c>
      <c r="K98" s="19" t="n">
        <f aca="false">$D$98*$I$98</f>
        <v>622.58311616</v>
      </c>
      <c r="L98" s="19" t="n">
        <f aca="false">Assumptions!$D$132*$K$98</f>
        <v>9.3387467424</v>
      </c>
      <c r="M98" s="19" t="n">
        <f aca="false">$K$98-$J$98-$L$98</f>
        <v>383.559632154643</v>
      </c>
      <c r="N98" s="34" t="n">
        <f aca="false">$G$98/Assumptions!$D$108</f>
        <v>250</v>
      </c>
      <c r="O98" s="34" t="n">
        <f aca="false">$N$98*Assumptions!$D$109/(1-Assumptions!$D$109)</f>
        <v>21.7391304347826</v>
      </c>
      <c r="P98" s="35" t="n">
        <f aca="false">($M$98+$O$98*Assumptions!$D$108)/($N$98+$O$98)</f>
        <v>1.49149944632909</v>
      </c>
      <c r="Q98" s="34" t="n">
        <f aca="false">IF($P$98/Assumptions!$D$108&gt;=Assumptions!$D$110,$O$98,$O$98*0.5)</f>
        <v>10.8695652173913</v>
      </c>
      <c r="R98" s="35" t="n">
        <f aca="false">($M$98+$Q$98*Assumptions!$D$108)/($N$98+$Q$98)</f>
        <v>1.51197858992613</v>
      </c>
      <c r="S98" s="35" t="n">
        <f aca="false">IF($R$98&lt;Assumptions!$D$108,$M$98/$N$98,$R$98)</f>
        <v>1.51197858992613</v>
      </c>
      <c r="T98" s="34" t="n">
        <f aca="false">IF($R$98&lt;Assumptions!$D$108,0,$Q$98)</f>
        <v>10.8695652173913</v>
      </c>
      <c r="U98" s="19" t="n">
        <f aca="false">$T$98*MAX(0,$S$98-Assumptions!$D$108)</f>
        <v>5.56498467311012</v>
      </c>
      <c r="V98" s="19" t="n">
        <f aca="false">$H$98/Assumptions!$D$108*$S$98</f>
        <v>362.874861582272</v>
      </c>
      <c r="W98" s="24" t="n">
        <f aca="false">$V$98/$H$98</f>
        <v>1.51197858992613</v>
      </c>
      <c r="X98" s="25" t="n">
        <f aca="false">$W$98^(1/$E$98)-1</f>
        <v>0.0861983238778794</v>
      </c>
    </row>
    <row r="99" customFormat="false" ht="15" hidden="false" customHeight="false" outlineLevel="0" collapsed="false">
      <c r="B99" s="9" t="s">
        <v>354</v>
      </c>
      <c r="C99" s="22" t="n">
        <v>10</v>
      </c>
      <c r="D99" s="22" t="n">
        <v>9</v>
      </c>
      <c r="E99" s="33" t="n">
        <f aca="false">Assumptions!$D$133</f>
        <v>5</v>
      </c>
      <c r="F99" s="19" t="n">
        <f aca="false">$C$99*Assumptions!$D$24</f>
        <v>500</v>
      </c>
      <c r="G99" s="19" t="n">
        <f aca="false">$F$99+Assumptions!$D$76+Case_Base!$D$33+Assumptions!$D$78-Case_Base!$D$52</f>
        <v>250</v>
      </c>
      <c r="H99" s="19" t="n">
        <f aca="false">$G$99-Assumptions!$D$107</f>
        <v>240</v>
      </c>
      <c r="I99" s="19" t="n">
        <f aca="false">INDEX(Case_Base!$E$72:$L$72,1,$E$99+1)</f>
        <v>77.82288952</v>
      </c>
      <c r="J99" s="19" t="n">
        <f aca="false">INDEX(Case_Base!$E$124:$L$124,1,$E$99+1)</f>
        <v>229.684737262957</v>
      </c>
      <c r="K99" s="19" t="n">
        <f aca="false">$D$99*$I$99</f>
        <v>700.40600568</v>
      </c>
      <c r="L99" s="19" t="n">
        <f aca="false">Assumptions!$D$132*$K$99</f>
        <v>10.5060900852</v>
      </c>
      <c r="M99" s="19" t="n">
        <f aca="false">$K$99-$J$99-$L$99</f>
        <v>460.215178331843</v>
      </c>
      <c r="N99" s="34" t="n">
        <f aca="false">$G$99/Assumptions!$D$108</f>
        <v>250</v>
      </c>
      <c r="O99" s="34" t="n">
        <f aca="false">$N$99*Assumptions!$D$109/(1-Assumptions!$D$109)</f>
        <v>21.7391304347826</v>
      </c>
      <c r="P99" s="35" t="n">
        <f aca="false">($M$99+$O$99*Assumptions!$D$108)/($N$99+$O$99)</f>
        <v>1.77359185626118</v>
      </c>
      <c r="Q99" s="34" t="n">
        <f aca="false">IF($P$99/Assumptions!$D$108&gt;=Assumptions!$D$110,$O$99,$O$99*0.5)</f>
        <v>10.8695652173913</v>
      </c>
      <c r="R99" s="35" t="n">
        <f aca="false">($M$99+$Q$99*Assumptions!$D$108)/($N$99+$Q$99)</f>
        <v>1.80582485027206</v>
      </c>
      <c r="S99" s="35" t="n">
        <f aca="false">IF($R$99&lt;Assumptions!$D$108,$M$99/$N$99,$R$99)</f>
        <v>1.80582485027206</v>
      </c>
      <c r="T99" s="34" t="n">
        <f aca="false">IF($R$99&lt;Assumptions!$D$108,0,$Q$99)</f>
        <v>10.8695652173913</v>
      </c>
      <c r="U99" s="19" t="n">
        <f aca="false">$T$99*MAX(0,$S$99-Assumptions!$D$108)</f>
        <v>8.75896576382679</v>
      </c>
      <c r="V99" s="19" t="n">
        <f aca="false">$H$99/Assumptions!$D$108*$S$99</f>
        <v>433.397964065296</v>
      </c>
      <c r="W99" s="24" t="n">
        <f aca="false">$V$99/$H$99</f>
        <v>1.80582485027206</v>
      </c>
      <c r="X99" s="25" t="n">
        <f aca="false">$W$99^(1/$E$99)-1</f>
        <v>0.125473114678262</v>
      </c>
    </row>
    <row r="100" customFormat="false" ht="15" hidden="false" customHeight="false" outlineLevel="0" collapsed="false">
      <c r="B100" s="9" t="s">
        <v>355</v>
      </c>
      <c r="C100" s="22" t="n">
        <v>10</v>
      </c>
      <c r="D100" s="22" t="n">
        <v>10</v>
      </c>
      <c r="E100" s="33" t="n">
        <f aca="false">Assumptions!$D$133</f>
        <v>5</v>
      </c>
      <c r="F100" s="19" t="n">
        <f aca="false">$C$100*Assumptions!$D$24</f>
        <v>500</v>
      </c>
      <c r="G100" s="19" t="n">
        <f aca="false">$F$100+Assumptions!$D$76+Case_Base!$D$33+Assumptions!$D$78-Case_Base!$D$52</f>
        <v>250</v>
      </c>
      <c r="H100" s="19" t="n">
        <f aca="false">$G$100-Assumptions!$D$107</f>
        <v>240</v>
      </c>
      <c r="I100" s="19" t="n">
        <f aca="false">INDEX(Case_Base!$E$72:$L$72,1,$E$100+1)</f>
        <v>77.82288952</v>
      </c>
      <c r="J100" s="19" t="n">
        <f aca="false">INDEX(Case_Base!$E$124:$L$124,1,$E$100+1)</f>
        <v>229.684737262957</v>
      </c>
      <c r="K100" s="19" t="n">
        <f aca="false">$D$100*$I$100</f>
        <v>778.2288952</v>
      </c>
      <c r="L100" s="19" t="n">
        <f aca="false">Assumptions!$D$132*$K$100</f>
        <v>11.673433428</v>
      </c>
      <c r="M100" s="19" t="n">
        <f aca="false">$K$100-$J$100-$L$100</f>
        <v>536.870724509043</v>
      </c>
      <c r="N100" s="34" t="n">
        <f aca="false">$G$100/Assumptions!$D$108</f>
        <v>250</v>
      </c>
      <c r="O100" s="34" t="n">
        <f aca="false">$N$100*Assumptions!$D$109/(1-Assumptions!$D$109)</f>
        <v>21.7391304347826</v>
      </c>
      <c r="P100" s="35" t="n">
        <f aca="false">($M$100+$O$100*Assumptions!$D$108)/($N$100+$O$100)</f>
        <v>2.05568426619328</v>
      </c>
      <c r="Q100" s="34" t="n">
        <f aca="false">IF($P$100/Assumptions!$D$108&gt;=Assumptions!$D$110,$O$100,$O$100*0.5)</f>
        <v>21.7391304347826</v>
      </c>
      <c r="R100" s="35" t="n">
        <f aca="false">($M$100+$Q$100*Assumptions!$D$108)/($N$100+$Q$100)</f>
        <v>2.05568426619328</v>
      </c>
      <c r="S100" s="35" t="n">
        <f aca="false">IF($R$100&lt;Assumptions!$D$108,$M$100/$N$100,$R$100)</f>
        <v>2.05568426619328</v>
      </c>
      <c r="T100" s="34" t="n">
        <f aca="false">IF($R$100&lt;Assumptions!$D$108,0,$Q$100)</f>
        <v>21.7391304347826</v>
      </c>
      <c r="U100" s="19" t="n">
        <f aca="false">$T$100*MAX(0,$S$100-Assumptions!$D$108)</f>
        <v>22.9496579607234</v>
      </c>
      <c r="V100" s="19" t="n">
        <f aca="false">$H$100/Assumptions!$D$108*$S$100</f>
        <v>493.364223886387</v>
      </c>
      <c r="W100" s="24" t="n">
        <f aca="false">$V$100/$H$100</f>
        <v>2.05568426619328</v>
      </c>
      <c r="X100" s="25" t="n">
        <f aca="false">$W$100^(1/$E$100)-1</f>
        <v>0.155024728561747</v>
      </c>
    </row>
    <row r="101" customFormat="false" ht="15" hidden="false" customHeight="false" outlineLevel="0" collapsed="false">
      <c r="B101" s="9" t="s">
        <v>356</v>
      </c>
      <c r="C101" s="22" t="n">
        <v>10</v>
      </c>
      <c r="D101" s="22" t="n">
        <v>11</v>
      </c>
      <c r="E101" s="33" t="n">
        <f aca="false">Assumptions!$D$133</f>
        <v>5</v>
      </c>
      <c r="F101" s="19" t="n">
        <f aca="false">$C$101*Assumptions!$D$24</f>
        <v>500</v>
      </c>
      <c r="G101" s="19" t="n">
        <f aca="false">$F$101+Assumptions!$D$76+Case_Base!$D$33+Assumptions!$D$78-Case_Base!$D$52</f>
        <v>250</v>
      </c>
      <c r="H101" s="19" t="n">
        <f aca="false">$G$101-Assumptions!$D$107</f>
        <v>240</v>
      </c>
      <c r="I101" s="19" t="n">
        <f aca="false">INDEX(Case_Base!$E$72:$L$72,1,$E$101+1)</f>
        <v>77.82288952</v>
      </c>
      <c r="J101" s="19" t="n">
        <f aca="false">INDEX(Case_Base!$E$124:$L$124,1,$E$101+1)</f>
        <v>229.684737262957</v>
      </c>
      <c r="K101" s="19" t="n">
        <f aca="false">$D$101*$I$101</f>
        <v>856.05178472</v>
      </c>
      <c r="L101" s="19" t="n">
        <f aca="false">Assumptions!$D$132*$K$101</f>
        <v>12.8407767708</v>
      </c>
      <c r="M101" s="19" t="n">
        <f aca="false">$K$101-$J$101-$L$101</f>
        <v>613.526270686243</v>
      </c>
      <c r="N101" s="34" t="n">
        <f aca="false">$G$101/Assumptions!$D$108</f>
        <v>250</v>
      </c>
      <c r="O101" s="34" t="n">
        <f aca="false">$N$101*Assumptions!$D$109/(1-Assumptions!$D$109)</f>
        <v>21.7391304347826</v>
      </c>
      <c r="P101" s="35" t="n">
        <f aca="false">($M$101+$O$101*Assumptions!$D$108)/($N$101+$O$101)</f>
        <v>2.33777667612537</v>
      </c>
      <c r="Q101" s="34" t="n">
        <f aca="false">IF($P$101/Assumptions!$D$108&gt;=Assumptions!$D$110,$O$101,$O$101*0.5)</f>
        <v>21.7391304347826</v>
      </c>
      <c r="R101" s="35" t="n">
        <f aca="false">($M$101+$Q$101*Assumptions!$D$108)/($N$101+$Q$101)</f>
        <v>2.33777667612537</v>
      </c>
      <c r="S101" s="35" t="n">
        <f aca="false">IF($R$101&lt;Assumptions!$D$108,$M$101/$N$101,$R$101)</f>
        <v>2.33777667612537</v>
      </c>
      <c r="T101" s="34" t="n">
        <f aca="false">IF($R$101&lt;Assumptions!$D$108,0,$Q$101)</f>
        <v>21.7391304347826</v>
      </c>
      <c r="U101" s="19" t="n">
        <f aca="false">$T$101*MAX(0,$S$101-Assumptions!$D$108)</f>
        <v>29.0821016548994</v>
      </c>
      <c r="V101" s="19" t="n">
        <f aca="false">$H$101/Assumptions!$D$108*$S$101</f>
        <v>561.06640227009</v>
      </c>
      <c r="W101" s="24" t="n">
        <f aca="false">$V$101/$H$101</f>
        <v>2.33777667612537</v>
      </c>
      <c r="X101" s="25" t="n">
        <f aca="false">$W$101^(1/$E$101)-1</f>
        <v>0.185115298135754</v>
      </c>
    </row>
    <row r="103" customFormat="false" ht="15" hidden="false" customHeight="false" outlineLevel="0" collapsed="false">
      <c r="B103" s="7" t="s">
        <v>357</v>
      </c>
      <c r="C103" s="36" t="n">
        <f aca="false">$D$77</f>
        <v>7</v>
      </c>
      <c r="D103" s="36" t="n">
        <f aca="false">$D$78</f>
        <v>8</v>
      </c>
      <c r="E103" s="36" t="n">
        <f aca="false">$D$79</f>
        <v>9</v>
      </c>
      <c r="F103" s="36" t="n">
        <f aca="false">$D$80</f>
        <v>10</v>
      </c>
      <c r="G103" s="36" t="n">
        <f aca="false">$D$81</f>
        <v>11</v>
      </c>
    </row>
    <row r="104" customFormat="false" ht="15" hidden="false" customHeight="false" outlineLevel="0" collapsed="false">
      <c r="B104" s="36" t="n">
        <f aca="false">$C$77</f>
        <v>8</v>
      </c>
      <c r="C104" s="25" t="n">
        <f aca="false">$X$77</f>
        <v>0.148978818771661</v>
      </c>
      <c r="D104" s="25" t="n">
        <f aca="false">$X$78</f>
        <v>0.194567065126789</v>
      </c>
      <c r="E104" s="25" t="n">
        <f aca="false">$X$79</f>
        <v>0.237539378218018</v>
      </c>
      <c r="F104" s="25" t="n">
        <f aca="false">$X$80</f>
        <v>0.275258717372125</v>
      </c>
      <c r="G104" s="25" t="n">
        <f aca="false">$X$81</f>
        <v>0.30898056452746</v>
      </c>
    </row>
    <row r="105" customFormat="false" ht="15" hidden="false" customHeight="false" outlineLevel="0" collapsed="false">
      <c r="B105" s="36" t="n">
        <f aca="false">$C$82</f>
        <v>8.5</v>
      </c>
      <c r="C105" s="25" t="n">
        <f aca="false">$X$82</f>
        <v>0.114867791924489</v>
      </c>
      <c r="D105" s="25" t="n">
        <f aca="false">$X$83</f>
        <v>0.159567357497601</v>
      </c>
      <c r="E105" s="25" t="n">
        <f aca="false">$X$84</f>
        <v>0.201068402306305</v>
      </c>
      <c r="F105" s="25" t="n">
        <f aca="false">$X$85</f>
        <v>0.23751831599392</v>
      </c>
      <c r="G105" s="25" t="n">
        <f aca="false">$X$86</f>
        <v>0.270119780825261</v>
      </c>
    </row>
    <row r="106" customFormat="false" ht="15" hidden="false" customHeight="false" outlineLevel="0" collapsed="false">
      <c r="B106" s="36" t="n">
        <f aca="false">$C$87</f>
        <v>9</v>
      </c>
      <c r="C106" s="25" t="n">
        <f aca="false">$X$87</f>
        <v>0.0862371367757975</v>
      </c>
      <c r="D106" s="25" t="n">
        <f aca="false">$X$88</f>
        <v>0.134517189213139</v>
      </c>
      <c r="E106" s="25" t="n">
        <f aca="false">$X$89</f>
        <v>0.170484343544686</v>
      </c>
      <c r="F106" s="25" t="n">
        <f aca="false">$X$90</f>
        <v>0.205853620791551</v>
      </c>
      <c r="G106" s="25" t="n">
        <f aca="false">$X$91</f>
        <v>0.237502518384802</v>
      </c>
    </row>
    <row r="107" customFormat="false" ht="15" hidden="false" customHeight="false" outlineLevel="0" collapsed="false">
      <c r="B107" s="36" t="n">
        <f aca="false">$C$92</f>
        <v>9.5</v>
      </c>
      <c r="C107" s="25" t="n">
        <f aca="false">$X$92</f>
        <v>0.061677903800927</v>
      </c>
      <c r="D107" s="25" t="n">
        <f aca="false">$X$93</f>
        <v>0.108717577283023</v>
      </c>
      <c r="E107" s="25" t="n">
        <f aca="false">$X$94</f>
        <v>0.148909916251947</v>
      </c>
      <c r="F107" s="25" t="n">
        <f aca="false">$X$95</f>
        <v>0.178702207188634</v>
      </c>
      <c r="G107" s="25" t="n">
        <f aca="false">$X$96</f>
        <v>0.209523628090407</v>
      </c>
    </row>
    <row r="108" customFormat="false" ht="15" hidden="false" customHeight="false" outlineLevel="0" collapsed="false">
      <c r="B108" s="36" t="n">
        <f aca="false">$C$97</f>
        <v>10</v>
      </c>
      <c r="C108" s="25" t="n">
        <f aca="false">$X$97</f>
        <v>0.0402528011800736</v>
      </c>
      <c r="D108" s="25" t="n">
        <f aca="false">$X$98</f>
        <v>0.0861983238778794</v>
      </c>
      <c r="E108" s="25" t="n">
        <f aca="false">$X$99</f>
        <v>0.125473114678262</v>
      </c>
      <c r="F108" s="25" t="n">
        <f aca="false">$X$100</f>
        <v>0.155024728561747</v>
      </c>
      <c r="G108" s="25" t="n">
        <f aca="false">$X$101</f>
        <v>0.185115298135754</v>
      </c>
    </row>
    <row r="110" customFormat="false" ht="15" hidden="false" customHeight="false" outlineLevel="0" collapsed="false">
      <c r="B110" s="7" t="s">
        <v>358</v>
      </c>
      <c r="C110" s="8"/>
      <c r="D110" s="8"/>
      <c r="E110" s="8"/>
      <c r="F110" s="8"/>
      <c r="G110" s="8"/>
      <c r="H110" s="8"/>
      <c r="I110" s="8"/>
      <c r="J110" s="8"/>
      <c r="K110" s="8"/>
      <c r="L110" s="8"/>
      <c r="M110" s="8"/>
      <c r="N110" s="8"/>
      <c r="O110" s="8"/>
      <c r="P110" s="8"/>
      <c r="Q110" s="8"/>
      <c r="R110" s="8"/>
      <c r="S110" s="8"/>
      <c r="T110" s="8"/>
      <c r="U110" s="8"/>
      <c r="V110" s="8"/>
      <c r="W110" s="8"/>
      <c r="X110" s="8"/>
    </row>
    <row r="111" customFormat="false" ht="15" hidden="false" customHeight="false" outlineLevel="0" collapsed="false">
      <c r="B111" s="9" t="s">
        <v>359</v>
      </c>
      <c r="D111" s="25" t="n">
        <f aca="false">Case_No_Sweep!$D$223</f>
        <v>0.168829321968852</v>
      </c>
    </row>
    <row r="112" customFormat="false" ht="15" hidden="false" customHeight="false" outlineLevel="0" collapsed="false">
      <c r="B112" s="9" t="s">
        <v>360</v>
      </c>
      <c r="C112" s="6" t="s">
        <v>79</v>
      </c>
      <c r="D112" s="24" t="n">
        <f aca="false">Case_No_Sweep!$D$225</f>
        <v>2.18150137069918</v>
      </c>
    </row>
    <row r="113" customFormat="false" ht="15" hidden="false" customHeight="false" outlineLevel="0" collapsed="false">
      <c r="B113" s="9" t="s">
        <v>361</v>
      </c>
      <c r="C113" s="6" t="s">
        <v>231</v>
      </c>
      <c r="D113" s="25" t="n">
        <f aca="false">Case_Base!$D$223-Case_No_Sweep!$D$223</f>
        <v>0.00165502157583411</v>
      </c>
    </row>
    <row r="114" customFormat="false" ht="15" hidden="false" customHeight="false" outlineLevel="0" collapsed="false">
      <c r="B114" s="9" t="s">
        <v>362</v>
      </c>
      <c r="D114" s="25" t="n">
        <f aca="false">Assumptions!$D$84</f>
        <v>0.085</v>
      </c>
    </row>
    <row r="115" customFormat="false" ht="15" hidden="false" customHeight="false" outlineLevel="0" collapsed="false">
      <c r="B115" s="9" t="s">
        <v>363</v>
      </c>
      <c r="D115" s="25" t="n">
        <f aca="false">Assumptions!$D$9</f>
        <v>0.02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1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6"/>
    <col collapsed="false" customWidth="true" hidden="false" outlineLevel="0" max="3" min="3" style="0" width="22"/>
    <col collapsed="false" customWidth="true" hidden="false" outlineLevel="0" max="5" min="4" style="0" width="14"/>
    <col collapsed="false" customWidth="true" hidden="false" outlineLevel="0" max="8" min="6" style="0" width="13"/>
    <col collapsed="false" customWidth="true" hidden="false" outlineLevel="0" max="10" min="9" style="0" width="14"/>
    <col collapsed="false" customWidth="true" hidden="false" outlineLevel="0" max="12" min="11" style="0" width="12"/>
  </cols>
  <sheetData>
    <row r="1" customFormat="false" ht="6" hidden="false" customHeight="true" outlineLevel="0" collapsed="false"/>
    <row r="2" customFormat="false" ht="17.35" hidden="false" customHeight="false" outlineLevel="0" collapsed="false">
      <c r="B2" s="5" t="s">
        <v>364</v>
      </c>
    </row>
    <row r="3" customFormat="false" ht="15" hidden="false" customHeight="false" outlineLevel="0" collapsed="false">
      <c r="B3" s="6" t="s">
        <v>365</v>
      </c>
    </row>
    <row r="5" customFormat="false" ht="42" hidden="false" customHeight="true" outlineLevel="0" collapsed="false">
      <c r="B5" s="15" t="s">
        <v>253</v>
      </c>
      <c r="C5" s="16" t="s">
        <v>366</v>
      </c>
      <c r="D5" s="16" t="s">
        <v>367</v>
      </c>
      <c r="E5" s="16" t="s">
        <v>368</v>
      </c>
      <c r="F5" s="16" t="s">
        <v>369</v>
      </c>
      <c r="G5" s="16" t="s">
        <v>370</v>
      </c>
      <c r="H5" s="16" t="s">
        <v>371</v>
      </c>
      <c r="I5" s="16" t="s">
        <v>195</v>
      </c>
      <c r="J5" s="16" t="s">
        <v>268</v>
      </c>
      <c r="K5" s="16" t="s">
        <v>270</v>
      </c>
      <c r="L5" s="16" t="s">
        <v>269</v>
      </c>
    </row>
    <row r="6" customFormat="false" ht="30" hidden="false" customHeight="true" outlineLevel="0" collapsed="false">
      <c r="B6" s="37" t="s">
        <v>372</v>
      </c>
      <c r="C6" s="9" t="s">
        <v>307</v>
      </c>
      <c r="D6" s="38" t="n">
        <f aca="false">Case_Base!$F$105</f>
        <v>24.625</v>
      </c>
      <c r="E6" s="24" t="n">
        <f aca="false">Case_Base!$H$161</f>
        <v>4.62722838237745</v>
      </c>
      <c r="F6" s="24" t="n">
        <f aca="false">Case_Base!$H$162</f>
        <v>4.75</v>
      </c>
      <c r="G6" s="24" t="n">
        <f aca="false">Case_Base!$H$163</f>
        <v>0.122771617622552</v>
      </c>
      <c r="H6" s="19" t="n">
        <f aca="false">Case_Base!$D$171</f>
        <v>77.82288952</v>
      </c>
      <c r="I6" s="19" t="n">
        <f aca="false">Case_Base!$D$179</f>
        <v>460.215178331843</v>
      </c>
      <c r="J6" s="19" t="n">
        <f aca="false">Case_Base!$D$200</f>
        <v>417.428065862031</v>
      </c>
      <c r="K6" s="25" t="n">
        <f aca="false">Case_Base!$D$223</f>
        <v>0.170484343544686</v>
      </c>
      <c r="L6" s="24" t="n">
        <f aca="false">Case_Base!$D$225</f>
        <v>2.19698982032648</v>
      </c>
    </row>
    <row r="7" customFormat="false" ht="30" hidden="false" customHeight="true" outlineLevel="0" collapsed="false">
      <c r="B7" s="37" t="s">
        <v>373</v>
      </c>
      <c r="C7" s="9" t="s">
        <v>374</v>
      </c>
      <c r="D7" s="38" t="n">
        <f aca="false">Case_Unitranche!$F$105</f>
        <v>27.5</v>
      </c>
      <c r="E7" s="24" t="n">
        <f aca="false">Case_Unitranche!$H$161</f>
        <v>4.78580423344625</v>
      </c>
      <c r="F7" s="24" t="n">
        <f aca="false">Case_Unitranche!$H$162</f>
        <v>4.75</v>
      </c>
      <c r="G7" s="24" t="n">
        <f aca="false">Case_Unitranche!$H$163</f>
        <v>-0.0358042334462461</v>
      </c>
      <c r="H7" s="19" t="n">
        <f aca="false">Case_Unitranche!$D$171</f>
        <v>77.82288952</v>
      </c>
      <c r="I7" s="19" t="n">
        <f aca="false">Case_Unitranche!$D$179</f>
        <v>442.9399140616</v>
      </c>
      <c r="J7" s="19" t="n">
        <f aca="false">Case_Unitranche!$D$200</f>
        <v>402.329484889838</v>
      </c>
      <c r="K7" s="25" t="n">
        <f aca="false">Case_Unitranche!$D$223</f>
        <v>0.161891707288726</v>
      </c>
      <c r="L7" s="24" t="n">
        <f aca="false">Case_Unitranche!$D$225</f>
        <v>2.11752360468336</v>
      </c>
    </row>
    <row r="8" customFormat="false" ht="30" hidden="false" customHeight="true" outlineLevel="0" collapsed="false">
      <c r="B8" s="37" t="s">
        <v>375</v>
      </c>
      <c r="C8" s="9" t="s">
        <v>376</v>
      </c>
      <c r="D8" s="38" t="n">
        <f aca="false">Case_Rates_Up!$F$105</f>
        <v>29.125</v>
      </c>
      <c r="E8" s="24" t="n">
        <f aca="false">Case_Rates_Up!$H$161</f>
        <v>4.87727317908772</v>
      </c>
      <c r="F8" s="24" t="n">
        <f aca="false">Case_Rates_Up!$H$162</f>
        <v>4.75</v>
      </c>
      <c r="G8" s="24" t="n">
        <f aca="false">Case_Rates_Up!$H$163</f>
        <v>-0.127273179087717</v>
      </c>
      <c r="H8" s="19" t="n">
        <f aca="false">Case_Rates_Up!$D$171</f>
        <v>77.82288952</v>
      </c>
      <c r="I8" s="19" t="n">
        <f aca="false">Case_Rates_Up!$D$179</f>
        <v>432.93087690546</v>
      </c>
      <c r="J8" s="19" t="n">
        <f aca="false">Case_Rates_Up!$D$200</f>
        <v>393.581586415372</v>
      </c>
      <c r="K8" s="25" t="n">
        <f aca="false">Case_Rates_Up!$D$223</f>
        <v>0.156794550867137</v>
      </c>
      <c r="L8" s="24" t="n">
        <f aca="false">Case_Rates_Up!$D$225</f>
        <v>2.07148203376512</v>
      </c>
    </row>
    <row r="9" customFormat="false" ht="30" hidden="false" customHeight="true" outlineLevel="0" collapsed="false">
      <c r="B9" s="37" t="s">
        <v>377</v>
      </c>
      <c r="C9" s="9" t="s">
        <v>378</v>
      </c>
      <c r="D9" s="38" t="n">
        <f aca="false">Case_No_Addon!$F$105</f>
        <v>24.625</v>
      </c>
      <c r="E9" s="24" t="n">
        <f aca="false">Case_No_Addon!$H$161</f>
        <v>4.63545098020979</v>
      </c>
      <c r="F9" s="24" t="n">
        <f aca="false">Case_No_Addon!$H$162</f>
        <v>4.75</v>
      </c>
      <c r="G9" s="24" t="n">
        <f aca="false">Case_No_Addon!$H$163</f>
        <v>0.114549019790211</v>
      </c>
      <c r="H9" s="19" t="n">
        <f aca="false">Case_No_Addon!$D$171</f>
        <v>65.82397752</v>
      </c>
      <c r="I9" s="19" t="n">
        <f aca="false">Case_No_Addon!$D$179</f>
        <v>398.045145092003</v>
      </c>
      <c r="J9" s="19" t="n">
        <f aca="false">Case_No_Addon!$D$200</f>
        <v>370.303600844178</v>
      </c>
      <c r="K9" s="25" t="n">
        <f aca="false">Case_No_Addon!$D$223</f>
        <v>0.142775357604457</v>
      </c>
      <c r="L9" s="24" t="n">
        <f aca="false">Case_No_Addon!$D$225</f>
        <v>1.94896632023252</v>
      </c>
    </row>
    <row r="10" customFormat="false" ht="30" hidden="false" customHeight="true" outlineLevel="0" collapsed="false">
      <c r="B10" s="37" t="s">
        <v>379</v>
      </c>
      <c r="C10" s="9" t="s">
        <v>380</v>
      </c>
      <c r="D10" s="38" t="n">
        <f aca="false">Case_No_Bad_Year!$F$105</f>
        <v>24.625</v>
      </c>
      <c r="E10" s="24" t="n">
        <f aca="false">Case_No_Bad_Year!$H$161</f>
        <v>3.5277895943414</v>
      </c>
      <c r="F10" s="24" t="n">
        <f aca="false">Case_No_Bad_Year!$H$162</f>
        <v>4.75</v>
      </c>
      <c r="G10" s="24" t="n">
        <f aca="false">Case_No_Bad_Year!$H$163</f>
        <v>1.2222104056586</v>
      </c>
      <c r="H10" s="19" t="n">
        <f aca="false">Case_No_Bad_Year!$D$171</f>
        <v>84.82544032</v>
      </c>
      <c r="I10" s="19" t="n">
        <f aca="false">Case_No_Bad_Year!$D$179</f>
        <v>543.576466107003</v>
      </c>
      <c r="J10" s="19" t="n">
        <f aca="false">Case_No_Bad_Year!$D$200</f>
        <v>490.285831377521</v>
      </c>
      <c r="K10" s="25" t="n">
        <f aca="false">Case_No_Bad_Year!$D$223</f>
        <v>0.208757407070763</v>
      </c>
      <c r="L10" s="24" t="n">
        <f aca="false">Case_No_Bad_Year!$D$225</f>
        <v>2.58045174409221</v>
      </c>
    </row>
    <row r="11" customFormat="false" ht="30" hidden="false" customHeight="true" outlineLevel="0" collapsed="false">
      <c r="B11" s="37" t="s">
        <v>381</v>
      </c>
      <c r="C11" s="9" t="s">
        <v>382</v>
      </c>
      <c r="D11" s="38" t="n">
        <f aca="false">Case_Deeper_Bad_Year!$F$105</f>
        <v>24.625</v>
      </c>
      <c r="E11" s="24" t="n">
        <f aca="false">Case_Deeper_Bad_Year!$H$161</f>
        <v>5.38606112189747</v>
      </c>
      <c r="F11" s="24" t="n">
        <f aca="false">Case_Deeper_Bad_Year!$H$162</f>
        <v>4.75</v>
      </c>
      <c r="G11" s="24" t="n">
        <f aca="false">Case_Deeper_Bad_Year!$H$163</f>
        <v>-0.636061121897474</v>
      </c>
      <c r="H11" s="19" t="n">
        <f aca="false">Case_Deeper_Bad_Year!$D$171</f>
        <v>73.62135904</v>
      </c>
      <c r="I11" s="19" t="n">
        <f aca="false">Case_Deeper_Bad_Year!$D$179</f>
        <v>413.733956173598</v>
      </c>
      <c r="J11" s="19" t="n">
        <f aca="false">Case_Deeper_Bad_Year!$D$200</f>
        <v>384.586955933046</v>
      </c>
      <c r="K11" s="25" t="n">
        <f aca="false">Case_Deeper_Bad_Year!$D$223</f>
        <v>0.151458234262301</v>
      </c>
      <c r="L11" s="24" t="n">
        <f aca="false">Case_Deeper_Bad_Year!$D$225</f>
        <v>2.02414187333182</v>
      </c>
    </row>
    <row r="12" customFormat="false" ht="30" hidden="false" customHeight="true" outlineLevel="0" collapsed="false">
      <c r="B12" s="37" t="s">
        <v>383</v>
      </c>
      <c r="C12" s="9" t="s">
        <v>384</v>
      </c>
      <c r="D12" s="38" t="n">
        <f aca="false">Case_Equity_Cure!$F$105</f>
        <v>24.625</v>
      </c>
      <c r="E12" s="24" t="n">
        <f aca="false">Case_Equity_Cure!$H$161</f>
        <v>4.62922286104236</v>
      </c>
      <c r="F12" s="24" t="n">
        <f aca="false">Case_Equity_Cure!$H$162</f>
        <v>4.75</v>
      </c>
      <c r="G12" s="24" t="n">
        <f aca="false">Case_Equity_Cure!$H$163</f>
        <v>0.120777138957644</v>
      </c>
      <c r="H12" s="19" t="n">
        <f aca="false">Case_Equity_Cure!$D$171</f>
        <v>73.62135904</v>
      </c>
      <c r="I12" s="19" t="n">
        <f aca="false">Case_Equity_Cure!$D$179</f>
        <v>421.601999923598</v>
      </c>
      <c r="J12" s="19" t="n">
        <f aca="false">Case_Equity_Cure!$D$200</f>
        <v>393.001141232377</v>
      </c>
      <c r="K12" s="25" t="n">
        <f aca="false">Case_Equity_Cure!$D$223</f>
        <v>0.150943694003238</v>
      </c>
      <c r="L12" s="24" t="n">
        <f aca="false">Case_Equity_Cure!$D$225</f>
        <v>1.99492965092577</v>
      </c>
    </row>
    <row r="13" customFormat="false" ht="30" hidden="false" customHeight="true" outlineLevel="0" collapsed="false">
      <c r="B13" s="37" t="s">
        <v>385</v>
      </c>
      <c r="C13" s="9" t="s">
        <v>386</v>
      </c>
      <c r="D13" s="38" t="n">
        <f aca="false">Case_Amend_Extend!$F$105</f>
        <v>24.625</v>
      </c>
      <c r="E13" s="24" t="n">
        <f aca="false">Case_Amend_Extend!$H$161</f>
        <v>5.42261431408023</v>
      </c>
      <c r="F13" s="24" t="n">
        <f aca="false">Case_Amend_Extend!$H$162</f>
        <v>5.5</v>
      </c>
      <c r="G13" s="24" t="n">
        <f aca="false">Case_Amend_Extend!$H$163</f>
        <v>0.0773856859197748</v>
      </c>
      <c r="H13" s="19" t="n">
        <f aca="false">Case_Amend_Extend!$D$171</f>
        <v>73.62135904</v>
      </c>
      <c r="I13" s="19" t="n">
        <f aca="false">Case_Amend_Extend!$D$179</f>
        <v>406.639029902166</v>
      </c>
      <c r="J13" s="19" t="n">
        <f aca="false">Case_Amend_Extend!$D$200</f>
        <v>378.127616806764</v>
      </c>
      <c r="K13" s="25" t="n">
        <f aca="false">Case_Amend_Extend!$D$223</f>
        <v>0.147564115443235</v>
      </c>
      <c r="L13" s="24" t="n">
        <f aca="false">Case_Amend_Extend!$D$225</f>
        <v>1.99014535161455</v>
      </c>
    </row>
    <row r="14" customFormat="false" ht="30" hidden="false" customHeight="true" outlineLevel="0" collapsed="false">
      <c r="B14" s="37" t="s">
        <v>387</v>
      </c>
      <c r="C14" s="9" t="s">
        <v>388</v>
      </c>
      <c r="D14" s="38" t="n">
        <f aca="false">Case_Recap!$F$105</f>
        <v>24.625</v>
      </c>
      <c r="E14" s="24" t="n">
        <f aca="false">Case_Recap!$H$161</f>
        <v>4.62722838237745</v>
      </c>
      <c r="F14" s="24" t="n">
        <f aca="false">Case_Recap!$H$162</f>
        <v>4.75</v>
      </c>
      <c r="G14" s="24" t="n">
        <f aca="false">Case_Recap!$H$163</f>
        <v>0.122771617622552</v>
      </c>
      <c r="H14" s="19" t="n">
        <f aca="false">Case_Recap!$D$171</f>
        <v>77.82288952</v>
      </c>
      <c r="I14" s="19" t="n">
        <f aca="false">Case_Recap!$D$179</f>
        <v>421.687615831843</v>
      </c>
      <c r="J14" s="19" t="n">
        <f aca="false">Case_Recap!$D$200</f>
        <v>383.754976237031</v>
      </c>
      <c r="K14" s="25" t="n">
        <f aca="false">Case_Recap!$D$223</f>
        <v>0.17346644129639</v>
      </c>
      <c r="L14" s="24" t="n">
        <f aca="false">Case_Recap!$D$225</f>
        <v>2.19476303282648</v>
      </c>
    </row>
    <row r="15" customFormat="false" ht="30" hidden="false" customHeight="true" outlineLevel="0" collapsed="false">
      <c r="B15" s="37" t="s">
        <v>389</v>
      </c>
      <c r="C15" s="9" t="s">
        <v>390</v>
      </c>
      <c r="D15" s="38" t="n">
        <f aca="false">Case_Recap_Exit_7x!$F$105</f>
        <v>24.625</v>
      </c>
      <c r="E15" s="24" t="n">
        <f aca="false">Case_Recap_Exit_7x!$H$161</f>
        <v>4.62722838237745</v>
      </c>
      <c r="F15" s="24" t="n">
        <f aca="false">Case_Recap_Exit_7x!$H$162</f>
        <v>4.75</v>
      </c>
      <c r="G15" s="24" t="n">
        <f aca="false">Case_Recap_Exit_7x!$H$163</f>
        <v>0.122771617622552</v>
      </c>
      <c r="H15" s="19" t="n">
        <f aca="false">Case_Recap_Exit_7x!$D$171</f>
        <v>77.82288952</v>
      </c>
      <c r="I15" s="19" t="n">
        <f aca="false">Case_Recap_Exit_7x!$D$179</f>
        <v>268.376523477443</v>
      </c>
      <c r="J15" s="19" t="n">
        <f aca="false">Case_Recap_Exit_7x!$D$200</f>
        <v>252.251126582589</v>
      </c>
      <c r="K15" s="25" t="n">
        <f aca="false">Case_Recap_Exit_7x!$D$223</f>
        <v>0.0870434971509742</v>
      </c>
      <c r="L15" s="24" t="n">
        <f aca="false">Case_Recap_Exit_7x!$D$225</f>
        <v>1.50263750832941</v>
      </c>
    </row>
    <row r="16" customFormat="false" ht="30" hidden="false" customHeight="true" outlineLevel="0" collapsed="false">
      <c r="B16" s="37" t="s">
        <v>391</v>
      </c>
      <c r="C16" s="9" t="s">
        <v>392</v>
      </c>
      <c r="D16" s="38" t="n">
        <f aca="false">Case_Downside!$F$105</f>
        <v>24.625</v>
      </c>
      <c r="E16" s="24" t="n">
        <f aca="false">Case_Downside!$H$161</f>
        <v>4.98354700284714</v>
      </c>
      <c r="F16" s="24" t="n">
        <f aca="false">Case_Downside!$H$162</f>
        <v>4.75</v>
      </c>
      <c r="G16" s="24" t="n">
        <f aca="false">Case_Downside!$H$163</f>
        <v>-0.233547002847136</v>
      </c>
      <c r="H16" s="19" t="n">
        <f aca="false">Case_Downside!$D$171</f>
        <v>74.29660501</v>
      </c>
      <c r="I16" s="19" t="n">
        <f aca="false">Case_Downside!$D$179</f>
        <v>306.876531737765</v>
      </c>
      <c r="J16" s="19" t="n">
        <f aca="false">Case_Downside!$D$200</f>
        <v>287.30217576959</v>
      </c>
      <c r="K16" s="25" t="n">
        <f aca="false">Case_Downside!$D$223</f>
        <v>0.0862181687729054</v>
      </c>
      <c r="L16" s="24" t="n">
        <f aca="false">Case_Downside!$D$225</f>
        <v>1.51211671457679</v>
      </c>
    </row>
    <row r="17" customFormat="false" ht="30" hidden="false" customHeight="true" outlineLevel="0" collapsed="false">
      <c r="B17" s="37" t="s">
        <v>393</v>
      </c>
      <c r="C17" s="9" t="s">
        <v>394</v>
      </c>
      <c r="D17" s="38" t="n">
        <f aca="false">Case_No_Sweep!$F$105</f>
        <v>24.625</v>
      </c>
      <c r="E17" s="24" t="n">
        <f aca="false">Case_No_Sweep!$H$161</f>
        <v>4.63960119140845</v>
      </c>
      <c r="F17" s="24" t="n">
        <f aca="false">Case_No_Sweep!$H$162</f>
        <v>4.75</v>
      </c>
      <c r="G17" s="24" t="n">
        <f aca="false">Case_No_Sweep!$H$163</f>
        <v>0.110398808591547</v>
      </c>
      <c r="H17" s="19" t="n">
        <f aca="false">Case_No_Sweep!$D$171</f>
        <v>77.82288952</v>
      </c>
      <c r="I17" s="19" t="n">
        <f aca="false">Case_No_Sweep!$D$179</f>
        <v>456.84812406504</v>
      </c>
      <c r="J17" s="19" t="n">
        <f aca="false">Case_No_Sweep!$D$200</f>
        <v>414.485260432845</v>
      </c>
      <c r="K17" s="25" t="n">
        <f aca="false">Case_No_Sweep!$D$223</f>
        <v>0.168829321968852</v>
      </c>
      <c r="L17" s="24" t="n">
        <f aca="false">Case_No_Sweep!$D$225</f>
        <v>2.18150137069918</v>
      </c>
    </row>
    <row r="18" customFormat="false" ht="30" hidden="false" customHeight="true" outlineLevel="0" collapsed="false">
      <c r="B18" s="37" t="s">
        <v>395</v>
      </c>
      <c r="C18" s="9" t="s">
        <v>396</v>
      </c>
      <c r="D18" s="38" t="n">
        <f aca="false">Case_All_Equity!$F$105</f>
        <v>0</v>
      </c>
      <c r="E18" s="24" t="n">
        <f aca="false">Case_All_Equity!$H$161</f>
        <v>-1.03768581012006</v>
      </c>
      <c r="F18" s="24" t="n">
        <f aca="false">Case_All_Equity!$H$162</f>
        <v>4.75</v>
      </c>
      <c r="G18" s="24" t="n">
        <f aca="false">Case_All_Equity!$H$163</f>
        <v>5.78768581012006</v>
      </c>
      <c r="H18" s="19" t="n">
        <f aca="false">Case_All_Equity!$D$171</f>
        <v>77.82288952</v>
      </c>
      <c r="I18" s="19" t="n">
        <f aca="false">Case_All_Equity!$D$179</f>
        <v>841.275932261906</v>
      </c>
      <c r="J18" s="19" t="n">
        <f aca="false">Case_All_Equity!$D$200</f>
        <v>808.196657801736</v>
      </c>
      <c r="K18" s="25" t="n">
        <f aca="false">Case_All_Equity!$D$223</f>
        <v>0.119557250498785</v>
      </c>
      <c r="L18" s="24" t="n">
        <f aca="false">Case_All_Equity!$D$225</f>
        <v>1.75886106159246</v>
      </c>
    </row>
    <row r="20" customFormat="false" ht="15" hidden="false" customHeight="false" outlineLevel="0" collapsed="false">
      <c r="B20" s="7" t="s">
        <v>397</v>
      </c>
      <c r="C20" s="8"/>
      <c r="D20" s="8"/>
      <c r="E20" s="8"/>
      <c r="F20" s="8"/>
      <c r="G20" s="8"/>
      <c r="H20" s="8"/>
      <c r="I20" s="8"/>
      <c r="J20" s="8"/>
      <c r="K20" s="8"/>
      <c r="L20" s="8"/>
    </row>
    <row r="21" customFormat="false" ht="15" hidden="false" customHeight="false" outlineLevel="0" collapsed="false">
      <c r="B21" s="9" t="s">
        <v>398</v>
      </c>
      <c r="C21" s="6" t="s">
        <v>25</v>
      </c>
      <c r="D21" s="19" t="n">
        <f aca="false">Case_Unitranche!$D$52</f>
        <v>275</v>
      </c>
    </row>
    <row r="22" customFormat="false" ht="15" hidden="false" customHeight="false" outlineLevel="0" collapsed="false">
      <c r="B22" s="9" t="s">
        <v>399</v>
      </c>
      <c r="C22" s="6" t="s">
        <v>79</v>
      </c>
      <c r="D22" s="23" t="n">
        <f aca="false">Assumptions!$D$97</f>
        <v>5.5</v>
      </c>
    </row>
    <row r="23" customFormat="false" ht="15" hidden="false" customHeight="false" outlineLevel="0" collapsed="false">
      <c r="B23" s="9" t="s">
        <v>400</v>
      </c>
      <c r="D23" s="25" t="n">
        <f aca="false">Assumptions!$D$95</f>
        <v>0.06</v>
      </c>
    </row>
    <row r="24" customFormat="false" ht="15" hidden="false" customHeight="false" outlineLevel="0" collapsed="false">
      <c r="B24" s="9" t="s">
        <v>401</v>
      </c>
      <c r="D24" s="25" t="n">
        <f aca="false">Assumptions!$D$96</f>
        <v>0.1</v>
      </c>
    </row>
    <row r="25" customFormat="false" ht="15" hidden="false" customHeight="false" outlineLevel="0" collapsed="false">
      <c r="B25" s="9" t="s">
        <v>402</v>
      </c>
      <c r="C25" s="6" t="s">
        <v>25</v>
      </c>
      <c r="D25" s="38" t="n">
        <f aca="false">Case_Unitranche!$F$105</f>
        <v>27.5</v>
      </c>
    </row>
    <row r="26" customFormat="false" ht="15" hidden="false" customHeight="false" outlineLevel="0" collapsed="false">
      <c r="B26" s="9" t="s">
        <v>403</v>
      </c>
      <c r="C26" s="6" t="s">
        <v>25</v>
      </c>
      <c r="D26" s="38" t="n">
        <f aca="false">Case_Base!$F$105</f>
        <v>24.625</v>
      </c>
    </row>
    <row r="27" customFormat="false" ht="15" hidden="false" customHeight="false" outlineLevel="0" collapsed="false">
      <c r="B27" s="9" t="s">
        <v>404</v>
      </c>
      <c r="D27" s="25" t="n">
        <f aca="false">Case_Unitranche!$D$223</f>
        <v>0.161891707288726</v>
      </c>
    </row>
    <row r="28" customFormat="false" ht="15" hidden="false" customHeight="false" outlineLevel="0" collapsed="false">
      <c r="B28" s="9" t="s">
        <v>405</v>
      </c>
      <c r="C28" s="6" t="s">
        <v>79</v>
      </c>
      <c r="D28" s="24" t="n">
        <f aca="false">Case_Unitranche!$D$225</f>
        <v>2.11752360468336</v>
      </c>
    </row>
    <row r="29" customFormat="false" ht="15" hidden="false" customHeight="false" outlineLevel="0" collapsed="false">
      <c r="B29" s="9" t="s">
        <v>406</v>
      </c>
      <c r="C29" s="6" t="s">
        <v>79</v>
      </c>
      <c r="D29" s="24" t="n">
        <f aca="false">Case_Unitranche!$H$163</f>
        <v>-0.0358042334462461</v>
      </c>
    </row>
    <row r="30" customFormat="false" ht="15" hidden="false" customHeight="false" outlineLevel="0" collapsed="false">
      <c r="B30" s="9" t="s">
        <v>407</v>
      </c>
      <c r="C30" s="6" t="s">
        <v>79</v>
      </c>
      <c r="D30" s="24" t="n">
        <f aca="false">Case_Base!$H$163</f>
        <v>0.122771617622552</v>
      </c>
    </row>
    <row r="31" customFormat="false" ht="15" hidden="false" customHeight="false" outlineLevel="0" collapsed="false">
      <c r="B31" s="9" t="s">
        <v>408</v>
      </c>
      <c r="D31" s="25" t="n">
        <f aca="false">Case_Rates_Up!$D$18</f>
        <v>0.06</v>
      </c>
    </row>
    <row r="32" customFormat="false" ht="15" hidden="false" customHeight="false" outlineLevel="0" collapsed="false">
      <c r="B32" s="9" t="s">
        <v>409</v>
      </c>
      <c r="C32" s="6" t="s">
        <v>25</v>
      </c>
      <c r="D32" s="38" t="n">
        <f aca="false">Case_Rates_Up!$F$105</f>
        <v>29.125</v>
      </c>
    </row>
    <row r="33" customFormat="false" ht="15" hidden="false" customHeight="false" outlineLevel="0" collapsed="false">
      <c r="B33" s="9" t="s">
        <v>410</v>
      </c>
      <c r="D33" s="25" t="n">
        <f aca="false">Case_Rates_Up!$D$223</f>
        <v>0.156794550867137</v>
      </c>
    </row>
    <row r="34" customFormat="false" ht="15" hidden="false" customHeight="false" outlineLevel="0" collapsed="false">
      <c r="B34" s="9" t="s">
        <v>411</v>
      </c>
      <c r="C34" s="6" t="s">
        <v>79</v>
      </c>
      <c r="D34" s="24" t="n">
        <f aca="false">Case_Rates_Up!$D$225</f>
        <v>2.07148203376512</v>
      </c>
    </row>
    <row r="35" customFormat="false" ht="15" hidden="false" customHeight="false" outlineLevel="0" collapsed="false">
      <c r="B35" s="9" t="s">
        <v>412</v>
      </c>
      <c r="C35" s="6" t="s">
        <v>79</v>
      </c>
      <c r="D35" s="24" t="n">
        <f aca="false">Case_Rates_Up!$H$163</f>
        <v>-0.127273179087717</v>
      </c>
    </row>
    <row r="37" customFormat="false" ht="15" hidden="false" customHeight="false" outlineLevel="0" collapsed="false">
      <c r="B37" s="7" t="s">
        <v>413</v>
      </c>
      <c r="C37" s="8"/>
      <c r="D37" s="8"/>
      <c r="E37" s="8"/>
      <c r="F37" s="8"/>
      <c r="G37" s="8"/>
      <c r="H37" s="8"/>
      <c r="I37" s="8"/>
      <c r="J37" s="8"/>
      <c r="K37" s="8"/>
      <c r="L37" s="8"/>
    </row>
    <row r="38" customFormat="false" ht="15" hidden="false" customHeight="false" outlineLevel="0" collapsed="false">
      <c r="B38" s="9" t="s">
        <v>414</v>
      </c>
      <c r="D38" s="14" t="n">
        <f aca="false">Case_Deeper_Bad_Year!$H$24</f>
        <v>-0.12</v>
      </c>
    </row>
    <row r="39" customFormat="false" ht="15" hidden="false" customHeight="false" outlineLevel="0" collapsed="false">
      <c r="B39" s="9" t="s">
        <v>415</v>
      </c>
      <c r="D39" s="14" t="n">
        <f aca="false">Case_Deeper_Bad_Year!$H$66</f>
        <v>0.13</v>
      </c>
    </row>
    <row r="40" customFormat="false" ht="15" hidden="false" customHeight="false" outlineLevel="0" collapsed="false">
      <c r="B40" s="9" t="s">
        <v>416</v>
      </c>
      <c r="C40" s="6" t="s">
        <v>231</v>
      </c>
      <c r="D40" s="14" t="n">
        <f aca="false">Case_Deeper_Bad_Year!$H$25</f>
        <v>-0.045</v>
      </c>
    </row>
    <row r="41" customFormat="false" ht="15" hidden="false" customHeight="false" outlineLevel="0" collapsed="false">
      <c r="B41" s="9" t="s">
        <v>417</v>
      </c>
      <c r="C41" s="6" t="s">
        <v>25</v>
      </c>
      <c r="D41" s="19" t="n">
        <f aca="false">Case_Deeper_Bad_Year!$H$67</f>
        <v>40.744704</v>
      </c>
    </row>
    <row r="42" customFormat="false" ht="15" hidden="false" customHeight="false" outlineLevel="0" collapsed="false">
      <c r="B42" s="9" t="s">
        <v>418</v>
      </c>
      <c r="C42" s="6" t="s">
        <v>25</v>
      </c>
      <c r="D42" s="19" t="n">
        <f aca="false">Case_Deeper_Bad_Year!$H$72</f>
        <v>50.064704</v>
      </c>
    </row>
    <row r="43" customFormat="false" ht="15" hidden="false" customHeight="false" outlineLevel="0" collapsed="false">
      <c r="B43" s="9" t="s">
        <v>419</v>
      </c>
      <c r="C43" s="6" t="s">
        <v>25</v>
      </c>
      <c r="D43" s="19" t="n">
        <f aca="false">Case_Deeper_Bad_Year!$H$124</f>
        <v>280.4236780375</v>
      </c>
    </row>
    <row r="44" customFormat="false" ht="15" hidden="false" customHeight="false" outlineLevel="0" collapsed="false">
      <c r="B44" s="9" t="s">
        <v>420</v>
      </c>
      <c r="C44" s="6" t="s">
        <v>25</v>
      </c>
      <c r="D44" s="19" t="n">
        <f aca="false">Case_Deeper_Bad_Year!$H$159</f>
        <v>52.064704</v>
      </c>
    </row>
    <row r="45" customFormat="false" ht="15" hidden="false" customHeight="false" outlineLevel="0" collapsed="false">
      <c r="B45" s="9" t="s">
        <v>421</v>
      </c>
      <c r="C45" s="6" t="s">
        <v>79</v>
      </c>
      <c r="D45" s="24" t="n">
        <f aca="false">Case_Deeper_Bad_Year!$H$161</f>
        <v>5.38606112189747</v>
      </c>
    </row>
    <row r="46" customFormat="false" ht="15" hidden="false" customHeight="false" outlineLevel="0" collapsed="false">
      <c r="B46" s="9" t="s">
        <v>422</v>
      </c>
      <c r="C46" s="6" t="s">
        <v>79</v>
      </c>
      <c r="D46" s="24" t="n">
        <f aca="false">Assumptions!$H$169</f>
        <v>4.75</v>
      </c>
    </row>
    <row r="47" customFormat="false" ht="15" hidden="false" customHeight="false" outlineLevel="0" collapsed="false">
      <c r="B47" s="9" t="s">
        <v>423</v>
      </c>
      <c r="C47" s="6" t="s">
        <v>79</v>
      </c>
      <c r="D47" s="24" t="n">
        <f aca="false">Case_Deeper_Bad_Year!$H$168</f>
        <v>0.636061121897474</v>
      </c>
    </row>
    <row r="48" customFormat="false" ht="15" hidden="false" customHeight="false" outlineLevel="0" collapsed="false">
      <c r="B48" s="9" t="s">
        <v>424</v>
      </c>
      <c r="D48" s="25" t="n">
        <f aca="false">Case_Deeper_Bad_Year!$D$223</f>
        <v>0.151458234262301</v>
      </c>
    </row>
    <row r="49" customFormat="false" ht="15" hidden="false" customHeight="false" outlineLevel="0" collapsed="false">
      <c r="B49" s="9" t="s">
        <v>425</v>
      </c>
      <c r="C49" s="6" t="s">
        <v>79</v>
      </c>
      <c r="D49" s="24" t="n">
        <f aca="false">Case_Deeper_Bad_Year!$D$225</f>
        <v>2.02414187333182</v>
      </c>
    </row>
    <row r="50" customFormat="false" ht="15" hidden="false" customHeight="false" outlineLevel="0" collapsed="false">
      <c r="B50" s="9" t="s">
        <v>426</v>
      </c>
      <c r="C50" s="6" t="s">
        <v>79</v>
      </c>
      <c r="D50" s="24" t="n">
        <f aca="false">Case_Deeper_Bad_Year!$D$194</f>
        <v>1.98317619839855</v>
      </c>
    </row>
    <row r="51" customFormat="false" ht="15" hidden="false" customHeight="false" outlineLevel="0" collapsed="false">
      <c r="B51" s="9" t="s">
        <v>427</v>
      </c>
      <c r="C51" s="6" t="s">
        <v>79</v>
      </c>
      <c r="D51" s="23" t="n">
        <f aca="false">Assumptions!$D$110</f>
        <v>2</v>
      </c>
    </row>
    <row r="52" customFormat="false" ht="15" hidden="false" customHeight="false" outlineLevel="0" collapsed="false">
      <c r="B52" s="9" t="s">
        <v>428</v>
      </c>
      <c r="C52" s="6" t="s">
        <v>25</v>
      </c>
      <c r="D52" s="38" t="n">
        <f aca="false">Case_Deeper_Bad_Year!$H$166</f>
        <v>6.9718597973684</v>
      </c>
    </row>
    <row r="53" customFormat="false" ht="15" hidden="false" customHeight="false" outlineLevel="0" collapsed="false">
      <c r="B53" s="9" t="s">
        <v>429</v>
      </c>
      <c r="C53" s="6" t="s">
        <v>25</v>
      </c>
      <c r="D53" s="19" t="n">
        <f aca="false">Case_Equity_Cure!$D$15</f>
        <v>7</v>
      </c>
    </row>
    <row r="54" customFormat="false" ht="15" hidden="false" customHeight="false" outlineLevel="0" collapsed="false">
      <c r="B54" s="9" t="s">
        <v>430</v>
      </c>
      <c r="C54" s="6" t="s">
        <v>79</v>
      </c>
      <c r="D54" s="24" t="n">
        <f aca="false">Case_Equity_Cure!$H$161</f>
        <v>4.62922286104236</v>
      </c>
    </row>
    <row r="55" customFormat="false" ht="15" hidden="false" customHeight="false" outlineLevel="0" collapsed="false">
      <c r="B55" s="9" t="s">
        <v>431</v>
      </c>
      <c r="C55" s="6" t="s">
        <v>79</v>
      </c>
      <c r="D55" s="24" t="n">
        <f aca="false">Case_Equity_Cure!$H$163</f>
        <v>0.120777138957644</v>
      </c>
    </row>
    <row r="56" customFormat="false" ht="15" hidden="false" customHeight="false" outlineLevel="0" collapsed="false">
      <c r="B56" s="9" t="s">
        <v>432</v>
      </c>
      <c r="D56" s="25" t="n">
        <f aca="false">Case_Equity_Cure!$D$223</f>
        <v>0.150943694003238</v>
      </c>
    </row>
    <row r="57" customFormat="false" ht="15" hidden="false" customHeight="false" outlineLevel="0" collapsed="false">
      <c r="B57" s="9" t="s">
        <v>433</v>
      </c>
      <c r="C57" s="6" t="s">
        <v>79</v>
      </c>
      <c r="D57" s="24" t="n">
        <f aca="false">Case_Equity_Cure!$D$225</f>
        <v>1.99492965092577</v>
      </c>
    </row>
    <row r="58" customFormat="false" ht="15" hidden="false" customHeight="false" outlineLevel="0" collapsed="false">
      <c r="B58" s="9" t="s">
        <v>434</v>
      </c>
      <c r="C58" s="6" t="s">
        <v>25</v>
      </c>
      <c r="D58" s="19" t="n">
        <f aca="false">Case_Equity_Cure!$D$226</f>
        <v>197</v>
      </c>
    </row>
    <row r="59" customFormat="false" ht="15" hidden="false" customHeight="false" outlineLevel="0" collapsed="false">
      <c r="B59" s="9" t="s">
        <v>435</v>
      </c>
      <c r="C59" s="6" t="s">
        <v>25</v>
      </c>
      <c r="D59" s="19" t="n">
        <f aca="false">Case_Equity_Cure!$D$48</f>
        <v>190</v>
      </c>
    </row>
    <row r="60" customFormat="false" ht="15" hidden="false" customHeight="false" outlineLevel="0" collapsed="false">
      <c r="B60" s="9" t="s">
        <v>436</v>
      </c>
      <c r="C60" s="6" t="s">
        <v>79</v>
      </c>
      <c r="D60" s="24" t="n">
        <f aca="false">Case_Equity_Cure!$D$194</f>
        <v>1.92084096327082</v>
      </c>
    </row>
    <row r="61" customFormat="false" ht="15" hidden="false" customHeight="false" outlineLevel="0" collapsed="false">
      <c r="B61" s="9" t="s">
        <v>437</v>
      </c>
      <c r="D61" s="14" t="n">
        <f aca="false">Assumptions!$D$147</f>
        <v>0.01</v>
      </c>
    </row>
    <row r="62" customFormat="false" ht="15" hidden="false" customHeight="false" outlineLevel="0" collapsed="false">
      <c r="B62" s="9" t="s">
        <v>438</v>
      </c>
      <c r="C62" s="6" t="s">
        <v>25</v>
      </c>
      <c r="D62" s="38" t="n">
        <f aca="false">Case_Amend_Extend!$H$89</f>
        <v>2.537508175</v>
      </c>
    </row>
    <row r="63" customFormat="false" ht="15" hidden="false" customHeight="false" outlineLevel="0" collapsed="false">
      <c r="B63" s="9" t="s">
        <v>439</v>
      </c>
      <c r="C63" s="6" t="s">
        <v>231</v>
      </c>
      <c r="D63" s="25" t="n">
        <f aca="false">Assumptions!$D$148</f>
        <v>0.01</v>
      </c>
    </row>
    <row r="64" customFormat="false" ht="15" hidden="false" customHeight="false" outlineLevel="0" collapsed="false">
      <c r="B64" s="9" t="s">
        <v>440</v>
      </c>
      <c r="C64" s="6" t="s">
        <v>79</v>
      </c>
      <c r="D64" s="24" t="n">
        <f aca="false">Assumptions!$D$149</f>
        <v>0.75</v>
      </c>
    </row>
    <row r="65" customFormat="false" ht="15" hidden="false" customHeight="false" outlineLevel="0" collapsed="false">
      <c r="B65" s="9" t="s">
        <v>421</v>
      </c>
      <c r="C65" s="6" t="s">
        <v>79</v>
      </c>
      <c r="D65" s="24" t="n">
        <f aca="false">Case_Amend_Extend!$H$161</f>
        <v>5.42261431408023</v>
      </c>
    </row>
    <row r="66" customFormat="false" ht="15" hidden="false" customHeight="false" outlineLevel="0" collapsed="false">
      <c r="B66" s="9" t="s">
        <v>441</v>
      </c>
      <c r="C66" s="6" t="s">
        <v>79</v>
      </c>
      <c r="D66" s="24" t="n">
        <f aca="false">Case_Amend_Extend!$H$162</f>
        <v>5.5</v>
      </c>
    </row>
    <row r="67" customFormat="false" ht="15" hidden="false" customHeight="false" outlineLevel="0" collapsed="false">
      <c r="B67" s="9" t="s">
        <v>442</v>
      </c>
      <c r="D67" s="25" t="n">
        <f aca="false">Case_Amend_Extend!$D$223</f>
        <v>0.147564115443235</v>
      </c>
    </row>
    <row r="68" customFormat="false" ht="15" hidden="false" customHeight="false" outlineLevel="0" collapsed="false">
      <c r="B68" s="9" t="s">
        <v>443</v>
      </c>
      <c r="C68" s="6" t="s">
        <v>79</v>
      </c>
      <c r="D68" s="24" t="n">
        <f aca="false">Case_Amend_Extend!$D$225</f>
        <v>1.99014535161455</v>
      </c>
    </row>
    <row r="69" customFormat="false" ht="15" hidden="false" customHeight="false" outlineLevel="0" collapsed="false">
      <c r="B69" s="9" t="s">
        <v>444</v>
      </c>
      <c r="C69" s="6" t="s">
        <v>25</v>
      </c>
      <c r="D69" s="38" t="n">
        <f aca="false">(Case_Amend_Extend!$I$105-Case_Deeper_Bad_Year!$I$105)+(Case_Amend_Extend!$J$105-Case_Deeper_Bad_Year!$J$105)</f>
        <v>5.19179514018176</v>
      </c>
    </row>
    <row r="70" customFormat="false" ht="15" hidden="false" customHeight="false" outlineLevel="0" collapsed="false">
      <c r="B70" s="9" t="s">
        <v>445</v>
      </c>
      <c r="D70" s="14" t="n">
        <f aca="false">Case_No_Bad_Year!$H$24</f>
        <v>0.04</v>
      </c>
    </row>
    <row r="71" customFormat="false" ht="15" hidden="false" customHeight="false" outlineLevel="0" collapsed="false">
      <c r="B71" s="9" t="s">
        <v>446</v>
      </c>
      <c r="D71" s="25" t="n">
        <f aca="false">Case_No_Bad_Year!$D$223</f>
        <v>0.208757407070763</v>
      </c>
    </row>
    <row r="72" customFormat="false" ht="15" hidden="false" customHeight="false" outlineLevel="0" collapsed="false">
      <c r="B72" s="9" t="s">
        <v>447</v>
      </c>
      <c r="C72" s="6" t="s">
        <v>79</v>
      </c>
      <c r="D72" s="24" t="n">
        <f aca="false">Case_No_Bad_Year!$D$225</f>
        <v>2.58045174409221</v>
      </c>
    </row>
    <row r="73" customFormat="false" ht="15" hidden="false" customHeight="false" outlineLevel="0" collapsed="false">
      <c r="B73" s="9" t="s">
        <v>448</v>
      </c>
      <c r="C73" s="6" t="s">
        <v>231</v>
      </c>
      <c r="D73" s="25" t="n">
        <f aca="false">Case_No_Bad_Year!$D$223-Case_Base!$D$223</f>
        <v>0.0382730635260769</v>
      </c>
    </row>
    <row r="74" customFormat="false" ht="15" hidden="false" customHeight="false" outlineLevel="0" collapsed="false">
      <c r="B74" s="9" t="s">
        <v>449</v>
      </c>
      <c r="C74" s="6" t="s">
        <v>25</v>
      </c>
      <c r="D74" s="19" t="n">
        <f aca="false">Case_No_Bad_Year!$D$179-Case_Base!$D$179</f>
        <v>83.36128777516</v>
      </c>
    </row>
    <row r="76" customFormat="false" ht="15" hidden="false" customHeight="false" outlineLevel="0" collapsed="false">
      <c r="B76" s="7" t="s">
        <v>450</v>
      </c>
      <c r="C76" s="8"/>
      <c r="D76" s="8"/>
      <c r="E76" s="8"/>
      <c r="F76" s="8"/>
      <c r="G76" s="8"/>
      <c r="H76" s="8"/>
      <c r="I76" s="8"/>
      <c r="J76" s="8"/>
      <c r="K76" s="8"/>
      <c r="L76" s="8"/>
    </row>
    <row r="77" customFormat="false" ht="15" hidden="false" customHeight="false" outlineLevel="0" collapsed="false">
      <c r="B77" s="9" t="s">
        <v>451</v>
      </c>
      <c r="C77" s="6" t="s">
        <v>25</v>
      </c>
      <c r="D77" s="19" t="n">
        <f aca="false">Assumptions!$D$139</f>
        <v>35</v>
      </c>
    </row>
    <row r="78" customFormat="false" ht="15" hidden="false" customHeight="false" outlineLevel="0" collapsed="false">
      <c r="B78" s="9" t="s">
        <v>155</v>
      </c>
      <c r="D78" s="14" t="n">
        <f aca="false">Assumptions!$D$140</f>
        <v>0.02</v>
      </c>
    </row>
    <row r="79" customFormat="false" ht="15" hidden="false" customHeight="false" outlineLevel="0" collapsed="false">
      <c r="B79" s="9" t="s">
        <v>452</v>
      </c>
      <c r="C79" s="6" t="s">
        <v>25</v>
      </c>
      <c r="D79" s="19" t="n">
        <f aca="false">Case_Recap!$I$87</f>
        <v>0.7</v>
      </c>
    </row>
    <row r="80" customFormat="false" ht="15" hidden="false" customHeight="false" outlineLevel="0" collapsed="false">
      <c r="B80" s="9" t="s">
        <v>453</v>
      </c>
      <c r="C80" s="6" t="s">
        <v>25</v>
      </c>
      <c r="D80" s="19" t="n">
        <f aca="false">Case_Recap!$I$218</f>
        <v>33.25</v>
      </c>
    </row>
    <row r="81" customFormat="false" ht="15" hidden="false" customHeight="false" outlineLevel="0" collapsed="false">
      <c r="B81" s="9" t="s">
        <v>454</v>
      </c>
      <c r="C81" s="6" t="s">
        <v>25</v>
      </c>
      <c r="D81" s="19" t="n">
        <f aca="false">Case_Recap!$I$88*Case_Recap!$D$47/Case_Recap!$D$46</f>
        <v>1.75</v>
      </c>
    </row>
    <row r="82" customFormat="false" ht="15" hidden="false" customHeight="false" outlineLevel="0" collapsed="false">
      <c r="B82" s="9" t="s">
        <v>455</v>
      </c>
      <c r="C82" s="6" t="s">
        <v>79</v>
      </c>
      <c r="D82" s="24" t="n">
        <f aca="false">Case_Recap!$I$125</f>
        <v>4.16701166156636</v>
      </c>
    </row>
    <row r="83" customFormat="false" ht="15" hidden="false" customHeight="false" outlineLevel="0" collapsed="false">
      <c r="B83" s="9" t="s">
        <v>456</v>
      </c>
      <c r="C83" s="6" t="s">
        <v>25</v>
      </c>
      <c r="D83" s="19" t="n">
        <f aca="false">Case_Recap!$I$124</f>
        <v>292.774427357219</v>
      </c>
    </row>
    <row r="84" customFormat="false" ht="15" hidden="false" customHeight="false" outlineLevel="0" collapsed="false">
      <c r="B84" s="9" t="s">
        <v>156</v>
      </c>
      <c r="C84" s="6" t="s">
        <v>79</v>
      </c>
      <c r="D84" s="24" t="n">
        <f aca="false">Assumptions!$D$141</f>
        <v>4.25</v>
      </c>
    </row>
    <row r="85" customFormat="false" ht="15" hidden="false" customHeight="false" outlineLevel="0" collapsed="false">
      <c r="B85" s="9" t="s">
        <v>457</v>
      </c>
      <c r="C85" s="6" t="s">
        <v>79</v>
      </c>
      <c r="D85" s="24" t="n">
        <f aca="false">Case_Recap!$I$163</f>
        <v>0.112433003530303</v>
      </c>
    </row>
    <row r="86" customFormat="false" ht="15" hidden="false" customHeight="false" outlineLevel="0" collapsed="false">
      <c r="B86" s="9" t="s">
        <v>458</v>
      </c>
      <c r="C86" s="6" t="s">
        <v>79</v>
      </c>
      <c r="D86" s="24" t="n">
        <f aca="false">Case_Base!$I$163</f>
        <v>0.614481863727524</v>
      </c>
    </row>
    <row r="87" customFormat="false" ht="15" hidden="false" customHeight="false" outlineLevel="0" collapsed="false">
      <c r="B87" s="9" t="s">
        <v>459</v>
      </c>
      <c r="C87" s="6" t="s">
        <v>25</v>
      </c>
      <c r="D87" s="19" t="n">
        <f aca="false">Case_Recap!$J$124</f>
        <v>268.212299762957</v>
      </c>
    </row>
    <row r="88" customFormat="false" ht="15" hidden="false" customHeight="false" outlineLevel="0" collapsed="false">
      <c r="B88" s="9" t="s">
        <v>460</v>
      </c>
      <c r="C88" s="6" t="s">
        <v>25</v>
      </c>
      <c r="D88" s="19" t="n">
        <f aca="false">Case_Recap!$D$179</f>
        <v>421.687615831843</v>
      </c>
    </row>
    <row r="89" customFormat="false" ht="15" hidden="false" customHeight="false" outlineLevel="0" collapsed="false">
      <c r="B89" s="9" t="s">
        <v>461</v>
      </c>
      <c r="C89" s="6" t="s">
        <v>25</v>
      </c>
      <c r="D89" s="19" t="n">
        <f aca="false">Case_Base!$D$179-Case_Recap!$D$179</f>
        <v>38.5275624999999</v>
      </c>
    </row>
    <row r="90" customFormat="false" ht="15" hidden="false" customHeight="false" outlineLevel="0" collapsed="false">
      <c r="B90" s="9" t="s">
        <v>462</v>
      </c>
      <c r="C90" s="6" t="s">
        <v>25</v>
      </c>
      <c r="D90" s="19" t="n">
        <f aca="false">$D$89-$D$77</f>
        <v>3.52756249999993</v>
      </c>
    </row>
    <row r="91" customFormat="false" ht="15" hidden="false" customHeight="false" outlineLevel="0" collapsed="false">
      <c r="B91" s="9" t="s">
        <v>463</v>
      </c>
      <c r="C91" s="6" t="s">
        <v>25</v>
      </c>
      <c r="D91" s="19" t="n">
        <f aca="false">Case_Recap!$I$219</f>
        <v>33.25</v>
      </c>
    </row>
    <row r="92" customFormat="false" ht="15" hidden="false" customHeight="false" outlineLevel="0" collapsed="false">
      <c r="B92" s="9" t="s">
        <v>464</v>
      </c>
      <c r="C92" s="6" t="s">
        <v>25</v>
      </c>
      <c r="D92" s="19" t="n">
        <f aca="false">Case_Recap!$J$219</f>
        <v>383.754976237031</v>
      </c>
    </row>
    <row r="93" customFormat="false" ht="15" hidden="false" customHeight="false" outlineLevel="0" collapsed="false">
      <c r="B93" s="9" t="s">
        <v>465</v>
      </c>
      <c r="D93" s="25" t="n">
        <f aca="false">Case_Recap!$D$223</f>
        <v>0.17346644129639</v>
      </c>
    </row>
    <row r="94" customFormat="false" ht="15" hidden="false" customHeight="false" outlineLevel="0" collapsed="false">
      <c r="B94" s="9" t="s">
        <v>466</v>
      </c>
      <c r="C94" s="6" t="s">
        <v>79</v>
      </c>
      <c r="D94" s="24" t="n">
        <f aca="false">Case_Recap!$D$225</f>
        <v>2.19476303282648</v>
      </c>
    </row>
    <row r="95" customFormat="false" ht="15" hidden="false" customHeight="false" outlineLevel="0" collapsed="false">
      <c r="B95" s="9" t="s">
        <v>467</v>
      </c>
      <c r="C95" s="6" t="s">
        <v>231</v>
      </c>
      <c r="D95" s="25" t="n">
        <f aca="false">Case_Recap!$D$223-Case_Base!$D$223</f>
        <v>0.00298209775170408</v>
      </c>
    </row>
    <row r="96" customFormat="false" ht="15" hidden="false" customHeight="false" outlineLevel="0" collapsed="false">
      <c r="B96" s="9" t="s">
        <v>468</v>
      </c>
      <c r="C96" s="6" t="s">
        <v>79</v>
      </c>
      <c r="D96" s="39" t="n">
        <f aca="false">Case_Base!$D$225-Case_Recap!$D$225</f>
        <v>0.00222678749999972</v>
      </c>
    </row>
    <row r="97" customFormat="false" ht="15" hidden="false" customHeight="false" outlineLevel="0" collapsed="false">
      <c r="B97" s="9" t="s">
        <v>469</v>
      </c>
      <c r="D97" s="14" t="n">
        <f aca="false">Case_Recap!$I$219/-Case_Recap!$E$219</f>
        <v>0.175</v>
      </c>
    </row>
    <row r="98" customFormat="false" ht="15" hidden="false" customHeight="false" outlineLevel="0" collapsed="false">
      <c r="B98" s="9" t="s">
        <v>470</v>
      </c>
      <c r="C98" s="6" t="s">
        <v>79</v>
      </c>
      <c r="D98" s="24" t="n">
        <f aca="false">Case_Recap!$J$125</f>
        <v>3.44644488809463</v>
      </c>
    </row>
    <row r="99" customFormat="false" ht="15" hidden="false" customHeight="false" outlineLevel="0" collapsed="false">
      <c r="B99" s="9" t="s">
        <v>471</v>
      </c>
      <c r="C99" s="6" t="s">
        <v>25</v>
      </c>
      <c r="D99" s="38" t="n">
        <f aca="false">Case_Recap!$J$105</f>
        <v>27.7537879357383</v>
      </c>
    </row>
    <row r="100" customFormat="false" ht="15" hidden="false" customHeight="false" outlineLevel="0" collapsed="false">
      <c r="B100" s="9" t="s">
        <v>472</v>
      </c>
      <c r="C100" s="6" t="s">
        <v>25</v>
      </c>
      <c r="D100" s="19" t="n">
        <f aca="false">Case_Recap_Exit_7x!$D$179</f>
        <v>268.376523477443</v>
      </c>
    </row>
    <row r="101" customFormat="false" ht="15" hidden="false" customHeight="false" outlineLevel="0" collapsed="false">
      <c r="B101" s="9" t="s">
        <v>473</v>
      </c>
      <c r="C101" s="6" t="s">
        <v>79</v>
      </c>
      <c r="D101" s="24" t="n">
        <f aca="false">Case_Recap_Exit_7x!$D$225</f>
        <v>1.50263750832941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4"/>
    <col collapsed="false" customWidth="true" hidden="false" outlineLevel="0" max="6" min="4" style="0" width="16"/>
  </cols>
  <sheetData>
    <row r="1" customFormat="false" ht="6" hidden="false" customHeight="true" outlineLevel="0" collapsed="false"/>
    <row r="2" customFormat="false" ht="17.35" hidden="false" customHeight="false" outlineLevel="0" collapsed="false">
      <c r="B2" s="5" t="s">
        <v>474</v>
      </c>
    </row>
    <row r="3" customFormat="false" ht="15" hidden="false" customHeight="false" outlineLevel="0" collapsed="false">
      <c r="B3" s="6" t="s">
        <v>475</v>
      </c>
    </row>
    <row r="5" customFormat="false" ht="30" hidden="false" customHeight="true" outlineLevel="0" collapsed="false">
      <c r="B5" s="15"/>
      <c r="C5" s="16"/>
      <c r="D5" s="16" t="s">
        <v>476</v>
      </c>
      <c r="E5" s="16" t="s">
        <v>477</v>
      </c>
      <c r="F5" s="16" t="s">
        <v>478</v>
      </c>
    </row>
    <row r="6" customFormat="false" ht="15" hidden="false" customHeight="false" outlineLevel="0" collapsed="false">
      <c r="B6" s="7" t="s">
        <v>479</v>
      </c>
      <c r="C6" s="8"/>
      <c r="D6" s="8"/>
      <c r="E6" s="8"/>
      <c r="F6" s="8"/>
    </row>
    <row r="7" customFormat="false" ht="15" hidden="false" customHeight="false" outlineLevel="0" collapsed="false">
      <c r="B7" s="9" t="s">
        <v>480</v>
      </c>
      <c r="C7" s="6" t="s">
        <v>25</v>
      </c>
      <c r="D7" s="13" t="n">
        <v>100</v>
      </c>
      <c r="E7" s="19" t="n">
        <f aca="false">$D$7</f>
        <v>100</v>
      </c>
      <c r="F7" s="19" t="n">
        <f aca="false">$D$7</f>
        <v>100</v>
      </c>
    </row>
    <row r="8" customFormat="false" ht="15" hidden="false" customHeight="false" outlineLevel="0" collapsed="false">
      <c r="B8" s="9" t="s">
        <v>481</v>
      </c>
      <c r="C8" s="6" t="s">
        <v>25</v>
      </c>
      <c r="D8" s="13" t="n">
        <v>10</v>
      </c>
      <c r="E8" s="19" t="n">
        <f aca="false">$D$8</f>
        <v>10</v>
      </c>
      <c r="F8" s="19" t="n">
        <f aca="false">$D$8</f>
        <v>10</v>
      </c>
    </row>
    <row r="9" customFormat="false" ht="15" hidden="false" customHeight="false" outlineLevel="0" collapsed="false">
      <c r="B9" s="9" t="s">
        <v>482</v>
      </c>
      <c r="C9" s="6" t="s">
        <v>25</v>
      </c>
      <c r="D9" s="13" t="n">
        <v>60</v>
      </c>
      <c r="E9" s="19" t="n">
        <f aca="false">$D$9</f>
        <v>60</v>
      </c>
      <c r="F9" s="19" t="n">
        <f aca="false">$D$9</f>
        <v>60</v>
      </c>
    </row>
    <row r="10" customFormat="false" ht="15" hidden="false" customHeight="false" outlineLevel="0" collapsed="false">
      <c r="B10" s="9" t="s">
        <v>483</v>
      </c>
      <c r="D10" s="11" t="n">
        <v>0.25</v>
      </c>
      <c r="E10" s="29" t="n">
        <f aca="false">$D$10</f>
        <v>0.25</v>
      </c>
      <c r="F10" s="11" t="n">
        <v>0</v>
      </c>
    </row>
    <row r="11" customFormat="false" ht="15" hidden="false" customHeight="false" outlineLevel="0" collapsed="false">
      <c r="B11" s="9" t="s">
        <v>484</v>
      </c>
      <c r="C11" s="6" t="s">
        <v>25</v>
      </c>
      <c r="D11" s="13" t="n">
        <v>15</v>
      </c>
      <c r="E11" s="19" t="n">
        <f aca="false">$D$11</f>
        <v>15</v>
      </c>
      <c r="F11" s="19" t="n">
        <f aca="false">$D$11</f>
        <v>15</v>
      </c>
    </row>
    <row r="12" customFormat="false" ht="15" hidden="false" customHeight="false" outlineLevel="0" collapsed="false">
      <c r="B12" s="9" t="s">
        <v>485</v>
      </c>
      <c r="C12" s="6" t="s">
        <v>101</v>
      </c>
      <c r="D12" s="26" t="n">
        <v>5</v>
      </c>
      <c r="E12" s="33" t="n">
        <f aca="false">$D$12</f>
        <v>5</v>
      </c>
      <c r="F12" s="33" t="n">
        <f aca="false">$D$12</f>
        <v>5</v>
      </c>
    </row>
    <row r="13" customFormat="false" ht="15" hidden="false" customHeight="false" outlineLevel="0" collapsed="false">
      <c r="B13" s="9" t="s">
        <v>486</v>
      </c>
      <c r="D13" s="23" t="n">
        <f aca="false">$D$7/$D$8</f>
        <v>10</v>
      </c>
      <c r="E13" s="23" t="n">
        <f aca="false">$E$7/$E$8</f>
        <v>10</v>
      </c>
      <c r="F13" s="23" t="n">
        <f aca="false">$F$7/$F$8</f>
        <v>10</v>
      </c>
    </row>
    <row r="14" customFormat="false" ht="15" hidden="false" customHeight="false" outlineLevel="0" collapsed="false">
      <c r="B14" s="9" t="s">
        <v>191</v>
      </c>
      <c r="D14" s="23" t="n">
        <f aca="false">$D$13</f>
        <v>10</v>
      </c>
      <c r="E14" s="22" t="n">
        <v>8</v>
      </c>
      <c r="F14" s="22" t="n">
        <v>10</v>
      </c>
    </row>
    <row r="15" customFormat="false" ht="15" hidden="false" customHeight="false" outlineLevel="0" collapsed="false">
      <c r="B15" s="7" t="s">
        <v>487</v>
      </c>
      <c r="C15" s="8"/>
      <c r="D15" s="8"/>
      <c r="E15" s="8"/>
      <c r="F15" s="8"/>
    </row>
    <row r="16" customFormat="false" ht="15" hidden="false" customHeight="false" outlineLevel="0" collapsed="false">
      <c r="B16" s="9" t="s">
        <v>488</v>
      </c>
      <c r="C16" s="6" t="s">
        <v>25</v>
      </c>
      <c r="D16" s="19" t="n">
        <f aca="false">$D$7-$D$9</f>
        <v>40</v>
      </c>
      <c r="E16" s="19" t="n">
        <f aca="false">$E$7-$E$9</f>
        <v>40</v>
      </c>
      <c r="F16" s="19" t="n">
        <f aca="false">$F$7-$F$9</f>
        <v>40</v>
      </c>
    </row>
    <row r="17" customFormat="false" ht="15" hidden="false" customHeight="false" outlineLevel="0" collapsed="false">
      <c r="B17" s="9" t="s">
        <v>371</v>
      </c>
      <c r="C17" s="6" t="s">
        <v>25</v>
      </c>
      <c r="D17" s="19" t="n">
        <f aca="false">$D$8*(1+$D$10)</f>
        <v>12.5</v>
      </c>
      <c r="E17" s="19" t="n">
        <f aca="false">$E$8*(1+$E$10)</f>
        <v>12.5</v>
      </c>
      <c r="F17" s="19" t="n">
        <f aca="false">$F$8*(1+$F$10)</f>
        <v>10</v>
      </c>
    </row>
    <row r="18" customFormat="false" ht="15" hidden="false" customHeight="false" outlineLevel="0" collapsed="false">
      <c r="B18" s="9" t="s">
        <v>239</v>
      </c>
      <c r="C18" s="6" t="s">
        <v>25</v>
      </c>
      <c r="D18" s="19" t="n">
        <f aca="false">$D$14*$D$17</f>
        <v>125</v>
      </c>
      <c r="E18" s="19" t="n">
        <f aca="false">$E$14*$E$17</f>
        <v>100</v>
      </c>
      <c r="F18" s="19" t="n">
        <f aca="false">$F$14*$F$17</f>
        <v>100</v>
      </c>
    </row>
    <row r="19" customFormat="false" ht="15" hidden="false" customHeight="false" outlineLevel="0" collapsed="false">
      <c r="B19" s="9" t="s">
        <v>489</v>
      </c>
      <c r="C19" s="6" t="s">
        <v>25</v>
      </c>
      <c r="D19" s="19" t="n">
        <f aca="false">$D$9-$D$11</f>
        <v>45</v>
      </c>
      <c r="E19" s="19" t="n">
        <f aca="false">$E$9-$E$11</f>
        <v>45</v>
      </c>
      <c r="F19" s="19" t="n">
        <f aca="false">$F$9-$F$11</f>
        <v>45</v>
      </c>
    </row>
    <row r="20" customFormat="false" ht="15" hidden="false" customHeight="false" outlineLevel="0" collapsed="false">
      <c r="B20" s="9" t="s">
        <v>490</v>
      </c>
      <c r="C20" s="6" t="s">
        <v>25</v>
      </c>
      <c r="D20" s="19" t="n">
        <f aca="false">$D$18-$D$19</f>
        <v>80</v>
      </c>
      <c r="E20" s="19" t="n">
        <f aca="false">$E$18-$E$19</f>
        <v>55</v>
      </c>
      <c r="F20" s="19" t="n">
        <f aca="false">$F$18-$F$19</f>
        <v>55</v>
      </c>
    </row>
    <row r="21" customFormat="false" ht="15" hidden="false" customHeight="false" outlineLevel="0" collapsed="false">
      <c r="B21" s="9" t="s">
        <v>491</v>
      </c>
      <c r="D21" s="39" t="n">
        <f aca="false">$D$20/$D$16</f>
        <v>2</v>
      </c>
      <c r="E21" s="39" t="n">
        <f aca="false">$E$20/$E$16</f>
        <v>1.375</v>
      </c>
      <c r="F21" s="39" t="n">
        <f aca="false">$F$20/$F$16</f>
        <v>1.375</v>
      </c>
    </row>
    <row r="22" customFormat="false" ht="15" hidden="false" customHeight="false" outlineLevel="0" collapsed="false">
      <c r="B22" s="9" t="s">
        <v>492</v>
      </c>
      <c r="D22" s="25" t="n">
        <f aca="false">$D$21^(1/$D$12)-1</f>
        <v>0.148698354997035</v>
      </c>
      <c r="E22" s="25" t="n">
        <f aca="false">$E$21^(1/$E$12)-1</f>
        <v>0.0657627566354742</v>
      </c>
      <c r="F22" s="25" t="n">
        <f aca="false">$F$21^(1/$F$12)-1</f>
        <v>0.0657627566354742</v>
      </c>
    </row>
    <row r="23" customFormat="false" ht="15" hidden="false" customHeight="false" outlineLevel="0" collapsed="false">
      <c r="B23" s="7" t="s">
        <v>493</v>
      </c>
      <c r="C23" s="8"/>
      <c r="D23" s="8"/>
      <c r="E23" s="8"/>
      <c r="F23" s="8"/>
    </row>
    <row r="24" customFormat="false" ht="15" hidden="false" customHeight="false" outlineLevel="0" collapsed="false">
      <c r="B24" s="9" t="s">
        <v>494</v>
      </c>
      <c r="D24" s="24" t="n">
        <f aca="false">($D$18+$D$11)/$D$7</f>
        <v>1.4</v>
      </c>
      <c r="E24" s="24" t="n">
        <f aca="false">($E$18+$E$11)/$E$7</f>
        <v>1.15</v>
      </c>
      <c r="F24" s="24" t="n">
        <f aca="false">($F$18+$F$11)/$F$7</f>
        <v>1.15</v>
      </c>
    </row>
    <row r="25" customFormat="false" ht="15" hidden="false" customHeight="false" outlineLevel="0" collapsed="false">
      <c r="B25" s="9" t="s">
        <v>495</v>
      </c>
      <c r="D25" s="25" t="n">
        <f aca="false">(($D$18+$D$11)/$D$7)^(1/$D$12)-1</f>
        <v>0.0696103757250688</v>
      </c>
      <c r="E25" s="25" t="n">
        <f aca="false">(($E$18+$E$11)/$E$7)^(1/$E$12)-1</f>
        <v>0.0283467221002136</v>
      </c>
      <c r="F25" s="25" t="n">
        <f aca="false">(($F$18+$F$11)/$F$7)^(1/$F$12)-1</f>
        <v>0.0283467221002136</v>
      </c>
    </row>
    <row r="26" customFormat="false" ht="15" hidden="false" customHeight="false" outlineLevel="0" collapsed="false">
      <c r="B26" s="7" t="s">
        <v>496</v>
      </c>
      <c r="C26" s="8"/>
      <c r="D26" s="8"/>
      <c r="E26" s="8"/>
      <c r="F26" s="8"/>
    </row>
    <row r="27" customFormat="false" ht="15" hidden="false" customHeight="false" outlineLevel="0" collapsed="false">
      <c r="B27" s="9" t="s">
        <v>497</v>
      </c>
      <c r="D27" s="29" t="n">
        <f aca="false">$D$18/$D$7-1</f>
        <v>0.25</v>
      </c>
    </row>
    <row r="28" customFormat="false" ht="15" hidden="false" customHeight="false" outlineLevel="0" collapsed="false">
      <c r="B28" s="9" t="s">
        <v>498</v>
      </c>
      <c r="D28" s="29" t="n">
        <f aca="false">$D$20/$D$16-1</f>
        <v>1</v>
      </c>
    </row>
    <row r="29" customFormat="false" ht="15" hidden="false" customHeight="false" outlineLevel="0" collapsed="false">
      <c r="B29" s="9" t="s">
        <v>499</v>
      </c>
      <c r="D29" s="11" t="n">
        <v>0.2</v>
      </c>
    </row>
    <row r="30" customFormat="false" ht="15" hidden="false" customHeight="false" outlineLevel="0" collapsed="false">
      <c r="B30" s="9" t="s">
        <v>500</v>
      </c>
      <c r="C30" s="6" t="s">
        <v>25</v>
      </c>
      <c r="D30" s="19" t="n">
        <f aca="false">$D$7*(1-$D$29)</f>
        <v>80</v>
      </c>
    </row>
    <row r="31" customFormat="false" ht="15" hidden="false" customHeight="false" outlineLevel="0" collapsed="false">
      <c r="B31" s="9" t="s">
        <v>501</v>
      </c>
      <c r="C31" s="6" t="s">
        <v>25</v>
      </c>
      <c r="D31" s="19" t="n">
        <f aca="false">$D$30-$D$19</f>
        <v>35</v>
      </c>
    </row>
    <row r="32" customFormat="false" ht="15" hidden="false" customHeight="false" outlineLevel="0" collapsed="false">
      <c r="B32" s="9" t="s">
        <v>502</v>
      </c>
      <c r="C32" s="6" t="s">
        <v>25</v>
      </c>
      <c r="D32" s="19" t="n">
        <f aca="false">$D$30-$D$9</f>
        <v>20</v>
      </c>
    </row>
    <row r="33" customFormat="false" ht="15" hidden="false" customHeight="false" outlineLevel="0" collapsed="false">
      <c r="B33" s="9" t="s">
        <v>503</v>
      </c>
      <c r="D33" s="29" t="n">
        <f aca="false">1-$D$32/$D$16</f>
        <v>0.5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504</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11.36</v>
      </c>
      <c r="G91" s="18" t="n">
        <f aca="false">$G$72-$G$139-$G$105-$G$75-$G$79-$G$83-$G$87-$G$89</f>
        <v>14.883365</v>
      </c>
      <c r="H91" s="18" t="n">
        <f aca="false">$H$72-$H$139-$H$105-$H$75-$H$79-$H$83-$H$87-$H$89</f>
        <v>14.5494217625</v>
      </c>
      <c r="I91" s="18" t="n">
        <f aca="false">$I$72-$I$139-$I$105-$I$75-$I$79-$I$83-$I$87-$I$89</f>
        <v>19.7577858802813</v>
      </c>
      <c r="J91" s="18" t="n">
        <f aca="false">$J$72-$J$139-$J$105-$J$75-$J$79-$J$83-$J$87-$J$89</f>
        <v>27.5646900942617</v>
      </c>
      <c r="K91" s="18" t="n">
        <f aca="false">$K$72-$K$139-$K$105-$K$75-$K$79-$K$83-$K$87-$K$89</f>
        <v>31.3128611325723</v>
      </c>
      <c r="L91" s="18" t="n">
        <f aca="false">$L$72-$L$139-$L$105-$L$75-$L$79-$L$83-$L$87-$L$89</f>
        <v>34.2019452762158</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14.555</v>
      </c>
      <c r="H94" s="19" t="n">
        <f aca="false">$G$123</f>
        <v>12.1941825</v>
      </c>
      <c r="I94" s="19" t="n">
        <f aca="false">$H$123</f>
        <v>17.04680213125</v>
      </c>
      <c r="J94" s="19" t="n">
        <f aca="false">$I$123</f>
        <v>22.0772940057656</v>
      </c>
      <c r="K94" s="19" t="n">
        <f aca="false">$J$123</f>
        <v>37.7439880750205</v>
      </c>
      <c r="L94" s="19" t="n">
        <f aca="false">$K$123</f>
        <v>66.4068492075928</v>
      </c>
    </row>
    <row r="95" customFormat="false" ht="15" hidden="false" customHeight="false" outlineLevel="0" collapsed="false">
      <c r="B95" s="9" t="s">
        <v>576</v>
      </c>
      <c r="F95" s="19" t="n">
        <f aca="false">$E$123+$F$91-$F$109-$F$82-$F$85+$F$84+$F$86-$F$88+$F$90</f>
        <v>19.11</v>
      </c>
      <c r="G95" s="19" t="n">
        <f aca="false">$F$123+$G$91-$G$109-$G$82-$G$85+$G$84+$G$86-$G$88+$G$90</f>
        <v>14.388365</v>
      </c>
      <c r="H95" s="19" t="n">
        <f aca="false">$G$123+$H$91-$H$109-$H$82-$H$85+$H$84+$H$86-$H$88+$H$90</f>
        <v>24.0936042625</v>
      </c>
      <c r="I95" s="19" t="n">
        <f aca="false">$H$123+$I$91-$I$109-$I$82-$I$85+$I$84+$I$86-$I$88+$I$90</f>
        <v>34.1545880115313</v>
      </c>
      <c r="J95" s="19" t="n">
        <f aca="false">$I$123+$J$91-$J$109-$J$82-$J$85+$J$84+$J$86-$J$88+$J$90</f>
        <v>46.9919841000273</v>
      </c>
      <c r="K95" s="19" t="n">
        <f aca="false">$J$123+$K$91-$K$109-$K$82-$K$85+$K$84+$K$86-$K$88+$K$90</f>
        <v>66.4068492075928</v>
      </c>
      <c r="L95" s="19" t="n">
        <f aca="false">$K$123+$L$91-$L$109-$L$82-$L$85+$L$84+$L$86-$L$88+$L$90</f>
        <v>97.9587944838085</v>
      </c>
    </row>
    <row r="96" customFormat="false" ht="15" hidden="false" customHeight="false" outlineLevel="0" collapsed="false">
      <c r="B96" s="17" t="s">
        <v>577</v>
      </c>
      <c r="F96" s="18" t="n">
        <f aca="false">$F$95+$F$110-$F$111-$F$115</f>
        <v>14.555</v>
      </c>
      <c r="G96" s="18" t="n">
        <f aca="false">$G$95+$G$110-$G$111-$G$115</f>
        <v>12.1941825</v>
      </c>
      <c r="H96" s="18" t="n">
        <f aca="false">$H$95+$H$110-$H$111-$H$115</f>
        <v>17.04680213125</v>
      </c>
      <c r="I96" s="18" t="n">
        <f aca="false">$I$95+$I$110-$I$111-$I$115</f>
        <v>22.0772940057656</v>
      </c>
      <c r="J96" s="18" t="n">
        <f aca="false">$J$95+$J$110-$J$111-$J$115</f>
        <v>37.7439880750205</v>
      </c>
      <c r="K96" s="18" t="n">
        <f aca="false">$K$95+$K$110-$K$111-$K$115</f>
        <v>66.4068492075928</v>
      </c>
      <c r="L96" s="18" t="n">
        <f aca="false">$L$95+$L$110-$L$111-$L$115</f>
        <v>97.9587944838085</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18.546575</v>
      </c>
      <c r="H101" s="38" t="n">
        <f aca="false">$G$118*$H$100</f>
        <v>21.5688194875</v>
      </c>
      <c r="I101" s="38" t="n">
        <f aca="false">$H$118*$I$100</f>
        <v>20.7445913063437</v>
      </c>
      <c r="J101" s="38" t="n">
        <f aca="false">$I$118*$J$100</f>
        <v>19.4927713158537</v>
      </c>
      <c r="K101" s="38" t="n">
        <f aca="false">$J$118*$K$100</f>
        <v>18.4814416537281</v>
      </c>
      <c r="L101" s="38" t="n">
        <f aca="false">$K$118*$L$100</f>
        <v>18.2561916537281</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0.2911</v>
      </c>
      <c r="H104" s="38" t="n">
        <f aca="false">$G$123*Assumptions!$D$9</f>
        <v>0.24388365</v>
      </c>
      <c r="I104" s="38" t="n">
        <f aca="false">$H$123*Assumptions!$D$9</f>
        <v>0.340936042625</v>
      </c>
      <c r="J104" s="38" t="n">
        <f aca="false">$I$123*Assumptions!$D$9</f>
        <v>0.441545880115313</v>
      </c>
      <c r="K104" s="38" t="n">
        <f aca="false">$J$123*Assumptions!$D$9</f>
        <v>0.754879761500409</v>
      </c>
      <c r="L104" s="38" t="n">
        <f aca="false">$K$123*Assumptions!$D$9</f>
        <v>1.32813698415186</v>
      </c>
    </row>
    <row r="105" customFormat="false" ht="15" hidden="false" customHeight="false" outlineLevel="0" collapsed="false">
      <c r="B105" s="17" t="s">
        <v>585</v>
      </c>
      <c r="F105" s="40" t="n">
        <f aca="false">$F$101+$F$102+$F$103-$F$104</f>
        <v>24.625</v>
      </c>
      <c r="G105" s="40" t="n">
        <f aca="false">$G$101+$G$102+$G$103-$G$104</f>
        <v>23.955475</v>
      </c>
      <c r="H105" s="40" t="n">
        <f aca="false">$H$101+$H$102+$H$103-$H$104</f>
        <v>27.0249358375</v>
      </c>
      <c r="I105" s="40" t="n">
        <f aca="false">$I$101+$I$102+$I$103-$I$104</f>
        <v>26.1036552637187</v>
      </c>
      <c r="J105" s="40" t="n">
        <f aca="false">$J$101+$J$102+$J$103-$J$104</f>
        <v>24.7512254357384</v>
      </c>
      <c r="K105" s="40" t="n">
        <f aca="false">$K$101+$K$102+$K$103-$K$104</f>
        <v>23.4265618922277</v>
      </c>
      <c r="L105" s="40" t="n">
        <f aca="false">$L$101+$L$102+$L$103-$L$104</f>
        <v>22.6280546695762</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2.21725888324873</v>
      </c>
      <c r="G107" s="24" t="n">
        <f aca="false">IF($G$105&lt;&gt;0,$G$72/$G$105,0)</f>
        <v>2.52748901868988</v>
      </c>
      <c r="H107" s="24" t="n">
        <f aca="false">IF($H$105&lt;&gt;0,$H$72/$H$105,0)</f>
        <v>2.14115616584394</v>
      </c>
      <c r="I107" s="24" t="n">
        <f aca="false">IF($I$105&lt;&gt;0,$I$72/$I$105,0)</f>
        <v>2.6915788003703</v>
      </c>
      <c r="J107" s="24" t="n">
        <f aca="false">IF($J$105&lt;&gt;0,$J$72/$J$105,0)</f>
        <v>3.14420349497651</v>
      </c>
      <c r="K107" s="24" t="n">
        <f aca="false">IF($K$105&lt;&gt;0,$K$72/$K$105,0)</f>
        <v>3.44975099088751</v>
      </c>
      <c r="L107" s="24" t="n">
        <f aca="false">IF($L$105&lt;&gt;0,$L$72/$L$105,0)</f>
        <v>3.70904342111543</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2.65</v>
      </c>
      <c r="K109" s="38" t="n">
        <f aca="false">IF($D$14=1,0,MIN($J$118,Assumptions!$D$85*$J$119))</f>
        <v>2.65</v>
      </c>
      <c r="L109" s="38" t="n">
        <f aca="false">IF($D$14=1,0,MIN($K$118,Assumptions!$D$85*$K$119))</f>
        <v>2.65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19.11</v>
      </c>
      <c r="G112" s="19" t="n">
        <f aca="false">$G$95+$G$110-$G$111</f>
        <v>14.388365</v>
      </c>
      <c r="H112" s="19" t="n">
        <f aca="false">$H$95+$H$110-$H$111</f>
        <v>24.0936042625</v>
      </c>
      <c r="I112" s="19" t="n">
        <f aca="false">$I$95+$I$110-$I$111</f>
        <v>34.1545880115313</v>
      </c>
      <c r="J112" s="19" t="n">
        <f aca="false">$J$95+$J$110-$J$111</f>
        <v>46.9919841000273</v>
      </c>
      <c r="K112" s="19" t="n">
        <f aca="false">$K$95+$K$110-$K$111</f>
        <v>66.4068492075928</v>
      </c>
      <c r="L112" s="19" t="n">
        <f aca="false">$L$95+$L$110-$L$111</f>
        <v>97.9587944838085</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9.11</v>
      </c>
      <c r="G114" s="19" t="n">
        <f aca="false">MAX(0,$G$112-Assumptions!$D$79)</f>
        <v>4.38836500000001</v>
      </c>
      <c r="H114" s="19" t="n">
        <f aca="false">MAX(0,$H$112-Assumptions!$D$79)</f>
        <v>14.0936042625</v>
      </c>
      <c r="I114" s="19" t="n">
        <f aca="false">MAX(0,$I$112-Assumptions!$D$79)</f>
        <v>24.1545880115313</v>
      </c>
      <c r="J114" s="19" t="n">
        <f aca="false">MAX(0,$J$112-Assumptions!$D$79)</f>
        <v>36.9919841000273</v>
      </c>
      <c r="K114" s="19" t="n">
        <f aca="false">MAX(0,$K$112-Assumptions!$D$79)</f>
        <v>56.4068492075928</v>
      </c>
      <c r="L114" s="19" t="n">
        <f aca="false">MAX(0,$L$112-Assumptions!$D$79)</f>
        <v>87.9587944838085</v>
      </c>
    </row>
    <row r="115" customFormat="false" ht="15" hidden="false" customHeight="false" outlineLevel="0" collapsed="false">
      <c r="B115" s="17" t="s">
        <v>595</v>
      </c>
      <c r="F115" s="18" t="n">
        <f aca="false">IF(AND($D$19=1,$D$14=0,$E$121-$F$111+$F$110=0),MIN($E$118-$F$109+$F$84,$F$113*$F$114),0)</f>
        <v>4.555</v>
      </c>
      <c r="G115" s="18" t="n">
        <f aca="false">IF(AND($D$19=1,$D$14=0,$F$121-$G$111+$G$110=0),MIN($F$118-$G$109+$G$84,$G$113*$G$114),0)</f>
        <v>2.19418250000001</v>
      </c>
      <c r="H115" s="18" t="n">
        <f aca="false">IF(AND($D$19=1,$D$14=0,$G$121-$H$111+$H$110=0),MIN($G$118-$H$109+$H$84,$H$113*$H$114),0)</f>
        <v>7.04680213125001</v>
      </c>
      <c r="I115" s="18" t="n">
        <f aca="false">IF(AND($D$19=1,$D$14=0,$H$121-$I$111+$I$110=0),MIN($H$118-$I$109+$I$84,$I$113*$I$114),0)</f>
        <v>12.0772940057656</v>
      </c>
      <c r="J115" s="18" t="n">
        <f aca="false">IF(AND($D$19=1,$D$14=0,$I$121-$J$111+$J$110=0),MIN($I$118-$J$109+$J$84,$J$113*$J$114),0)</f>
        <v>9.24799602500682</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218.195</v>
      </c>
      <c r="G118" s="19" t="n">
        <f aca="false">$F$118-$G$109-$G$115+$G$84+$G$86</f>
        <v>253.7508175</v>
      </c>
      <c r="H118" s="19" t="n">
        <f aca="false">$G$118-$H$109-$H$115+$H$84+$H$86</f>
        <v>244.05401536875</v>
      </c>
      <c r="I118" s="19" t="n">
        <f aca="false">$H$118-$I$109-$I$115+$I$84+$I$86</f>
        <v>229.326721362984</v>
      </c>
      <c r="J118" s="19" t="n">
        <f aca="false">$I$118-$J$109-$J$115+$J$84+$J$86</f>
        <v>217.428725337978</v>
      </c>
      <c r="K118" s="19" t="n">
        <f aca="false">$J$118-$K$109-$K$115+$K$84+$K$86</f>
        <v>214.778725337978</v>
      </c>
      <c r="L118" s="19" t="n">
        <f aca="false">$K$118-$L$109-$L$115+$L$84+$L$86</f>
        <v>212.128725337978</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268.195</v>
      </c>
      <c r="G122" s="18" t="n">
        <f aca="false">$G$118+$G$120+$G$121</f>
        <v>303.7508175</v>
      </c>
      <c r="H122" s="18" t="n">
        <f aca="false">$H$118+$H$120+$H$121</f>
        <v>294.05401536875</v>
      </c>
      <c r="I122" s="18" t="n">
        <f aca="false">$I$118+$I$120+$I$121</f>
        <v>279.326721362984</v>
      </c>
      <c r="J122" s="18" t="n">
        <f aca="false">$J$118+$J$120+$J$121</f>
        <v>267.428725337978</v>
      </c>
      <c r="K122" s="18" t="n">
        <f aca="false">$K$118+$K$120+$K$121</f>
        <v>264.778725337978</v>
      </c>
      <c r="L122" s="18" t="n">
        <f aca="false">$L$118+$L$120+$L$121</f>
        <v>262.128725337977</v>
      </c>
    </row>
    <row r="123" customFormat="false" ht="15" hidden="false" customHeight="false" outlineLevel="0" collapsed="false">
      <c r="B123" s="9" t="s">
        <v>600</v>
      </c>
      <c r="E123" s="19" t="n">
        <f aca="false">Assumptions!$D$78</f>
        <v>10</v>
      </c>
      <c r="F123" s="19" t="n">
        <f aca="false">$F$112-$F$115</f>
        <v>14.555</v>
      </c>
      <c r="G123" s="19" t="n">
        <f aca="false">$G$112-$G$115</f>
        <v>12.1941825</v>
      </c>
      <c r="H123" s="19" t="n">
        <f aca="false">$H$112-$H$115</f>
        <v>17.04680213125</v>
      </c>
      <c r="I123" s="19" t="n">
        <f aca="false">$I$112-$I$115</f>
        <v>22.0772940057656</v>
      </c>
      <c r="J123" s="19" t="n">
        <f aca="false">$J$112-$J$115</f>
        <v>37.7439880750205</v>
      </c>
      <c r="K123" s="19" t="n">
        <f aca="false">$K$112-$K$115</f>
        <v>66.4068492075928</v>
      </c>
      <c r="L123" s="19" t="n">
        <f aca="false">$L$112-$L$115</f>
        <v>97.9587944838085</v>
      </c>
    </row>
    <row r="124" customFormat="false" ht="15" hidden="false" customHeight="false" outlineLevel="0" collapsed="false">
      <c r="B124" s="17" t="s">
        <v>601</v>
      </c>
      <c r="E124" s="18" t="n">
        <f aca="false">$E$122-$E$123</f>
        <v>265</v>
      </c>
      <c r="F124" s="18" t="n">
        <f aca="false">$F$122-$F$123</f>
        <v>253.64</v>
      </c>
      <c r="G124" s="18" t="n">
        <f aca="false">$G$122-$G$123</f>
        <v>291.556635</v>
      </c>
      <c r="H124" s="18" t="n">
        <f aca="false">$H$122-$H$123</f>
        <v>277.0072132375</v>
      </c>
      <c r="I124" s="18" t="n">
        <f aca="false">$I$122-$I$123</f>
        <v>257.249427357219</v>
      </c>
      <c r="J124" s="18" t="n">
        <f aca="false">$J$122-$J$123</f>
        <v>229.684737262957</v>
      </c>
      <c r="K124" s="18" t="n">
        <f aca="false">$K$122-$K$123</f>
        <v>198.371876130385</v>
      </c>
      <c r="L124" s="18" t="n">
        <f aca="false">$L$122-$L$123</f>
        <v>164.169930854169</v>
      </c>
    </row>
    <row r="125" customFormat="false" ht="15" hidden="false" customHeight="false" outlineLevel="0" collapsed="false">
      <c r="B125" s="9" t="s">
        <v>538</v>
      </c>
      <c r="E125" s="24" t="n">
        <f aca="false">$E$124/$E$72</f>
        <v>5.3</v>
      </c>
      <c r="F125" s="24" t="n">
        <f aca="false">$F$124/$F$72</f>
        <v>4.64542124542125</v>
      </c>
      <c r="G125" s="24" t="n">
        <f aca="false">$G$124/$G$72</f>
        <v>4.81536115625495</v>
      </c>
      <c r="H125" s="24" t="n">
        <f aca="false">$H$124/$H$72</f>
        <v>4.7871613203964</v>
      </c>
      <c r="I125" s="24" t="n">
        <f aca="false">$I$124/$I$72</f>
        <v>3.66139001075009</v>
      </c>
      <c r="J125" s="24" t="n">
        <f aca="false">$J$124/$J$72</f>
        <v>2.9513776561063</v>
      </c>
      <c r="K125" s="24" t="n">
        <f aca="false">$K$124/$K$72</f>
        <v>2.45461733485126</v>
      </c>
      <c r="L125" s="24" t="n">
        <f aca="false">$L$124/$L$72</f>
        <v>1.95607038717874</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25.4107142857143</v>
      </c>
      <c r="G130" s="38" t="n">
        <f aca="false">$G$105+$G$106</f>
        <v>24.7411892857143</v>
      </c>
      <c r="H130" s="38" t="n">
        <f aca="false">$H$105+$H$106</f>
        <v>27.9706501232143</v>
      </c>
      <c r="I130" s="38" t="n">
        <f aca="false">$I$105+$I$106</f>
        <v>27.049369549433</v>
      </c>
      <c r="J130" s="38" t="n">
        <f aca="false">$J$105+$J$106</f>
        <v>25.6969397214526</v>
      </c>
      <c r="K130" s="38" t="n">
        <f aca="false">$K$105+$K$106</f>
        <v>24.372276177942</v>
      </c>
      <c r="L130" s="38" t="n">
        <f aca="false">$L$105+$L$106</f>
        <v>23.5737689552905</v>
      </c>
    </row>
    <row r="131" customFormat="false" ht="15" hidden="false" customHeight="false" outlineLevel="0" collapsed="false">
      <c r="B131" s="9" t="s">
        <v>606</v>
      </c>
      <c r="F131" s="38" t="n">
        <f aca="false">$F$129-$F$130-$F$83-$F$87-$F$89</f>
        <v>17.4292857142857</v>
      </c>
      <c r="G131" s="38" t="n">
        <f aca="false">$G$129-$G$130-$G$83-$G$87-$G$89</f>
        <v>21.8404107142857</v>
      </c>
      <c r="H131" s="38" t="n">
        <f aca="false">$H$129-$H$130-$H$83-$H$87-$H$89</f>
        <v>15.9922938767857</v>
      </c>
      <c r="I131" s="38" t="n">
        <f aca="false">$I$129-$I$130-$I$83-$I$87-$I$89</f>
        <v>28.401415090567</v>
      </c>
      <c r="J131" s="38" t="n">
        <f aca="false">$J$129-$J$130-$J$83-$J$87-$J$89</f>
        <v>36.5989398945474</v>
      </c>
      <c r="K131" s="38" t="n">
        <f aca="false">$K$129-$K$130-$K$83-$K$87-$K$89</f>
        <v>40.295438622698</v>
      </c>
      <c r="L131" s="38" t="n">
        <f aca="false">$L$129-$L$130-$L$83-$L$87-$L$89</f>
        <v>43.5606544373751</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25.4107142857143</v>
      </c>
      <c r="G133" s="38" t="n">
        <f aca="false">$G$130+$F$135</f>
        <v>33.7719035714286</v>
      </c>
      <c r="H133" s="38" t="n">
        <f aca="false">$H$130+$G$135</f>
        <v>43.5783936946428</v>
      </c>
      <c r="I133" s="38" t="n">
        <f aca="false">$I$130+$H$135</f>
        <v>53.2683808440759</v>
      </c>
      <c r="J133" s="38" t="n">
        <f aca="false">$J$130+$I$135</f>
        <v>57.8873070295285</v>
      </c>
      <c r="K133" s="38" t="n">
        <f aca="false">$K$130+$J$135</f>
        <v>58.9127163514705</v>
      </c>
      <c r="L133" s="38" t="n">
        <f aca="false">$L$130+$K$135</f>
        <v>58.241743776521</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9.03071428571429</v>
      </c>
      <c r="G135" s="38" t="n">
        <f aca="false">$G$133-$G$134</f>
        <v>15.6077435714286</v>
      </c>
      <c r="H135" s="38" t="n">
        <f aca="false">$H$133-$H$134</f>
        <v>26.2190112946428</v>
      </c>
      <c r="I135" s="38" t="n">
        <f aca="false">$I$133-$I$134</f>
        <v>32.1903673080759</v>
      </c>
      <c r="J135" s="38" t="n">
        <f aca="false">$J$133-$J$134</f>
        <v>34.5404401735285</v>
      </c>
      <c r="K135" s="38" t="n">
        <f aca="false">$K$133-$K$134</f>
        <v>34.6679748212305</v>
      </c>
      <c r="L135" s="38" t="n">
        <f aca="false">$L$133-$L$134</f>
        <v>33.0632125850714</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10.8142857142857</v>
      </c>
      <c r="G140" s="19" t="n">
        <f aca="false">$G$131-$G$139</f>
        <v>14.7360507142857</v>
      </c>
      <c r="H140" s="19" t="n">
        <f aca="false">$H$131-$H$139</f>
        <v>9.34140347678572</v>
      </c>
      <c r="I140" s="19" t="n">
        <f aca="false">$I$131-$I$139</f>
        <v>19.808222314567</v>
      </c>
      <c r="J140" s="19" t="n">
        <f aca="false">$J$131-$J$139</f>
        <v>26.8616867045474</v>
      </c>
      <c r="K140" s="19" t="n">
        <f aca="false">$K$131-$K$139</f>
        <v>30.189695305098</v>
      </c>
      <c r="L140" s="19" t="n">
        <f aca="false">$L$131-$L$139</f>
        <v>33.0716813870711</v>
      </c>
    </row>
    <row r="141" customFormat="false" ht="15" hidden="false" customHeight="false" outlineLevel="0" collapsed="false">
      <c r="B141" s="9" t="s">
        <v>616</v>
      </c>
      <c r="F141" s="38" t="n">
        <f aca="false">Assumptions!$D$7*($F$129-$F$130)</f>
        <v>4.35732142857143</v>
      </c>
      <c r="G141" s="38" t="n">
        <f aca="false">Assumptions!$D$7*($G$129-$G$130)</f>
        <v>5.83510267857143</v>
      </c>
      <c r="H141" s="38" t="n">
        <f aca="false">Assumptions!$D$7*($H$129-$H$130)</f>
        <v>3.99807346919643</v>
      </c>
      <c r="I141" s="38" t="n">
        <f aca="false">Assumptions!$D$7*($I$129-$I$130)</f>
        <v>7.10035377264174</v>
      </c>
      <c r="J141" s="38" t="n">
        <f aca="false">Assumptions!$D$7*($J$129-$J$130)</f>
        <v>9.14973497363684</v>
      </c>
      <c r="K141" s="38" t="n">
        <f aca="false">Assumptions!$D$7*($K$129-$K$130)</f>
        <v>10.0738596556745</v>
      </c>
      <c r="L141" s="38" t="n">
        <f aca="false">Assumptions!$D$7*($L$129-$L$130)</f>
        <v>10.8901636093438</v>
      </c>
    </row>
    <row r="142" customFormat="false" ht="15" hidden="false" customHeight="false" outlineLevel="0" collapsed="false">
      <c r="B142" s="9" t="s">
        <v>617</v>
      </c>
      <c r="F142" s="38" t="n">
        <f aca="false">$F$139-$F$141</f>
        <v>2.25767857142857</v>
      </c>
      <c r="G142" s="38" t="n">
        <f aca="false">$G$139-$G$141</f>
        <v>1.26925732142857</v>
      </c>
      <c r="H142" s="38" t="n">
        <f aca="false">$H$139-$H$141</f>
        <v>2.65281693080357</v>
      </c>
      <c r="I142" s="38" t="n">
        <f aca="false">$I$139-$I$141</f>
        <v>1.49283900335826</v>
      </c>
      <c r="J142" s="38" t="n">
        <f aca="false">$J$139-$J$141</f>
        <v>0.58751821636316</v>
      </c>
      <c r="K142" s="38" t="n">
        <f aca="false">$K$139-$K$141</f>
        <v>0.0318836619254927</v>
      </c>
      <c r="L142" s="38" t="n">
        <f aca="false">$L$139-$L$141</f>
        <v>-0.401190559039769</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14.555</v>
      </c>
      <c r="G145" s="19" t="n">
        <f aca="false">$G$123</f>
        <v>12.1941825</v>
      </c>
      <c r="H145" s="19" t="n">
        <f aca="false">$H$123</f>
        <v>17.04680213125</v>
      </c>
      <c r="I145" s="19" t="n">
        <f aca="false">$I$123</f>
        <v>22.0772940057656</v>
      </c>
      <c r="J145" s="19" t="n">
        <f aca="false">$J$123</f>
        <v>37.7439880750205</v>
      </c>
      <c r="K145" s="19" t="n">
        <f aca="false">$K$123</f>
        <v>66.4068492075928</v>
      </c>
      <c r="L145" s="19" t="n">
        <f aca="false">$L$123</f>
        <v>97.9587944838085</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469.509285714286</v>
      </c>
      <c r="G150" s="18" t="n">
        <f aca="false">$G$145+$G$146+$G$147+$G$148+$G$149</f>
        <v>519.801153928572</v>
      </c>
      <c r="H150" s="18" t="n">
        <f aca="false">$H$145+$H$146+$H$147+$H$148+$H$149</f>
        <v>519.445755274107</v>
      </c>
      <c r="I150" s="18" t="n">
        <f aca="false">$I$145+$I$146+$I$147+$I$148+$I$149</f>
        <v>524.526683582909</v>
      </c>
      <c r="J150" s="18" t="n">
        <f aca="false">$J$145+$J$146+$J$147+$J$148+$J$149</f>
        <v>539.490374262449</v>
      </c>
      <c r="K150" s="18" t="n">
        <f aca="false">$K$145+$K$146+$K$147+$K$148+$K$149</f>
        <v>567.030069567547</v>
      </c>
      <c r="L150" s="18" t="n">
        <f aca="false">$L$145+$L$146+$L$147+$L$148+$L$149</f>
        <v>597.451750954618</v>
      </c>
    </row>
    <row r="151" customFormat="false" ht="15" hidden="false" customHeight="false" outlineLevel="0" collapsed="false">
      <c r="B151" s="9" t="s">
        <v>291</v>
      </c>
      <c r="E151" s="19" t="n">
        <f aca="false">$E$122</f>
        <v>275</v>
      </c>
      <c r="F151" s="19" t="n">
        <f aca="false">$F$122</f>
        <v>268.195</v>
      </c>
      <c r="G151" s="19" t="n">
        <f aca="false">$G$122</f>
        <v>303.7508175</v>
      </c>
      <c r="H151" s="19" t="n">
        <f aca="false">$H$122</f>
        <v>294.05401536875</v>
      </c>
      <c r="I151" s="19" t="n">
        <f aca="false">$I$122</f>
        <v>279.326721362984</v>
      </c>
      <c r="J151" s="19" t="n">
        <f aca="false">$J$122</f>
        <v>267.428725337978</v>
      </c>
      <c r="K151" s="19" t="n">
        <f aca="false">$K$122</f>
        <v>264.778725337978</v>
      </c>
      <c r="L151" s="19" t="n">
        <f aca="false">$L$122</f>
        <v>262.128725337977</v>
      </c>
    </row>
    <row r="152" customFormat="false" ht="15" hidden="false" customHeight="false" outlineLevel="0" collapsed="false">
      <c r="B152" s="9" t="s">
        <v>624</v>
      </c>
      <c r="E152" s="19" t="n">
        <f aca="false">$D$46-Assumptions!$D$76</f>
        <v>190.5</v>
      </c>
      <c r="F152" s="19" t="n">
        <f aca="false">$E$152+$F$140-$F$88+$F$90</f>
        <v>201.314285714286</v>
      </c>
      <c r="G152" s="19" t="n">
        <f aca="false">$F$152+$G$140-$G$88+$G$90</f>
        <v>216.050336428571</v>
      </c>
      <c r="H152" s="19" t="n">
        <f aca="false">$G$152+$H$140-$H$88+$H$90</f>
        <v>225.391739905357</v>
      </c>
      <c r="I152" s="19" t="n">
        <f aca="false">$H$152+$I$140-$I$88+$I$90</f>
        <v>245.199962219924</v>
      </c>
      <c r="J152" s="19" t="n">
        <f aca="false">$I$152+$J$140-$J$88+$J$90</f>
        <v>272.061648924471</v>
      </c>
      <c r="K152" s="19" t="n">
        <f aca="false">$J$152+$K$140-$K$88+$K$90</f>
        <v>302.25134422957</v>
      </c>
      <c r="L152" s="19" t="n">
        <f aca="false">$K$152+$L$140-$L$88+$L$90</f>
        <v>335.323025616641</v>
      </c>
    </row>
    <row r="153" customFormat="false" ht="15" hidden="false" customHeight="false" outlineLevel="0" collapsed="false">
      <c r="B153" s="17" t="s">
        <v>625</v>
      </c>
      <c r="E153" s="18" t="n">
        <f aca="false">$E$151+$E$152</f>
        <v>465.5</v>
      </c>
      <c r="F153" s="18" t="n">
        <f aca="false">$F$151+$F$152</f>
        <v>469.509285714286</v>
      </c>
      <c r="G153" s="18" t="n">
        <f aca="false">$G$151+$G$152</f>
        <v>519.801153928572</v>
      </c>
      <c r="H153" s="18" t="n">
        <f aca="false">$H$151+$H$152</f>
        <v>519.445755274107</v>
      </c>
      <c r="I153" s="18" t="n">
        <f aca="false">$I$151+$I$152</f>
        <v>524.526683582909</v>
      </c>
      <c r="J153" s="18" t="n">
        <f aca="false">$J$151+$J$152</f>
        <v>539.490374262449</v>
      </c>
      <c r="K153" s="18" t="n">
        <f aca="false">$K$151+$K$152</f>
        <v>567.030069567547</v>
      </c>
      <c r="L153" s="18" t="n">
        <f aca="false">$L$151+$L$152</f>
        <v>597.451750954618</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253.64</v>
      </c>
      <c r="G160" s="19" t="n">
        <f aca="false">$G$124</f>
        <v>291.556635</v>
      </c>
      <c r="H160" s="19" t="n">
        <f aca="false">$H$124</f>
        <v>277.0072132375</v>
      </c>
      <c r="I160" s="19" t="n">
        <f aca="false">$I$124</f>
        <v>257.249427357219</v>
      </c>
      <c r="J160" s="19" t="n">
        <f aca="false">$J$124</f>
        <v>229.684737262957</v>
      </c>
      <c r="K160" s="19" t="n">
        <f aca="false">$K$124</f>
        <v>198.371876130385</v>
      </c>
      <c r="L160" s="19" t="n">
        <f aca="false">$L$124</f>
        <v>164.169930854169</v>
      </c>
    </row>
    <row r="161" customFormat="false" ht="15" hidden="false" customHeight="false" outlineLevel="0" collapsed="false">
      <c r="B161" s="17" t="s">
        <v>632</v>
      </c>
      <c r="F161" s="41" t="n">
        <f aca="false">$F$124/$F$159</f>
        <v>4.64542124542125</v>
      </c>
      <c r="G161" s="41" t="n">
        <f aca="false">$G$124/$G$159</f>
        <v>4.0750250883333</v>
      </c>
      <c r="H161" s="41" t="n">
        <f aca="false">$H$124/$H$159</f>
        <v>4.62722838237745</v>
      </c>
      <c r="I161" s="41" t="n">
        <f aca="false">$I$124/$I$159</f>
        <v>3.63551813627248</v>
      </c>
      <c r="J161" s="41" t="n">
        <f aca="false">$J$124/$J$159</f>
        <v>2.9513776561063</v>
      </c>
      <c r="K161" s="41" t="n">
        <f aca="false">$K$124/$K$159</f>
        <v>2.45461733485126</v>
      </c>
      <c r="L161" s="41" t="n">
        <f aca="false">$L$124/$L$159</f>
        <v>1.95607038717874</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1.10457875457876</v>
      </c>
      <c r="G163" s="24" t="n">
        <f aca="false">$G$162-$G$161</f>
        <v>1.1749749116667</v>
      </c>
      <c r="H163" s="24" t="n">
        <f aca="false">$H$162-$H$161</f>
        <v>0.122771617622552</v>
      </c>
      <c r="I163" s="24" t="n">
        <f aca="false">$I$162-$I$161</f>
        <v>0.614481863727524</v>
      </c>
      <c r="J163" s="24" t="n">
        <f aca="false">$J$162-$J$161</f>
        <v>1.0486223438937</v>
      </c>
      <c r="K163" s="24" t="n">
        <f aca="false">$K$162-$K$161</f>
        <v>1.54538266514874</v>
      </c>
      <c r="L163" s="24" t="n">
        <f aca="false">$L$162-$L$161</f>
        <v>2.04392961282126</v>
      </c>
    </row>
    <row r="164" customFormat="false" ht="15" hidden="false" customHeight="false" outlineLevel="0" collapsed="false">
      <c r="B164" s="9" t="s">
        <v>635</v>
      </c>
      <c r="F164" s="14" t="n">
        <f aca="false">1-$F$124/($F$162*$F$159)</f>
        <v>0.192100652970218</v>
      </c>
      <c r="G164" s="14" t="n">
        <f aca="false">1-$G$124/($G$162*$G$159)</f>
        <v>0.223804745079372</v>
      </c>
      <c r="H164" s="14" t="n">
        <f aca="false">1-$H$124/($H$162*$H$159)</f>
        <v>0.02584665634159</v>
      </c>
      <c r="I164" s="14" t="n">
        <f aca="false">1-$I$124/($I$162*$I$159)</f>
        <v>0.144583967935888</v>
      </c>
      <c r="J164" s="14" t="n">
        <f aca="false">1-$J$124/($J$162*$J$159)</f>
        <v>0.262155585973425</v>
      </c>
      <c r="K164" s="14" t="n">
        <f aca="false">1-$K$124/($K$162*$K$159)</f>
        <v>0.386345666287184</v>
      </c>
      <c r="L164" s="14" t="n">
        <f aca="false">1-$L$124/($L$162*$L$159)</f>
        <v>0.510982403205316</v>
      </c>
    </row>
    <row r="165" customFormat="false" ht="15" hidden="false" customHeight="false" outlineLevel="0" collapsed="false">
      <c r="B165" s="9" t="s">
        <v>636</v>
      </c>
      <c r="F165" s="19" t="n">
        <f aca="false">$F$164*$F$159</f>
        <v>10.4886956521739</v>
      </c>
      <c r="G165" s="19" t="n">
        <f aca="false">$G$164*$G$159</f>
        <v>16.0126028571429</v>
      </c>
      <c r="H165" s="19" t="n">
        <f aca="false">$H$164*$H$159</f>
        <v>1.54729995</v>
      </c>
      <c r="I165" s="19" t="n">
        <f aca="false">$I$164*$I$159</f>
        <v>10.2307680947721</v>
      </c>
      <c r="J165" s="19" t="n">
        <f aca="false">$J$164*$J$159</f>
        <v>20.4017052042607</v>
      </c>
      <c r="K165" s="19" t="n">
        <f aca="false">$K$164*$K$159</f>
        <v>31.2228360682038</v>
      </c>
      <c r="L165" s="19" t="n">
        <f aca="false">$L$164*$L$159</f>
        <v>42.8859545912898</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-1.10457875457876</v>
      </c>
      <c r="G167" s="24" t="n">
        <f aca="false">$G$125-Assumptions!$G$169</f>
        <v>-0.434638843745047</v>
      </c>
      <c r="H167" s="24" t="n">
        <f aca="false">$H$125-Assumptions!$H$169</f>
        <v>0.0371613203963985</v>
      </c>
      <c r="I167" s="24" t="n">
        <f aca="false">$I$125-Assumptions!$I$169</f>
        <v>-0.588609989249908</v>
      </c>
      <c r="J167" s="24" t="n">
        <f aca="false">$J$125-Assumptions!$J$169</f>
        <v>-1.0486223438937</v>
      </c>
      <c r="K167" s="24" t="n">
        <f aca="false">$K$125-Assumptions!$K$169</f>
        <v>-1.54538266514874</v>
      </c>
      <c r="L167" s="24" t="n">
        <f aca="false">$L$125-Assumptions!$L$169</f>
        <v>-2.04392961282126</v>
      </c>
    </row>
    <row r="168" customFormat="false" ht="15" hidden="false" customHeight="false" outlineLevel="0" collapsed="false">
      <c r="B168" s="9" t="s">
        <v>639</v>
      </c>
      <c r="F168" s="24" t="n">
        <f aca="false">$F$161-$F$162</f>
        <v>-1.10457875457876</v>
      </c>
      <c r="G168" s="24" t="n">
        <f aca="false">$G$161-$G$162</f>
        <v>-1.1749749116667</v>
      </c>
      <c r="H168" s="24" t="n">
        <f aca="false">$H$161-$H$162</f>
        <v>-0.122771617622552</v>
      </c>
      <c r="I168" s="24" t="n">
        <f aca="false">$I$161-$I$162</f>
        <v>-0.614481863727524</v>
      </c>
      <c r="J168" s="24" t="n">
        <f aca="false">$J$161-$J$162</f>
        <v>-1.0486223438937</v>
      </c>
      <c r="K168" s="24" t="n">
        <f aca="false">$K$161-$K$162</f>
        <v>-1.54538266514874</v>
      </c>
      <c r="L168" s="24" t="n">
        <f aca="false">$L$161-$L$162</f>
        <v>-2.04392961282126</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229.684737262957</v>
      </c>
    </row>
    <row r="174" customFormat="false" ht="15" hidden="false" customHeight="false" outlineLevel="0" collapsed="false">
      <c r="B174" s="9" t="s">
        <v>643</v>
      </c>
      <c r="D174" s="19" t="n">
        <f aca="false">INDEX($E$118:$L$118,1,$D$170+1)</f>
        <v>217.428725337978</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37.7439880750205</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460.215178331843</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2.19698982032648</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2.19698982032648</v>
      </c>
    </row>
    <row r="195" customFormat="false" ht="15" hidden="false" customHeight="false" outlineLevel="0" collapsed="false">
      <c r="B195" s="9" t="s">
        <v>663</v>
      </c>
      <c r="D195" s="34" t="n">
        <f aca="false">IF($D$194&gt;=Assumptions!$D$110,$D$191,$D$191*0.5)</f>
        <v>17.3913043478261</v>
      </c>
    </row>
    <row r="196" customFormat="false" ht="15" hidden="false" customHeight="false" outlineLevel="0" collapsed="false">
      <c r="B196" s="9" t="s">
        <v>664</v>
      </c>
      <c r="D196" s="35" t="n">
        <f aca="false">($D$179+$D$195*Assumptions!$D$108)/($D$189+$D$195)</f>
        <v>2.19698982032648</v>
      </c>
    </row>
    <row r="197" customFormat="false" ht="15" hidden="false" customHeight="false" outlineLevel="0" collapsed="false">
      <c r="B197" s="9" t="s">
        <v>665</v>
      </c>
      <c r="D197" s="34" t="n">
        <f aca="false">IF($D$196&lt;Assumptions!$D$108,0,$D$195)</f>
        <v>17.3913043478261</v>
      </c>
    </row>
    <row r="198" customFormat="false" ht="15" hidden="false" customHeight="false" outlineLevel="0" collapsed="false">
      <c r="B198" s="17" t="s">
        <v>666</v>
      </c>
      <c r="D198" s="43" t="n">
        <f aca="false">IF($D$196&lt;Assumptions!$D$108,$D$179/$D$189,$D$196)</f>
        <v>2.19698982032648</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417.428065862031</v>
      </c>
    </row>
    <row r="201" customFormat="false" ht="15" hidden="false" customHeight="false" outlineLevel="0" collapsed="false">
      <c r="B201" s="9" t="s">
        <v>668</v>
      </c>
      <c r="D201" s="14" t="n">
        <f aca="false">$D$200/$D$179</f>
        <v>0.907028028443338</v>
      </c>
    </row>
    <row r="202" customFormat="false" ht="15" hidden="false" customHeight="false" outlineLevel="0" collapsed="false">
      <c r="B202" s="9" t="s">
        <v>669</v>
      </c>
      <c r="D202" s="19" t="n">
        <f aca="false">$D$185*$D$198</f>
        <v>21.9698982032648</v>
      </c>
    </row>
    <row r="203" customFormat="false" ht="15" hidden="false" customHeight="false" outlineLevel="0" collapsed="false">
      <c r="B203" s="9" t="s">
        <v>670</v>
      </c>
      <c r="D203" s="19" t="n">
        <f aca="false">$D$197*MAX(0,$D$198-Assumptions!$D$108)</f>
        <v>20.8172142665474</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42.7871124698122</v>
      </c>
    </row>
    <row r="206" customFormat="false" ht="15" hidden="false" customHeight="false" outlineLevel="0" collapsed="false">
      <c r="B206" s="9" t="s">
        <v>673</v>
      </c>
      <c r="D206" s="24" t="n">
        <f aca="false">$D$205/$D$47</f>
        <v>4.27871124698122</v>
      </c>
    </row>
    <row r="207" customFormat="false" ht="15" hidden="false" customHeight="false" outlineLevel="0" collapsed="false">
      <c r="B207" s="9" t="s">
        <v>674</v>
      </c>
      <c r="D207" s="19" t="n">
        <f aca="false">$D$187*$D$198</f>
        <v>8.78795928130591</v>
      </c>
    </row>
    <row r="208" customFormat="false" ht="15" hidden="false" customHeight="false" outlineLevel="0" collapsed="false">
      <c r="B208" s="9" t="s">
        <v>675</v>
      </c>
      <c r="D208" s="19" t="n">
        <f aca="false">$D$203*Assumptions!$D$112</f>
        <v>7.2860249932916</v>
      </c>
    </row>
    <row r="209" customFormat="false" ht="15" hidden="false" customHeight="false" outlineLevel="0" collapsed="false">
      <c r="B209" s="9" t="s">
        <v>676</v>
      </c>
      <c r="D209" s="19" t="n">
        <f aca="false">$D$207+$D$208</f>
        <v>16.0739842745975</v>
      </c>
    </row>
    <row r="210" customFormat="false" ht="15" hidden="false" customHeight="false" outlineLevel="0" collapsed="false">
      <c r="B210" s="9" t="s">
        <v>677</v>
      </c>
      <c r="D210" s="24" t="n">
        <f aca="false">$D$209/Assumptions!$D$111</f>
        <v>4.01849606864938</v>
      </c>
    </row>
    <row r="211" customFormat="false" ht="15" hidden="false" customHeight="false" outlineLevel="0" collapsed="false">
      <c r="B211" s="9" t="s">
        <v>678</v>
      </c>
      <c r="D211" s="19" t="n">
        <f aca="false">$D$179*$D$190/$D$189</f>
        <v>437.204419415251</v>
      </c>
    </row>
    <row r="212" customFormat="false" ht="15" hidden="false" customHeight="false" outlineLevel="0" collapsed="false">
      <c r="B212" s="9" t="s">
        <v>679</v>
      </c>
      <c r="D212" s="19" t="n">
        <f aca="false">$D$211-$D$200</f>
        <v>19.7763535532201</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417.428065862031</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460.215178331843</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0.170484343544686</v>
      </c>
    </row>
    <row r="224" customFormat="false" ht="15" hidden="false" customHeight="false" outlineLevel="0" collapsed="false">
      <c r="B224" s="9" t="s">
        <v>689</v>
      </c>
      <c r="D224" s="25" t="n">
        <f aca="false">XIRR($E$219:$L$219,$E$221:$L$221,0.1)</f>
        <v>0.170383441610592</v>
      </c>
    </row>
    <row r="225" customFormat="false" ht="15" hidden="false" customHeight="false" outlineLevel="0" collapsed="false">
      <c r="B225" s="17" t="s">
        <v>690</v>
      </c>
      <c r="D225" s="41" t="n">
        <f aca="false">SUMIF($E$219:$L$219,"&gt;0")/-SUMIF($E$219:$L$219,"&lt;0")</f>
        <v>2.19698982032648</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0.18137068110822</v>
      </c>
    </row>
    <row r="228" customFormat="false" ht="15" hidden="false" customHeight="false" outlineLevel="0" collapsed="false">
      <c r="B228" s="9" t="s">
        <v>693</v>
      </c>
      <c r="D228" s="24" t="n">
        <f aca="false">SUMIF($E$220:$L$220,"&gt;0")/-SUMIF($E$220:$L$220,"&lt;0")</f>
        <v>2.30107589165922</v>
      </c>
    </row>
    <row r="229" customFormat="false" ht="15" hidden="false" customHeight="false" outlineLevel="0" collapsed="false">
      <c r="B229" s="9" t="s">
        <v>694</v>
      </c>
      <c r="D229" s="19" t="n">
        <f aca="false">SUM($E$220:$L$220)</f>
        <v>260.215178331843</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88.1152627370429</v>
      </c>
    </row>
    <row r="232" customFormat="false" ht="15" hidden="false" customHeight="false" outlineLevel="0" collapsed="false">
      <c r="B232" s="9" t="s">
        <v>697</v>
      </c>
      <c r="D232" s="19" t="n">
        <f aca="false">SUMPRODUCT(($F$64:$L$64&lt;=$D$170)*$F$105:$L$105)</f>
        <v>126.460291536957</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12.45</v>
      </c>
    </row>
    <row r="235" customFormat="false" ht="15" hidden="false" customHeight="false" outlineLevel="0" collapsed="false">
      <c r="B235" s="9" t="s">
        <v>700</v>
      </c>
      <c r="D235" s="19" t="n">
        <f aca="false">SUMPRODUCT(($F$64:$L$64&lt;=$D$170)*$F$115:$L$115)</f>
        <v>35.1212746620225</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47.5712746620225</v>
      </c>
    </row>
    <row r="238" customFormat="false" ht="15" hidden="false" customHeight="false" outlineLevel="0" collapsed="false">
      <c r="B238" s="9" t="s">
        <v>703</v>
      </c>
      <c r="D238" s="19" t="n">
        <f aca="false">$D$54-$D$173</f>
        <v>35.3152627370429</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250.40600568</v>
      </c>
    </row>
    <row r="242" customFormat="false" ht="15" hidden="false" customHeight="false" outlineLevel="0" collapsed="false">
      <c r="B242" s="9" t="s">
        <v>234</v>
      </c>
      <c r="D242" s="14" t="n">
        <f aca="false">$D$172/$D$29-1</f>
        <v>0.5564577904</v>
      </c>
    </row>
    <row r="243" customFormat="false" ht="15" hidden="false" customHeight="false" outlineLevel="0" collapsed="false">
      <c r="B243" s="9" t="s">
        <v>235</v>
      </c>
      <c r="D243" s="25" t="n">
        <f aca="false">($D$172/$D$29)^(1/$D$170)-1</f>
        <v>0.0925151535860498</v>
      </c>
    </row>
    <row r="244" customFormat="false" ht="15" hidden="false" customHeight="false" outlineLevel="0" collapsed="false">
      <c r="B244" s="9" t="s">
        <v>236</v>
      </c>
      <c r="D244" s="14" t="n">
        <f aca="false">$D$179/$D$46-1</f>
        <v>1.30107589165922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706</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Assumptions!$D$97</f>
        <v>5.5</v>
      </c>
    </row>
    <row r="9" customFormat="false" ht="15" hidden="false" customHeight="false" outlineLevel="0" collapsed="false">
      <c r="B9" s="9" t="s">
        <v>508</v>
      </c>
      <c r="C9" s="6" t="s">
        <v>79</v>
      </c>
      <c r="D9" s="22" t="n">
        <v>0</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Assumptions!$D$95</f>
        <v>0.06</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0</v>
      </c>
    </row>
    <row r="32" customFormat="false" ht="15" hidden="false" customHeight="false" outlineLevel="0" collapsed="false">
      <c r="B32" s="9" t="s">
        <v>521</v>
      </c>
      <c r="D32" s="19" t="n">
        <f aca="false">IF($D$22&gt;0,$D$30-$D$31,IF($D$14=1,0,$D$8*$D$28))</f>
        <v>275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275</v>
      </c>
    </row>
    <row r="44" customFormat="false" ht="15" hidden="false" customHeight="false" outlineLevel="0" collapsed="false">
      <c r="B44" s="9" t="s">
        <v>520</v>
      </c>
      <c r="D44" s="19" t="n">
        <f aca="false">$D$31</f>
        <v>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8.485</v>
      </c>
      <c r="G91" s="18" t="n">
        <f aca="false">$G$72-$G$139-$G$105-$G$75-$G$79-$G$83-$G$87-$G$89</f>
        <v>11.95794</v>
      </c>
      <c r="H91" s="18" t="n">
        <f aca="false">$H$72-$H$139-$H$105-$H$75-$H$79-$H$83-$H$87-$H$89</f>
        <v>10.8567656</v>
      </c>
      <c r="I91" s="18" t="n">
        <f aca="false">$I$72-$I$139-$I$105-$I$75-$I$79-$I$83-$I$87-$I$89</f>
        <v>15.93212348</v>
      </c>
      <c r="J91" s="18" t="n">
        <f aca="false">$J$72-$J$139-$J$105-$J$75-$J$79-$J$83-$J$87-$J$89</f>
        <v>23.6081693868</v>
      </c>
      <c r="K91" s="18" t="n">
        <f aca="false">$K$72-$K$139-$K$105-$K$75-$K$79-$K$83-$K$87-$K$89</f>
        <v>27.327735919872</v>
      </c>
      <c r="L91" s="18" t="n">
        <f aca="false">$L$72-$L$139-$L$105-$L$75-$L$79-$L$83-$L$87-$L$89</f>
        <v>30.2168675592614</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12.8675</v>
      </c>
      <c r="H94" s="19" t="n">
        <f aca="false">$G$123</f>
        <v>10</v>
      </c>
      <c r="I94" s="19" t="n">
        <f aca="false">$H$123</f>
        <v>13.4911028</v>
      </c>
      <c r="J94" s="19" t="n">
        <f aca="false">$I$123</f>
        <v>18.13661314</v>
      </c>
      <c r="K94" s="19" t="n">
        <f aca="false">$J$123</f>
        <v>31.4460868951</v>
      </c>
      <c r="L94" s="19" t="n">
        <f aca="false">$K$123</f>
        <v>55.623822814972</v>
      </c>
    </row>
    <row r="95" customFormat="false" ht="15" hidden="false" customHeight="false" outlineLevel="0" collapsed="false">
      <c r="B95" s="9" t="s">
        <v>576</v>
      </c>
      <c r="F95" s="19" t="n">
        <f aca="false">$E$123+$F$91-$F$109-$F$82-$F$85+$F$84+$F$86-$F$88+$F$90</f>
        <v>15.735</v>
      </c>
      <c r="G95" s="19" t="n">
        <f aca="false">$F$123+$G$91-$G$109-$G$82-$G$85+$G$84+$G$86-$G$88+$G$90</f>
        <v>9.27544000000001</v>
      </c>
      <c r="H95" s="19" t="n">
        <f aca="false">$G$123+$H$91-$H$109-$H$82-$H$85+$H$84+$H$86-$H$88+$H$90</f>
        <v>17.7067656</v>
      </c>
      <c r="I95" s="19" t="n">
        <f aca="false">$H$123+$I$91-$I$109-$I$82-$I$85+$I$84+$I$86-$I$88+$I$90</f>
        <v>26.27322628</v>
      </c>
      <c r="J95" s="19" t="n">
        <f aca="false">$I$123+$J$91-$J$109-$J$82-$J$85+$J$84+$J$86-$J$88+$J$90</f>
        <v>38.5947825268</v>
      </c>
      <c r="K95" s="19" t="n">
        <f aca="false">$J$123+$K$91-$K$109-$K$82-$K$85+$K$84+$K$86-$K$88+$K$90</f>
        <v>55.623822814972</v>
      </c>
      <c r="L95" s="19" t="n">
        <f aca="false">$K$123+$L$91-$L$109-$L$82-$L$85+$L$84+$L$86-$L$88+$L$90</f>
        <v>82.6906903742334</v>
      </c>
    </row>
    <row r="96" customFormat="false" ht="15" hidden="false" customHeight="false" outlineLevel="0" collapsed="false">
      <c r="B96" s="17" t="s">
        <v>577</v>
      </c>
      <c r="F96" s="18" t="n">
        <f aca="false">$F$95+$F$110-$F$111-$F$115</f>
        <v>12.8675</v>
      </c>
      <c r="G96" s="18" t="n">
        <f aca="false">$G$95+$G$110-$G$111-$G$115</f>
        <v>10</v>
      </c>
      <c r="H96" s="18" t="n">
        <f aca="false">$H$95+$H$110-$H$111-$H$115</f>
        <v>13.4911028</v>
      </c>
      <c r="I96" s="18" t="n">
        <f aca="false">$I$95+$I$110-$I$111-$I$115</f>
        <v>18.13661314</v>
      </c>
      <c r="J96" s="18" t="n">
        <f aca="false">$J$95+$J$110-$J$111-$J$115</f>
        <v>31.4460868951</v>
      </c>
      <c r="K96" s="18" t="n">
        <f aca="false">$K$95+$K$110-$K$111-$K$115</f>
        <v>55.623822814972</v>
      </c>
      <c r="L96" s="18" t="n">
        <f aca="false">$L$95+$L$110-$L$111-$L$115</f>
        <v>82.6906903742334</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0.06</v>
      </c>
      <c r="G99" s="25" t="n">
        <f aca="false">$D$21+IF(AND($D$17=1,$G$64&gt;Assumptions!$D$146),Assumptions!$D$148,0)</f>
        <v>0.06</v>
      </c>
      <c r="H99" s="25" t="n">
        <f aca="false">$D$21+IF(AND($D$17=1,$H$64&gt;Assumptions!$D$146),Assumptions!$D$148,0)</f>
        <v>0.06</v>
      </c>
      <c r="I99" s="25" t="n">
        <f aca="false">$D$21+IF(AND($D$17=1,$I$64&gt;Assumptions!$D$146),Assumptions!$D$148,0)</f>
        <v>0.06</v>
      </c>
      <c r="J99" s="25" t="n">
        <f aca="false">$D$21+IF(AND($D$17=1,$J$64&gt;Assumptions!$D$146),Assumptions!$D$148,0)</f>
        <v>0.06</v>
      </c>
      <c r="K99" s="25" t="n">
        <f aca="false">$D$21+IF(AND($D$17=1,$K$64&gt;Assumptions!$D$146),Assumptions!$D$148,0)</f>
        <v>0.06</v>
      </c>
      <c r="L99" s="25" t="n">
        <f aca="false">$D$21+IF(AND($D$17=1,$L$64&gt;Assumptions!$D$146),Assumptions!$D$148,0)</f>
        <v>0.06</v>
      </c>
    </row>
    <row r="100" customFormat="false" ht="15" hidden="false" customHeight="false" outlineLevel="0" collapsed="false">
      <c r="B100" s="9" t="s">
        <v>580</v>
      </c>
      <c r="F100" s="25" t="n">
        <f aca="false">$D$18+$F$99</f>
        <v>0.1</v>
      </c>
      <c r="G100" s="25" t="n">
        <f aca="false">$D$18+$G$99</f>
        <v>0.1</v>
      </c>
      <c r="H100" s="25" t="n">
        <f aca="false">$D$18+$H$99</f>
        <v>0.1</v>
      </c>
      <c r="I100" s="25" t="n">
        <f aca="false">$D$18+$I$99</f>
        <v>0.1</v>
      </c>
      <c r="J100" s="25" t="n">
        <f aca="false">$D$18+$J$99</f>
        <v>0.1</v>
      </c>
      <c r="K100" s="25" t="n">
        <f aca="false">$D$18+$K$99</f>
        <v>0.1</v>
      </c>
      <c r="L100" s="25" t="n">
        <f aca="false">$D$18+$L$99</f>
        <v>0.1</v>
      </c>
    </row>
    <row r="101" customFormat="false" ht="15" hidden="false" customHeight="false" outlineLevel="0" collapsed="false">
      <c r="B101" s="9" t="s">
        <v>581</v>
      </c>
      <c r="F101" s="38" t="n">
        <f aca="false">$E$118*$F$100</f>
        <v>27.5</v>
      </c>
      <c r="G101" s="38" t="n">
        <f aca="false">$F$118*$G$100</f>
        <v>26.93825</v>
      </c>
      <c r="H101" s="38" t="n">
        <f aca="false">$G$118*$H$100</f>
        <v>30.66325</v>
      </c>
      <c r="I101" s="38" t="n">
        <f aca="false">$H$118*$I$100</f>
        <v>29.99913972</v>
      </c>
      <c r="J101" s="38" t="n">
        <f aca="false">$I$118*$J$100</f>
        <v>28.870478406</v>
      </c>
      <c r="K101" s="38" t="n">
        <f aca="false">$J$118*$K$100</f>
        <v>27.84060884283</v>
      </c>
      <c r="L101" s="38" t="n">
        <f aca="false">$K$118*$L$100</f>
        <v>27.52560884283</v>
      </c>
    </row>
    <row r="102" customFormat="false" ht="15" hidden="false" customHeight="false" outlineLevel="0" collapsed="false">
      <c r="B102" s="9" t="s">
        <v>582</v>
      </c>
      <c r="F102" s="38" t="n">
        <f aca="false">$E$120*Assumptions!$D$88</f>
        <v>0</v>
      </c>
      <c r="G102" s="38" t="n">
        <f aca="false">$F$120*Assumptions!$D$88</f>
        <v>0</v>
      </c>
      <c r="H102" s="38" t="n">
        <f aca="false">$G$120*Assumptions!$D$88</f>
        <v>0</v>
      </c>
      <c r="I102" s="38" t="n">
        <f aca="false">$H$120*Assumptions!$D$88</f>
        <v>0</v>
      </c>
      <c r="J102" s="38" t="n">
        <f aca="false">$I$120*Assumptions!$D$88</f>
        <v>0</v>
      </c>
      <c r="K102" s="38" t="n">
        <f aca="false">$J$120*Assumptions!$D$88</f>
        <v>0</v>
      </c>
      <c r="L102" s="38" t="n">
        <f aca="false">$K$120*Assumptions!$D$88</f>
        <v>0</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0.254342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0.25735</v>
      </c>
      <c r="H104" s="38" t="n">
        <f aca="false">$G$123*Assumptions!$D$9</f>
        <v>0.2</v>
      </c>
      <c r="I104" s="38" t="n">
        <f aca="false">$H$123*Assumptions!$D$9</f>
        <v>0.269822056</v>
      </c>
      <c r="J104" s="38" t="n">
        <f aca="false">$I$123*Assumptions!$D$9</f>
        <v>0.3627322628</v>
      </c>
      <c r="K104" s="38" t="n">
        <f aca="false">$J$123*Assumptions!$D$9</f>
        <v>0.628921737902</v>
      </c>
      <c r="L104" s="38" t="n">
        <f aca="false">$K$123*Assumptions!$D$9</f>
        <v>1.11247645629944</v>
      </c>
    </row>
    <row r="105" customFormat="false" ht="15" hidden="false" customHeight="false" outlineLevel="0" collapsed="false">
      <c r="B105" s="17" t="s">
        <v>585</v>
      </c>
      <c r="F105" s="40" t="n">
        <f aca="false">$F$101+$F$102+$F$103-$F$104</f>
        <v>27.5</v>
      </c>
      <c r="G105" s="40" t="n">
        <f aca="false">$G$101+$G$102+$G$103-$G$104</f>
        <v>26.8809</v>
      </c>
      <c r="H105" s="40" t="n">
        <f aca="false">$H$101+$H$102+$H$103-$H$104</f>
        <v>30.717592</v>
      </c>
      <c r="I105" s="40" t="n">
        <f aca="false">$I$101+$I$102+$I$103-$I$104</f>
        <v>29.929317664</v>
      </c>
      <c r="J105" s="40" t="n">
        <f aca="false">$J$101+$J$102+$J$103-$J$104</f>
        <v>28.7077461432</v>
      </c>
      <c r="K105" s="40" t="n">
        <f aca="false">$K$101+$K$102+$K$103-$K$104</f>
        <v>27.411687104928</v>
      </c>
      <c r="L105" s="40" t="n">
        <f aca="false">$L$101+$L$102+$L$103-$L$104</f>
        <v>26.6131323865306</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1.98545454545455</v>
      </c>
      <c r="G107" s="24" t="n">
        <f aca="false">IF($G$105&lt;&gt;0,$G$72/$G$105,0)</f>
        <v>2.2524245839983</v>
      </c>
      <c r="H107" s="24" t="n">
        <f aca="false">IF($H$105&lt;&gt;0,$H$72/$H$105,0)</f>
        <v>1.88376120107331</v>
      </c>
      <c r="I107" s="24" t="n">
        <f aca="false">IF($I$105&lt;&gt;0,$I$72/$I$105,0)</f>
        <v>2.34753247330163</v>
      </c>
      <c r="J107" s="24" t="n">
        <f aca="false">IF($J$105&lt;&gt;0,$J$72/$J$105,0)</f>
        <v>2.71086727365512</v>
      </c>
      <c r="K107" s="24" t="n">
        <f aca="false">IF($K$105&lt;&gt;0,$K$72/$K$105,0)</f>
        <v>2.94822441214394</v>
      </c>
      <c r="L107" s="24" t="n">
        <f aca="false">IF($L$105&lt;&gt;0,$L$72/$L$105,0)</f>
        <v>3.15364745817406</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2.75</v>
      </c>
      <c r="G109" s="38" t="n">
        <f aca="false">IF($D$14=1,0,MIN($F$118,Assumptions!$D$85*$F$119))</f>
        <v>2.75</v>
      </c>
      <c r="H109" s="38" t="n">
        <f aca="false">IF($D$14=1,0,MIN($G$118,Assumptions!$D$85*$G$119))</f>
        <v>3.15</v>
      </c>
      <c r="I109" s="38" t="n">
        <f aca="false">IF($D$14=1,0,MIN($H$118,Assumptions!$D$85*$H$119))</f>
        <v>3.15</v>
      </c>
      <c r="J109" s="38" t="n">
        <f aca="false">IF($D$14=1,0,MIN($I$118,Assumptions!$D$85*$I$119))</f>
        <v>3.15</v>
      </c>
      <c r="K109" s="38" t="n">
        <f aca="false">IF($D$14=1,0,MIN($J$118,Assumptions!$D$85*$J$119))</f>
        <v>3.15</v>
      </c>
      <c r="L109" s="38" t="n">
        <f aca="false">IF($D$14=1,0,MIN($K$118,Assumptions!$D$85*$K$119))</f>
        <v>3.15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0.724559999999993</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0.724559999999993</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15.735</v>
      </c>
      <c r="G112" s="19" t="n">
        <f aca="false">$G$95+$G$110-$G$111</f>
        <v>10</v>
      </c>
      <c r="H112" s="19" t="n">
        <f aca="false">$H$95+$H$110-$H$111</f>
        <v>16.9822056</v>
      </c>
      <c r="I112" s="19" t="n">
        <f aca="false">$I$95+$I$110-$I$111</f>
        <v>26.27322628</v>
      </c>
      <c r="J112" s="19" t="n">
        <f aca="false">$J$95+$J$110-$J$111</f>
        <v>38.5947825268</v>
      </c>
      <c r="K112" s="19" t="n">
        <f aca="false">$K$95+$K$110-$K$111</f>
        <v>55.623822814972</v>
      </c>
      <c r="L112" s="19" t="n">
        <f aca="false">$L$95+$L$110-$L$111</f>
        <v>82.6906903742334</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5.735</v>
      </c>
      <c r="G114" s="19" t="n">
        <f aca="false">MAX(0,$G$112-Assumptions!$D$79)</f>
        <v>0</v>
      </c>
      <c r="H114" s="19" t="n">
        <f aca="false">MAX(0,$H$112-Assumptions!$D$79)</f>
        <v>6.98220560000001</v>
      </c>
      <c r="I114" s="19" t="n">
        <f aca="false">MAX(0,$I$112-Assumptions!$D$79)</f>
        <v>16.27322628</v>
      </c>
      <c r="J114" s="19" t="n">
        <f aca="false">MAX(0,$J$112-Assumptions!$D$79)</f>
        <v>28.5947825268</v>
      </c>
      <c r="K114" s="19" t="n">
        <f aca="false">MAX(0,$K$112-Assumptions!$D$79)</f>
        <v>45.623822814972</v>
      </c>
      <c r="L114" s="19" t="n">
        <f aca="false">MAX(0,$L$112-Assumptions!$D$79)</f>
        <v>72.6906903742334</v>
      </c>
    </row>
    <row r="115" customFormat="false" ht="15" hidden="false" customHeight="false" outlineLevel="0" collapsed="false">
      <c r="B115" s="17" t="s">
        <v>595</v>
      </c>
      <c r="F115" s="18" t="n">
        <f aca="false">IF(AND($D$19=1,$D$14=0,$E$121-$F$111+$F$110=0),MIN($E$118-$F$109+$F$84,$F$113*$F$114),0)</f>
        <v>2.8675</v>
      </c>
      <c r="G115" s="18" t="n">
        <f aca="false">IF(AND($D$19=1,$D$14=0,$F$121-$G$111+$G$110=0),MIN($F$118-$G$109+$G$84,$G$113*$G$114),0)</f>
        <v>0</v>
      </c>
      <c r="H115" s="18" t="n">
        <f aca="false">IF(AND($D$19=1,$D$14=0,$G$121-$H$111+$H$110=0),MIN($G$118-$H$109+$H$84,$H$113*$H$114),0)</f>
        <v>3.49110280000001</v>
      </c>
      <c r="I115" s="18" t="n">
        <f aca="false">IF(AND($D$19=1,$D$14=0,$H$121-$I$111+$I$110=0),MIN($H$118-$I$109+$I$84,$I$113*$I$114),0)</f>
        <v>8.13661314</v>
      </c>
      <c r="J115" s="18" t="n">
        <f aca="false">IF(AND($D$19=1,$D$14=0,$I$121-$J$111+$J$110=0),MIN($I$118-$J$109+$J$84,$J$113*$J$114),0)</f>
        <v>7.1486956317</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275</v>
      </c>
      <c r="F118" s="19" t="n">
        <f aca="false">$E$118-$F$109-$F$115+$F$84+$F$86</f>
        <v>269.3825</v>
      </c>
      <c r="G118" s="19" t="n">
        <f aca="false">$F$118-$G$109-$G$115+$G$84+$G$86</f>
        <v>306.6325</v>
      </c>
      <c r="H118" s="19" t="n">
        <f aca="false">$G$118-$H$109-$H$115+$H$84+$H$86</f>
        <v>299.9913972</v>
      </c>
      <c r="I118" s="19" t="n">
        <f aca="false">$H$118-$I$109-$I$115+$I$84+$I$86</f>
        <v>288.70478406</v>
      </c>
      <c r="J118" s="19" t="n">
        <f aca="false">$I$118-$J$109-$J$115+$J$84+$J$86</f>
        <v>278.4060884283</v>
      </c>
      <c r="K118" s="19" t="n">
        <f aca="false">$J$118-$K$109-$K$115+$K$84+$K$86</f>
        <v>275.2560884283</v>
      </c>
      <c r="L118" s="19" t="n">
        <f aca="false">$K$118-$L$109-$L$115+$L$84+$L$86</f>
        <v>272.1060884283</v>
      </c>
    </row>
    <row r="119" customFormat="false" ht="15" hidden="false" customHeight="false" outlineLevel="0" collapsed="false">
      <c r="B119" s="9" t="s">
        <v>598</v>
      </c>
      <c r="E119" s="19" t="n">
        <f aca="false">$D$32</f>
        <v>275</v>
      </c>
      <c r="F119" s="19" t="n">
        <f aca="false">$E$119+$F$84+$F$86</f>
        <v>275</v>
      </c>
      <c r="G119" s="19" t="n">
        <f aca="false">$F$119+$G$84+$G$86</f>
        <v>315</v>
      </c>
      <c r="H119" s="19" t="n">
        <f aca="false">$G$119+$H$84+$H$86</f>
        <v>315</v>
      </c>
      <c r="I119" s="19" t="n">
        <f aca="false">$H$119+$I$84+$I$86</f>
        <v>315</v>
      </c>
      <c r="J119" s="19" t="n">
        <f aca="false">$I$119+$J$84+$J$86</f>
        <v>315</v>
      </c>
      <c r="K119" s="19" t="n">
        <f aca="false">$J$119+$K$84+$K$86</f>
        <v>315</v>
      </c>
      <c r="L119" s="19" t="n">
        <f aca="false">$K$119+$L$84+$L$86</f>
        <v>315</v>
      </c>
    </row>
    <row r="120" customFormat="false" ht="15" hidden="false" customHeight="false" outlineLevel="0" collapsed="false">
      <c r="B120" s="9" t="s">
        <v>520</v>
      </c>
      <c r="E120" s="19" t="n">
        <f aca="false">$D$31</f>
        <v>0</v>
      </c>
      <c r="F120" s="19" t="n">
        <f aca="false">$E$120</f>
        <v>0</v>
      </c>
      <c r="G120" s="19" t="n">
        <f aca="false">$F$120</f>
        <v>0</v>
      </c>
      <c r="H120" s="19" t="n">
        <f aca="false">$G$120</f>
        <v>0</v>
      </c>
      <c r="I120" s="19" t="n">
        <f aca="false">$H$120</f>
        <v>0</v>
      </c>
      <c r="J120" s="19" t="n">
        <f aca="false">$I$120</f>
        <v>0</v>
      </c>
      <c r="K120" s="19" t="n">
        <f aca="false">$J$120</f>
        <v>0</v>
      </c>
      <c r="L120" s="19" t="n">
        <f aca="false">$K$120</f>
        <v>0</v>
      </c>
    </row>
    <row r="121" customFormat="false" ht="15" hidden="false" customHeight="false" outlineLevel="0" collapsed="false">
      <c r="B121" s="9" t="s">
        <v>599</v>
      </c>
      <c r="E121" s="19" t="n">
        <f aca="false">0</f>
        <v>0</v>
      </c>
      <c r="F121" s="19" t="n">
        <f aca="false">$E$121+$F$110-$F$111</f>
        <v>0</v>
      </c>
      <c r="G121" s="19" t="n">
        <f aca="false">$F$121+$G$110-$G$111</f>
        <v>0.724559999999993</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269.3825</v>
      </c>
      <c r="G122" s="18" t="n">
        <f aca="false">$G$118+$G$120+$G$121</f>
        <v>307.35706</v>
      </c>
      <c r="H122" s="18" t="n">
        <f aca="false">$H$118+$H$120+$H$121</f>
        <v>299.9913972</v>
      </c>
      <c r="I122" s="18" t="n">
        <f aca="false">$I$118+$I$120+$I$121</f>
        <v>288.70478406</v>
      </c>
      <c r="J122" s="18" t="n">
        <f aca="false">$J$118+$J$120+$J$121</f>
        <v>278.4060884283</v>
      </c>
      <c r="K122" s="18" t="n">
        <f aca="false">$K$118+$K$120+$K$121</f>
        <v>275.2560884283</v>
      </c>
      <c r="L122" s="18" t="n">
        <f aca="false">$L$118+$L$120+$L$121</f>
        <v>272.1060884283</v>
      </c>
    </row>
    <row r="123" customFormat="false" ht="15" hidden="false" customHeight="false" outlineLevel="0" collapsed="false">
      <c r="B123" s="9" t="s">
        <v>600</v>
      </c>
      <c r="E123" s="19" t="n">
        <f aca="false">Assumptions!$D$78</f>
        <v>10</v>
      </c>
      <c r="F123" s="19" t="n">
        <f aca="false">$F$112-$F$115</f>
        <v>12.8675</v>
      </c>
      <c r="G123" s="19" t="n">
        <f aca="false">$G$112-$G$115</f>
        <v>10</v>
      </c>
      <c r="H123" s="19" t="n">
        <f aca="false">$H$112-$H$115</f>
        <v>13.4911028</v>
      </c>
      <c r="I123" s="19" t="n">
        <f aca="false">$I$112-$I$115</f>
        <v>18.13661314</v>
      </c>
      <c r="J123" s="19" t="n">
        <f aca="false">$J$112-$J$115</f>
        <v>31.4460868951</v>
      </c>
      <c r="K123" s="19" t="n">
        <f aca="false">$K$112-$K$115</f>
        <v>55.623822814972</v>
      </c>
      <c r="L123" s="19" t="n">
        <f aca="false">$L$112-$L$115</f>
        <v>82.6906903742334</v>
      </c>
    </row>
    <row r="124" customFormat="false" ht="15" hidden="false" customHeight="false" outlineLevel="0" collapsed="false">
      <c r="B124" s="17" t="s">
        <v>601</v>
      </c>
      <c r="E124" s="18" t="n">
        <f aca="false">$E$122-$E$123</f>
        <v>265</v>
      </c>
      <c r="F124" s="18" t="n">
        <f aca="false">$F$122-$F$123</f>
        <v>256.515</v>
      </c>
      <c r="G124" s="18" t="n">
        <f aca="false">$G$122-$G$123</f>
        <v>297.35706</v>
      </c>
      <c r="H124" s="18" t="n">
        <f aca="false">$H$122-$H$123</f>
        <v>286.5002944</v>
      </c>
      <c r="I124" s="18" t="n">
        <f aca="false">$I$122-$I$123</f>
        <v>270.56817092</v>
      </c>
      <c r="J124" s="18" t="n">
        <f aca="false">$J$122-$J$123</f>
        <v>246.9600015332</v>
      </c>
      <c r="K124" s="18" t="n">
        <f aca="false">$K$122-$K$123</f>
        <v>219.632265613328</v>
      </c>
      <c r="L124" s="18" t="n">
        <f aca="false">$L$122-$L$123</f>
        <v>189.415398054067</v>
      </c>
    </row>
    <row r="125" customFormat="false" ht="15" hidden="false" customHeight="false" outlineLevel="0" collapsed="false">
      <c r="B125" s="9" t="s">
        <v>538</v>
      </c>
      <c r="E125" s="24" t="n">
        <f aca="false">$E$124/$E$72</f>
        <v>5.3</v>
      </c>
      <c r="F125" s="24" t="n">
        <f aca="false">$F$124/$F$72</f>
        <v>4.69807692307692</v>
      </c>
      <c r="G125" s="24" t="n">
        <f aca="false">$G$124/$G$72</f>
        <v>4.91116120976693</v>
      </c>
      <c r="H125" s="24" t="n">
        <f aca="false">$H$124/$H$72</f>
        <v>4.95121809863466</v>
      </c>
      <c r="I125" s="24" t="n">
        <f aca="false">$I$124/$I$72</f>
        <v>3.85095356056042</v>
      </c>
      <c r="J125" s="24" t="n">
        <f aca="false">$J$124/$J$72</f>
        <v>3.17335944548465</v>
      </c>
      <c r="K125" s="24" t="n">
        <f aca="false">$K$124/$K$72</f>
        <v>2.71768950812759</v>
      </c>
      <c r="L125" s="24" t="n">
        <f aca="false">$L$124/$L$72</f>
        <v>2.25686792387306</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28.2857142857143</v>
      </c>
      <c r="G130" s="38" t="n">
        <f aca="false">$G$105+$G$106</f>
        <v>27.6666142857143</v>
      </c>
      <c r="H130" s="38" t="n">
        <f aca="false">$H$105+$H$106</f>
        <v>31.6633062857143</v>
      </c>
      <c r="I130" s="38" t="n">
        <f aca="false">$I$105+$I$106</f>
        <v>30.8750319497143</v>
      </c>
      <c r="J130" s="38" t="n">
        <f aca="false">$J$105+$J$106</f>
        <v>29.6534604289143</v>
      </c>
      <c r="K130" s="38" t="n">
        <f aca="false">$K$105+$K$106</f>
        <v>28.3574013906423</v>
      </c>
      <c r="L130" s="38" t="n">
        <f aca="false">$L$105+$L$106</f>
        <v>27.5588466722449</v>
      </c>
    </row>
    <row r="131" customFormat="false" ht="15" hidden="false" customHeight="false" outlineLevel="0" collapsed="false">
      <c r="B131" s="9" t="s">
        <v>606</v>
      </c>
      <c r="F131" s="38" t="n">
        <f aca="false">$F$129-$F$130-$F$83-$F$87-$F$89</f>
        <v>14.5542857142857</v>
      </c>
      <c r="G131" s="38" t="n">
        <f aca="false">$G$129-$G$130-$G$83-$G$87-$G$89</f>
        <v>18.9149857142857</v>
      </c>
      <c r="H131" s="38" t="n">
        <f aca="false">$H$129-$H$130-$H$83-$H$87-$H$89</f>
        <v>12.2996377142857</v>
      </c>
      <c r="I131" s="38" t="n">
        <f aca="false">$I$129-$I$130-$I$83-$I$87-$I$89</f>
        <v>24.5757526902857</v>
      </c>
      <c r="J131" s="38" t="n">
        <f aca="false">$J$129-$J$130-$J$83-$J$87-$J$89</f>
        <v>32.6424191870857</v>
      </c>
      <c r="K131" s="38" t="n">
        <f aca="false">$K$129-$K$130-$K$83-$K$87-$K$89</f>
        <v>36.3103134099977</v>
      </c>
      <c r="L131" s="38" t="n">
        <f aca="false">$L$129-$L$130-$L$83-$L$87-$L$89</f>
        <v>39.5755767204207</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28.2857142857143</v>
      </c>
      <c r="G133" s="38" t="n">
        <f aca="false">$G$130+$F$135</f>
        <v>39.5723285714286</v>
      </c>
      <c r="H133" s="38" t="n">
        <f aca="false">$H$130+$G$135</f>
        <v>53.0714748571429</v>
      </c>
      <c r="I133" s="38" t="n">
        <f aca="false">$I$130+$H$135</f>
        <v>66.5871244068571</v>
      </c>
      <c r="J133" s="38" t="n">
        <f aca="false">$J$130+$I$135</f>
        <v>75.1625712997714</v>
      </c>
      <c r="K133" s="38" t="n">
        <f aca="false">$K$130+$J$135</f>
        <v>80.1731058344137</v>
      </c>
      <c r="L133" s="38" t="n">
        <f aca="false">$L$130+$K$135</f>
        <v>83.4872109764186</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11.9057142857143</v>
      </c>
      <c r="G135" s="38" t="n">
        <f aca="false">$G$133-$G$134</f>
        <v>21.4081685714286</v>
      </c>
      <c r="H135" s="38" t="n">
        <f aca="false">$H$133-$H$134</f>
        <v>35.7120924571429</v>
      </c>
      <c r="I135" s="38" t="n">
        <f aca="false">$I$133-$I$134</f>
        <v>45.5091108708571</v>
      </c>
      <c r="J135" s="38" t="n">
        <f aca="false">$J$133-$J$134</f>
        <v>51.8157044437714</v>
      </c>
      <c r="K135" s="38" t="n">
        <f aca="false">$K$133-$K$134</f>
        <v>55.9283643041737</v>
      </c>
      <c r="L135" s="38" t="n">
        <f aca="false">$L$133-$L$134</f>
        <v>58.308679784969</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7.93928571428572</v>
      </c>
      <c r="G140" s="19" t="n">
        <f aca="false">$G$131-$G$139</f>
        <v>11.8106257142857</v>
      </c>
      <c r="H140" s="19" t="n">
        <f aca="false">$H$131-$H$139</f>
        <v>5.64874731428571</v>
      </c>
      <c r="I140" s="19" t="n">
        <f aca="false">$I$131-$I$139</f>
        <v>15.9825599142857</v>
      </c>
      <c r="J140" s="19" t="n">
        <f aca="false">$J$131-$J$139</f>
        <v>22.9051659970857</v>
      </c>
      <c r="K140" s="19" t="n">
        <f aca="false">$K$131-$K$139</f>
        <v>26.2045700923977</v>
      </c>
      <c r="L140" s="19" t="n">
        <f aca="false">$L$131-$L$139</f>
        <v>29.0866036701167</v>
      </c>
    </row>
    <row r="141" customFormat="false" ht="15" hidden="false" customHeight="false" outlineLevel="0" collapsed="false">
      <c r="B141" s="9" t="s">
        <v>616</v>
      </c>
      <c r="F141" s="38" t="n">
        <f aca="false">Assumptions!$D$7*($F$129-$F$130)</f>
        <v>3.63857142857143</v>
      </c>
      <c r="G141" s="38" t="n">
        <f aca="false">Assumptions!$D$7*($G$129-$G$130)</f>
        <v>5.10374642857143</v>
      </c>
      <c r="H141" s="38" t="n">
        <f aca="false">Assumptions!$D$7*($H$129-$H$130)</f>
        <v>3.07490942857143</v>
      </c>
      <c r="I141" s="38" t="n">
        <f aca="false">Assumptions!$D$7*($I$129-$I$130)</f>
        <v>6.14393817257143</v>
      </c>
      <c r="J141" s="38" t="n">
        <f aca="false">Assumptions!$D$7*($J$129-$J$130)</f>
        <v>8.16060479677143</v>
      </c>
      <c r="K141" s="38" t="n">
        <f aca="false">Assumptions!$D$7*($K$129-$K$130)</f>
        <v>9.07757835249943</v>
      </c>
      <c r="L141" s="38" t="n">
        <f aca="false">Assumptions!$D$7*($L$129-$L$130)</f>
        <v>9.89389418010518</v>
      </c>
    </row>
    <row r="142" customFormat="false" ht="15" hidden="false" customHeight="false" outlineLevel="0" collapsed="false">
      <c r="B142" s="9" t="s">
        <v>617</v>
      </c>
      <c r="F142" s="38" t="n">
        <f aca="false">$F$139-$F$141</f>
        <v>2.97642857142857</v>
      </c>
      <c r="G142" s="38" t="n">
        <f aca="false">$G$139-$G$141</f>
        <v>2.00061357142857</v>
      </c>
      <c r="H142" s="38" t="n">
        <f aca="false">$H$139-$H$141</f>
        <v>3.57598097142857</v>
      </c>
      <c r="I142" s="38" t="n">
        <f aca="false">$I$139-$I$141</f>
        <v>2.44925460342857</v>
      </c>
      <c r="J142" s="38" t="n">
        <f aca="false">$J$139-$J$141</f>
        <v>1.57664839322857</v>
      </c>
      <c r="K142" s="38" t="n">
        <f aca="false">$K$139-$K$141</f>
        <v>1.02816496510058</v>
      </c>
      <c r="L142" s="38" t="n">
        <f aca="false">$L$139-$L$141</f>
        <v>0.595078870198815</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12.8675</v>
      </c>
      <c r="G145" s="19" t="n">
        <f aca="false">$G$123</f>
        <v>10</v>
      </c>
      <c r="H145" s="19" t="n">
        <f aca="false">$H$123</f>
        <v>13.4911028</v>
      </c>
      <c r="I145" s="19" t="n">
        <f aca="false">$I$123</f>
        <v>18.13661314</v>
      </c>
      <c r="J145" s="19" t="n">
        <f aca="false">$J$123</f>
        <v>31.4460868951</v>
      </c>
      <c r="K145" s="19" t="n">
        <f aca="false">$K$123</f>
        <v>55.623822814972</v>
      </c>
      <c r="L145" s="19" t="n">
        <f aca="false">$L$123</f>
        <v>82.6906903742334</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467.821785714286</v>
      </c>
      <c r="G150" s="18" t="n">
        <f aca="false">$G$145+$G$146+$G$147+$G$148+$G$149</f>
        <v>517.606971428572</v>
      </c>
      <c r="H150" s="18" t="n">
        <f aca="false">$H$145+$H$146+$H$147+$H$148+$H$149</f>
        <v>515.890055942857</v>
      </c>
      <c r="I150" s="18" t="n">
        <f aca="false">$I$145+$I$146+$I$147+$I$148+$I$149</f>
        <v>520.586002717143</v>
      </c>
      <c r="J150" s="18" t="n">
        <f aca="false">$J$145+$J$146+$J$147+$J$148+$J$149</f>
        <v>533.192473082529</v>
      </c>
      <c r="K150" s="18" t="n">
        <f aca="false">$K$145+$K$146+$K$147+$K$148+$K$149</f>
        <v>556.247043174926</v>
      </c>
      <c r="L150" s="18" t="n">
        <f aca="false">$L$145+$L$146+$L$147+$L$148+$L$149</f>
        <v>582.183646845043</v>
      </c>
    </row>
    <row r="151" customFormat="false" ht="15" hidden="false" customHeight="false" outlineLevel="0" collapsed="false">
      <c r="B151" s="9" t="s">
        <v>291</v>
      </c>
      <c r="E151" s="19" t="n">
        <f aca="false">$E$122</f>
        <v>275</v>
      </c>
      <c r="F151" s="19" t="n">
        <f aca="false">$F$122</f>
        <v>269.3825</v>
      </c>
      <c r="G151" s="19" t="n">
        <f aca="false">$G$122</f>
        <v>307.35706</v>
      </c>
      <c r="H151" s="19" t="n">
        <f aca="false">$H$122</f>
        <v>299.9913972</v>
      </c>
      <c r="I151" s="19" t="n">
        <f aca="false">$I$122</f>
        <v>288.70478406</v>
      </c>
      <c r="J151" s="19" t="n">
        <f aca="false">$J$122</f>
        <v>278.4060884283</v>
      </c>
      <c r="K151" s="19" t="n">
        <f aca="false">$K$122</f>
        <v>275.2560884283</v>
      </c>
      <c r="L151" s="19" t="n">
        <f aca="false">$L$122</f>
        <v>272.1060884283</v>
      </c>
    </row>
    <row r="152" customFormat="false" ht="15" hidden="false" customHeight="false" outlineLevel="0" collapsed="false">
      <c r="B152" s="9" t="s">
        <v>624</v>
      </c>
      <c r="E152" s="19" t="n">
        <f aca="false">$D$46-Assumptions!$D$76</f>
        <v>190.5</v>
      </c>
      <c r="F152" s="19" t="n">
        <f aca="false">$E$152+$F$140-$F$88+$F$90</f>
        <v>198.439285714286</v>
      </c>
      <c r="G152" s="19" t="n">
        <f aca="false">$F$152+$G$140-$G$88+$G$90</f>
        <v>210.249911428571</v>
      </c>
      <c r="H152" s="19" t="n">
        <f aca="false">$G$152+$H$140-$H$88+$H$90</f>
        <v>215.898658742857</v>
      </c>
      <c r="I152" s="19" t="n">
        <f aca="false">$H$152+$I$140-$I$88+$I$90</f>
        <v>231.881218657143</v>
      </c>
      <c r="J152" s="19" t="n">
        <f aca="false">$I$152+$J$140-$J$88+$J$90</f>
        <v>254.786384654229</v>
      </c>
      <c r="K152" s="19" t="n">
        <f aca="false">$J$152+$K$140-$K$88+$K$90</f>
        <v>280.990954746626</v>
      </c>
      <c r="L152" s="19" t="n">
        <f aca="false">$K$152+$L$140-$L$88+$L$90</f>
        <v>310.077558416743</v>
      </c>
    </row>
    <row r="153" customFormat="false" ht="15" hidden="false" customHeight="false" outlineLevel="0" collapsed="false">
      <c r="B153" s="17" t="s">
        <v>625</v>
      </c>
      <c r="E153" s="18" t="n">
        <f aca="false">$E$151+$E$152</f>
        <v>465.5</v>
      </c>
      <c r="F153" s="18" t="n">
        <f aca="false">$F$151+$F$152</f>
        <v>467.821785714286</v>
      </c>
      <c r="G153" s="18" t="n">
        <f aca="false">$G$151+$G$152</f>
        <v>517.606971428572</v>
      </c>
      <c r="H153" s="18" t="n">
        <f aca="false">$H$151+$H$152</f>
        <v>515.890055942857</v>
      </c>
      <c r="I153" s="18" t="n">
        <f aca="false">$I$151+$I$152</f>
        <v>520.586002717143</v>
      </c>
      <c r="J153" s="18" t="n">
        <f aca="false">$J$151+$J$152</f>
        <v>533.192473082529</v>
      </c>
      <c r="K153" s="18" t="n">
        <f aca="false">$K$151+$K$152</f>
        <v>556.247043174926</v>
      </c>
      <c r="L153" s="18" t="n">
        <f aca="false">$L$151+$L$152</f>
        <v>582.183646845043</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256.515</v>
      </c>
      <c r="G160" s="19" t="n">
        <f aca="false">$G$124</f>
        <v>297.35706</v>
      </c>
      <c r="H160" s="19" t="n">
        <f aca="false">$H$124</f>
        <v>286.5002944</v>
      </c>
      <c r="I160" s="19" t="n">
        <f aca="false">$I$124</f>
        <v>270.56817092</v>
      </c>
      <c r="J160" s="19" t="n">
        <f aca="false">$J$124</f>
        <v>246.9600015332</v>
      </c>
      <c r="K160" s="19" t="n">
        <f aca="false">$K$124</f>
        <v>219.632265613328</v>
      </c>
      <c r="L160" s="19" t="n">
        <f aca="false">$L$124</f>
        <v>189.415398054067</v>
      </c>
    </row>
    <row r="161" customFormat="false" ht="15" hidden="false" customHeight="false" outlineLevel="0" collapsed="false">
      <c r="B161" s="17" t="s">
        <v>632</v>
      </c>
      <c r="F161" s="41" t="n">
        <f aca="false">$F$124/$F$159</f>
        <v>4.69807692307692</v>
      </c>
      <c r="G161" s="41" t="n">
        <f aca="false">$G$124/$G$159</f>
        <v>4.15609639510701</v>
      </c>
      <c r="H161" s="41" t="n">
        <f aca="false">$H$124/$H$159</f>
        <v>4.78580423344625</v>
      </c>
      <c r="I161" s="41" t="n">
        <f aca="false">$I$124/$I$159</f>
        <v>3.82374220453295</v>
      </c>
      <c r="J161" s="41" t="n">
        <f aca="false">$J$124/$J$159</f>
        <v>3.17335944548465</v>
      </c>
      <c r="K161" s="41" t="n">
        <f aca="false">$K$124/$K$159</f>
        <v>2.71768950812759</v>
      </c>
      <c r="L161" s="41" t="n">
        <f aca="false">$L$124/$L$159</f>
        <v>2.25686792387306</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1.05192307692308</v>
      </c>
      <c r="G163" s="24" t="n">
        <f aca="false">$G$162-$G$161</f>
        <v>1.09390360489299</v>
      </c>
      <c r="H163" s="24" t="n">
        <f aca="false">$H$162-$H$161</f>
        <v>-0.0358042334462461</v>
      </c>
      <c r="I163" s="24" t="n">
        <f aca="false">$I$162-$I$161</f>
        <v>0.426257795467047</v>
      </c>
      <c r="J163" s="24" t="n">
        <f aca="false">$J$162-$J$161</f>
        <v>0.826640554515354</v>
      </c>
      <c r="K163" s="24" t="n">
        <f aca="false">$K$162-$K$161</f>
        <v>1.28231049187241</v>
      </c>
      <c r="L163" s="24" t="n">
        <f aca="false">$L$162-$L$161</f>
        <v>1.74313207612694</v>
      </c>
    </row>
    <row r="164" customFormat="false" ht="15" hidden="false" customHeight="false" outlineLevel="0" collapsed="false">
      <c r="B164" s="9" t="s">
        <v>635</v>
      </c>
      <c r="F164" s="14" t="n">
        <f aca="false">1-$F$124/($F$162*$F$159)</f>
        <v>0.182943143812709</v>
      </c>
      <c r="G164" s="14" t="n">
        <f aca="false">1-$G$124/($G$162*$G$159)</f>
        <v>0.208362591408189</v>
      </c>
      <c r="H164" s="14" t="n">
        <f aca="false">1-$H$124/($H$162*$H$159)</f>
        <v>-0.0075377333571045</v>
      </c>
      <c r="I164" s="14" t="n">
        <f aca="false">1-$I$124/($I$162*$I$159)</f>
        <v>0.1002959518746</v>
      </c>
      <c r="J164" s="14" t="n">
        <f aca="false">1-$J$124/($J$162*$J$159)</f>
        <v>0.206660138628839</v>
      </c>
      <c r="K164" s="14" t="n">
        <f aca="false">1-$K$124/($K$162*$K$159)</f>
        <v>0.320577622968103</v>
      </c>
      <c r="L164" s="14" t="n">
        <f aca="false">1-$L$124/($L$162*$L$159)</f>
        <v>0.435783019031734</v>
      </c>
    </row>
    <row r="165" customFormat="false" ht="15" hidden="false" customHeight="false" outlineLevel="0" collapsed="false">
      <c r="B165" s="9" t="s">
        <v>636</v>
      </c>
      <c r="F165" s="19" t="n">
        <f aca="false">$F$164*$F$159</f>
        <v>9.98869565217392</v>
      </c>
      <c r="G165" s="19" t="n">
        <f aca="false">$G$164*$G$159</f>
        <v>14.90776</v>
      </c>
      <c r="H165" s="19" t="n">
        <f aca="false">$H$164*$H$159</f>
        <v>-0.451243452631585</v>
      </c>
      <c r="I165" s="19" t="n">
        <f aca="false">$I$164*$I$159</f>
        <v>7.09694608000001</v>
      </c>
      <c r="J165" s="19" t="n">
        <f aca="false">$J$164*$J$159</f>
        <v>16.0828891367</v>
      </c>
      <c r="K165" s="19" t="n">
        <f aca="false">$K$164*$K$159</f>
        <v>25.907738697468</v>
      </c>
      <c r="L165" s="19" t="n">
        <f aca="false">$L$164*$L$159</f>
        <v>36.5745877913153</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0.451243452631573</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-1.05192307692308</v>
      </c>
      <c r="G167" s="24" t="n">
        <f aca="false">$G$125-Assumptions!$G$169</f>
        <v>-0.338838790233075</v>
      </c>
      <c r="H167" s="24" t="n">
        <f aca="false">$H$125-Assumptions!$H$169</f>
        <v>0.201218098634661</v>
      </c>
      <c r="I167" s="24" t="n">
        <f aca="false">$I$125-Assumptions!$I$169</f>
        <v>-0.399046439439577</v>
      </c>
      <c r="J167" s="24" t="n">
        <f aca="false">$J$125-Assumptions!$J$169</f>
        <v>-0.826640554515354</v>
      </c>
      <c r="K167" s="24" t="n">
        <f aca="false">$K$125-Assumptions!$K$169</f>
        <v>-1.28231049187241</v>
      </c>
      <c r="L167" s="24" t="n">
        <f aca="false">$L$125-Assumptions!$L$169</f>
        <v>-1.74313207612694</v>
      </c>
    </row>
    <row r="168" customFormat="false" ht="15" hidden="false" customHeight="false" outlineLevel="0" collapsed="false">
      <c r="B168" s="9" t="s">
        <v>639</v>
      </c>
      <c r="F168" s="24" t="n">
        <f aca="false">$F$161-$F$162</f>
        <v>-1.05192307692308</v>
      </c>
      <c r="G168" s="24" t="n">
        <f aca="false">$G$161-$G$162</f>
        <v>-1.09390360489299</v>
      </c>
      <c r="H168" s="24" t="n">
        <f aca="false">$H$161-$H$162</f>
        <v>0.0358042334462461</v>
      </c>
      <c r="I168" s="24" t="n">
        <f aca="false">$I$161-$I$162</f>
        <v>-0.426257795467047</v>
      </c>
      <c r="J168" s="24" t="n">
        <f aca="false">$J$161-$J$162</f>
        <v>-0.826640554515354</v>
      </c>
      <c r="K168" s="24" t="n">
        <f aca="false">$K$161-$K$162</f>
        <v>-1.28231049187241</v>
      </c>
      <c r="L168" s="24" t="n">
        <f aca="false">$L$161-$L$162</f>
        <v>-1.74313207612694</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246.9600015332</v>
      </c>
    </row>
    <row r="174" customFormat="false" ht="15" hidden="false" customHeight="false" outlineLevel="0" collapsed="false">
      <c r="B174" s="9" t="s">
        <v>643</v>
      </c>
      <c r="D174" s="19" t="n">
        <f aca="false">INDEX($E$118:$L$118,1,$D$170+1)</f>
        <v>278.4060884283</v>
      </c>
    </row>
    <row r="175" customFormat="false" ht="15" hidden="false" customHeight="false" outlineLevel="0" collapsed="false">
      <c r="B175" s="9" t="s">
        <v>644</v>
      </c>
      <c r="D175" s="19" t="n">
        <f aca="false">INDEX($E$120:$L$120,1,$D$170+1)</f>
        <v>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31.4460868951</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442.9399140616</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2.11752360468336</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2.11752360468336</v>
      </c>
    </row>
    <row r="195" customFormat="false" ht="15" hidden="false" customHeight="false" outlineLevel="0" collapsed="false">
      <c r="B195" s="9" t="s">
        <v>663</v>
      </c>
      <c r="D195" s="34" t="n">
        <f aca="false">IF($D$194&gt;=Assumptions!$D$110,$D$191,$D$191*0.5)</f>
        <v>17.3913043478261</v>
      </c>
    </row>
    <row r="196" customFormat="false" ht="15" hidden="false" customHeight="false" outlineLevel="0" collapsed="false">
      <c r="B196" s="9" t="s">
        <v>664</v>
      </c>
      <c r="D196" s="35" t="n">
        <f aca="false">($D$179+$D$195*Assumptions!$D$108)/($D$189+$D$195)</f>
        <v>2.11752360468336</v>
      </c>
    </row>
    <row r="197" customFormat="false" ht="15" hidden="false" customHeight="false" outlineLevel="0" collapsed="false">
      <c r="B197" s="9" t="s">
        <v>665</v>
      </c>
      <c r="D197" s="34" t="n">
        <f aca="false">IF($D$196&lt;Assumptions!$D$108,0,$D$195)</f>
        <v>17.3913043478261</v>
      </c>
    </row>
    <row r="198" customFormat="false" ht="15" hidden="false" customHeight="false" outlineLevel="0" collapsed="false">
      <c r="B198" s="17" t="s">
        <v>666</v>
      </c>
      <c r="D198" s="43" t="n">
        <f aca="false">IF($D$196&lt;Assumptions!$D$108,$D$179/$D$189,$D$196)</f>
        <v>2.11752360468336</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402.329484889838</v>
      </c>
    </row>
    <row r="201" customFormat="false" ht="15" hidden="false" customHeight="false" outlineLevel="0" collapsed="false">
      <c r="B201" s="9" t="s">
        <v>668</v>
      </c>
      <c r="D201" s="14" t="n">
        <f aca="false">$D$200/$D$179</f>
        <v>0.908316166860244</v>
      </c>
    </row>
    <row r="202" customFormat="false" ht="15" hidden="false" customHeight="false" outlineLevel="0" collapsed="false">
      <c r="B202" s="9" t="s">
        <v>669</v>
      </c>
      <c r="D202" s="19" t="n">
        <f aca="false">$D$185*$D$198</f>
        <v>21.1752360468336</v>
      </c>
    </row>
    <row r="203" customFormat="false" ht="15" hidden="false" customHeight="false" outlineLevel="0" collapsed="false">
      <c r="B203" s="9" t="s">
        <v>670</v>
      </c>
      <c r="D203" s="19" t="n">
        <f aca="false">$D$197*MAX(0,$D$198-Assumptions!$D$108)</f>
        <v>19.435193124928</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40.6104291717616</v>
      </c>
    </row>
    <row r="206" customFormat="false" ht="15" hidden="false" customHeight="false" outlineLevel="0" collapsed="false">
      <c r="B206" s="9" t="s">
        <v>673</v>
      </c>
      <c r="D206" s="24" t="n">
        <f aca="false">$D$205/$D$47</f>
        <v>4.06104291717616</v>
      </c>
    </row>
    <row r="207" customFormat="false" ht="15" hidden="false" customHeight="false" outlineLevel="0" collapsed="false">
      <c r="B207" s="9" t="s">
        <v>674</v>
      </c>
      <c r="D207" s="19" t="n">
        <f aca="false">$D$187*$D$198</f>
        <v>8.47009441873344</v>
      </c>
    </row>
    <row r="208" customFormat="false" ht="15" hidden="false" customHeight="false" outlineLevel="0" collapsed="false">
      <c r="B208" s="9" t="s">
        <v>675</v>
      </c>
      <c r="D208" s="19" t="n">
        <f aca="false">$D$203*Assumptions!$D$112</f>
        <v>6.8023175937248</v>
      </c>
    </row>
    <row r="209" customFormat="false" ht="15" hidden="false" customHeight="false" outlineLevel="0" collapsed="false">
      <c r="B209" s="9" t="s">
        <v>676</v>
      </c>
      <c r="D209" s="19" t="n">
        <f aca="false">$D$207+$D$208</f>
        <v>15.2724120124582</v>
      </c>
    </row>
    <row r="210" customFormat="false" ht="15" hidden="false" customHeight="false" outlineLevel="0" collapsed="false">
      <c r="B210" s="9" t="s">
        <v>677</v>
      </c>
      <c r="D210" s="24" t="n">
        <f aca="false">$D$209/Assumptions!$D$111</f>
        <v>3.81810300311456</v>
      </c>
    </row>
    <row r="211" customFormat="false" ht="15" hidden="false" customHeight="false" outlineLevel="0" collapsed="false">
      <c r="B211" s="9" t="s">
        <v>678</v>
      </c>
      <c r="D211" s="19" t="n">
        <f aca="false">$D$179*$D$190/$D$189</f>
        <v>420.79291835852</v>
      </c>
    </row>
    <row r="212" customFormat="false" ht="15" hidden="false" customHeight="false" outlineLevel="0" collapsed="false">
      <c r="B212" s="9" t="s">
        <v>679</v>
      </c>
      <c r="D212" s="19" t="n">
        <f aca="false">$D$211-$D$200</f>
        <v>18.4634334686816</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402.329484889838</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442.9399140616</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0.161891707288726</v>
      </c>
    </row>
    <row r="224" customFormat="false" ht="15" hidden="false" customHeight="false" outlineLevel="0" collapsed="false">
      <c r="B224" s="9" t="s">
        <v>689</v>
      </c>
      <c r="D224" s="25" t="n">
        <f aca="false">XIRR($E$219:$L$219,$E$221:$L$221,0.1)</f>
        <v>0.161796234090958</v>
      </c>
    </row>
    <row r="225" customFormat="false" ht="15" hidden="false" customHeight="false" outlineLevel="0" collapsed="false">
      <c r="B225" s="17" t="s">
        <v>690</v>
      </c>
      <c r="D225" s="41" t="n">
        <f aca="false">SUMIF($E$219:$L$219,"&gt;0")/-SUMIF($E$219:$L$219,"&lt;0")</f>
        <v>2.11752360468336</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0.172365323465523</v>
      </c>
    </row>
    <row r="228" customFormat="false" ht="15" hidden="false" customHeight="false" outlineLevel="0" collapsed="false">
      <c r="B228" s="9" t="s">
        <v>693</v>
      </c>
      <c r="D228" s="24" t="n">
        <f aca="false">SUMIF($E$220:$L$220,"&gt;0")/-SUMIF($E$220:$L$220,"&lt;0")</f>
        <v>2.214699570308</v>
      </c>
    </row>
    <row r="229" customFormat="false" ht="15" hidden="false" customHeight="false" outlineLevel="0" collapsed="false">
      <c r="B229" s="9" t="s">
        <v>694</v>
      </c>
      <c r="D229" s="19" t="n">
        <f aca="false">SUM($E$220:$L$220)</f>
        <v>242.9399140616</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70.8399984668</v>
      </c>
    </row>
    <row r="232" customFormat="false" ht="15" hidden="false" customHeight="false" outlineLevel="0" collapsed="false">
      <c r="B232" s="9" t="s">
        <v>697</v>
      </c>
      <c r="D232" s="19" t="n">
        <f aca="false">SUMPRODUCT(($F$64:$L$64&lt;=$D$170)*$F$105:$L$105)</f>
        <v>143.7355558072</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14.95</v>
      </c>
    </row>
    <row r="235" customFormat="false" ht="15" hidden="false" customHeight="false" outlineLevel="0" collapsed="false">
      <c r="B235" s="9" t="s">
        <v>700</v>
      </c>
      <c r="D235" s="19" t="n">
        <f aca="false">SUMPRODUCT(($F$64:$L$64&lt;=$D$170)*$F$115:$L$115)</f>
        <v>21.6439115717</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36.5939115717</v>
      </c>
    </row>
    <row r="238" customFormat="false" ht="15" hidden="false" customHeight="false" outlineLevel="0" collapsed="false">
      <c r="B238" s="9" t="s">
        <v>703</v>
      </c>
      <c r="D238" s="19" t="n">
        <f aca="false">$D$54-$D$173</f>
        <v>18.0399984667999</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250.40600568</v>
      </c>
    </row>
    <row r="242" customFormat="false" ht="15" hidden="false" customHeight="false" outlineLevel="0" collapsed="false">
      <c r="B242" s="9" t="s">
        <v>234</v>
      </c>
      <c r="D242" s="14" t="n">
        <f aca="false">$D$172/$D$29-1</f>
        <v>0.5564577904</v>
      </c>
    </row>
    <row r="243" customFormat="false" ht="15" hidden="false" customHeight="false" outlineLevel="0" collapsed="false">
      <c r="B243" s="9" t="s">
        <v>235</v>
      </c>
      <c r="D243" s="25" t="n">
        <f aca="false">($D$172/$D$29)^(1/$D$170)-1</f>
        <v>0.0925151535860498</v>
      </c>
    </row>
    <row r="244" customFormat="false" ht="15" hidden="false" customHeight="false" outlineLevel="0" collapsed="false">
      <c r="B244" s="9" t="s">
        <v>236</v>
      </c>
      <c r="D244" s="14" t="n">
        <f aca="false">$D$179/$D$46-1</f>
        <v>1.214699570308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707</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Assumptions!$D$153</f>
        <v>0.06</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6.86</v>
      </c>
      <c r="G91" s="18" t="n">
        <f aca="false">$G$72-$G$139-$G$105-$G$75-$G$79-$G$83-$G$87-$G$89</f>
        <v>10.238215</v>
      </c>
      <c r="H91" s="18" t="n">
        <f aca="false">$H$72-$H$139-$H$105-$H$75-$H$79-$H$83-$H$87-$H$89</f>
        <v>8.72573802500002</v>
      </c>
      <c r="I91" s="18" t="n">
        <f aca="false">$I$72-$I$139-$I$105-$I$75-$I$79-$I$83-$I$87-$I$89</f>
        <v>13.7522757080625</v>
      </c>
      <c r="J91" s="18" t="n">
        <f aca="false">$J$72-$J$139-$J$105-$J$75-$J$79-$J$83-$J$87-$J$89</f>
        <v>21.2547325775977</v>
      </c>
      <c r="K91" s="18" t="n">
        <f aca="false">$K$72-$K$139-$K$105-$K$75-$K$79-$K$83-$K$87-$K$89</f>
        <v>24.860857033567</v>
      </c>
      <c r="L91" s="18" t="n">
        <f aca="false">$L$72-$L$139-$L$105-$L$75-$L$79-$L$83-$L$87-$L$89</f>
        <v>27.6739010952304</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12.305</v>
      </c>
      <c r="H94" s="19" t="n">
        <f aca="false">$G$123</f>
        <v>10</v>
      </c>
      <c r="I94" s="19" t="n">
        <f aca="false">$H$123</f>
        <v>11.7844765125</v>
      </c>
      <c r="J94" s="19" t="n">
        <f aca="false">$I$123</f>
        <v>16.4433761102813</v>
      </c>
      <c r="K94" s="19" t="n">
        <f aca="false">$J$123</f>
        <v>28.7860815159092</v>
      </c>
      <c r="L94" s="19" t="n">
        <f aca="false">$K$123</f>
        <v>50.9969385494762</v>
      </c>
    </row>
    <row r="95" customFormat="false" ht="15" hidden="false" customHeight="false" outlineLevel="0" collapsed="false">
      <c r="B95" s="9" t="s">
        <v>576</v>
      </c>
      <c r="F95" s="19" t="n">
        <f aca="false">$E$123+$F$91-$F$109-$F$82-$F$85+$F$84+$F$86-$F$88+$F$90</f>
        <v>14.61</v>
      </c>
      <c r="G95" s="19" t="n">
        <f aca="false">$F$123+$G$91-$G$109-$G$82-$G$85+$G$84+$G$86-$G$88+$G$90</f>
        <v>7.49321500000001</v>
      </c>
      <c r="H95" s="19" t="n">
        <f aca="false">$G$123+$H$91-$H$109-$H$82-$H$85+$H$84+$H$86-$H$88+$H$90</f>
        <v>16.075738025</v>
      </c>
      <c r="I95" s="19" t="n">
        <f aca="false">$H$123+$I$91-$I$109-$I$82-$I$85+$I$84+$I$86-$I$88+$I$90</f>
        <v>22.8867522205625</v>
      </c>
      <c r="J95" s="19" t="n">
        <f aca="false">$I$123+$J$91-$J$109-$J$82-$J$85+$J$84+$J$86-$J$88+$J$90</f>
        <v>35.0481086878789</v>
      </c>
      <c r="K95" s="19" t="n">
        <f aca="false">$J$123+$K$91-$K$109-$K$82-$K$85+$K$84+$K$86-$K$88+$K$90</f>
        <v>50.9969385494762</v>
      </c>
      <c r="L95" s="19" t="n">
        <f aca="false">$K$123+$L$91-$L$109-$L$82-$L$85+$L$84+$L$86-$L$88+$L$90</f>
        <v>76.0208396447066</v>
      </c>
    </row>
    <row r="96" customFormat="false" ht="15" hidden="false" customHeight="false" outlineLevel="0" collapsed="false">
      <c r="B96" s="17" t="s">
        <v>577</v>
      </c>
      <c r="F96" s="18" t="n">
        <f aca="false">$F$95+$F$110-$F$111-$F$115</f>
        <v>12.305</v>
      </c>
      <c r="G96" s="18" t="n">
        <f aca="false">$G$95+$G$110-$G$111-$G$115</f>
        <v>10</v>
      </c>
      <c r="H96" s="18" t="n">
        <f aca="false">$H$95+$H$110-$H$111-$H$115</f>
        <v>11.7844765125</v>
      </c>
      <c r="I96" s="18" t="n">
        <f aca="false">$I$95+$I$110-$I$111-$I$115</f>
        <v>16.4433761102813</v>
      </c>
      <c r="J96" s="18" t="n">
        <f aca="false">$J$95+$J$110-$J$111-$J$115</f>
        <v>28.7860815159092</v>
      </c>
      <c r="K96" s="18" t="n">
        <f aca="false">$K$95+$K$110-$K$111-$K$115</f>
        <v>50.9969385494762</v>
      </c>
      <c r="L96" s="18" t="n">
        <f aca="false">$L$95+$L$110-$L$111-$L$115</f>
        <v>76.0208396447066</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0.105</v>
      </c>
      <c r="G100" s="25" t="n">
        <f aca="false">$D$18+$G$99</f>
        <v>0.105</v>
      </c>
      <c r="H100" s="25" t="n">
        <f aca="false">$D$18+$H$99</f>
        <v>0.105</v>
      </c>
      <c r="I100" s="25" t="n">
        <f aca="false">$D$18+$I$99</f>
        <v>0.105</v>
      </c>
      <c r="J100" s="25" t="n">
        <f aca="false">$D$18+$J$99</f>
        <v>0.105</v>
      </c>
      <c r="K100" s="25" t="n">
        <f aca="false">$D$18+$K$99</f>
        <v>0.105</v>
      </c>
      <c r="L100" s="25" t="n">
        <f aca="false">$D$18+$L$99</f>
        <v>0.105</v>
      </c>
    </row>
    <row r="101" customFormat="false" ht="15" hidden="false" customHeight="false" outlineLevel="0" collapsed="false">
      <c r="B101" s="9" t="s">
        <v>581</v>
      </c>
      <c r="F101" s="38" t="n">
        <f aca="false">$E$118*$F$100</f>
        <v>23.625</v>
      </c>
      <c r="G101" s="38" t="n">
        <f aca="false">$F$118*$G$100</f>
        <v>23.146725</v>
      </c>
      <c r="H101" s="38" t="n">
        <f aca="false">$G$118*$H$100</f>
        <v>27.110475</v>
      </c>
      <c r="I101" s="38" t="n">
        <f aca="false">$H$118*$I$100</f>
        <v>26.6448549661875</v>
      </c>
      <c r="J101" s="38" t="n">
        <f aca="false">$I$118*$J$100</f>
        <v>25.690050474608</v>
      </c>
      <c r="K101" s="38" t="n">
        <f aca="false">$J$118*$K$100</f>
        <v>24.7542876215511</v>
      </c>
      <c r="L101" s="38" t="n">
        <f aca="false">$K$118*$L$100</f>
        <v>24.4760376215511</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0.438144574999999</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0.2461</v>
      </c>
      <c r="H104" s="38" t="n">
        <f aca="false">$G$123*Assumptions!$D$9</f>
        <v>0.2</v>
      </c>
      <c r="I104" s="38" t="n">
        <f aca="false">$H$123*Assumptions!$D$9</f>
        <v>0.23568953025</v>
      </c>
      <c r="J104" s="38" t="n">
        <f aca="false">$I$123*Assumptions!$D$9</f>
        <v>0.328867522205625</v>
      </c>
      <c r="K104" s="38" t="n">
        <f aca="false">$J$123*Assumptions!$D$9</f>
        <v>0.575721630318184</v>
      </c>
      <c r="L104" s="38" t="n">
        <f aca="false">$K$123*Assumptions!$D$9</f>
        <v>1.01993877098952</v>
      </c>
    </row>
    <row r="105" customFormat="false" ht="15" hidden="false" customHeight="false" outlineLevel="0" collapsed="false">
      <c r="B105" s="17" t="s">
        <v>585</v>
      </c>
      <c r="F105" s="40" t="n">
        <f aca="false">$F$101+$F$102+$F$103-$F$104</f>
        <v>29.125</v>
      </c>
      <c r="G105" s="40" t="n">
        <f aca="false">$G$101+$G$102+$G$103-$G$104</f>
        <v>28.600625</v>
      </c>
      <c r="H105" s="40" t="n">
        <f aca="false">$H$101+$H$102+$H$103-$H$104</f>
        <v>32.848619575</v>
      </c>
      <c r="I105" s="40" t="n">
        <f aca="false">$I$101+$I$102+$I$103-$I$104</f>
        <v>32.1091654359375</v>
      </c>
      <c r="J105" s="40" t="n">
        <f aca="false">$J$101+$J$102+$J$103-$J$104</f>
        <v>31.0611829524023</v>
      </c>
      <c r="K105" s="40" t="n">
        <f aca="false">$K$101+$K$102+$K$103-$K$104</f>
        <v>29.878565991233</v>
      </c>
      <c r="L105" s="40" t="n">
        <f aca="false">$L$101+$L$102+$L$103-$L$104</f>
        <v>29.1560988505616</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1.87467811158798</v>
      </c>
      <c r="G107" s="24" t="n">
        <f aca="false">IF($G$105&lt;&gt;0,$G$72/$G$105,0)</f>
        <v>2.11698870216997</v>
      </c>
      <c r="H107" s="24" t="n">
        <f aca="false">IF($H$105&lt;&gt;0,$H$72/$H$105,0)</f>
        <v>1.76155371971974</v>
      </c>
      <c r="I107" s="24" t="n">
        <f aca="false">IF($I$105&lt;&gt;0,$I$72/$I$105,0)</f>
        <v>2.18816167178743</v>
      </c>
      <c r="J107" s="24" t="n">
        <f aca="false">IF($J$105&lt;&gt;0,$J$72/$J$105,0)</f>
        <v>2.50547088432706</v>
      </c>
      <c r="K107" s="24" t="n">
        <f aca="false">IF($K$105&lt;&gt;0,$K$72/$K$105,0)</f>
        <v>2.70480869545457</v>
      </c>
      <c r="L107" s="24" t="n">
        <f aca="false">IF($L$105&lt;&gt;0,$L$72/$L$105,0)</f>
        <v>2.8785894071427</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2.65</v>
      </c>
      <c r="K109" s="38" t="n">
        <f aca="false">IF($D$14=1,0,MIN($J$118,Assumptions!$D$85*$J$119))</f>
        <v>2.65</v>
      </c>
      <c r="L109" s="38" t="n">
        <f aca="false">IF($D$14=1,0,MIN($K$118,Assumptions!$D$85*$K$119))</f>
        <v>2.65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2.50678499999999</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2.50678499999999</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14.61</v>
      </c>
      <c r="G112" s="19" t="n">
        <f aca="false">$G$95+$G$110-$G$111</f>
        <v>10</v>
      </c>
      <c r="H112" s="19" t="n">
        <f aca="false">$H$95+$H$110-$H$111</f>
        <v>13.568953025</v>
      </c>
      <c r="I112" s="19" t="n">
        <f aca="false">$I$95+$I$110-$I$111</f>
        <v>22.8867522205625</v>
      </c>
      <c r="J112" s="19" t="n">
        <f aca="false">$J$95+$J$110-$J$111</f>
        <v>35.0481086878789</v>
      </c>
      <c r="K112" s="19" t="n">
        <f aca="false">$K$95+$K$110-$K$111</f>
        <v>50.9969385494762</v>
      </c>
      <c r="L112" s="19" t="n">
        <f aca="false">$L$95+$L$110-$L$111</f>
        <v>76.0208396447066</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4.61</v>
      </c>
      <c r="G114" s="19" t="n">
        <f aca="false">MAX(0,$G$112-Assumptions!$D$79)</f>
        <v>0</v>
      </c>
      <c r="H114" s="19" t="n">
        <f aca="false">MAX(0,$H$112-Assumptions!$D$79)</f>
        <v>3.56895302500003</v>
      </c>
      <c r="I114" s="19" t="n">
        <f aca="false">MAX(0,$I$112-Assumptions!$D$79)</f>
        <v>12.8867522205625</v>
      </c>
      <c r="J114" s="19" t="n">
        <f aca="false">MAX(0,$J$112-Assumptions!$D$79)</f>
        <v>25.0481086878789</v>
      </c>
      <c r="K114" s="19" t="n">
        <f aca="false">MAX(0,$K$112-Assumptions!$D$79)</f>
        <v>40.9969385494762</v>
      </c>
      <c r="L114" s="19" t="n">
        <f aca="false">MAX(0,$L$112-Assumptions!$D$79)</f>
        <v>66.0208396447066</v>
      </c>
    </row>
    <row r="115" customFormat="false" ht="15" hidden="false" customHeight="false" outlineLevel="0" collapsed="false">
      <c r="B115" s="17" t="s">
        <v>595</v>
      </c>
      <c r="F115" s="18" t="n">
        <f aca="false">IF(AND($D$19=1,$D$14=0,$E$121-$F$111+$F$110=0),MIN($E$118-$F$109+$F$84,$F$113*$F$114),0)</f>
        <v>2.305</v>
      </c>
      <c r="G115" s="18" t="n">
        <f aca="false">IF(AND($D$19=1,$D$14=0,$F$121-$G$111+$G$110=0),MIN($F$118-$G$109+$G$84,$G$113*$G$114),0)</f>
        <v>0</v>
      </c>
      <c r="H115" s="18" t="n">
        <f aca="false">IF(AND($D$19=1,$D$14=0,$G$121-$H$111+$H$110=0),MIN($G$118-$H$109+$H$84,$H$113*$H$114),0)</f>
        <v>1.78447651250002</v>
      </c>
      <c r="I115" s="18" t="n">
        <f aca="false">IF(AND($D$19=1,$D$14=0,$H$121-$I$111+$I$110=0),MIN($H$118-$I$109+$I$84,$I$113*$I$114),0)</f>
        <v>6.44337611028126</v>
      </c>
      <c r="J115" s="18" t="n">
        <f aca="false">IF(AND($D$19=1,$D$14=0,$I$121-$J$111+$J$110=0),MIN($I$118-$J$109+$J$84,$J$113*$J$114),0)</f>
        <v>6.26202717196973</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220.445</v>
      </c>
      <c r="G118" s="19" t="n">
        <f aca="false">$F$118-$G$109-$G$115+$G$84+$G$86</f>
        <v>258.195</v>
      </c>
      <c r="H118" s="19" t="n">
        <f aca="false">$G$118-$H$109-$H$115+$H$84+$H$86</f>
        <v>253.7605234875</v>
      </c>
      <c r="I118" s="19" t="n">
        <f aca="false">$H$118-$I$109-$I$115+$I$84+$I$86</f>
        <v>244.667147377219</v>
      </c>
      <c r="J118" s="19" t="n">
        <f aca="false">$I$118-$J$109-$J$115+$J$84+$J$86</f>
        <v>235.755120205249</v>
      </c>
      <c r="K118" s="19" t="n">
        <f aca="false">$J$118-$K$109-$K$115+$K$84+$K$86</f>
        <v>233.105120205249</v>
      </c>
      <c r="L118" s="19" t="n">
        <f aca="false">$K$118-$L$109-$L$115+$L$84+$L$86</f>
        <v>230.455120205249</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2.50678499999999</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270.445</v>
      </c>
      <c r="G122" s="18" t="n">
        <f aca="false">$G$118+$G$120+$G$121</f>
        <v>310.701785</v>
      </c>
      <c r="H122" s="18" t="n">
        <f aca="false">$H$118+$H$120+$H$121</f>
        <v>303.7605234875</v>
      </c>
      <c r="I122" s="18" t="n">
        <f aca="false">$I$118+$I$120+$I$121</f>
        <v>294.667147377219</v>
      </c>
      <c r="J122" s="18" t="n">
        <f aca="false">$J$118+$J$120+$J$121</f>
        <v>285.755120205249</v>
      </c>
      <c r="K122" s="18" t="n">
        <f aca="false">$K$118+$K$120+$K$121</f>
        <v>283.105120205249</v>
      </c>
      <c r="L122" s="18" t="n">
        <f aca="false">$L$118+$L$120+$L$121</f>
        <v>280.455120205249</v>
      </c>
    </row>
    <row r="123" customFormat="false" ht="15" hidden="false" customHeight="false" outlineLevel="0" collapsed="false">
      <c r="B123" s="9" t="s">
        <v>600</v>
      </c>
      <c r="E123" s="19" t="n">
        <f aca="false">Assumptions!$D$78</f>
        <v>10</v>
      </c>
      <c r="F123" s="19" t="n">
        <f aca="false">$F$112-$F$115</f>
        <v>12.305</v>
      </c>
      <c r="G123" s="19" t="n">
        <f aca="false">$G$112-$G$115</f>
        <v>10</v>
      </c>
      <c r="H123" s="19" t="n">
        <f aca="false">$H$112-$H$115</f>
        <v>11.7844765125</v>
      </c>
      <c r="I123" s="19" t="n">
        <f aca="false">$I$112-$I$115</f>
        <v>16.4433761102813</v>
      </c>
      <c r="J123" s="19" t="n">
        <f aca="false">$J$112-$J$115</f>
        <v>28.7860815159092</v>
      </c>
      <c r="K123" s="19" t="n">
        <f aca="false">$K$112-$K$115</f>
        <v>50.9969385494762</v>
      </c>
      <c r="L123" s="19" t="n">
        <f aca="false">$L$112-$L$115</f>
        <v>76.0208396447066</v>
      </c>
    </row>
    <row r="124" customFormat="false" ht="15" hidden="false" customHeight="false" outlineLevel="0" collapsed="false">
      <c r="B124" s="17" t="s">
        <v>601</v>
      </c>
      <c r="E124" s="18" t="n">
        <f aca="false">$E$122-$E$123</f>
        <v>265</v>
      </c>
      <c r="F124" s="18" t="n">
        <f aca="false">$F$122-$F$123</f>
        <v>258.14</v>
      </c>
      <c r="G124" s="18" t="n">
        <f aca="false">$G$122-$G$123</f>
        <v>300.701785</v>
      </c>
      <c r="H124" s="18" t="n">
        <f aca="false">$H$122-$H$123</f>
        <v>291.976046975</v>
      </c>
      <c r="I124" s="18" t="n">
        <f aca="false">$I$122-$I$123</f>
        <v>278.223771266938</v>
      </c>
      <c r="J124" s="18" t="n">
        <f aca="false">$J$122-$J$123</f>
        <v>256.96903868934</v>
      </c>
      <c r="K124" s="18" t="n">
        <f aca="false">$K$122-$K$123</f>
        <v>232.108181655773</v>
      </c>
      <c r="L124" s="18" t="n">
        <f aca="false">$L$122-$L$123</f>
        <v>204.434280560542</v>
      </c>
    </row>
    <row r="125" customFormat="false" ht="15" hidden="false" customHeight="false" outlineLevel="0" collapsed="false">
      <c r="B125" s="9" t="s">
        <v>538</v>
      </c>
      <c r="E125" s="24" t="n">
        <f aca="false">$E$124/$E$72</f>
        <v>5.3</v>
      </c>
      <c r="F125" s="24" t="n">
        <f aca="false">$F$124/$F$72</f>
        <v>4.72783882783883</v>
      </c>
      <c r="G125" s="24" t="n">
        <f aca="false">$G$124/$G$72</f>
        <v>4.96640282292162</v>
      </c>
      <c r="H125" s="24" t="n">
        <f aca="false">$H$124/$H$72</f>
        <v>5.04584852583811</v>
      </c>
      <c r="I125" s="24" t="n">
        <f aca="false">$I$124/$I$72</f>
        <v>3.95991449751773</v>
      </c>
      <c r="J125" s="24" t="n">
        <f aca="false">$J$124/$J$72</f>
        <v>3.30197246946607</v>
      </c>
      <c r="K125" s="24" t="n">
        <f aca="false">$K$124/$K$72</f>
        <v>2.87206421276468</v>
      </c>
      <c r="L125" s="24" t="n">
        <f aca="false">$L$124/$L$72</f>
        <v>2.43581659715678</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29.9107142857143</v>
      </c>
      <c r="G130" s="38" t="n">
        <f aca="false">$G$105+$G$106</f>
        <v>29.3863392857143</v>
      </c>
      <c r="H130" s="38" t="n">
        <f aca="false">$H$105+$H$106</f>
        <v>33.7943338607143</v>
      </c>
      <c r="I130" s="38" t="n">
        <f aca="false">$I$105+$I$106</f>
        <v>33.0548797216518</v>
      </c>
      <c r="J130" s="38" t="n">
        <f aca="false">$J$105+$J$106</f>
        <v>32.0068972381166</v>
      </c>
      <c r="K130" s="38" t="n">
        <f aca="false">$K$105+$K$106</f>
        <v>30.8242802769472</v>
      </c>
      <c r="L130" s="38" t="n">
        <f aca="false">$L$105+$L$106</f>
        <v>30.1018131362759</v>
      </c>
    </row>
    <row r="131" customFormat="false" ht="15" hidden="false" customHeight="false" outlineLevel="0" collapsed="false">
      <c r="B131" s="9" t="s">
        <v>606</v>
      </c>
      <c r="F131" s="38" t="n">
        <f aca="false">$F$129-$F$130-$F$83-$F$87-$F$89</f>
        <v>12.9292857142857</v>
      </c>
      <c r="G131" s="38" t="n">
        <f aca="false">$G$129-$G$130-$G$83-$G$87-$G$89</f>
        <v>17.1952607142857</v>
      </c>
      <c r="H131" s="38" t="n">
        <f aca="false">$H$129-$H$130-$H$83-$H$87-$H$89</f>
        <v>10.1686101392857</v>
      </c>
      <c r="I131" s="38" t="n">
        <f aca="false">$I$129-$I$130-$I$83-$I$87-$I$89</f>
        <v>22.3959049183482</v>
      </c>
      <c r="J131" s="38" t="n">
        <f aca="false">$J$129-$J$130-$J$83-$J$87-$J$89</f>
        <v>30.2889823778834</v>
      </c>
      <c r="K131" s="38" t="n">
        <f aca="false">$K$129-$K$130-$K$83-$K$87-$K$89</f>
        <v>33.8434345236928</v>
      </c>
      <c r="L131" s="38" t="n">
        <f aca="false">$L$129-$L$130-$L$83-$L$87-$L$89</f>
        <v>37.0326102563897</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29.9107142857143</v>
      </c>
      <c r="G133" s="38" t="n">
        <f aca="false">$G$130+$F$135</f>
        <v>42.9170535714286</v>
      </c>
      <c r="H133" s="38" t="n">
        <f aca="false">$H$130+$G$135</f>
        <v>58.5472274321428</v>
      </c>
      <c r="I133" s="38" t="n">
        <f aca="false">$I$130+$H$135</f>
        <v>74.2427247537946</v>
      </c>
      <c r="J133" s="38" t="n">
        <f aca="false">$J$130+$I$135</f>
        <v>85.1716084559113</v>
      </c>
      <c r="K133" s="38" t="n">
        <f aca="false">$K$130+$J$135</f>
        <v>92.6490218768585</v>
      </c>
      <c r="L133" s="38" t="n">
        <f aca="false">$L$130+$K$135</f>
        <v>98.5060934828944</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13.5307142857143</v>
      </c>
      <c r="G135" s="38" t="n">
        <f aca="false">$G$133-$G$134</f>
        <v>24.7528935714286</v>
      </c>
      <c r="H135" s="38" t="n">
        <f aca="false">$H$133-$H$134</f>
        <v>41.1878450321428</v>
      </c>
      <c r="I135" s="38" t="n">
        <f aca="false">$I$133-$I$134</f>
        <v>53.1647112177946</v>
      </c>
      <c r="J135" s="38" t="n">
        <f aca="false">$J$133-$J$134</f>
        <v>61.8247415999113</v>
      </c>
      <c r="K135" s="38" t="n">
        <f aca="false">$K$133-$K$134</f>
        <v>68.4042803466185</v>
      </c>
      <c r="L135" s="38" t="n">
        <f aca="false">$L$133-$L$134</f>
        <v>73.3275622914448</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6.31428571428572</v>
      </c>
      <c r="G140" s="19" t="n">
        <f aca="false">$G$131-$G$139</f>
        <v>10.0909007142857</v>
      </c>
      <c r="H140" s="19" t="n">
        <f aca="false">$H$131-$H$139</f>
        <v>3.51771973928572</v>
      </c>
      <c r="I140" s="19" t="n">
        <f aca="false">$I$131-$I$139</f>
        <v>13.8027121423482</v>
      </c>
      <c r="J140" s="19" t="n">
        <f aca="false">$J$131-$J$139</f>
        <v>20.5517291878834</v>
      </c>
      <c r="K140" s="19" t="n">
        <f aca="false">$K$131-$K$139</f>
        <v>23.7376912060928</v>
      </c>
      <c r="L140" s="19" t="n">
        <f aca="false">$L$131-$L$139</f>
        <v>26.5436372060857</v>
      </c>
    </row>
    <row r="141" customFormat="false" ht="15" hidden="false" customHeight="false" outlineLevel="0" collapsed="false">
      <c r="B141" s="9" t="s">
        <v>616</v>
      </c>
      <c r="F141" s="38" t="n">
        <f aca="false">Assumptions!$D$7*($F$129-$F$130)</f>
        <v>3.23232142857143</v>
      </c>
      <c r="G141" s="38" t="n">
        <f aca="false">Assumptions!$D$7*($G$129-$G$130)</f>
        <v>4.67381517857143</v>
      </c>
      <c r="H141" s="38" t="n">
        <f aca="false">Assumptions!$D$7*($H$129-$H$130)</f>
        <v>2.54215253482143</v>
      </c>
      <c r="I141" s="38" t="n">
        <f aca="false">Assumptions!$D$7*($I$129-$I$130)</f>
        <v>5.59897622958705</v>
      </c>
      <c r="J141" s="38" t="n">
        <f aca="false">Assumptions!$D$7*($J$129-$J$130)</f>
        <v>7.57224559447085</v>
      </c>
      <c r="K141" s="38" t="n">
        <f aca="false">Assumptions!$D$7*($K$129-$K$130)</f>
        <v>8.46085863092319</v>
      </c>
      <c r="L141" s="38" t="n">
        <f aca="false">Assumptions!$D$7*($L$129-$L$130)</f>
        <v>9.25815256409742</v>
      </c>
    </row>
    <row r="142" customFormat="false" ht="15" hidden="false" customHeight="false" outlineLevel="0" collapsed="false">
      <c r="B142" s="9" t="s">
        <v>617</v>
      </c>
      <c r="F142" s="38" t="n">
        <f aca="false">$F$139-$F$141</f>
        <v>3.38267857142857</v>
      </c>
      <c r="G142" s="38" t="n">
        <f aca="false">$G$139-$G$141</f>
        <v>2.43054482142857</v>
      </c>
      <c r="H142" s="38" t="n">
        <f aca="false">$H$139-$H$141</f>
        <v>4.10873786517857</v>
      </c>
      <c r="I142" s="38" t="n">
        <f aca="false">$I$139-$I$141</f>
        <v>2.99421654641295</v>
      </c>
      <c r="J142" s="38" t="n">
        <f aca="false">$J$139-$J$141</f>
        <v>2.16500759552916</v>
      </c>
      <c r="K142" s="38" t="n">
        <f aca="false">$K$139-$K$141</f>
        <v>1.64488468667681</v>
      </c>
      <c r="L142" s="38" t="n">
        <f aca="false">$L$139-$L$141</f>
        <v>1.23082048620658</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12.305</v>
      </c>
      <c r="G145" s="19" t="n">
        <f aca="false">$G$123</f>
        <v>10</v>
      </c>
      <c r="H145" s="19" t="n">
        <f aca="false">$H$123</f>
        <v>11.7844765125</v>
      </c>
      <c r="I145" s="19" t="n">
        <f aca="false">$I$123</f>
        <v>16.4433761102813</v>
      </c>
      <c r="J145" s="19" t="n">
        <f aca="false">$J$123</f>
        <v>28.7860815159092</v>
      </c>
      <c r="K145" s="19" t="n">
        <f aca="false">$K$123</f>
        <v>50.9969385494762</v>
      </c>
      <c r="L145" s="19" t="n">
        <f aca="false">$L$123</f>
        <v>76.0208396447066</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467.259285714286</v>
      </c>
      <c r="G150" s="18" t="n">
        <f aca="false">$G$145+$G$146+$G$147+$G$148+$G$149</f>
        <v>517.606971428572</v>
      </c>
      <c r="H150" s="18" t="n">
        <f aca="false">$H$145+$H$146+$H$147+$H$148+$H$149</f>
        <v>514.183429655357</v>
      </c>
      <c r="I150" s="18" t="n">
        <f aca="false">$I$145+$I$146+$I$147+$I$148+$I$149</f>
        <v>518.892765687424</v>
      </c>
      <c r="J150" s="18" t="n">
        <f aca="false">$J$145+$J$146+$J$147+$J$148+$J$149</f>
        <v>530.532467703338</v>
      </c>
      <c r="K150" s="18" t="n">
        <f aca="false">$K$145+$K$146+$K$147+$K$148+$K$149</f>
        <v>551.620158909431</v>
      </c>
      <c r="L150" s="18" t="n">
        <f aca="false">$L$145+$L$146+$L$147+$L$148+$L$149</f>
        <v>575.513796115516</v>
      </c>
    </row>
    <row r="151" customFormat="false" ht="15" hidden="false" customHeight="false" outlineLevel="0" collapsed="false">
      <c r="B151" s="9" t="s">
        <v>291</v>
      </c>
      <c r="E151" s="19" t="n">
        <f aca="false">$E$122</f>
        <v>275</v>
      </c>
      <c r="F151" s="19" t="n">
        <f aca="false">$F$122</f>
        <v>270.445</v>
      </c>
      <c r="G151" s="19" t="n">
        <f aca="false">$G$122</f>
        <v>310.701785</v>
      </c>
      <c r="H151" s="19" t="n">
        <f aca="false">$H$122</f>
        <v>303.7605234875</v>
      </c>
      <c r="I151" s="19" t="n">
        <f aca="false">$I$122</f>
        <v>294.667147377219</v>
      </c>
      <c r="J151" s="19" t="n">
        <f aca="false">$J$122</f>
        <v>285.755120205249</v>
      </c>
      <c r="K151" s="19" t="n">
        <f aca="false">$K$122</f>
        <v>283.105120205249</v>
      </c>
      <c r="L151" s="19" t="n">
        <f aca="false">$L$122</f>
        <v>280.455120205249</v>
      </c>
    </row>
    <row r="152" customFormat="false" ht="15" hidden="false" customHeight="false" outlineLevel="0" collapsed="false">
      <c r="B152" s="9" t="s">
        <v>624</v>
      </c>
      <c r="E152" s="19" t="n">
        <f aca="false">$D$46-Assumptions!$D$76</f>
        <v>190.5</v>
      </c>
      <c r="F152" s="19" t="n">
        <f aca="false">$E$152+$F$140-$F$88+$F$90</f>
        <v>196.814285714286</v>
      </c>
      <c r="G152" s="19" t="n">
        <f aca="false">$F$152+$G$140-$G$88+$G$90</f>
        <v>206.905186428571</v>
      </c>
      <c r="H152" s="19" t="n">
        <f aca="false">$G$152+$H$140-$H$88+$H$90</f>
        <v>210.422906167857</v>
      </c>
      <c r="I152" s="19" t="n">
        <f aca="false">$H$152+$I$140-$I$88+$I$90</f>
        <v>224.225618310205</v>
      </c>
      <c r="J152" s="19" t="n">
        <f aca="false">$I$152+$J$140-$J$88+$J$90</f>
        <v>244.777347498089</v>
      </c>
      <c r="K152" s="19" t="n">
        <f aca="false">$J$152+$K$140-$K$88+$K$90</f>
        <v>268.515038704182</v>
      </c>
      <c r="L152" s="19" t="n">
        <f aca="false">$K$152+$L$140-$L$88+$L$90</f>
        <v>295.058675910267</v>
      </c>
    </row>
    <row r="153" customFormat="false" ht="15" hidden="false" customHeight="false" outlineLevel="0" collapsed="false">
      <c r="B153" s="17" t="s">
        <v>625</v>
      </c>
      <c r="E153" s="18" t="n">
        <f aca="false">$E$151+$E$152</f>
        <v>465.5</v>
      </c>
      <c r="F153" s="18" t="n">
        <f aca="false">$F$151+$F$152</f>
        <v>467.259285714286</v>
      </c>
      <c r="G153" s="18" t="n">
        <f aca="false">$G$151+$G$152</f>
        <v>517.606971428571</v>
      </c>
      <c r="H153" s="18" t="n">
        <f aca="false">$H$151+$H$152</f>
        <v>514.183429655357</v>
      </c>
      <c r="I153" s="18" t="n">
        <f aca="false">$I$151+$I$152</f>
        <v>518.892765687424</v>
      </c>
      <c r="J153" s="18" t="n">
        <f aca="false">$J$151+$J$152</f>
        <v>530.532467703338</v>
      </c>
      <c r="K153" s="18" t="n">
        <f aca="false">$K$151+$K$152</f>
        <v>551.620158909431</v>
      </c>
      <c r="L153" s="18" t="n">
        <f aca="false">$L$151+$L$152</f>
        <v>575.513796115516</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258.14</v>
      </c>
      <c r="G160" s="19" t="n">
        <f aca="false">$G$124</f>
        <v>300.701785</v>
      </c>
      <c r="H160" s="19" t="n">
        <f aca="false">$H$124</f>
        <v>291.976046975</v>
      </c>
      <c r="I160" s="19" t="n">
        <f aca="false">$I$124</f>
        <v>278.223771266938</v>
      </c>
      <c r="J160" s="19" t="n">
        <f aca="false">$J$124</f>
        <v>256.96903868934</v>
      </c>
      <c r="K160" s="19" t="n">
        <f aca="false">$K$124</f>
        <v>232.108181655773</v>
      </c>
      <c r="L160" s="19" t="n">
        <f aca="false">$L$124</f>
        <v>204.434280560542</v>
      </c>
    </row>
    <row r="161" customFormat="false" ht="15" hidden="false" customHeight="false" outlineLevel="0" collapsed="false">
      <c r="B161" s="17" t="s">
        <v>632</v>
      </c>
      <c r="F161" s="41" t="n">
        <f aca="false">$F$124/$F$159</f>
        <v>4.72783882783883</v>
      </c>
      <c r="G161" s="41" t="n">
        <f aca="false">$G$124/$G$159</f>
        <v>4.20284490518147</v>
      </c>
      <c r="H161" s="41" t="n">
        <f aca="false">$H$124/$H$159</f>
        <v>4.87727317908772</v>
      </c>
      <c r="I161" s="41" t="n">
        <f aca="false">$I$124/$I$159</f>
        <v>3.93193320884838</v>
      </c>
      <c r="J161" s="41" t="n">
        <f aca="false">$J$124/$J$159</f>
        <v>3.30197246946607</v>
      </c>
      <c r="K161" s="41" t="n">
        <f aca="false">$K$124/$K$159</f>
        <v>2.87206421276468</v>
      </c>
      <c r="L161" s="41" t="n">
        <f aca="false">$L$124/$L$159</f>
        <v>2.43581659715678</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1.02216117216117</v>
      </c>
      <c r="G163" s="24" t="n">
        <f aca="false">$G$162-$G$161</f>
        <v>1.04715509481853</v>
      </c>
      <c r="H163" s="24" t="n">
        <f aca="false">$H$162-$H$161</f>
        <v>-0.127273179087717</v>
      </c>
      <c r="I163" s="24" t="n">
        <f aca="false">$I$162-$I$161</f>
        <v>0.318066791151624</v>
      </c>
      <c r="J163" s="24" t="n">
        <f aca="false">$J$162-$J$161</f>
        <v>0.698027530533927</v>
      </c>
      <c r="K163" s="24" t="n">
        <f aca="false">$K$162-$K$161</f>
        <v>1.12793578723532</v>
      </c>
      <c r="L163" s="24" t="n">
        <f aca="false">$L$162-$L$161</f>
        <v>1.56418340284322</v>
      </c>
    </row>
    <row r="164" customFormat="false" ht="15" hidden="false" customHeight="false" outlineLevel="0" collapsed="false">
      <c r="B164" s="9" t="s">
        <v>635</v>
      </c>
      <c r="F164" s="14" t="n">
        <f aca="false">1-$F$124/($F$162*$F$159)</f>
        <v>0.177767160375856</v>
      </c>
      <c r="G164" s="14" t="n">
        <f aca="false">1-$G$124/($G$162*$G$159)</f>
        <v>0.199458113298767</v>
      </c>
      <c r="H164" s="14" t="n">
        <f aca="false">1-$H$124/($H$162*$H$159)</f>
        <v>-0.0267943534921511</v>
      </c>
      <c r="I164" s="14" t="n">
        <f aca="false">1-$I$124/($I$162*$I$159)</f>
        <v>0.0748392449768527</v>
      </c>
      <c r="J164" s="14" t="n">
        <f aca="false">1-$J$124/($J$162*$J$159)</f>
        <v>0.174506882633482</v>
      </c>
      <c r="K164" s="14" t="n">
        <f aca="false">1-$K$124/($K$162*$K$159)</f>
        <v>0.281983946808831</v>
      </c>
      <c r="L164" s="14" t="n">
        <f aca="false">1-$L$124/($L$162*$L$159)</f>
        <v>0.391045850710804</v>
      </c>
    </row>
    <row r="165" customFormat="false" ht="15" hidden="false" customHeight="false" outlineLevel="0" collapsed="false">
      <c r="B165" s="9" t="s">
        <v>636</v>
      </c>
      <c r="F165" s="19" t="n">
        <f aca="false">$F$164*$F$159</f>
        <v>9.70608695652174</v>
      </c>
      <c r="G165" s="19" t="n">
        <f aca="false">$G$164*$G$159</f>
        <v>14.2706695238095</v>
      </c>
      <c r="H165" s="19" t="n">
        <f aca="false">$H$164*$H$159</f>
        <v>-1.60403346842106</v>
      </c>
      <c r="I165" s="19" t="n">
        <f aca="false">$I$164*$I$159</f>
        <v>5.29562835130883</v>
      </c>
      <c r="J165" s="19" t="n">
        <f aca="false">$J$164*$J$159</f>
        <v>13.5806298476651</v>
      </c>
      <c r="K165" s="19" t="n">
        <f aca="false">$K$164*$K$159</f>
        <v>22.7887596868568</v>
      </c>
      <c r="L165" s="19" t="n">
        <f aca="false">$L$164*$L$159</f>
        <v>32.8198671646964</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1.60403346842105</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-1.02216117216117</v>
      </c>
      <c r="G167" s="24" t="n">
        <f aca="false">$G$125-Assumptions!$G$169</f>
        <v>-0.28359717707838</v>
      </c>
      <c r="H167" s="24" t="n">
        <f aca="false">$H$125-Assumptions!$H$169</f>
        <v>0.295848525838108</v>
      </c>
      <c r="I167" s="24" t="n">
        <f aca="false">$I$125-Assumptions!$I$169</f>
        <v>-0.290085502482275</v>
      </c>
      <c r="J167" s="24" t="n">
        <f aca="false">$J$125-Assumptions!$J$169</f>
        <v>-0.698027530533927</v>
      </c>
      <c r="K167" s="24" t="n">
        <f aca="false">$K$125-Assumptions!$K$169</f>
        <v>-1.12793578723532</v>
      </c>
      <c r="L167" s="24" t="n">
        <f aca="false">$L$125-Assumptions!$L$169</f>
        <v>-1.56418340284322</v>
      </c>
    </row>
    <row r="168" customFormat="false" ht="15" hidden="false" customHeight="false" outlineLevel="0" collapsed="false">
      <c r="B168" s="9" t="s">
        <v>639</v>
      </c>
      <c r="F168" s="24" t="n">
        <f aca="false">$F$161-$F$162</f>
        <v>-1.02216117216117</v>
      </c>
      <c r="G168" s="24" t="n">
        <f aca="false">$G$161-$G$162</f>
        <v>-1.04715509481853</v>
      </c>
      <c r="H168" s="24" t="n">
        <f aca="false">$H$161-$H$162</f>
        <v>0.127273179087717</v>
      </c>
      <c r="I168" s="24" t="n">
        <f aca="false">$I$161-$I$162</f>
        <v>-0.318066791151624</v>
      </c>
      <c r="J168" s="24" t="n">
        <f aca="false">$J$161-$J$162</f>
        <v>-0.698027530533927</v>
      </c>
      <c r="K168" s="24" t="n">
        <f aca="false">$K$161-$K$162</f>
        <v>-1.12793578723532</v>
      </c>
      <c r="L168" s="24" t="n">
        <f aca="false">$L$161-$L$162</f>
        <v>-1.56418340284322</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256.96903868934</v>
      </c>
    </row>
    <row r="174" customFormat="false" ht="15" hidden="false" customHeight="false" outlineLevel="0" collapsed="false">
      <c r="B174" s="9" t="s">
        <v>643</v>
      </c>
      <c r="D174" s="19" t="n">
        <f aca="false">INDEX($E$118:$L$118,1,$D$170+1)</f>
        <v>235.755120205249</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28.7860815159092</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432.93087690546</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2.07148203376512</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2.07148203376512</v>
      </c>
    </row>
    <row r="195" customFormat="false" ht="15" hidden="false" customHeight="false" outlineLevel="0" collapsed="false">
      <c r="B195" s="9" t="s">
        <v>663</v>
      </c>
      <c r="D195" s="34" t="n">
        <f aca="false">IF($D$194&gt;=Assumptions!$D$110,$D$191,$D$191*0.5)</f>
        <v>17.3913043478261</v>
      </c>
    </row>
    <row r="196" customFormat="false" ht="15" hidden="false" customHeight="false" outlineLevel="0" collapsed="false">
      <c r="B196" s="9" t="s">
        <v>664</v>
      </c>
      <c r="D196" s="35" t="n">
        <f aca="false">($D$179+$D$195*Assumptions!$D$108)/($D$189+$D$195)</f>
        <v>2.07148203376512</v>
      </c>
    </row>
    <row r="197" customFormat="false" ht="15" hidden="false" customHeight="false" outlineLevel="0" collapsed="false">
      <c r="B197" s="9" t="s">
        <v>665</v>
      </c>
      <c r="D197" s="34" t="n">
        <f aca="false">IF($D$196&lt;Assumptions!$D$108,0,$D$195)</f>
        <v>17.3913043478261</v>
      </c>
    </row>
    <row r="198" customFormat="false" ht="15" hidden="false" customHeight="false" outlineLevel="0" collapsed="false">
      <c r="B198" s="17" t="s">
        <v>666</v>
      </c>
      <c r="D198" s="43" t="n">
        <f aca="false">IF($D$196&lt;Assumptions!$D$108,$D$179/$D$189,$D$196)</f>
        <v>2.07148203376512</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393.581586415372</v>
      </c>
    </row>
    <row r="201" customFormat="false" ht="15" hidden="false" customHeight="false" outlineLevel="0" collapsed="false">
      <c r="B201" s="9" t="s">
        <v>668</v>
      </c>
      <c r="D201" s="14" t="n">
        <f aca="false">$D$200/$D$179</f>
        <v>0.909109530899362</v>
      </c>
    </row>
    <row r="202" customFormat="false" ht="15" hidden="false" customHeight="false" outlineLevel="0" collapsed="false">
      <c r="B202" s="9" t="s">
        <v>669</v>
      </c>
      <c r="D202" s="19" t="n">
        <f aca="false">$D$185*$D$198</f>
        <v>20.7148203376512</v>
      </c>
    </row>
    <row r="203" customFormat="false" ht="15" hidden="false" customHeight="false" outlineLevel="0" collapsed="false">
      <c r="B203" s="9" t="s">
        <v>670</v>
      </c>
      <c r="D203" s="19" t="n">
        <f aca="false">$D$197*MAX(0,$D$198-Assumptions!$D$108)</f>
        <v>18.6344701524368</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39.349290490088</v>
      </c>
    </row>
    <row r="206" customFormat="false" ht="15" hidden="false" customHeight="false" outlineLevel="0" collapsed="false">
      <c r="B206" s="9" t="s">
        <v>673</v>
      </c>
      <c r="D206" s="24" t="n">
        <f aca="false">$D$205/$D$47</f>
        <v>3.9349290490088</v>
      </c>
    </row>
    <row r="207" customFormat="false" ht="15" hidden="false" customHeight="false" outlineLevel="0" collapsed="false">
      <c r="B207" s="9" t="s">
        <v>674</v>
      </c>
      <c r="D207" s="19" t="n">
        <f aca="false">$D$187*$D$198</f>
        <v>8.28592813506047</v>
      </c>
    </row>
    <row r="208" customFormat="false" ht="15" hidden="false" customHeight="false" outlineLevel="0" collapsed="false">
      <c r="B208" s="9" t="s">
        <v>675</v>
      </c>
      <c r="D208" s="19" t="n">
        <f aca="false">$D$203*Assumptions!$D$112</f>
        <v>6.52206455335288</v>
      </c>
    </row>
    <row r="209" customFormat="false" ht="15" hidden="false" customHeight="false" outlineLevel="0" collapsed="false">
      <c r="B209" s="9" t="s">
        <v>676</v>
      </c>
      <c r="D209" s="19" t="n">
        <f aca="false">$D$207+$D$208</f>
        <v>14.8079926884134</v>
      </c>
    </row>
    <row r="210" customFormat="false" ht="15" hidden="false" customHeight="false" outlineLevel="0" collapsed="false">
      <c r="B210" s="9" t="s">
        <v>677</v>
      </c>
      <c r="D210" s="24" t="n">
        <f aca="false">$D$209/Assumptions!$D$111</f>
        <v>3.70199817210334</v>
      </c>
    </row>
    <row r="211" customFormat="false" ht="15" hidden="false" customHeight="false" outlineLevel="0" collapsed="false">
      <c r="B211" s="9" t="s">
        <v>678</v>
      </c>
      <c r="D211" s="19" t="n">
        <f aca="false">$D$179*$D$190/$D$189</f>
        <v>411.284333060187</v>
      </c>
    </row>
    <row r="212" customFormat="false" ht="15" hidden="false" customHeight="false" outlineLevel="0" collapsed="false">
      <c r="B212" s="9" t="s">
        <v>679</v>
      </c>
      <c r="D212" s="19" t="n">
        <f aca="false">$D$211-$D$200</f>
        <v>17.702746644815</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393.581586415372</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432.93087690546</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0.156794550867137</v>
      </c>
    </row>
    <row r="224" customFormat="false" ht="15" hidden="false" customHeight="false" outlineLevel="0" collapsed="false">
      <c r="B224" s="9" t="s">
        <v>689</v>
      </c>
      <c r="D224" s="25" t="n">
        <f aca="false">XIRR($E$219:$L$219,$E$221:$L$221,0.1)</f>
        <v>0.156702281580609</v>
      </c>
    </row>
    <row r="225" customFormat="false" ht="15" hidden="false" customHeight="false" outlineLevel="0" collapsed="false">
      <c r="B225" s="17" t="s">
        <v>690</v>
      </c>
      <c r="D225" s="41" t="n">
        <f aca="false">SUMIF($E$219:$L$219,"&gt;0")/-SUMIF($E$219:$L$219,"&lt;0")</f>
        <v>2.07148203376512</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0.167018425805108</v>
      </c>
    </row>
    <row r="228" customFormat="false" ht="15" hidden="false" customHeight="false" outlineLevel="0" collapsed="false">
      <c r="B228" s="9" t="s">
        <v>693</v>
      </c>
      <c r="D228" s="24" t="n">
        <f aca="false">SUMIF($E$220:$L$220,"&gt;0")/-SUMIF($E$220:$L$220,"&lt;0")</f>
        <v>2.1646543845273</v>
      </c>
    </row>
    <row r="229" customFormat="false" ht="15" hidden="false" customHeight="false" outlineLevel="0" collapsed="false">
      <c r="B229" s="9" t="s">
        <v>694</v>
      </c>
      <c r="D229" s="19" t="n">
        <f aca="false">SUM($E$220:$L$220)</f>
        <v>232.93087690546</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60.8309613106602</v>
      </c>
    </row>
    <row r="232" customFormat="false" ht="15" hidden="false" customHeight="false" outlineLevel="0" collapsed="false">
      <c r="B232" s="9" t="s">
        <v>697</v>
      </c>
      <c r="D232" s="19" t="n">
        <f aca="false">SUMPRODUCT(($F$64:$L$64&lt;=$D$170)*$F$105:$L$105)</f>
        <v>153.74459296334</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12.45</v>
      </c>
    </row>
    <row r="235" customFormat="false" ht="15" hidden="false" customHeight="false" outlineLevel="0" collapsed="false">
      <c r="B235" s="9" t="s">
        <v>700</v>
      </c>
      <c r="D235" s="19" t="n">
        <f aca="false">SUMPRODUCT(($F$64:$L$64&lt;=$D$170)*$F$115:$L$115)</f>
        <v>16.794879794751</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29.244879794751</v>
      </c>
    </row>
    <row r="238" customFormat="false" ht="15" hidden="false" customHeight="false" outlineLevel="0" collapsed="false">
      <c r="B238" s="9" t="s">
        <v>703</v>
      </c>
      <c r="D238" s="19" t="n">
        <f aca="false">$D$54-$D$173</f>
        <v>8.03096131066019</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250.40600568</v>
      </c>
    </row>
    <row r="242" customFormat="false" ht="15" hidden="false" customHeight="false" outlineLevel="0" collapsed="false">
      <c r="B242" s="9" t="s">
        <v>234</v>
      </c>
      <c r="D242" s="14" t="n">
        <f aca="false">$D$172/$D$29-1</f>
        <v>0.5564577904</v>
      </c>
    </row>
    <row r="243" customFormat="false" ht="15" hidden="false" customHeight="false" outlineLevel="0" collapsed="false">
      <c r="B243" s="9" t="s">
        <v>235</v>
      </c>
      <c r="D243" s="25" t="n">
        <f aca="false">($D$172/$D$29)^(1/$D$170)-1</f>
        <v>0.0925151535860498</v>
      </c>
    </row>
    <row r="244" customFormat="false" ht="15" hidden="false" customHeight="false" outlineLevel="0" collapsed="false">
      <c r="B244" s="9" t="s">
        <v>236</v>
      </c>
      <c r="D244" s="14" t="n">
        <f aca="false">$D$179/$D$46-1</f>
        <v>1.1646543845273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708</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26" t="n">
        <v>0</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0</v>
      </c>
      <c r="H68" s="19" t="n">
        <f aca="false">IF(AND($D$12=1,$H$64&gt;=Assumptions!$D$116),Assumptions!$D$117*(1+Assumptions!$D$123)^($H$64-Assumptions!$D$116),0)</f>
        <v>0</v>
      </c>
      <c r="I68" s="19" t="n">
        <f aca="false">IF(AND($D$12=1,$I$64&gt;=Assumptions!$D$116),Assumptions!$D$117*(1+Assumptions!$D$123)^($I$64-Assumptions!$D$116),0)</f>
        <v>0</v>
      </c>
      <c r="J68" s="19" t="n">
        <f aca="false">IF(AND($D$12=1,$J$64&gt;=Assumptions!$D$116),Assumptions!$D$117*(1+Assumptions!$D$123)^($J$64-Assumptions!$D$116),0)</f>
        <v>0</v>
      </c>
      <c r="K68" s="19" t="n">
        <f aca="false">IF(AND($D$12=1,$K$64&gt;=Assumptions!$D$116),Assumptions!$D$117*(1+Assumptions!$D$123)^($K$64-Assumptions!$D$116),0)</f>
        <v>0</v>
      </c>
      <c r="L68" s="19" t="n">
        <f aca="false">IF(AND($D$12=1,$L$64&gt;=Assumptions!$D$116),Assumptions!$D$117*(1+Assumptions!$D$123)^($L$64-Assumptions!$D$116),0)</f>
        <v>0</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0</v>
      </c>
      <c r="H69" s="19" t="n">
        <f aca="false">$H$68*Assumptions!$D$118/Assumptions!$D$117</f>
        <v>0</v>
      </c>
      <c r="I69" s="19" t="n">
        <f aca="false">$I$68*Assumptions!$D$118/Assumptions!$D$117</f>
        <v>0</v>
      </c>
      <c r="J69" s="19" t="n">
        <f aca="false">$J$68*Assumptions!$D$118/Assumptions!$D$117</f>
        <v>0</v>
      </c>
      <c r="K69" s="19" t="n">
        <f aca="false">$K$68*Assumptions!$D$118/Assumptions!$D$117</f>
        <v>0</v>
      </c>
      <c r="L69" s="19" t="n">
        <f aca="false">$L$68*Assumptions!$D$118/Assumptions!$D$117</f>
        <v>0</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0</v>
      </c>
      <c r="I70" s="19" t="n">
        <f aca="false">IF(AND($D$12=1,$I$64&gt;Assumptions!$D$116),Assumptions!$I$168,0)</f>
        <v>0</v>
      </c>
      <c r="J70" s="19" t="n">
        <f aca="false">IF(AND($D$12=1,$J$64&gt;Assumptions!$D$116),Assumptions!$J$168,0)</f>
        <v>0</v>
      </c>
      <c r="K70" s="19" t="n">
        <f aca="false">IF(AND($D$12=1,$K$64&gt;Assumptions!$D$116),Assumptions!$K$168,0)</f>
        <v>0</v>
      </c>
      <c r="L70" s="19" t="n">
        <f aca="false">IF(AND($D$12=1,$L$64&gt;Assumptions!$D$116),Assumptions!$L$168,0)</f>
        <v>0</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334.7904</v>
      </c>
      <c r="I71" s="18" t="n">
        <f aca="false">$I$65+IF(AND($D$12=1,$I$64&gt;Assumptions!$D$116),$I$68,0)</f>
        <v>358.225728</v>
      </c>
      <c r="J71" s="18" t="n">
        <f aca="false">$J$65+IF(AND($D$12=1,$J$64&gt;Assumptions!$D$116),$J$68,0)</f>
        <v>376.1370144</v>
      </c>
      <c r="K71" s="18" t="n">
        <f aca="false">$K$65+IF(AND($D$12=1,$K$64&gt;Assumptions!$D$116),$K$68,0)</f>
        <v>391.182494976</v>
      </c>
      <c r="L71" s="18" t="n">
        <f aca="false">$L$65+IF(AND($D$12=1,$L$64&gt;Assumptions!$D$116),$L$68,0)</f>
        <v>406.82979477504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48.544608</v>
      </c>
      <c r="I72" s="18" t="n">
        <f aca="false">$I$67+IF(AND($D$12=1,$I$64&gt;Assumptions!$D$116),$I$69+$I$70,0)</f>
        <v>59.10724512</v>
      </c>
      <c r="J72" s="18" t="n">
        <f aca="false">$J$67+IF(AND($D$12=1,$J$64&gt;Assumptions!$D$116),$J$69+$J$70,0)</f>
        <v>65.82397752</v>
      </c>
      <c r="K72" s="18" t="n">
        <f aca="false">$K$67+IF(AND($D$12=1,$K$64&gt;Assumptions!$D$116),$K$69+$K$70,0)</f>
        <v>68.4569366208</v>
      </c>
      <c r="L72" s="18" t="n">
        <f aca="false">$L$67+IF(AND($D$12=1,$L$64&gt;Assumptions!$D$116),$L$69+$L$70,0)</f>
        <v>71.195214085632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v>
      </c>
      <c r="I73" s="14" t="n">
        <f aca="false">$I$72/$I$71</f>
        <v>0.165</v>
      </c>
      <c r="J73" s="14" t="n">
        <f aca="false">$J$72/$J$71</f>
        <v>0.175</v>
      </c>
      <c r="K73" s="14" t="n">
        <f aca="false">$K$72/$K$71</f>
        <v>0.175</v>
      </c>
      <c r="L73" s="14" t="n">
        <f aca="false">$L$72/$L$71</f>
        <v>0.175</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11.717664</v>
      </c>
      <c r="I74" s="19" t="n">
        <f aca="false">Assumptions!$D$29*$I$71</f>
        <v>12.53790048</v>
      </c>
      <c r="J74" s="19" t="n">
        <f aca="false">Assumptions!$D$29*$J$71</f>
        <v>13.164795504</v>
      </c>
      <c r="K74" s="19" t="n">
        <f aca="false">Assumptions!$D$29*$K$71</f>
        <v>13.69138732416</v>
      </c>
      <c r="L74" s="19" t="n">
        <f aca="false">Assumptions!$D$29*$L$71</f>
        <v>14.2390428171264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10.043712</v>
      </c>
      <c r="I75" s="19" t="n">
        <f aca="false">Assumptions!$D$30*$I$71</f>
        <v>10.74677184</v>
      </c>
      <c r="J75" s="19" t="n">
        <f aca="false">Assumptions!$D$30*$J$71</f>
        <v>11.284110432</v>
      </c>
      <c r="K75" s="19" t="n">
        <f aca="false">Assumptions!$D$30*$K$71</f>
        <v>11.73547484928</v>
      </c>
      <c r="L75" s="19" t="n">
        <f aca="false">Assumptions!$D$30*$L$71</f>
        <v>12.2048938432512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40.174848</v>
      </c>
      <c r="I76" s="19" t="n">
        <f aca="false">Assumptions!$D$27*$I$71</f>
        <v>42.98708736</v>
      </c>
      <c r="J76" s="19" t="n">
        <f aca="false">Assumptions!$D$27*$J$71</f>
        <v>45.136441728</v>
      </c>
      <c r="K76" s="19" t="n">
        <f aca="false">Assumptions!$D$27*$K$71</f>
        <v>46.94189939712</v>
      </c>
      <c r="L76" s="19" t="n">
        <f aca="false">Assumptions!$D$27*$L$71</f>
        <v>48.8195753730048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0</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42.7392</v>
      </c>
      <c r="H78" s="19" t="n">
        <f aca="false">$H$76+$H$77</f>
        <v>40.174848</v>
      </c>
      <c r="I78" s="19" t="n">
        <f aca="false">$I$76+$I$77</f>
        <v>42.98708736</v>
      </c>
      <c r="J78" s="19" t="n">
        <f aca="false">$J$76+$J$77</f>
        <v>45.136441728</v>
      </c>
      <c r="K78" s="19" t="n">
        <f aca="false">$K$76+$K$77</f>
        <v>46.94189939712</v>
      </c>
      <c r="L78" s="19" t="n">
        <f aca="false">$L$76+$L$77</f>
        <v>48.8195753730048</v>
      </c>
    </row>
    <row r="79" customFormat="false" ht="15" hidden="false" customHeight="false" outlineLevel="0" collapsed="false">
      <c r="B79" s="9" t="s">
        <v>561</v>
      </c>
      <c r="F79" s="19" t="n">
        <f aca="false">$F$78-$E$78-$F$77</f>
        <v>1.92</v>
      </c>
      <c r="G79" s="19" t="n">
        <f aca="false">$G$78-$F$78-$G$77</f>
        <v>2.4192</v>
      </c>
      <c r="H79" s="19" t="n">
        <f aca="false">$H$78-$G$78-$H$77</f>
        <v>-2.56435200000001</v>
      </c>
      <c r="I79" s="19" t="n">
        <f aca="false">$I$78-$H$78-$I$77</f>
        <v>2.81223936</v>
      </c>
      <c r="J79" s="19" t="n">
        <f aca="false">$J$78-$I$78-$J$77</f>
        <v>2.149354368</v>
      </c>
      <c r="K79" s="19" t="n">
        <f aca="false">$K$78-$J$78-$K$77</f>
        <v>1.80545766912</v>
      </c>
      <c r="L79" s="19" t="n">
        <f aca="false">$L$78-$K$78-$L$77</f>
        <v>1.8776759758848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0</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0</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11.36</v>
      </c>
      <c r="G91" s="18" t="n">
        <f aca="false">$G$72-$G$139-$G$105-$G$75-$G$79-$G$83-$G$87-$G$89</f>
        <v>16.008365</v>
      </c>
      <c r="H91" s="18" t="n">
        <f aca="false">$H$72-$H$139-$H$105-$H$75-$H$79-$H$83-$H$87-$H$89</f>
        <v>12.6054842625</v>
      </c>
      <c r="I91" s="18" t="n">
        <f aca="false">$I$72-$I$139-$I$105-$I$75-$I$79-$I$83-$I$87-$I$89</f>
        <v>16.1605002016406</v>
      </c>
      <c r="J91" s="18" t="n">
        <f aca="false">$J$72-$J$139-$J$105-$J$75-$J$79-$J$83-$J$87-$J$89</f>
        <v>23.3812349130627</v>
      </c>
      <c r="K91" s="18" t="n">
        <f aca="false">$K$72-$K$139-$K$105-$K$75-$K$79-$K$83-$K$87-$K$89</f>
        <v>26.7667887538085</v>
      </c>
      <c r="L91" s="18" t="n">
        <f aca="false">$L$72-$L$139-$L$105-$L$75-$L$79-$L$83-$L$87-$L$89</f>
        <v>29.3027300098767</v>
      </c>
    </row>
    <row r="92" customFormat="false" ht="15" hidden="false" customHeight="false" outlineLevel="0" collapsed="false">
      <c r="B92" s="9" t="s">
        <v>573</v>
      </c>
      <c r="F92" s="19" t="n">
        <f aca="false">$F$75+$F$79</f>
        <v>12</v>
      </c>
      <c r="G92" s="19" t="n">
        <f aca="false">$G$75+$G$79</f>
        <v>13.104</v>
      </c>
      <c r="H92" s="19" t="n">
        <f aca="false">$H$75+$H$79</f>
        <v>7.47935999999999</v>
      </c>
      <c r="I92" s="19" t="n">
        <f aca="false">$I$75+$I$79</f>
        <v>13.5590112</v>
      </c>
      <c r="J92" s="19" t="n">
        <f aca="false">$J$75+$J$79</f>
        <v>13.4334648</v>
      </c>
      <c r="K92" s="19" t="n">
        <f aca="false">$K$75+$K$79</f>
        <v>13.5409325184</v>
      </c>
      <c r="L92" s="19" t="n">
        <f aca="false">$L$75+$L$79</f>
        <v>14.082569819136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14.555</v>
      </c>
      <c r="H94" s="19" t="n">
        <f aca="false">$G$123</f>
        <v>19.1566825</v>
      </c>
      <c r="I94" s="19" t="n">
        <f aca="false">$H$123</f>
        <v>24.634125071875</v>
      </c>
      <c r="J94" s="19" t="n">
        <f aca="false">$I$123</f>
        <v>24.2723126367578</v>
      </c>
      <c r="K94" s="19" t="n">
        <f aca="false">$J$123</f>
        <v>36.5526606623654</v>
      </c>
      <c r="L94" s="19" t="n">
        <f aca="false">$K$123</f>
        <v>61.0694494161739</v>
      </c>
    </row>
    <row r="95" customFormat="false" ht="15" hidden="false" customHeight="false" outlineLevel="0" collapsed="false">
      <c r="B95" s="9" t="s">
        <v>576</v>
      </c>
      <c r="F95" s="19" t="n">
        <f aca="false">$E$123+$F$91-$F$109-$F$82-$F$85+$F$84+$F$86-$F$88+$F$90</f>
        <v>19.11</v>
      </c>
      <c r="G95" s="19" t="n">
        <f aca="false">$F$123+$G$91-$G$109-$G$82-$G$85+$G$84+$G$86-$G$88+$G$90</f>
        <v>28.313365</v>
      </c>
      <c r="H95" s="19" t="n">
        <f aca="false">$G$123+$H$91-$H$109-$H$82-$H$85+$H$84+$H$86-$H$88+$H$90</f>
        <v>29.5121667625</v>
      </c>
      <c r="I95" s="19" t="n">
        <f aca="false">$H$123+$I$91-$I$109-$I$82-$I$85+$I$84+$I$86-$I$88+$I$90</f>
        <v>38.5446252735156</v>
      </c>
      <c r="J95" s="19" t="n">
        <f aca="false">$I$123+$J$91-$J$109-$J$82-$J$85+$J$84+$J$86-$J$88+$J$90</f>
        <v>45.4035475498205</v>
      </c>
      <c r="K95" s="19" t="n">
        <f aca="false">$J$123+$K$91-$K$109-$K$82-$K$85+$K$84+$K$86-$K$88+$K$90</f>
        <v>61.0694494161739</v>
      </c>
      <c r="L95" s="19" t="n">
        <f aca="false">$K$123+$L$91-$L$109-$L$82-$L$85+$L$84+$L$86-$L$88+$L$90</f>
        <v>88.1221794260506</v>
      </c>
    </row>
    <row r="96" customFormat="false" ht="15" hidden="false" customHeight="false" outlineLevel="0" collapsed="false">
      <c r="B96" s="17" t="s">
        <v>577</v>
      </c>
      <c r="F96" s="18" t="n">
        <f aca="false">$F$95+$F$110-$F$111-$F$115</f>
        <v>14.555</v>
      </c>
      <c r="G96" s="18" t="n">
        <f aca="false">$G$95+$G$110-$G$111-$G$115</f>
        <v>19.1566825</v>
      </c>
      <c r="H96" s="18" t="n">
        <f aca="false">$H$95+$H$110-$H$111-$H$115</f>
        <v>24.634125071875</v>
      </c>
      <c r="I96" s="18" t="n">
        <f aca="false">$I$95+$I$110-$I$111-$I$115</f>
        <v>24.2723126367578</v>
      </c>
      <c r="J96" s="18" t="n">
        <f aca="false">$J$95+$J$110-$J$111-$J$115</f>
        <v>36.5526606623654</v>
      </c>
      <c r="K96" s="18" t="n">
        <f aca="false">$K$95+$K$110-$K$111-$K$115</f>
        <v>61.0694494161739</v>
      </c>
      <c r="L96" s="18" t="n">
        <f aca="false">$L$95+$L$110-$L$111-$L$115</f>
        <v>88.1221794260506</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18.546575</v>
      </c>
      <c r="H101" s="38" t="n">
        <f aca="false">$G$118*$H$100</f>
        <v>17.5770069875</v>
      </c>
      <c r="I101" s="38" t="n">
        <f aca="false">$H$118*$I$100</f>
        <v>16.9711234437969</v>
      </c>
      <c r="J101" s="38" t="n">
        <f aca="false">$I$118*$J$100</f>
        <v>15.5667268696725</v>
      </c>
      <c r="K101" s="38" t="n">
        <f aca="false">$J$118*$K$100</f>
        <v>14.6231514842388</v>
      </c>
      <c r="L101" s="38" t="n">
        <f aca="false">$K$118*$L$100</f>
        <v>14.4319014842388</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0.2911</v>
      </c>
      <c r="H104" s="38" t="n">
        <f aca="false">$G$123*Assumptions!$D$9</f>
        <v>0.38313365</v>
      </c>
      <c r="I104" s="38" t="n">
        <f aca="false">$H$123*Assumptions!$D$9</f>
        <v>0.4926825014375</v>
      </c>
      <c r="J104" s="38" t="n">
        <f aca="false">$I$123*Assumptions!$D$9</f>
        <v>0.485446252735156</v>
      </c>
      <c r="K104" s="38" t="n">
        <f aca="false">$J$123*Assumptions!$D$9</f>
        <v>0.731053213247308</v>
      </c>
      <c r="L104" s="38" t="n">
        <f aca="false">$K$123*Assumptions!$D$9</f>
        <v>1.22138898832348</v>
      </c>
    </row>
    <row r="105" customFormat="false" ht="15" hidden="false" customHeight="false" outlineLevel="0" collapsed="false">
      <c r="B105" s="17" t="s">
        <v>585</v>
      </c>
      <c r="F105" s="40" t="n">
        <f aca="false">$F$101+$F$102+$F$103-$F$104</f>
        <v>24.625</v>
      </c>
      <c r="G105" s="40" t="n">
        <f aca="false">$G$101+$G$102+$G$103-$G$104</f>
        <v>23.955475</v>
      </c>
      <c r="H105" s="40" t="n">
        <f aca="false">$H$101+$H$102+$H$103-$H$104</f>
        <v>22.8938733375</v>
      </c>
      <c r="I105" s="40" t="n">
        <f aca="false">$I$101+$I$102+$I$103-$I$104</f>
        <v>22.1784409423594</v>
      </c>
      <c r="J105" s="40" t="n">
        <f aca="false">$J$101+$J$102+$J$103-$J$104</f>
        <v>20.7812806169373</v>
      </c>
      <c r="K105" s="40" t="n">
        <f aca="false">$K$101+$K$102+$K$103-$K$104</f>
        <v>19.5920982709915</v>
      </c>
      <c r="L105" s="40" t="n">
        <f aca="false">$L$101+$L$102+$L$103-$L$104</f>
        <v>18.9105124959153</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0.785714285714286</v>
      </c>
      <c r="I106" s="38" t="n">
        <f aca="false">IF($H$149&gt;0,$H$149/MAX(1,Assumptions!$D$86-($I$64-1)),0)</f>
        <v>0.785714285714286</v>
      </c>
      <c r="J106" s="38" t="n">
        <f aca="false">IF($I$149&gt;0,$I$149/MAX(1,Assumptions!$D$86-($J$64-1)),0)</f>
        <v>0.785714285714286</v>
      </c>
      <c r="K106" s="38" t="n">
        <f aca="false">IF($J$149&gt;0,$J$149/MAX(1,Assumptions!$D$86-($K$64-1)),0)</f>
        <v>0.785714285714286</v>
      </c>
      <c r="L106" s="38" t="n">
        <f aca="false">IF($K$149&gt;0,$K$149/MAX(1,Assumptions!$D$86-($L$64-1)),0)</f>
        <v>0.785714285714286</v>
      </c>
    </row>
    <row r="107" customFormat="false" ht="15" hidden="false" customHeight="false" outlineLevel="0" collapsed="false">
      <c r="B107" s="9" t="s">
        <v>587</v>
      </c>
      <c r="F107" s="24" t="n">
        <f aca="false">IF($F$105&lt;&gt;0,$F$72/$F$105,0)</f>
        <v>2.21725888324873</v>
      </c>
      <c r="G107" s="24" t="n">
        <f aca="false">IF($G$105&lt;&gt;0,$G$72/$G$105,0)</f>
        <v>2.52748901868988</v>
      </c>
      <c r="H107" s="24" t="n">
        <f aca="false">IF($H$105&lt;&gt;0,$H$72/$H$105,0)</f>
        <v>2.12041917435108</v>
      </c>
      <c r="I107" s="24" t="n">
        <f aca="false">IF($I$105&lt;&gt;0,$I$72/$I$105,0)</f>
        <v>2.6650766514029</v>
      </c>
      <c r="J107" s="24" t="n">
        <f aca="false">IF($J$105&lt;&gt;0,$J$72/$J$105,0)</f>
        <v>3.16746492833323</v>
      </c>
      <c r="K107" s="24" t="n">
        <f aca="false">IF($K$105&lt;&gt;0,$K$72/$K$105,0)</f>
        <v>3.49410949628397</v>
      </c>
      <c r="L107" s="24" t="n">
        <f aca="false">IF($L$105&lt;&gt;0,$L$72/$L$105,0)</f>
        <v>3.76484847256309</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2.25</v>
      </c>
      <c r="I109" s="38" t="n">
        <f aca="false">IF($D$14=1,0,MIN($H$118,Assumptions!$D$85*$H$119))</f>
        <v>2.25</v>
      </c>
      <c r="J109" s="38" t="n">
        <f aca="false">IF($D$14=1,0,MIN($I$118,Assumptions!$D$85*$I$119))</f>
        <v>2.25</v>
      </c>
      <c r="K109" s="38" t="n">
        <f aca="false">IF($D$14=1,0,MIN($J$118,Assumptions!$D$85*$J$119))</f>
        <v>2.25</v>
      </c>
      <c r="L109" s="38" t="n">
        <f aca="false">IF($D$14=1,0,MIN($K$118,Assumptions!$D$85*$K$119))</f>
        <v>2.25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19.11</v>
      </c>
      <c r="G112" s="19" t="n">
        <f aca="false">$G$95+$G$110-$G$111</f>
        <v>28.313365</v>
      </c>
      <c r="H112" s="19" t="n">
        <f aca="false">$H$95+$H$110-$H$111</f>
        <v>29.5121667625</v>
      </c>
      <c r="I112" s="19" t="n">
        <f aca="false">$I$95+$I$110-$I$111</f>
        <v>38.5446252735156</v>
      </c>
      <c r="J112" s="19" t="n">
        <f aca="false">$J$95+$J$110-$J$111</f>
        <v>45.4035475498205</v>
      </c>
      <c r="K112" s="19" t="n">
        <f aca="false">$K$95+$K$110-$K$111</f>
        <v>61.0694494161739</v>
      </c>
      <c r="L112" s="19" t="n">
        <f aca="false">$L$95+$L$110-$L$111</f>
        <v>88.1221794260506</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0.25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9.11</v>
      </c>
      <c r="G114" s="19" t="n">
        <f aca="false">MAX(0,$G$112-Assumptions!$D$79)</f>
        <v>18.313365</v>
      </c>
      <c r="H114" s="19" t="n">
        <f aca="false">MAX(0,$H$112-Assumptions!$D$79)</f>
        <v>19.5121667625</v>
      </c>
      <c r="I114" s="19" t="n">
        <f aca="false">MAX(0,$I$112-Assumptions!$D$79)</f>
        <v>28.5446252735156</v>
      </c>
      <c r="J114" s="19" t="n">
        <f aca="false">MAX(0,$J$112-Assumptions!$D$79)</f>
        <v>35.4035475498205</v>
      </c>
      <c r="K114" s="19" t="n">
        <f aca="false">MAX(0,$K$112-Assumptions!$D$79)</f>
        <v>51.0694494161739</v>
      </c>
      <c r="L114" s="19" t="n">
        <f aca="false">MAX(0,$L$112-Assumptions!$D$79)</f>
        <v>78.1221794260506</v>
      </c>
    </row>
    <row r="115" customFormat="false" ht="15" hidden="false" customHeight="false" outlineLevel="0" collapsed="false">
      <c r="B115" s="17" t="s">
        <v>595</v>
      </c>
      <c r="F115" s="18" t="n">
        <f aca="false">IF(AND($D$19=1,$D$14=0,$E$121-$F$111+$F$110=0),MIN($E$118-$F$109+$F$84,$F$113*$F$114),0)</f>
        <v>4.555</v>
      </c>
      <c r="G115" s="18" t="n">
        <f aca="false">IF(AND($D$19=1,$D$14=0,$F$121-$G$111+$G$110=0),MIN($F$118-$G$109+$G$84,$G$113*$G$114),0)</f>
        <v>9.15668250000001</v>
      </c>
      <c r="H115" s="18" t="n">
        <f aca="false">IF(AND($D$19=1,$D$14=0,$G$121-$H$111+$H$110=0),MIN($G$118-$H$109+$H$84,$H$113*$H$114),0)</f>
        <v>4.878041690625</v>
      </c>
      <c r="I115" s="18" t="n">
        <f aca="false">IF(AND($D$19=1,$D$14=0,$H$121-$I$111+$I$110=0),MIN($H$118-$I$109+$I$84,$I$113*$I$114),0)</f>
        <v>14.2723126367578</v>
      </c>
      <c r="J115" s="18" t="n">
        <f aca="false">IF(AND($D$19=1,$D$14=0,$I$121-$J$111+$J$110=0),MIN($I$118-$J$109+$J$84,$J$113*$J$114),0)</f>
        <v>8.85088688745513</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218.195</v>
      </c>
      <c r="G118" s="19" t="n">
        <f aca="false">$F$118-$G$109-$G$115+$G$84+$G$86</f>
        <v>206.7883175</v>
      </c>
      <c r="H118" s="19" t="n">
        <f aca="false">$G$118-$H$109-$H$115+$H$84+$H$86</f>
        <v>199.660275809375</v>
      </c>
      <c r="I118" s="19" t="n">
        <f aca="false">$H$118-$I$109-$I$115+$I$84+$I$86</f>
        <v>183.137963172617</v>
      </c>
      <c r="J118" s="19" t="n">
        <f aca="false">$I$118-$J$109-$J$115+$J$84+$J$86</f>
        <v>172.037076285162</v>
      </c>
      <c r="K118" s="19" t="n">
        <f aca="false">$J$118-$K$109-$K$115+$K$84+$K$86</f>
        <v>169.787076285162</v>
      </c>
      <c r="L118" s="19" t="n">
        <f aca="false">$K$118-$L$109-$L$115+$L$84+$L$86</f>
        <v>167.537076285162</v>
      </c>
    </row>
    <row r="119" customFormat="false" ht="15" hidden="false" customHeight="false" outlineLevel="0" collapsed="false">
      <c r="B119" s="9" t="s">
        <v>598</v>
      </c>
      <c r="E119" s="19" t="n">
        <f aca="false">$D$32</f>
        <v>225</v>
      </c>
      <c r="F119" s="19" t="n">
        <f aca="false">$E$119+$F$84+$F$86</f>
        <v>225</v>
      </c>
      <c r="G119" s="19" t="n">
        <f aca="false">$F$119+$G$84+$G$86</f>
        <v>225</v>
      </c>
      <c r="H119" s="19" t="n">
        <f aca="false">$G$119+$H$84+$H$86</f>
        <v>225</v>
      </c>
      <c r="I119" s="19" t="n">
        <f aca="false">$H$119+$I$84+$I$86</f>
        <v>225</v>
      </c>
      <c r="J119" s="19" t="n">
        <f aca="false">$I$119+$J$84+$J$86</f>
        <v>225</v>
      </c>
      <c r="K119" s="19" t="n">
        <f aca="false">$J$119+$K$84+$K$86</f>
        <v>225</v>
      </c>
      <c r="L119" s="19" t="n">
        <f aca="false">$K$119+$L$84+$L$86</f>
        <v>225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268.195</v>
      </c>
      <c r="G122" s="18" t="n">
        <f aca="false">$G$118+$G$120+$G$121</f>
        <v>256.7883175</v>
      </c>
      <c r="H122" s="18" t="n">
        <f aca="false">$H$118+$H$120+$H$121</f>
        <v>249.660275809375</v>
      </c>
      <c r="I122" s="18" t="n">
        <f aca="false">$I$118+$I$120+$I$121</f>
        <v>233.137963172617</v>
      </c>
      <c r="J122" s="18" t="n">
        <f aca="false">$J$118+$J$120+$J$121</f>
        <v>222.037076285162</v>
      </c>
      <c r="K122" s="18" t="n">
        <f aca="false">$K$118+$K$120+$K$121</f>
        <v>219.787076285162</v>
      </c>
      <c r="L122" s="18" t="n">
        <f aca="false">$L$118+$L$120+$L$121</f>
        <v>217.537076285162</v>
      </c>
    </row>
    <row r="123" customFormat="false" ht="15" hidden="false" customHeight="false" outlineLevel="0" collapsed="false">
      <c r="B123" s="9" t="s">
        <v>600</v>
      </c>
      <c r="E123" s="19" t="n">
        <f aca="false">Assumptions!$D$78</f>
        <v>10</v>
      </c>
      <c r="F123" s="19" t="n">
        <f aca="false">$F$112-$F$115</f>
        <v>14.555</v>
      </c>
      <c r="G123" s="19" t="n">
        <f aca="false">$G$112-$G$115</f>
        <v>19.1566825</v>
      </c>
      <c r="H123" s="19" t="n">
        <f aca="false">$H$112-$H$115</f>
        <v>24.634125071875</v>
      </c>
      <c r="I123" s="19" t="n">
        <f aca="false">$I$112-$I$115</f>
        <v>24.2723126367578</v>
      </c>
      <c r="J123" s="19" t="n">
        <f aca="false">$J$112-$J$115</f>
        <v>36.5526606623654</v>
      </c>
      <c r="K123" s="19" t="n">
        <f aca="false">$K$112-$K$115</f>
        <v>61.0694494161739</v>
      </c>
      <c r="L123" s="19" t="n">
        <f aca="false">$L$112-$L$115</f>
        <v>88.1221794260506</v>
      </c>
    </row>
    <row r="124" customFormat="false" ht="15" hidden="false" customHeight="false" outlineLevel="0" collapsed="false">
      <c r="B124" s="17" t="s">
        <v>601</v>
      </c>
      <c r="E124" s="18" t="n">
        <f aca="false">$E$122-$E$123</f>
        <v>265</v>
      </c>
      <c r="F124" s="18" t="n">
        <f aca="false">$F$122-$F$123</f>
        <v>253.64</v>
      </c>
      <c r="G124" s="18" t="n">
        <f aca="false">$G$122-$G$123</f>
        <v>237.631635</v>
      </c>
      <c r="H124" s="18" t="n">
        <f aca="false">$H$122-$H$123</f>
        <v>225.0261507375</v>
      </c>
      <c r="I124" s="18" t="n">
        <f aca="false">$I$122-$I$123</f>
        <v>208.865650535859</v>
      </c>
      <c r="J124" s="18" t="n">
        <f aca="false">$J$122-$J$123</f>
        <v>185.484415622797</v>
      </c>
      <c r="K124" s="18" t="n">
        <f aca="false">$K$122-$K$123</f>
        <v>158.717626868988</v>
      </c>
      <c r="L124" s="18" t="n">
        <f aca="false">$L$122-$L$123</f>
        <v>129.414896859111</v>
      </c>
    </row>
    <row r="125" customFormat="false" ht="15" hidden="false" customHeight="false" outlineLevel="0" collapsed="false">
      <c r="B125" s="9" t="s">
        <v>538</v>
      </c>
      <c r="E125" s="24" t="n">
        <f aca="false">$E$124/$E$72</f>
        <v>5.3</v>
      </c>
      <c r="F125" s="24" t="n">
        <f aca="false">$F$124/$F$72</f>
        <v>4.64542124542125</v>
      </c>
      <c r="G125" s="24" t="n">
        <f aca="false">$G$124/$G$72</f>
        <v>3.9247336788489</v>
      </c>
      <c r="H125" s="24" t="n">
        <f aca="false">$H$124/$H$72</f>
        <v>4.63545098020979</v>
      </c>
      <c r="I125" s="24" t="n">
        <f aca="false">$I$124/$I$72</f>
        <v>3.53367256605884</v>
      </c>
      <c r="J125" s="24" t="n">
        <f aca="false">$J$124/$J$72</f>
        <v>2.81788525414525</v>
      </c>
      <c r="K125" s="24" t="n">
        <f aca="false">$K$124/$K$72</f>
        <v>2.31850320367335</v>
      </c>
      <c r="L125" s="24" t="n">
        <f aca="false">$L$124/$L$72</f>
        <v>1.81774714102909</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36.826944</v>
      </c>
      <c r="I129" s="38" t="n">
        <f aca="false">$I$72-$I$74</f>
        <v>46.56934464</v>
      </c>
      <c r="J129" s="38" t="n">
        <f aca="false">$J$72-$J$74</f>
        <v>52.659182016</v>
      </c>
      <c r="K129" s="38" t="n">
        <f aca="false">$K$72-$K$74</f>
        <v>54.76554929664</v>
      </c>
      <c r="L129" s="38" t="n">
        <f aca="false">$L$72-$L$74</f>
        <v>56.9561712685056</v>
      </c>
    </row>
    <row r="130" customFormat="false" ht="15" hidden="false" customHeight="false" outlineLevel="0" collapsed="false">
      <c r="B130" s="9" t="s">
        <v>605</v>
      </c>
      <c r="F130" s="38" t="n">
        <f aca="false">$F$105+$F$106</f>
        <v>25.4107142857143</v>
      </c>
      <c r="G130" s="38" t="n">
        <f aca="false">$G$105+$G$106</f>
        <v>24.7411892857143</v>
      </c>
      <c r="H130" s="38" t="n">
        <f aca="false">$H$105+$H$106</f>
        <v>23.6795876232143</v>
      </c>
      <c r="I130" s="38" t="n">
        <f aca="false">$I$105+$I$106</f>
        <v>22.9641552280737</v>
      </c>
      <c r="J130" s="38" t="n">
        <f aca="false">$J$105+$J$106</f>
        <v>21.5669949026516</v>
      </c>
      <c r="K130" s="38" t="n">
        <f aca="false">$K$105+$K$106</f>
        <v>20.3778125567058</v>
      </c>
      <c r="L130" s="38" t="n">
        <f aca="false">$L$105+$L$106</f>
        <v>19.6962267816296</v>
      </c>
    </row>
    <row r="131" customFormat="false" ht="15" hidden="false" customHeight="false" outlineLevel="0" collapsed="false">
      <c r="B131" s="9" t="s">
        <v>606</v>
      </c>
      <c r="F131" s="38" t="n">
        <f aca="false">$F$129-$F$130-$F$83-$F$87-$F$89</f>
        <v>17.4292857142857</v>
      </c>
      <c r="G131" s="38" t="n">
        <f aca="false">$G$129-$G$130-$G$83-$G$87-$G$89</f>
        <v>23.3404107142857</v>
      </c>
      <c r="H131" s="38" t="n">
        <f aca="false">$H$129-$H$130-$H$83-$H$87-$H$89</f>
        <v>13.1473563767857</v>
      </c>
      <c r="I131" s="38" t="n">
        <f aca="false">$I$129-$I$130-$I$83-$I$87-$I$89</f>
        <v>23.6051894119263</v>
      </c>
      <c r="J131" s="38" t="n">
        <f aca="false">$J$129-$J$130-$J$83-$J$87-$J$89</f>
        <v>31.0921871133484</v>
      </c>
      <c r="K131" s="38" t="n">
        <f aca="false">$K$129-$K$130-$K$83-$K$87-$K$89</f>
        <v>34.3877367399342</v>
      </c>
      <c r="L131" s="38" t="n">
        <f aca="false">$L$129-$L$130-$L$83-$L$87-$L$89</f>
        <v>37.259944486876</v>
      </c>
    </row>
    <row r="132" customFormat="false" ht="15" hidden="false" customHeight="false" outlineLevel="0" collapsed="false">
      <c r="B132" s="9" t="s">
        <v>607</v>
      </c>
      <c r="F132" s="38" t="n">
        <f aca="false">Assumptions!$D$8*$F$72</f>
        <v>16.38</v>
      </c>
      <c r="G132" s="38" t="n">
        <f aca="false">Assumptions!$D$8*$G$72</f>
        <v>18.16416</v>
      </c>
      <c r="H132" s="38" t="n">
        <f aca="false">Assumptions!$D$8*$H$72</f>
        <v>14.5633824</v>
      </c>
      <c r="I132" s="38" t="n">
        <f aca="false">Assumptions!$D$8*$I$72</f>
        <v>17.732173536</v>
      </c>
      <c r="J132" s="38" t="n">
        <f aca="false">Assumptions!$D$8*$J$72</f>
        <v>19.747193256</v>
      </c>
      <c r="K132" s="38" t="n">
        <f aca="false">Assumptions!$D$8*$K$72</f>
        <v>20.53708098624</v>
      </c>
      <c r="L132" s="38" t="n">
        <f aca="false">Assumptions!$D$8*$L$72</f>
        <v>21.3585642256896</v>
      </c>
    </row>
    <row r="133" customFormat="false" ht="15" hidden="false" customHeight="false" outlineLevel="0" collapsed="false">
      <c r="B133" s="9" t="s">
        <v>608</v>
      </c>
      <c r="F133" s="38" t="n">
        <f aca="false">$F$130+$E$135</f>
        <v>25.4107142857143</v>
      </c>
      <c r="G133" s="38" t="n">
        <f aca="false">$G$130+$F$135</f>
        <v>33.7719035714286</v>
      </c>
      <c r="H133" s="38" t="n">
        <f aca="false">$H$130+$G$135</f>
        <v>39.2873311946428</v>
      </c>
      <c r="I133" s="38" t="n">
        <f aca="false">$I$130+$H$135</f>
        <v>47.6881040227165</v>
      </c>
      <c r="J133" s="38" t="n">
        <f aca="false">$J$130+$I$135</f>
        <v>51.5229253893681</v>
      </c>
      <c r="K133" s="38" t="n">
        <f aca="false">$K$130+$J$135</f>
        <v>52.1535446900738</v>
      </c>
      <c r="L133" s="38" t="n">
        <f aca="false">$L$130+$K$135</f>
        <v>51.3126904854634</v>
      </c>
    </row>
    <row r="134" customFormat="false" ht="15" hidden="false" customHeight="false" outlineLevel="0" collapsed="false">
      <c r="B134" s="9" t="s">
        <v>609</v>
      </c>
      <c r="F134" s="38" t="n">
        <f aca="false">MIN($F$133,$F$132)</f>
        <v>16.38</v>
      </c>
      <c r="G134" s="38" t="n">
        <f aca="false">MIN($G$133,$G$132)</f>
        <v>18.16416</v>
      </c>
      <c r="H134" s="38" t="n">
        <f aca="false">MIN($H$133,$H$132)</f>
        <v>14.5633824</v>
      </c>
      <c r="I134" s="38" t="n">
        <f aca="false">MIN($I$133,$I$132)</f>
        <v>17.732173536</v>
      </c>
      <c r="J134" s="38" t="n">
        <f aca="false">MIN($J$133,$J$132)</f>
        <v>19.747193256</v>
      </c>
      <c r="K134" s="38" t="n">
        <f aca="false">MIN($K$133,$K$132)</f>
        <v>20.53708098624</v>
      </c>
      <c r="L134" s="38" t="n">
        <f aca="false">MIN($L$133,$L$132)</f>
        <v>21.3585642256896</v>
      </c>
    </row>
    <row r="135" customFormat="false" ht="15" hidden="false" customHeight="false" outlineLevel="0" collapsed="false">
      <c r="B135" s="9" t="s">
        <v>610</v>
      </c>
      <c r="E135" s="38" t="n">
        <f aca="false">0</f>
        <v>0</v>
      </c>
      <c r="F135" s="38" t="n">
        <f aca="false">$F$133-$F$134</f>
        <v>9.03071428571429</v>
      </c>
      <c r="G135" s="38" t="n">
        <f aca="false">$G$133-$G$134</f>
        <v>15.6077435714286</v>
      </c>
      <c r="H135" s="38" t="n">
        <f aca="false">$H$133-$H$134</f>
        <v>24.7239487946428</v>
      </c>
      <c r="I135" s="38" t="n">
        <f aca="false">$I$133-$I$134</f>
        <v>29.9559304867165</v>
      </c>
      <c r="J135" s="38" t="n">
        <f aca="false">$J$133-$J$134</f>
        <v>31.7757321333681</v>
      </c>
      <c r="K135" s="38" t="n">
        <f aca="false">$K$133-$K$134</f>
        <v>31.6164637038338</v>
      </c>
      <c r="L135" s="38" t="n">
        <f aca="false">$L$133-$L$134</f>
        <v>29.9541262597738</v>
      </c>
    </row>
    <row r="136" customFormat="false" ht="15" hidden="false" customHeight="false" outlineLevel="0" collapsed="false">
      <c r="B136" s="9" t="s">
        <v>611</v>
      </c>
      <c r="F136" s="38" t="n">
        <f aca="false">$F$129-$F$134-$F$83-$F$87-$F$89</f>
        <v>26.46</v>
      </c>
      <c r="G136" s="38" t="n">
        <f aca="false">$G$129-$G$134-$G$83-$G$87-$G$89</f>
        <v>29.91744</v>
      </c>
      <c r="H136" s="38" t="n">
        <f aca="false">$H$129-$H$134-$H$83-$H$87-$H$89</f>
        <v>22.2635616</v>
      </c>
      <c r="I136" s="38" t="n">
        <f aca="false">$I$129-$I$134-$I$83-$I$87-$I$89</f>
        <v>28.837171104</v>
      </c>
      <c r="J136" s="38" t="n">
        <f aca="false">$J$129-$J$134-$J$83-$J$87-$J$89</f>
        <v>32.91198876</v>
      </c>
      <c r="K136" s="38" t="n">
        <f aca="false">$K$129-$K$134-$K$83-$K$87-$K$89</f>
        <v>34.2284683104</v>
      </c>
      <c r="L136" s="38" t="n">
        <f aca="false">$L$129-$L$134-$L$83-$L$87-$L$89</f>
        <v>35.597607042816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7.47936</v>
      </c>
      <c r="H139" s="40" t="n">
        <f aca="false">IF($H$136&lt;0,0,Assumptions!$D$7*($H$136-$H$137))</f>
        <v>5.5658904</v>
      </c>
      <c r="I139" s="40" t="n">
        <f aca="false">IF($I$136&lt;0,0,Assumptions!$D$7*($I$136-$I$137))</f>
        <v>7.209292776</v>
      </c>
      <c r="J139" s="40" t="n">
        <f aca="false">IF($J$136&lt;0,0,Assumptions!$D$7*($J$136-$J$137))</f>
        <v>8.22799719</v>
      </c>
      <c r="K139" s="40" t="n">
        <f aca="false">IF($K$136&lt;0,0,Assumptions!$D$7*($K$136-$K$137))</f>
        <v>8.5571170776</v>
      </c>
      <c r="L139" s="40" t="n">
        <f aca="false">IF($L$136&lt;0,0,Assumptions!$D$7*($L$136-$L$137))</f>
        <v>8.899401760704</v>
      </c>
    </row>
    <row r="140" customFormat="false" ht="15" hidden="false" customHeight="false" outlineLevel="0" collapsed="false">
      <c r="B140" s="9" t="s">
        <v>615</v>
      </c>
      <c r="F140" s="19" t="n">
        <f aca="false">$F$131-$F$139</f>
        <v>10.8142857142857</v>
      </c>
      <c r="G140" s="19" t="n">
        <f aca="false">$G$131-$G$139</f>
        <v>15.8610507142857</v>
      </c>
      <c r="H140" s="19" t="n">
        <f aca="false">$H$131-$H$139</f>
        <v>7.58146597678572</v>
      </c>
      <c r="I140" s="19" t="n">
        <f aca="false">$I$131-$I$139</f>
        <v>16.3958966359263</v>
      </c>
      <c r="J140" s="19" t="n">
        <f aca="false">$J$131-$J$139</f>
        <v>22.8641899233484</v>
      </c>
      <c r="K140" s="19" t="n">
        <f aca="false">$K$131-$K$139</f>
        <v>25.8306196623342</v>
      </c>
      <c r="L140" s="19" t="n">
        <f aca="false">$L$131-$L$139</f>
        <v>28.360542726172</v>
      </c>
    </row>
    <row r="141" customFormat="false" ht="15" hidden="false" customHeight="false" outlineLevel="0" collapsed="false">
      <c r="B141" s="9" t="s">
        <v>616</v>
      </c>
      <c r="F141" s="38" t="n">
        <f aca="false">Assumptions!$D$7*($F$129-$F$130)</f>
        <v>4.35732142857143</v>
      </c>
      <c r="G141" s="38" t="n">
        <f aca="false">Assumptions!$D$7*($G$129-$G$130)</f>
        <v>5.83510267857143</v>
      </c>
      <c r="H141" s="38" t="n">
        <f aca="false">Assumptions!$D$7*($H$129-$H$130)</f>
        <v>3.28683909419643</v>
      </c>
      <c r="I141" s="38" t="n">
        <f aca="false">Assumptions!$D$7*($I$129-$I$130)</f>
        <v>5.90129735298159</v>
      </c>
      <c r="J141" s="38" t="n">
        <f aca="false">Assumptions!$D$7*($J$129-$J$130)</f>
        <v>7.7730467783371</v>
      </c>
      <c r="K141" s="38" t="n">
        <f aca="false">Assumptions!$D$7*($K$129-$K$130)</f>
        <v>8.59693418498356</v>
      </c>
      <c r="L141" s="38" t="n">
        <f aca="false">Assumptions!$D$7*($L$129-$L$130)</f>
        <v>9.314986121719</v>
      </c>
    </row>
    <row r="142" customFormat="false" ht="15" hidden="false" customHeight="false" outlineLevel="0" collapsed="false">
      <c r="B142" s="9" t="s">
        <v>617</v>
      </c>
      <c r="F142" s="38" t="n">
        <f aca="false">$F$139-$F$141</f>
        <v>2.25767857142857</v>
      </c>
      <c r="G142" s="38" t="n">
        <f aca="false">$G$139-$G$141</f>
        <v>1.64425732142857</v>
      </c>
      <c r="H142" s="38" t="n">
        <f aca="false">$H$139-$H$141</f>
        <v>2.27905130580357</v>
      </c>
      <c r="I142" s="38" t="n">
        <f aca="false">$I$139-$I$141</f>
        <v>1.30799542301842</v>
      </c>
      <c r="J142" s="38" t="n">
        <f aca="false">$J$139-$J$141</f>
        <v>0.454950411662896</v>
      </c>
      <c r="K142" s="38" t="n">
        <f aca="false">$K$139-$K$141</f>
        <v>-0.0398171073835627</v>
      </c>
      <c r="L142" s="38" t="n">
        <f aca="false">$L$139-$L$141</f>
        <v>-0.415584361015004</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14.555</v>
      </c>
      <c r="G145" s="19" t="n">
        <f aca="false">$G$123</f>
        <v>19.1566825</v>
      </c>
      <c r="H145" s="19" t="n">
        <f aca="false">$H$123</f>
        <v>24.634125071875</v>
      </c>
      <c r="I145" s="19" t="n">
        <f aca="false">$I$123</f>
        <v>24.2723126367578</v>
      </c>
      <c r="J145" s="19" t="n">
        <f aca="false">$J$123</f>
        <v>36.5526606623654</v>
      </c>
      <c r="K145" s="19" t="n">
        <f aca="false">$K$123</f>
        <v>61.0694494161739</v>
      </c>
      <c r="L145" s="19" t="n">
        <f aca="false">$L$123</f>
        <v>88.1221794260506</v>
      </c>
    </row>
    <row r="146" customFormat="false" ht="15" hidden="false" customHeight="false" outlineLevel="0" collapsed="false">
      <c r="B146" s="9" t="s">
        <v>619</v>
      </c>
      <c r="E146" s="19" t="n">
        <f aca="false">$E$78</f>
        <v>38.4</v>
      </c>
      <c r="F146" s="19" t="n">
        <f aca="false">$F$78</f>
        <v>40.32</v>
      </c>
      <c r="G146" s="19" t="n">
        <f aca="false">$G$78</f>
        <v>42.7392</v>
      </c>
      <c r="H146" s="19" t="n">
        <f aca="false">$H$78</f>
        <v>40.174848</v>
      </c>
      <c r="I146" s="19" t="n">
        <f aca="false">$I$78</f>
        <v>42.98708736</v>
      </c>
      <c r="J146" s="19" t="n">
        <f aca="false">$J$78</f>
        <v>45.136441728</v>
      </c>
      <c r="K146" s="19" t="n">
        <f aca="false">$K$78</f>
        <v>46.94189939712</v>
      </c>
      <c r="L146" s="19" t="n">
        <f aca="false">$L$78</f>
        <v>48.8195753730048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44.5392</v>
      </c>
      <c r="H147" s="19" t="n">
        <f aca="false">$G$147+$H$75-$H$74+IF(AND($D$12=1,$H$64=Assumptions!$D$116),Assumptions!$D$124*Assumptions!$D$117,0)</f>
        <v>42.865248</v>
      </c>
      <c r="I147" s="19" t="n">
        <f aca="false">$H$147+$I$75-$I$74+IF(AND($D$12=1,$I$64=Assumptions!$D$116),Assumptions!$D$124*Assumptions!$D$117,0)</f>
        <v>41.07411936</v>
      </c>
      <c r="J147" s="19" t="n">
        <f aca="false">$I$147+$J$75-$J$74+IF(AND($D$12=1,$J$64=Assumptions!$D$116),Assumptions!$D$124*Assumptions!$D$117,0)</f>
        <v>39.193434288</v>
      </c>
      <c r="K147" s="19" t="n">
        <f aca="false">$J$147+$K$75-$K$74+IF(AND($D$12=1,$K$64=Assumptions!$D$116),Assumptions!$D$124*Assumptions!$D$117,0)</f>
        <v>37.23752181312</v>
      </c>
      <c r="L147" s="19" t="n">
        <f aca="false">$K$147+$L$75-$L$74+IF(AND($D$12=1,$L$64=Assumptions!$D$116),Assumptions!$D$124*Assumptions!$D$117,0)</f>
        <v>35.2033728392448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363.6</v>
      </c>
      <c r="H148" s="19" t="n">
        <f aca="false">$G$148+IF($H$82&gt;0,$H$82-Assumptions!$D$117*Assumptions!$D$27-Assumptions!$D$124*Assumptions!$D$117,0)</f>
        <v>363.6</v>
      </c>
      <c r="I148" s="19" t="n">
        <f aca="false">$H$148+IF($I$82&gt;0,$I$82-Assumptions!$D$117*Assumptions!$D$27-Assumptions!$D$124*Assumptions!$D$117,0)</f>
        <v>363.6</v>
      </c>
      <c r="J148" s="19" t="n">
        <f aca="false">$I$148+IF($J$82&gt;0,$J$82-Assumptions!$D$117*Assumptions!$D$27-Assumptions!$D$124*Assumptions!$D$117,0)</f>
        <v>363.6</v>
      </c>
      <c r="K148" s="19" t="n">
        <f aca="false">$J$148+IF($K$82&gt;0,$K$82-Assumptions!$D$117*Assumptions!$D$27-Assumptions!$D$124*Assumptions!$D$117,0)</f>
        <v>363.6</v>
      </c>
      <c r="L148" s="19" t="n">
        <f aca="false">$K$148+IF($L$82&gt;0,$L$82-Assumptions!$D$117*Assumptions!$D$27-Assumptions!$D$124*Assumptions!$D$117,0)</f>
        <v>363.6</v>
      </c>
    </row>
    <row r="149" customFormat="false" ht="15" hidden="false" customHeight="false" outlineLevel="0" collapsed="false">
      <c r="B149" s="9" t="s">
        <v>622</v>
      </c>
      <c r="E149" s="19" t="n">
        <f aca="false">$D$33</f>
        <v>5.5</v>
      </c>
      <c r="F149" s="19" t="n">
        <f aca="false">$E$149-$F$106+$F$85</f>
        <v>4.71428571428571</v>
      </c>
      <c r="G149" s="19" t="n">
        <f aca="false">$F$149-$G$106+$G$85</f>
        <v>3.92857142857143</v>
      </c>
      <c r="H149" s="19" t="n">
        <f aca="false">$G$149-$H$106+$H$85</f>
        <v>3.14285714285714</v>
      </c>
      <c r="I149" s="19" t="n">
        <f aca="false">$H$149-$I$106+$I$85</f>
        <v>2.35714285714286</v>
      </c>
      <c r="J149" s="19" t="n">
        <f aca="false">$I$149-$J$106+$J$85</f>
        <v>1.57142857142857</v>
      </c>
      <c r="K149" s="19" t="n">
        <f aca="false">$J$149-$K$106+$K$85</f>
        <v>0.785714285714286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469.509285714286</v>
      </c>
      <c r="G150" s="18" t="n">
        <f aca="false">$G$145+$G$146+$G$147+$G$148+$G$149</f>
        <v>473.963653928572</v>
      </c>
      <c r="H150" s="18" t="n">
        <f aca="false">$H$145+$H$146+$H$147+$H$148+$H$149</f>
        <v>474.417078214732</v>
      </c>
      <c r="I150" s="18" t="n">
        <f aca="false">$I$145+$I$146+$I$147+$I$148+$I$149</f>
        <v>474.290662213901</v>
      </c>
      <c r="J150" s="18" t="n">
        <f aca="false">$J$145+$J$146+$J$147+$J$148+$J$149</f>
        <v>486.053965249794</v>
      </c>
      <c r="K150" s="18" t="n">
        <f aca="false">$K$145+$K$146+$K$147+$K$148+$K$149</f>
        <v>509.634584912128</v>
      </c>
      <c r="L150" s="18" t="n">
        <f aca="false">$L$145+$L$146+$L$147+$L$148+$L$149</f>
        <v>535.7451276383</v>
      </c>
    </row>
    <row r="151" customFormat="false" ht="15" hidden="false" customHeight="false" outlineLevel="0" collapsed="false">
      <c r="B151" s="9" t="s">
        <v>291</v>
      </c>
      <c r="E151" s="19" t="n">
        <f aca="false">$E$122</f>
        <v>275</v>
      </c>
      <c r="F151" s="19" t="n">
        <f aca="false">$F$122</f>
        <v>268.195</v>
      </c>
      <c r="G151" s="19" t="n">
        <f aca="false">$G$122</f>
        <v>256.7883175</v>
      </c>
      <c r="H151" s="19" t="n">
        <f aca="false">$H$122</f>
        <v>249.660275809375</v>
      </c>
      <c r="I151" s="19" t="n">
        <f aca="false">$I$122</f>
        <v>233.137963172617</v>
      </c>
      <c r="J151" s="19" t="n">
        <f aca="false">$J$122</f>
        <v>222.037076285162</v>
      </c>
      <c r="K151" s="19" t="n">
        <f aca="false">$K$122</f>
        <v>219.787076285162</v>
      </c>
      <c r="L151" s="19" t="n">
        <f aca="false">$L$122</f>
        <v>217.537076285162</v>
      </c>
    </row>
    <row r="152" customFormat="false" ht="15" hidden="false" customHeight="false" outlineLevel="0" collapsed="false">
      <c r="B152" s="9" t="s">
        <v>624</v>
      </c>
      <c r="E152" s="19" t="n">
        <f aca="false">$D$46-Assumptions!$D$76</f>
        <v>190.5</v>
      </c>
      <c r="F152" s="19" t="n">
        <f aca="false">$E$152+$F$140-$F$88+$F$90</f>
        <v>201.314285714286</v>
      </c>
      <c r="G152" s="19" t="n">
        <f aca="false">$F$152+$G$140-$G$88+$G$90</f>
        <v>217.175336428571</v>
      </c>
      <c r="H152" s="19" t="n">
        <f aca="false">$G$152+$H$140-$H$88+$H$90</f>
        <v>224.756802405357</v>
      </c>
      <c r="I152" s="19" t="n">
        <f aca="false">$H$152+$I$140-$I$88+$I$90</f>
        <v>241.152699041284</v>
      </c>
      <c r="J152" s="19" t="n">
        <f aca="false">$I$152+$J$140-$J$88+$J$90</f>
        <v>264.016888964632</v>
      </c>
      <c r="K152" s="19" t="n">
        <f aca="false">$J$152+$K$140-$K$88+$K$90</f>
        <v>289.847508626966</v>
      </c>
      <c r="L152" s="19" t="n">
        <f aca="false">$K$152+$L$140-$L$88+$L$90</f>
        <v>318.208051353138</v>
      </c>
    </row>
    <row r="153" customFormat="false" ht="15" hidden="false" customHeight="false" outlineLevel="0" collapsed="false">
      <c r="B153" s="17" t="s">
        <v>625</v>
      </c>
      <c r="E153" s="18" t="n">
        <f aca="false">$E$151+$E$152</f>
        <v>465.5</v>
      </c>
      <c r="F153" s="18" t="n">
        <f aca="false">$F$151+$F$152</f>
        <v>469.509285714286</v>
      </c>
      <c r="G153" s="18" t="n">
        <f aca="false">$G$151+$G$152</f>
        <v>473.963653928571</v>
      </c>
      <c r="H153" s="18" t="n">
        <f aca="false">$H$151+$H$152</f>
        <v>474.417078214732</v>
      </c>
      <c r="I153" s="18" t="n">
        <f aca="false">$I$151+$I$152</f>
        <v>474.290662213901</v>
      </c>
      <c r="J153" s="18" t="n">
        <f aca="false">$J$151+$J$152</f>
        <v>486.053965249794</v>
      </c>
      <c r="K153" s="18" t="n">
        <f aca="false">$K$151+$K$152</f>
        <v>509.634584912128</v>
      </c>
      <c r="L153" s="18" t="n">
        <f aca="false">$L$151+$L$152</f>
        <v>535.7451276383</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60.5472</v>
      </c>
      <c r="H157" s="19" t="n">
        <f aca="false">$H$72+IF(AND($D$12=1,$H$64=Assumptions!$D$116),Assumptions!$D$118,0)</f>
        <v>48.544608</v>
      </c>
      <c r="I157" s="19" t="n">
        <f aca="false">$I$72+IF(AND($D$12=1,$I$64=Assumptions!$D$116),Assumptions!$D$118,0)</f>
        <v>59.10724512</v>
      </c>
      <c r="J157" s="19" t="n">
        <f aca="false">$J$72+IF(AND($D$12=1,$J$64=Assumptions!$D$116),Assumptions!$D$118,0)</f>
        <v>65.82397752</v>
      </c>
      <c r="K157" s="19" t="n">
        <f aca="false">$K$72+IF(AND($D$12=1,$K$64=Assumptions!$D$116),Assumptions!$D$118,0)</f>
        <v>68.4569366208</v>
      </c>
      <c r="L157" s="19" t="n">
        <f aca="false">$L$72+IF(AND($D$12=1,$L$64=Assumptions!$D$116),Assumptions!$D$118,0)</f>
        <v>71.195214085632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0</v>
      </c>
      <c r="H158" s="19" t="n">
        <f aca="false">IF(AND($D$12=1,$H$64&gt;=Assumptions!$D$116),MAX(0,MIN(Assumptions!$D$104-IF($H$64&gt;Assumptions!$D$116,$H$70,0),Assumptions!$D$103*$H$157)),0)</f>
        <v>0</v>
      </c>
      <c r="I158" s="19" t="n">
        <f aca="false">IF(AND($D$12=1,$I$64&gt;=Assumptions!$D$116),MAX(0,MIN(Assumptions!$D$104-IF($I$64&gt;Assumptions!$D$116,$I$70,0),Assumptions!$D$103*$I$157)),0)</f>
        <v>0</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60.5472</v>
      </c>
      <c r="H159" s="18" t="n">
        <f aca="false">$H$157+$H$158+$H$90</f>
        <v>48.544608</v>
      </c>
      <c r="I159" s="18" t="n">
        <f aca="false">$I$157+$I$158+$I$90</f>
        <v>59.10724512</v>
      </c>
      <c r="J159" s="18" t="n">
        <f aca="false">$J$157+$J$158+$J$90</f>
        <v>65.82397752</v>
      </c>
      <c r="K159" s="18" t="n">
        <f aca="false">$K$157+$K$158+$K$90</f>
        <v>68.4569366208</v>
      </c>
      <c r="L159" s="18" t="n">
        <f aca="false">$L$157+$L$158+$L$90</f>
        <v>71.195214085632</v>
      </c>
    </row>
    <row r="160" customFormat="false" ht="15" hidden="false" customHeight="false" outlineLevel="0" collapsed="false">
      <c r="B160" s="9" t="s">
        <v>631</v>
      </c>
      <c r="F160" s="19" t="n">
        <f aca="false">$F$124</f>
        <v>253.64</v>
      </c>
      <c r="G160" s="19" t="n">
        <f aca="false">$G$124</f>
        <v>237.631635</v>
      </c>
      <c r="H160" s="19" t="n">
        <f aca="false">$H$124</f>
        <v>225.0261507375</v>
      </c>
      <c r="I160" s="19" t="n">
        <f aca="false">$I$124</f>
        <v>208.865650535859</v>
      </c>
      <c r="J160" s="19" t="n">
        <f aca="false">$J$124</f>
        <v>185.484415622797</v>
      </c>
      <c r="K160" s="19" t="n">
        <f aca="false">$K$124</f>
        <v>158.717626868988</v>
      </c>
      <c r="L160" s="19" t="n">
        <f aca="false">$L$124</f>
        <v>129.414896859111</v>
      </c>
    </row>
    <row r="161" customFormat="false" ht="15" hidden="false" customHeight="false" outlineLevel="0" collapsed="false">
      <c r="B161" s="17" t="s">
        <v>632</v>
      </c>
      <c r="F161" s="41" t="n">
        <f aca="false">$F$124/$F$159</f>
        <v>4.64542124542125</v>
      </c>
      <c r="G161" s="41" t="n">
        <f aca="false">$G$124/$G$159</f>
        <v>3.9247336788489</v>
      </c>
      <c r="H161" s="41" t="n">
        <f aca="false">$H$124/$H$159</f>
        <v>4.63545098020979</v>
      </c>
      <c r="I161" s="41" t="n">
        <f aca="false">$I$124/$I$159</f>
        <v>3.53367256605884</v>
      </c>
      <c r="J161" s="41" t="n">
        <f aca="false">$J$124/$J$159</f>
        <v>2.81788525414525</v>
      </c>
      <c r="K161" s="41" t="n">
        <f aca="false">$K$124/$K$159</f>
        <v>2.31850320367335</v>
      </c>
      <c r="L161" s="41" t="n">
        <f aca="false">$L$124/$L$159</f>
        <v>1.81774714102909</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1.10457875457876</v>
      </c>
      <c r="G163" s="24" t="n">
        <f aca="false">$G$162-$G$161</f>
        <v>1.3252663211511</v>
      </c>
      <c r="H163" s="24" t="n">
        <f aca="false">$H$162-$H$161</f>
        <v>0.114549019790211</v>
      </c>
      <c r="I163" s="24" t="n">
        <f aca="false">$I$162-$I$161</f>
        <v>0.716327433941158</v>
      </c>
      <c r="J163" s="24" t="n">
        <f aca="false">$J$162-$J$161</f>
        <v>1.18211474585475</v>
      </c>
      <c r="K163" s="24" t="n">
        <f aca="false">$K$162-$K$161</f>
        <v>1.68149679632665</v>
      </c>
      <c r="L163" s="24" t="n">
        <f aca="false">$L$162-$L$161</f>
        <v>2.18225285897091</v>
      </c>
    </row>
    <row r="164" customFormat="false" ht="15" hidden="false" customHeight="false" outlineLevel="0" collapsed="false">
      <c r="B164" s="9" t="s">
        <v>635</v>
      </c>
      <c r="F164" s="14" t="n">
        <f aca="false">1-$F$124/($F$162*$F$159)</f>
        <v>0.192100652970218</v>
      </c>
      <c r="G164" s="14" t="n">
        <f aca="false">1-$G$124/($G$162*$G$159)</f>
        <v>0.252431680219258</v>
      </c>
      <c r="H164" s="14" t="n">
        <f aca="false">1-$H$124/($H$162*$H$159)</f>
        <v>0.0241155831137286</v>
      </c>
      <c r="I164" s="14" t="n">
        <f aca="false">1-$I$124/($I$162*$I$159)</f>
        <v>0.168547631515567</v>
      </c>
      <c r="J164" s="14" t="n">
        <f aca="false">1-$J$124/($J$162*$J$159)</f>
        <v>0.295528686463687</v>
      </c>
      <c r="K164" s="14" t="n">
        <f aca="false">1-$K$124/($K$162*$K$159)</f>
        <v>0.420374199081663</v>
      </c>
      <c r="L164" s="14" t="n">
        <f aca="false">1-$L$124/($L$162*$L$159)</f>
        <v>0.545563214742728</v>
      </c>
    </row>
    <row r="165" customFormat="false" ht="15" hidden="false" customHeight="false" outlineLevel="0" collapsed="false">
      <c r="B165" s="9" t="s">
        <v>636</v>
      </c>
      <c r="F165" s="19" t="n">
        <f aca="false">$F$164*$F$159</f>
        <v>10.4886956521739</v>
      </c>
      <c r="G165" s="19" t="n">
        <f aca="false">$G$164*$G$159</f>
        <v>15.2840314285714</v>
      </c>
      <c r="H165" s="19" t="n">
        <f aca="false">$H$164*$H$159</f>
        <v>1.17068152894738</v>
      </c>
      <c r="I165" s="19" t="n">
        <f aca="false">$I$164*$I$159</f>
        <v>9.96238617038603</v>
      </c>
      <c r="J165" s="19" t="n">
        <f aca="false">$J$164*$J$159</f>
        <v>19.4528736143008</v>
      </c>
      <c r="K165" s="19" t="n">
        <f aca="false">$K$164*$K$159</f>
        <v>28.777529903553</v>
      </c>
      <c r="L165" s="19" t="n">
        <f aca="false">$L$164*$L$159</f>
        <v>38.8414898708541</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-1.10457875457876</v>
      </c>
      <c r="G167" s="24" t="n">
        <f aca="false">$G$125-Assumptions!$G$169</f>
        <v>-1.3252663211511</v>
      </c>
      <c r="H167" s="24" t="n">
        <f aca="false">$H$125-Assumptions!$H$169</f>
        <v>-0.114549019790211</v>
      </c>
      <c r="I167" s="24" t="n">
        <f aca="false">$I$125-Assumptions!$I$169</f>
        <v>-0.716327433941158</v>
      </c>
      <c r="J167" s="24" t="n">
        <f aca="false">$J$125-Assumptions!$J$169</f>
        <v>-1.18211474585475</v>
      </c>
      <c r="K167" s="24" t="n">
        <f aca="false">$K$125-Assumptions!$K$169</f>
        <v>-1.68149679632665</v>
      </c>
      <c r="L167" s="24" t="n">
        <f aca="false">$L$125-Assumptions!$L$169</f>
        <v>-2.18225285897091</v>
      </c>
    </row>
    <row r="168" customFormat="false" ht="15" hidden="false" customHeight="false" outlineLevel="0" collapsed="false">
      <c r="B168" s="9" t="s">
        <v>639</v>
      </c>
      <c r="F168" s="24" t="n">
        <f aca="false">$F$161-$F$162</f>
        <v>-1.10457875457876</v>
      </c>
      <c r="G168" s="24" t="n">
        <f aca="false">$G$161-$G$162</f>
        <v>-1.3252663211511</v>
      </c>
      <c r="H168" s="24" t="n">
        <f aca="false">$H$161-$H$162</f>
        <v>-0.114549019790211</v>
      </c>
      <c r="I168" s="24" t="n">
        <f aca="false">$I$161-$I$162</f>
        <v>-0.716327433941158</v>
      </c>
      <c r="J168" s="24" t="n">
        <f aca="false">$J$161-$J$162</f>
        <v>-1.18211474585475</v>
      </c>
      <c r="K168" s="24" t="n">
        <f aca="false">$K$161-$K$162</f>
        <v>-1.68149679632665</v>
      </c>
      <c r="L168" s="24" t="n">
        <f aca="false">$L$161-$L$162</f>
        <v>-2.18225285897091</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65.82397752</v>
      </c>
    </row>
    <row r="172" customFormat="false" ht="15" hidden="false" customHeight="false" outlineLevel="0" collapsed="false">
      <c r="B172" s="17" t="s">
        <v>641</v>
      </c>
      <c r="D172" s="18" t="n">
        <f aca="false">$D$7*$D$171</f>
        <v>592.41579768</v>
      </c>
    </row>
    <row r="173" customFormat="false" ht="15" hidden="false" customHeight="false" outlineLevel="0" collapsed="false">
      <c r="B173" s="9" t="s">
        <v>642</v>
      </c>
      <c r="D173" s="19" t="n">
        <f aca="false">INDEX($E$124:$L$124,1,$D$170+1)</f>
        <v>185.484415622797</v>
      </c>
    </row>
    <row r="174" customFormat="false" ht="15" hidden="false" customHeight="false" outlineLevel="0" collapsed="false">
      <c r="B174" s="9" t="s">
        <v>643</v>
      </c>
      <c r="D174" s="19" t="n">
        <f aca="false">INDEX($E$118:$L$118,1,$D$170+1)</f>
        <v>172.037076285162</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36.5526606623654</v>
      </c>
    </row>
    <row r="178" customFormat="false" ht="15" hidden="false" customHeight="false" outlineLevel="0" collapsed="false">
      <c r="B178" s="9" t="s">
        <v>647</v>
      </c>
      <c r="D178" s="19" t="n">
        <f aca="false">$D$20*$D$172</f>
        <v>8.8862369652</v>
      </c>
    </row>
    <row r="179" customFormat="false" ht="15" hidden="false" customHeight="false" outlineLevel="0" collapsed="false">
      <c r="B179" s="17" t="s">
        <v>195</v>
      </c>
      <c r="D179" s="18" t="n">
        <f aca="false">$D$172-$D$173-$D$178</f>
        <v>398.045145092003</v>
      </c>
    </row>
    <row r="180" customFormat="false" ht="15" hidden="false" customHeight="false" outlineLevel="0" collapsed="false">
      <c r="B180" s="9" t="s">
        <v>648</v>
      </c>
      <c r="D180" s="19" t="n">
        <f aca="false">$D$171*(1-$D$20)</f>
        <v>64.8366178572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1.91100766742322</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1.91100766742322</v>
      </c>
    </row>
    <row r="195" customFormat="false" ht="15" hidden="false" customHeight="false" outlineLevel="0" collapsed="false">
      <c r="B195" s="9" t="s">
        <v>663</v>
      </c>
      <c r="D195" s="34" t="n">
        <f aca="false">IF($D$194&gt;=Assumptions!$D$110,$D$191,$D$191*0.5)</f>
        <v>8.69565217391304</v>
      </c>
    </row>
    <row r="196" customFormat="false" ht="15" hidden="false" customHeight="false" outlineLevel="0" collapsed="false">
      <c r="B196" s="9" t="s">
        <v>664</v>
      </c>
      <c r="D196" s="35" t="n">
        <f aca="false">($D$179+$D$195*Assumptions!$D$108)/($D$189+$D$195)</f>
        <v>1.94896632023252</v>
      </c>
    </row>
    <row r="197" customFormat="false" ht="15" hidden="false" customHeight="false" outlineLevel="0" collapsed="false">
      <c r="B197" s="9" t="s">
        <v>665</v>
      </c>
      <c r="D197" s="34" t="n">
        <f aca="false">IF($D$196&lt;Assumptions!$D$108,0,$D$195)</f>
        <v>8.69565217391304</v>
      </c>
    </row>
    <row r="198" customFormat="false" ht="15" hidden="false" customHeight="false" outlineLevel="0" collapsed="false">
      <c r="B198" s="17" t="s">
        <v>666</v>
      </c>
      <c r="D198" s="43" t="n">
        <f aca="false">IF($D$196&lt;Assumptions!$D$108,$D$179/$D$189,$D$196)</f>
        <v>1.94896632023252</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370.303600844178</v>
      </c>
    </row>
    <row r="201" customFormat="false" ht="15" hidden="false" customHeight="false" outlineLevel="0" collapsed="false">
      <c r="B201" s="9" t="s">
        <v>668</v>
      </c>
      <c r="D201" s="14" t="n">
        <f aca="false">$D$200/$D$179</f>
        <v>0.930305532953019</v>
      </c>
    </row>
    <row r="202" customFormat="false" ht="15" hidden="false" customHeight="false" outlineLevel="0" collapsed="false">
      <c r="B202" s="9" t="s">
        <v>669</v>
      </c>
      <c r="D202" s="19" t="n">
        <f aca="false">$D$185*$D$198</f>
        <v>19.4896632023252</v>
      </c>
    </row>
    <row r="203" customFormat="false" ht="15" hidden="false" customHeight="false" outlineLevel="0" collapsed="false">
      <c r="B203" s="9" t="s">
        <v>670</v>
      </c>
      <c r="D203" s="19" t="n">
        <f aca="false">$D$197*MAX(0,$D$198-Assumptions!$D$108)</f>
        <v>8.25188104550014</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27.7415442478253</v>
      </c>
    </row>
    <row r="206" customFormat="false" ht="15" hidden="false" customHeight="false" outlineLevel="0" collapsed="false">
      <c r="B206" s="9" t="s">
        <v>673</v>
      </c>
      <c r="D206" s="24" t="n">
        <f aca="false">$D$205/$D$47</f>
        <v>2.77415442478253</v>
      </c>
    </row>
    <row r="207" customFormat="false" ht="15" hidden="false" customHeight="false" outlineLevel="0" collapsed="false">
      <c r="B207" s="9" t="s">
        <v>674</v>
      </c>
      <c r="D207" s="19" t="n">
        <f aca="false">$D$187*$D$198</f>
        <v>7.79586528093007</v>
      </c>
    </row>
    <row r="208" customFormat="false" ht="15" hidden="false" customHeight="false" outlineLevel="0" collapsed="false">
      <c r="B208" s="9" t="s">
        <v>675</v>
      </c>
      <c r="D208" s="19" t="n">
        <f aca="false">$D$203*Assumptions!$D$112</f>
        <v>2.88815836592505</v>
      </c>
    </row>
    <row r="209" customFormat="false" ht="15" hidden="false" customHeight="false" outlineLevel="0" collapsed="false">
      <c r="B209" s="9" t="s">
        <v>676</v>
      </c>
      <c r="D209" s="19" t="n">
        <f aca="false">$D$207+$D$208</f>
        <v>10.6840236468551</v>
      </c>
    </row>
    <row r="210" customFormat="false" ht="15" hidden="false" customHeight="false" outlineLevel="0" collapsed="false">
      <c r="B210" s="9" t="s">
        <v>677</v>
      </c>
      <c r="D210" s="24" t="n">
        <f aca="false">$D$209/Assumptions!$D$111</f>
        <v>2.67100591171378</v>
      </c>
    </row>
    <row r="211" customFormat="false" ht="15" hidden="false" customHeight="false" outlineLevel="0" collapsed="false">
      <c r="B211" s="9" t="s">
        <v>678</v>
      </c>
      <c r="D211" s="19" t="n">
        <f aca="false">$D$179*$D$190/$D$189</f>
        <v>378.142887837403</v>
      </c>
    </row>
    <row r="212" customFormat="false" ht="15" hidden="false" customHeight="false" outlineLevel="0" collapsed="false">
      <c r="B212" s="9" t="s">
        <v>679</v>
      </c>
      <c r="D212" s="19" t="n">
        <f aca="false">$D$211-$D$200</f>
        <v>7.83928699322507</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370.303600844178</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398.045145092003</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0.142775357604457</v>
      </c>
    </row>
    <row r="224" customFormat="false" ht="15" hidden="false" customHeight="false" outlineLevel="0" collapsed="false">
      <c r="B224" s="9" t="s">
        <v>689</v>
      </c>
      <c r="D224" s="25" t="n">
        <f aca="false">XIRR($E$219:$L$219,$E$221:$L$221,0.1)</f>
        <v>0.142691836777936</v>
      </c>
    </row>
    <row r="225" customFormat="false" ht="15" hidden="false" customHeight="false" outlineLevel="0" collapsed="false">
      <c r="B225" s="17" t="s">
        <v>690</v>
      </c>
      <c r="D225" s="41" t="n">
        <f aca="false">SUMIF($E$219:$L$219,"&gt;0")/-SUMIF($E$219:$L$219,"&lt;0")</f>
        <v>1.94896632023252</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0.147573384379381</v>
      </c>
    </row>
    <row r="228" customFormat="false" ht="15" hidden="false" customHeight="false" outlineLevel="0" collapsed="false">
      <c r="B228" s="9" t="s">
        <v>693</v>
      </c>
      <c r="D228" s="24" t="n">
        <f aca="false">SUMIF($E$220:$L$220,"&gt;0")/-SUMIF($E$220:$L$220,"&lt;0")</f>
        <v>1.99022572546002</v>
      </c>
    </row>
    <row r="229" customFormat="false" ht="15" hidden="false" customHeight="false" outlineLevel="0" collapsed="false">
      <c r="B229" s="9" t="s">
        <v>694</v>
      </c>
      <c r="D229" s="19" t="n">
        <f aca="false">SUM($E$220:$L$220)</f>
        <v>198.045145092003</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79.5155843772033</v>
      </c>
    </row>
    <row r="232" customFormat="false" ht="15" hidden="false" customHeight="false" outlineLevel="0" collapsed="false">
      <c r="B232" s="9" t="s">
        <v>697</v>
      </c>
      <c r="D232" s="19" t="n">
        <f aca="false">SUMPRODUCT(($F$64:$L$64&lt;=$D$170)*$F$105:$L$105)</f>
        <v>114.434069896797</v>
      </c>
    </row>
    <row r="233" customFormat="false" ht="15" hidden="false" customHeight="false" outlineLevel="0" collapsed="false">
      <c r="B233" s="9" t="s">
        <v>698</v>
      </c>
      <c r="D233" s="19" t="n">
        <f aca="false">SUMPRODUCT(($F$64:$L$64&lt;=$D$170)*$F$139:$L$139)</f>
        <v>35.097540366</v>
      </c>
    </row>
    <row r="234" customFormat="false" ht="15" hidden="false" customHeight="false" outlineLevel="0" collapsed="false">
      <c r="B234" s="9" t="s">
        <v>699</v>
      </c>
      <c r="D234" s="38" t="n">
        <f aca="false">SUMPRODUCT(($F$64:$L$64&lt;=$D$170)*$F$109:$L$109)</f>
        <v>11.25</v>
      </c>
    </row>
    <row r="235" customFormat="false" ht="15" hidden="false" customHeight="false" outlineLevel="0" collapsed="false">
      <c r="B235" s="9" t="s">
        <v>700</v>
      </c>
      <c r="D235" s="19" t="n">
        <f aca="false">SUMPRODUCT(($F$64:$L$64&lt;=$D$170)*$F$115:$L$115)</f>
        <v>41.712923714838</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52.962923714838</v>
      </c>
    </row>
    <row r="238" customFormat="false" ht="15" hidden="false" customHeight="false" outlineLevel="0" collapsed="false">
      <c r="B238" s="9" t="s">
        <v>703</v>
      </c>
      <c r="D238" s="19" t="n">
        <f aca="false">$D$54-$D$173</f>
        <v>79.5155843772033</v>
      </c>
    </row>
    <row r="239" customFormat="false" ht="15" hidden="false" customHeight="false" outlineLevel="0" collapsed="false">
      <c r="B239" s="9" t="s">
        <v>704</v>
      </c>
      <c r="D239" s="25" t="n">
        <f aca="false">($D$171/$D$28)^(1/$D$170)-1</f>
        <v>0.0565324088787715</v>
      </c>
    </row>
    <row r="240" customFormat="false" ht="15" hidden="false" customHeight="false" outlineLevel="0" collapsed="false">
      <c r="B240" s="9" t="s">
        <v>705</v>
      </c>
      <c r="D240" s="25" t="n">
        <f aca="false">(INDEX($E$71:$L$71,1,$D$170+1)/Assumptions!$D$13)^(1/$D$170)-1</f>
        <v>0.0328546734312372</v>
      </c>
    </row>
    <row r="241" customFormat="false" ht="15" hidden="false" customHeight="false" outlineLevel="0" collapsed="false">
      <c r="B241" s="9" t="s">
        <v>233</v>
      </c>
      <c r="D241" s="19" t="n">
        <f aca="false">$D$172-$D$29</f>
        <v>142.41579768</v>
      </c>
    </row>
    <row r="242" customFormat="false" ht="15" hidden="false" customHeight="false" outlineLevel="0" collapsed="false">
      <c r="B242" s="9" t="s">
        <v>234</v>
      </c>
      <c r="D242" s="14" t="n">
        <f aca="false">$D$172/$D$29-1</f>
        <v>0.3164795504</v>
      </c>
    </row>
    <row r="243" customFormat="false" ht="15" hidden="false" customHeight="false" outlineLevel="0" collapsed="false">
      <c r="B243" s="9" t="s">
        <v>235</v>
      </c>
      <c r="D243" s="25" t="n">
        <f aca="false">($D$172/$D$29)^(1/$D$170)-1</f>
        <v>0.0565324088787715</v>
      </c>
    </row>
    <row r="244" customFormat="false" ht="15" hidden="false" customHeight="false" outlineLevel="0" collapsed="false">
      <c r="B244" s="9" t="s">
        <v>236</v>
      </c>
      <c r="D244" s="14" t="n">
        <f aca="false">$D$179/$D$46-1</f>
        <v>0.990225725460017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709</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21" t="n">
        <v>0.04</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21" t="n">
        <v>0</v>
      </c>
      <c r="I25" s="21" t="n">
        <v>0</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370.4064</v>
      </c>
      <c r="I65" s="19" t="n">
        <f aca="false">$H$65*(1+$I$24)</f>
        <v>396.334848</v>
      </c>
      <c r="J65" s="19" t="n">
        <f aca="false">$I$65*(1+$J$24)</f>
        <v>416.1515904</v>
      </c>
      <c r="K65" s="19" t="n">
        <f aca="false">$J$65*(1+$K$24)</f>
        <v>432.797654016</v>
      </c>
      <c r="L65" s="19" t="n">
        <f aca="false">$K$65*(1+$L$24)</f>
        <v>450.10956017664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0.175</v>
      </c>
      <c r="I66" s="25" t="n">
        <f aca="false">Assumptions!$D$25+$D$11*Assumptions!$I$166+$I$25</f>
        <v>0.175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64.82112</v>
      </c>
      <c r="I67" s="19" t="n">
        <f aca="false">$I$65*$I$66</f>
        <v>69.3585984</v>
      </c>
      <c r="J67" s="19" t="n">
        <f aca="false">$J$65*$J$66</f>
        <v>72.82652832</v>
      </c>
      <c r="K67" s="19" t="n">
        <f aca="false">$K$65*$K$66</f>
        <v>75.7395894528</v>
      </c>
      <c r="L67" s="19" t="n">
        <f aca="false">$L$65*$L$66</f>
        <v>78.769173030912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432.8064</v>
      </c>
      <c r="I71" s="18" t="n">
        <f aca="false">$I$65+IF(AND($D$12=1,$I$64&gt;Assumptions!$D$116),$I$68,0)</f>
        <v>461.230848</v>
      </c>
      <c r="J71" s="18" t="n">
        <f aca="false">$J$65+IF(AND($D$12=1,$J$64&gt;Assumptions!$D$116),$J$68,0)</f>
        <v>483.6434304</v>
      </c>
      <c r="K71" s="18" t="n">
        <f aca="false">$K$65+IF(AND($D$12=1,$K$64&gt;Assumptions!$D$116),$K$68,0)</f>
        <v>502.989167616</v>
      </c>
      <c r="L71" s="18" t="n">
        <f aca="false">$L$65+IF(AND($D$12=1,$L$64&gt;Assumptions!$D$116),$L$68,0)</f>
        <v>523.10873432064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74.14112</v>
      </c>
      <c r="I72" s="18" t="n">
        <f aca="false">$I$67+IF(AND($D$12=1,$I$64&gt;Assumptions!$D$116),$I$69+$I$70,0)</f>
        <v>80.5113984</v>
      </c>
      <c r="J72" s="18" t="n">
        <f aca="false">$J$67+IF(AND($D$12=1,$J$64&gt;Assumptions!$D$116),$J$69+$J$70,0)</f>
        <v>84.82544032</v>
      </c>
      <c r="K72" s="18" t="n">
        <f aca="false">$K$67+IF(AND($D$12=1,$K$64&gt;Assumptions!$D$116),$K$69+$K$70,0)</f>
        <v>88.0984579328</v>
      </c>
      <c r="L72" s="18" t="n">
        <f aca="false">$L$67+IF(AND($D$12=1,$L$64&gt;Assumptions!$D$116),$L$69+$L$70,0)</f>
        <v>91.502396250112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0.171303196995239</v>
      </c>
      <c r="I73" s="14" t="n">
        <f aca="false">$I$72/$I$71</f>
        <v>0.174557705212293</v>
      </c>
      <c r="J73" s="14" t="n">
        <f aca="false">$J$72/$J$71</f>
        <v>0.175388385302463</v>
      </c>
      <c r="K73" s="14" t="n">
        <f aca="false">$K$72/$K$71</f>
        <v>0.175149811576176</v>
      </c>
      <c r="L73" s="14" t="n">
        <f aca="false">$L$72/$L$71</f>
        <v>0.174920413762439</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15.148224</v>
      </c>
      <c r="I74" s="19" t="n">
        <f aca="false">Assumptions!$D$29*$I$71</f>
        <v>16.14307968</v>
      </c>
      <c r="J74" s="19" t="n">
        <f aca="false">Assumptions!$D$29*$J$71</f>
        <v>16.927520064</v>
      </c>
      <c r="K74" s="19" t="n">
        <f aca="false">Assumptions!$D$29*$K$71</f>
        <v>17.60462086656</v>
      </c>
      <c r="L74" s="19" t="n">
        <f aca="false">Assumptions!$D$29*$L$71</f>
        <v>18.3088057012224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12.984192</v>
      </c>
      <c r="I75" s="19" t="n">
        <f aca="false">Assumptions!$D$30*$I$71</f>
        <v>13.83692544</v>
      </c>
      <c r="J75" s="19" t="n">
        <f aca="false">Assumptions!$D$30*$J$71</f>
        <v>14.509302912</v>
      </c>
      <c r="K75" s="19" t="n">
        <f aca="false">Assumptions!$D$30*$K$71</f>
        <v>15.08967502848</v>
      </c>
      <c r="L75" s="19" t="n">
        <f aca="false">Assumptions!$D$30*$L$71</f>
        <v>15.6932620296192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51.936768</v>
      </c>
      <c r="I76" s="19" t="n">
        <f aca="false">Assumptions!$D$27*$I$71</f>
        <v>55.34770176</v>
      </c>
      <c r="J76" s="19" t="n">
        <f aca="false">Assumptions!$D$27*$J$71</f>
        <v>58.037211648</v>
      </c>
      <c r="K76" s="19" t="n">
        <f aca="false">Assumptions!$D$27*$K$71</f>
        <v>60.35870011392</v>
      </c>
      <c r="L76" s="19" t="n">
        <f aca="false">Assumptions!$D$27*$L$71</f>
        <v>62.7730481184768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51.936768</v>
      </c>
      <c r="I78" s="19" t="n">
        <f aca="false">$I$76+$I$77</f>
        <v>55.34770176</v>
      </c>
      <c r="J78" s="19" t="n">
        <f aca="false">$J$76+$J$77</f>
        <v>58.037211648</v>
      </c>
      <c r="K78" s="19" t="n">
        <f aca="false">$K$76+$K$77</f>
        <v>60.35870011392</v>
      </c>
      <c r="L78" s="19" t="n">
        <f aca="false">$L$76+$L$77</f>
        <v>62.7730481184768</v>
      </c>
    </row>
    <row r="79" customFormat="false" ht="15" hidden="false" customHeight="false" outlineLevel="0" collapsed="false">
      <c r="B79" s="9" t="s">
        <v>561</v>
      </c>
      <c r="F79" s="19" t="n">
        <f aca="false">$F$78-$E$78-$F$77</f>
        <v>1.92</v>
      </c>
      <c r="G79" s="19" t="n">
        <f aca="false">$G$78-$F$78-$G$77</f>
        <v>2.4192</v>
      </c>
      <c r="H79" s="19" t="n">
        <f aca="false">$H$78-$G$78-$H$77</f>
        <v>1.99756800000001</v>
      </c>
      <c r="I79" s="19" t="n">
        <f aca="false">$I$78-$H$78-$I$77</f>
        <v>3.41093375999999</v>
      </c>
      <c r="J79" s="19" t="n">
        <f aca="false">$J$78-$I$78-$J$77</f>
        <v>2.689509888</v>
      </c>
      <c r="K79" s="19" t="n">
        <f aca="false">$K$78-$J$78-$K$77</f>
        <v>2.32148846592</v>
      </c>
      <c r="L79" s="19" t="n">
        <f aca="false">$L$78-$K$78-$L$77</f>
        <v>2.41434800455681</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11.36</v>
      </c>
      <c r="G91" s="18" t="n">
        <f aca="false">$G$72-$G$139-$G$105-$G$75-$G$79-$G$83-$G$87-$G$89</f>
        <v>14.883365</v>
      </c>
      <c r="H91" s="18" t="n">
        <f aca="false">$H$72-$H$139-$H$105-$H$75-$H$79-$H$83-$H$87-$H$89</f>
        <v>22.9467841625</v>
      </c>
      <c r="I91" s="18" t="n">
        <f aca="false">$I$72-$I$139-$I$105-$I$75-$I$79-$I$83-$I$87-$I$89</f>
        <v>27.5470206622813</v>
      </c>
      <c r="J91" s="18" t="n">
        <f aca="false">$J$72-$J$139-$J$105-$J$75-$J$79-$J$83-$J$87-$J$89</f>
        <v>32.6617678454218</v>
      </c>
      <c r="K91" s="18" t="n">
        <f aca="false">$K$72-$K$139-$K$105-$K$75-$K$79-$K$83-$K$87-$K$89</f>
        <v>36.1444172391302</v>
      </c>
      <c r="L91" s="18" t="n">
        <f aca="false">$L$72-$L$139-$L$105-$L$75-$L$79-$L$83-$L$87-$L$89</f>
        <v>39.3274043645848</v>
      </c>
    </row>
    <row r="92" customFormat="false" ht="15" hidden="false" customHeight="false" outlineLevel="0" collapsed="false">
      <c r="B92" s="9" t="s">
        <v>573</v>
      </c>
      <c r="F92" s="19" t="n">
        <f aca="false">$F$75+$F$79</f>
        <v>12</v>
      </c>
      <c r="G92" s="19" t="n">
        <f aca="false">$G$75+$G$79</f>
        <v>13.104</v>
      </c>
      <c r="H92" s="19" t="n">
        <f aca="false">$H$75+$H$79</f>
        <v>14.98176</v>
      </c>
      <c r="I92" s="19" t="n">
        <f aca="false">$I$75+$I$79</f>
        <v>17.2478592</v>
      </c>
      <c r="J92" s="19" t="n">
        <f aca="false">$J$75+$J$79</f>
        <v>17.1988128</v>
      </c>
      <c r="K92" s="19" t="n">
        <f aca="false">$K$75+$K$79</f>
        <v>17.4111634944</v>
      </c>
      <c r="L92" s="19" t="n">
        <f aca="false">$L$75+$L$79</f>
        <v>18.107610034176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14.555</v>
      </c>
      <c r="H94" s="19" t="n">
        <f aca="false">$G$123</f>
        <v>12.1941825</v>
      </c>
      <c r="I94" s="19" t="n">
        <f aca="false">$H$123</f>
        <v>21.24548333125</v>
      </c>
      <c r="J94" s="19" t="n">
        <f aca="false">$I$123</f>
        <v>37.1068779951485</v>
      </c>
      <c r="K94" s="19" t="n">
        <f aca="false">$J$123</f>
        <v>67.1186458405702</v>
      </c>
      <c r="L94" s="19" t="n">
        <f aca="false">$K$123</f>
        <v>100.6130630797</v>
      </c>
    </row>
    <row r="95" customFormat="false" ht="15" hidden="false" customHeight="false" outlineLevel="0" collapsed="false">
      <c r="B95" s="9" t="s">
        <v>576</v>
      </c>
      <c r="F95" s="19" t="n">
        <f aca="false">$E$123+$F$91-$F$109-$F$82-$F$85+$F$84+$F$86-$F$88+$F$90</f>
        <v>19.11</v>
      </c>
      <c r="G95" s="19" t="n">
        <f aca="false">$F$123+$G$91-$G$109-$G$82-$G$85+$G$84+$G$86-$G$88+$G$90</f>
        <v>14.388365</v>
      </c>
      <c r="H95" s="19" t="n">
        <f aca="false">$G$123+$H$91-$H$109-$H$82-$H$85+$H$84+$H$86-$H$88+$H$90</f>
        <v>32.4909666625</v>
      </c>
      <c r="I95" s="19" t="n">
        <f aca="false">$H$123+$I$91-$I$109-$I$82-$I$85+$I$84+$I$86-$I$88+$I$90</f>
        <v>46.1425039935313</v>
      </c>
      <c r="J95" s="19" t="n">
        <f aca="false">$I$123+$J$91-$J$109-$J$82-$J$85+$J$84+$J$86-$J$88+$J$90</f>
        <v>67.1186458405702</v>
      </c>
      <c r="K95" s="19" t="n">
        <f aca="false">$J$123+$K$91-$K$109-$K$82-$K$85+$K$84+$K$86-$K$88+$K$90</f>
        <v>100.6130630797</v>
      </c>
      <c r="L95" s="19" t="n">
        <f aca="false">$K$123+$L$91-$L$109-$L$82-$L$85+$L$84+$L$86-$L$88+$L$90</f>
        <v>137.290467444285</v>
      </c>
    </row>
    <row r="96" customFormat="false" ht="15" hidden="false" customHeight="false" outlineLevel="0" collapsed="false">
      <c r="B96" s="17" t="s">
        <v>577</v>
      </c>
      <c r="F96" s="18" t="n">
        <f aca="false">$F$95+$F$110-$F$111-$F$115</f>
        <v>14.555</v>
      </c>
      <c r="G96" s="18" t="n">
        <f aca="false">$G$95+$G$110-$G$111-$G$115</f>
        <v>12.1941825</v>
      </c>
      <c r="H96" s="18" t="n">
        <f aca="false">$H$95+$H$110-$H$111-$H$115</f>
        <v>21.24548333125</v>
      </c>
      <c r="I96" s="18" t="n">
        <f aca="false">$I$95+$I$110-$I$111-$I$115</f>
        <v>37.1068779951485</v>
      </c>
      <c r="J96" s="18" t="n">
        <f aca="false">$J$95+$J$110-$J$111-$J$115</f>
        <v>67.1186458405702</v>
      </c>
      <c r="K96" s="18" t="n">
        <f aca="false">$K$95+$K$110-$K$111-$K$115</f>
        <v>100.6130630797</v>
      </c>
      <c r="L96" s="18" t="n">
        <f aca="false">$L$95+$L$110-$L$111-$L$115</f>
        <v>137.290467444285</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18.546575</v>
      </c>
      <c r="H101" s="38" t="n">
        <f aca="false">$G$118*$H$100</f>
        <v>21.5688194875</v>
      </c>
      <c r="I101" s="38" t="n">
        <f aca="false">$H$118*$I$100</f>
        <v>20.3877034043437</v>
      </c>
      <c r="J101" s="38" t="n">
        <f aca="false">$I$118*$J$100</f>
        <v>19.3944251944812</v>
      </c>
      <c r="K101" s="38" t="n">
        <f aca="false">$J$118*$K$100</f>
        <v>19.1691751944812</v>
      </c>
      <c r="L101" s="38" t="n">
        <f aca="false">$K$118*$L$100</f>
        <v>18.9439251944812</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0.2911</v>
      </c>
      <c r="H104" s="38" t="n">
        <f aca="false">$G$123*Assumptions!$D$9</f>
        <v>0.24388365</v>
      </c>
      <c r="I104" s="38" t="n">
        <f aca="false">$H$123*Assumptions!$D$9</f>
        <v>0.424909666625</v>
      </c>
      <c r="J104" s="38" t="n">
        <f aca="false">$I$123*Assumptions!$D$9</f>
        <v>0.742137559902969</v>
      </c>
      <c r="K104" s="38" t="n">
        <f aca="false">$J$123*Assumptions!$D$9</f>
        <v>1.3423729168114</v>
      </c>
      <c r="L104" s="38" t="n">
        <f aca="false">$K$123*Assumptions!$D$9</f>
        <v>2.01226126159401</v>
      </c>
    </row>
    <row r="105" customFormat="false" ht="15" hidden="false" customHeight="false" outlineLevel="0" collapsed="false">
      <c r="B105" s="17" t="s">
        <v>585</v>
      </c>
      <c r="F105" s="40" t="n">
        <f aca="false">$F$101+$F$102+$F$103-$F$104</f>
        <v>24.625</v>
      </c>
      <c r="G105" s="40" t="n">
        <f aca="false">$G$101+$G$102+$G$103-$G$104</f>
        <v>23.955475</v>
      </c>
      <c r="H105" s="40" t="n">
        <f aca="false">$H$101+$H$102+$H$103-$H$104</f>
        <v>27.0249358375</v>
      </c>
      <c r="I105" s="40" t="n">
        <f aca="false">$I$101+$I$102+$I$103-$I$104</f>
        <v>25.6627937377187</v>
      </c>
      <c r="J105" s="40" t="n">
        <f aca="false">$J$101+$J$102+$J$103-$J$104</f>
        <v>24.3522876345782</v>
      </c>
      <c r="K105" s="40" t="n">
        <f aca="false">$K$101+$K$102+$K$103-$K$104</f>
        <v>23.5268022776698</v>
      </c>
      <c r="L105" s="40" t="n">
        <f aca="false">$L$101+$L$102+$L$103-$L$104</f>
        <v>22.6316639328872</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2.21725888324873</v>
      </c>
      <c r="G107" s="24" t="n">
        <f aca="false">IF($G$105&lt;&gt;0,$G$72/$G$105,0)</f>
        <v>2.52748901868988</v>
      </c>
      <c r="H107" s="24" t="n">
        <f aca="false">IF($H$105&lt;&gt;0,$H$72/$H$105,0)</f>
        <v>2.74343371047421</v>
      </c>
      <c r="I107" s="24" t="n">
        <f aca="false">IF($I$105&lt;&gt;0,$I$72/$I$105,0)</f>
        <v>3.13728112468385</v>
      </c>
      <c r="J107" s="24" t="n">
        <f aca="false">IF($J$105&lt;&gt;0,$J$72/$J$105,0)</f>
        <v>3.48326373246162</v>
      </c>
      <c r="K107" s="24" t="n">
        <f aca="false">IF($K$105&lt;&gt;0,$K$72/$K$105,0)</f>
        <v>3.7445997502354</v>
      </c>
      <c r="L107" s="24" t="n">
        <f aca="false">IF($L$105&lt;&gt;0,$L$72/$L$105,0)</f>
        <v>4.04311395403611</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2.65</v>
      </c>
      <c r="K109" s="38" t="n">
        <f aca="false">IF($D$14=1,0,MIN($J$118,Assumptions!$D$85*$J$119))</f>
        <v>2.65</v>
      </c>
      <c r="L109" s="38" t="n">
        <f aca="false">IF($D$14=1,0,MIN($K$118,Assumptions!$D$85*$K$119))</f>
        <v>2.65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19.11</v>
      </c>
      <c r="G112" s="19" t="n">
        <f aca="false">$G$95+$G$110-$G$111</f>
        <v>14.388365</v>
      </c>
      <c r="H112" s="19" t="n">
        <f aca="false">$H$95+$H$110-$H$111</f>
        <v>32.4909666625</v>
      </c>
      <c r="I112" s="19" t="n">
        <f aca="false">$I$95+$I$110-$I$111</f>
        <v>46.1425039935313</v>
      </c>
      <c r="J112" s="19" t="n">
        <f aca="false">$J$95+$J$110-$J$111</f>
        <v>67.1186458405702</v>
      </c>
      <c r="K112" s="19" t="n">
        <f aca="false">$K$95+$K$110-$K$111</f>
        <v>100.6130630797</v>
      </c>
      <c r="L112" s="19" t="n">
        <f aca="false">$L$95+$L$110-$L$111</f>
        <v>137.290467444285</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0.25</v>
      </c>
      <c r="J113" s="29" t="n">
        <f aca="false">IF($I$125&gt;Assumptions!$D$100,Assumptions!$E$100,IF($I$125&gt;Assumptions!$D$101,Assumptions!$E$101,IF($I$125&gt;Assumptions!$D$102,Assumptions!$E$102,0)))</f>
        <v>0</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9.11</v>
      </c>
      <c r="G114" s="19" t="n">
        <f aca="false">MAX(0,$G$112-Assumptions!$D$79)</f>
        <v>4.38836500000001</v>
      </c>
      <c r="H114" s="19" t="n">
        <f aca="false">MAX(0,$H$112-Assumptions!$D$79)</f>
        <v>22.4909666625</v>
      </c>
      <c r="I114" s="19" t="n">
        <f aca="false">MAX(0,$I$112-Assumptions!$D$79)</f>
        <v>36.1425039935313</v>
      </c>
      <c r="J114" s="19" t="n">
        <f aca="false">MAX(0,$J$112-Assumptions!$D$79)</f>
        <v>57.1186458405702</v>
      </c>
      <c r="K114" s="19" t="n">
        <f aca="false">MAX(0,$K$112-Assumptions!$D$79)</f>
        <v>90.6130630797004</v>
      </c>
      <c r="L114" s="19" t="n">
        <f aca="false">MAX(0,$L$112-Assumptions!$D$79)</f>
        <v>127.290467444285</v>
      </c>
    </row>
    <row r="115" customFormat="false" ht="15" hidden="false" customHeight="false" outlineLevel="0" collapsed="false">
      <c r="B115" s="17" t="s">
        <v>595</v>
      </c>
      <c r="F115" s="18" t="n">
        <f aca="false">IF(AND($D$19=1,$D$14=0,$E$121-$F$111+$F$110=0),MIN($E$118-$F$109+$F$84,$F$113*$F$114),0)</f>
        <v>4.555</v>
      </c>
      <c r="G115" s="18" t="n">
        <f aca="false">IF(AND($D$19=1,$D$14=0,$F$121-$G$111+$G$110=0),MIN($F$118-$G$109+$G$84,$G$113*$G$114),0)</f>
        <v>2.19418250000001</v>
      </c>
      <c r="H115" s="18" t="n">
        <f aca="false">IF(AND($D$19=1,$D$14=0,$G$121-$H$111+$H$110=0),MIN($G$118-$H$109+$H$84,$H$113*$H$114),0)</f>
        <v>11.24548333125</v>
      </c>
      <c r="I115" s="18" t="n">
        <f aca="false">IF(AND($D$19=1,$D$14=0,$H$121-$I$111+$I$110=0),MIN($H$118-$I$109+$I$84,$I$113*$I$114),0)</f>
        <v>9.03562599838282</v>
      </c>
      <c r="J115" s="18" t="n">
        <f aca="false">IF(AND($D$19=1,$D$14=0,$I$121-$J$111+$J$110=0),MIN($I$118-$J$109+$J$84,$J$113*$J$114),0)</f>
        <v>0</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218.195</v>
      </c>
      <c r="G118" s="19" t="n">
        <f aca="false">$F$118-$G$109-$G$115+$G$84+$G$86</f>
        <v>253.7508175</v>
      </c>
      <c r="H118" s="19" t="n">
        <f aca="false">$G$118-$H$109-$H$115+$H$84+$H$86</f>
        <v>239.85533416875</v>
      </c>
      <c r="I118" s="19" t="n">
        <f aca="false">$H$118-$I$109-$I$115+$I$84+$I$86</f>
        <v>228.169708170367</v>
      </c>
      <c r="J118" s="19" t="n">
        <f aca="false">$I$118-$J$109-$J$115+$J$84+$J$86</f>
        <v>225.519708170367</v>
      </c>
      <c r="K118" s="19" t="n">
        <f aca="false">$J$118-$K$109-$K$115+$K$84+$K$86</f>
        <v>222.869708170367</v>
      </c>
      <c r="L118" s="19" t="n">
        <f aca="false">$K$118-$L$109-$L$115+$L$84+$L$86</f>
        <v>220.219708170367</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268.195</v>
      </c>
      <c r="G122" s="18" t="n">
        <f aca="false">$G$118+$G$120+$G$121</f>
        <v>303.7508175</v>
      </c>
      <c r="H122" s="18" t="n">
        <f aca="false">$H$118+$H$120+$H$121</f>
        <v>289.85533416875</v>
      </c>
      <c r="I122" s="18" t="n">
        <f aca="false">$I$118+$I$120+$I$121</f>
        <v>278.169708170367</v>
      </c>
      <c r="J122" s="18" t="n">
        <f aca="false">$J$118+$J$120+$J$121</f>
        <v>275.519708170367</v>
      </c>
      <c r="K122" s="18" t="n">
        <f aca="false">$K$118+$K$120+$K$121</f>
        <v>272.869708170367</v>
      </c>
      <c r="L122" s="18" t="n">
        <f aca="false">$L$118+$L$120+$L$121</f>
        <v>270.219708170367</v>
      </c>
    </row>
    <row r="123" customFormat="false" ht="15" hidden="false" customHeight="false" outlineLevel="0" collapsed="false">
      <c r="B123" s="9" t="s">
        <v>600</v>
      </c>
      <c r="E123" s="19" t="n">
        <f aca="false">Assumptions!$D$78</f>
        <v>10</v>
      </c>
      <c r="F123" s="19" t="n">
        <f aca="false">$F$112-$F$115</f>
        <v>14.555</v>
      </c>
      <c r="G123" s="19" t="n">
        <f aca="false">$G$112-$G$115</f>
        <v>12.1941825</v>
      </c>
      <c r="H123" s="19" t="n">
        <f aca="false">$H$112-$H$115</f>
        <v>21.24548333125</v>
      </c>
      <c r="I123" s="19" t="n">
        <f aca="false">$I$112-$I$115</f>
        <v>37.1068779951485</v>
      </c>
      <c r="J123" s="19" t="n">
        <f aca="false">$J$112-$J$115</f>
        <v>67.1186458405702</v>
      </c>
      <c r="K123" s="19" t="n">
        <f aca="false">$K$112-$K$115</f>
        <v>100.6130630797</v>
      </c>
      <c r="L123" s="19" t="n">
        <f aca="false">$L$112-$L$115</f>
        <v>137.290467444285</v>
      </c>
    </row>
    <row r="124" customFormat="false" ht="15" hidden="false" customHeight="false" outlineLevel="0" collapsed="false">
      <c r="B124" s="17" t="s">
        <v>601</v>
      </c>
      <c r="E124" s="18" t="n">
        <f aca="false">$E$122-$E$123</f>
        <v>265</v>
      </c>
      <c r="F124" s="18" t="n">
        <f aca="false">$F$122-$F$123</f>
        <v>253.64</v>
      </c>
      <c r="G124" s="18" t="n">
        <f aca="false">$G$122-$G$123</f>
        <v>291.556635</v>
      </c>
      <c r="H124" s="18" t="n">
        <f aca="false">$H$122-$H$123</f>
        <v>268.6098508375</v>
      </c>
      <c r="I124" s="18" t="n">
        <f aca="false">$I$122-$I$123</f>
        <v>241.062830175219</v>
      </c>
      <c r="J124" s="18" t="n">
        <f aca="false">$J$122-$J$123</f>
        <v>208.401062329797</v>
      </c>
      <c r="K124" s="18" t="n">
        <f aca="false">$K$122-$K$123</f>
        <v>172.256645090667</v>
      </c>
      <c r="L124" s="18" t="n">
        <f aca="false">$L$122-$L$123</f>
        <v>132.929240726082</v>
      </c>
    </row>
    <row r="125" customFormat="false" ht="15" hidden="false" customHeight="false" outlineLevel="0" collapsed="false">
      <c r="B125" s="9" t="s">
        <v>538</v>
      </c>
      <c r="E125" s="24" t="n">
        <f aca="false">$E$124/$E$72</f>
        <v>5.3</v>
      </c>
      <c r="F125" s="24" t="n">
        <f aca="false">$F$124/$F$72</f>
        <v>4.64542124542125</v>
      </c>
      <c r="G125" s="24" t="n">
        <f aca="false">$G$124/$G$72</f>
        <v>4.81536115625495</v>
      </c>
      <c r="H125" s="24" t="n">
        <f aca="false">$H$124/$H$72</f>
        <v>3.62295377838236</v>
      </c>
      <c r="I125" s="24" t="n">
        <f aca="false">$I$124/$I$72</f>
        <v>2.99414536284118</v>
      </c>
      <c r="J125" s="24" t="n">
        <f aca="false">$J$124/$J$72</f>
        <v>2.45682264122195</v>
      </c>
      <c r="K125" s="24" t="n">
        <f aca="false">$K$124/$K$72</f>
        <v>1.95527423671889</v>
      </c>
      <c r="L125" s="24" t="n">
        <f aca="false">$L$124/$L$72</f>
        <v>1.45274054203711</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58.992896</v>
      </c>
      <c r="I129" s="38" t="n">
        <f aca="false">$I$72-$I$74</f>
        <v>64.36831872</v>
      </c>
      <c r="J129" s="38" t="n">
        <f aca="false">$J$72-$J$74</f>
        <v>67.897920256</v>
      </c>
      <c r="K129" s="38" t="n">
        <f aca="false">$K$72-$K$74</f>
        <v>70.49383706624</v>
      </c>
      <c r="L129" s="38" t="n">
        <f aca="false">$L$72-$L$74</f>
        <v>73.1935905488896</v>
      </c>
    </row>
    <row r="130" customFormat="false" ht="15" hidden="false" customHeight="false" outlineLevel="0" collapsed="false">
      <c r="B130" s="9" t="s">
        <v>605</v>
      </c>
      <c r="F130" s="38" t="n">
        <f aca="false">$F$105+$F$106</f>
        <v>25.4107142857143</v>
      </c>
      <c r="G130" s="38" t="n">
        <f aca="false">$G$105+$G$106</f>
        <v>24.7411892857143</v>
      </c>
      <c r="H130" s="38" t="n">
        <f aca="false">$H$105+$H$106</f>
        <v>27.9706501232143</v>
      </c>
      <c r="I130" s="38" t="n">
        <f aca="false">$I$105+$I$106</f>
        <v>26.608508023433</v>
      </c>
      <c r="J130" s="38" t="n">
        <f aca="false">$J$105+$J$106</f>
        <v>25.2980019202925</v>
      </c>
      <c r="K130" s="38" t="n">
        <f aca="false">$K$105+$K$106</f>
        <v>24.4725165633841</v>
      </c>
      <c r="L130" s="38" t="n">
        <f aca="false">$L$105+$L$106</f>
        <v>23.5773782186015</v>
      </c>
    </row>
    <row r="131" customFormat="false" ht="15" hidden="false" customHeight="false" outlineLevel="0" collapsed="false">
      <c r="B131" s="9" t="s">
        <v>606</v>
      </c>
      <c r="F131" s="38" t="n">
        <f aca="false">$F$129-$F$130-$F$83-$F$87-$F$89</f>
        <v>17.4292857142857</v>
      </c>
      <c r="G131" s="38" t="n">
        <f aca="false">$G$129-$G$130-$G$83-$G$87-$G$89</f>
        <v>21.8404107142857</v>
      </c>
      <c r="H131" s="38" t="n">
        <f aca="false">$H$129-$H$130-$H$83-$H$87-$H$89</f>
        <v>31.0222458767857</v>
      </c>
      <c r="I131" s="38" t="n">
        <f aca="false">$I$129-$I$130-$I$83-$I$87-$I$89</f>
        <v>37.759810696567</v>
      </c>
      <c r="J131" s="38" t="n">
        <f aca="false">$J$129-$J$130-$J$83-$J$87-$J$89</f>
        <v>42.5999183357075</v>
      </c>
      <c r="K131" s="38" t="n">
        <f aca="false">$K$129-$K$130-$K$83-$K$87-$K$89</f>
        <v>46.0213205028559</v>
      </c>
      <c r="L131" s="38" t="n">
        <f aca="false">$L$129-$L$130-$L$83-$L$87-$L$89</f>
        <v>49.6162123302881</v>
      </c>
    </row>
    <row r="132" customFormat="false" ht="15" hidden="false" customHeight="false" outlineLevel="0" collapsed="false">
      <c r="B132" s="9" t="s">
        <v>607</v>
      </c>
      <c r="F132" s="38" t="n">
        <f aca="false">Assumptions!$D$8*$F$72</f>
        <v>16.38</v>
      </c>
      <c r="G132" s="38" t="n">
        <f aca="false">Assumptions!$D$8*$G$72</f>
        <v>18.16416</v>
      </c>
      <c r="H132" s="38" t="n">
        <f aca="false">Assumptions!$D$8*$H$72</f>
        <v>22.242336</v>
      </c>
      <c r="I132" s="38" t="n">
        <f aca="false">Assumptions!$D$8*$I$72</f>
        <v>24.15341952</v>
      </c>
      <c r="J132" s="38" t="n">
        <f aca="false">Assumptions!$D$8*$J$72</f>
        <v>25.447632096</v>
      </c>
      <c r="K132" s="38" t="n">
        <f aca="false">Assumptions!$D$8*$K$72</f>
        <v>26.42953737984</v>
      </c>
      <c r="L132" s="38" t="n">
        <f aca="false">Assumptions!$D$8*$L$72</f>
        <v>27.4507188750336</v>
      </c>
    </row>
    <row r="133" customFormat="false" ht="15" hidden="false" customHeight="false" outlineLevel="0" collapsed="false">
      <c r="B133" s="9" t="s">
        <v>608</v>
      </c>
      <c r="F133" s="38" t="n">
        <f aca="false">$F$130+$E$135</f>
        <v>25.4107142857143</v>
      </c>
      <c r="G133" s="38" t="n">
        <f aca="false">$G$130+$F$135</f>
        <v>33.7719035714286</v>
      </c>
      <c r="H133" s="38" t="n">
        <f aca="false">$H$130+$G$135</f>
        <v>43.5783936946428</v>
      </c>
      <c r="I133" s="38" t="n">
        <f aca="false">$I$130+$H$135</f>
        <v>47.9445657180759</v>
      </c>
      <c r="J133" s="38" t="n">
        <f aca="false">$J$130+$I$135</f>
        <v>49.0891481183684</v>
      </c>
      <c r="K133" s="38" t="n">
        <f aca="false">$K$130+$J$135</f>
        <v>48.1140325857525</v>
      </c>
      <c r="L133" s="38" t="n">
        <f aca="false">$L$130+$K$135</f>
        <v>45.261873424514</v>
      </c>
    </row>
    <row r="134" customFormat="false" ht="15" hidden="false" customHeight="false" outlineLevel="0" collapsed="false">
      <c r="B134" s="9" t="s">
        <v>609</v>
      </c>
      <c r="F134" s="38" t="n">
        <f aca="false">MIN($F$133,$F$132)</f>
        <v>16.38</v>
      </c>
      <c r="G134" s="38" t="n">
        <f aca="false">MIN($G$133,$G$132)</f>
        <v>18.16416</v>
      </c>
      <c r="H134" s="38" t="n">
        <f aca="false">MIN($H$133,$H$132)</f>
        <v>22.242336</v>
      </c>
      <c r="I134" s="38" t="n">
        <f aca="false">MIN($I$133,$I$132)</f>
        <v>24.15341952</v>
      </c>
      <c r="J134" s="38" t="n">
        <f aca="false">MIN($J$133,$J$132)</f>
        <v>25.447632096</v>
      </c>
      <c r="K134" s="38" t="n">
        <f aca="false">MIN($K$133,$K$132)</f>
        <v>26.42953737984</v>
      </c>
      <c r="L134" s="38" t="n">
        <f aca="false">MIN($L$133,$L$132)</f>
        <v>27.4507188750336</v>
      </c>
    </row>
    <row r="135" customFormat="false" ht="15" hidden="false" customHeight="false" outlineLevel="0" collapsed="false">
      <c r="B135" s="9" t="s">
        <v>610</v>
      </c>
      <c r="E135" s="38" t="n">
        <f aca="false">0</f>
        <v>0</v>
      </c>
      <c r="F135" s="38" t="n">
        <f aca="false">$F$133-$F$134</f>
        <v>9.03071428571429</v>
      </c>
      <c r="G135" s="38" t="n">
        <f aca="false">$G$133-$G$134</f>
        <v>15.6077435714286</v>
      </c>
      <c r="H135" s="38" t="n">
        <f aca="false">$H$133-$H$134</f>
        <v>21.3360576946428</v>
      </c>
      <c r="I135" s="38" t="n">
        <f aca="false">$I$133-$I$134</f>
        <v>23.7911461980759</v>
      </c>
      <c r="J135" s="38" t="n">
        <f aca="false">$J$133-$J$134</f>
        <v>23.6415160223684</v>
      </c>
      <c r="K135" s="38" t="n">
        <f aca="false">$K$133-$K$134</f>
        <v>21.6844952059125</v>
      </c>
      <c r="L135" s="38" t="n">
        <f aca="false">$L$133-$L$134</f>
        <v>17.8111545494804</v>
      </c>
    </row>
    <row r="136" customFormat="false" ht="15" hidden="false" customHeight="false" outlineLevel="0" collapsed="false">
      <c r="B136" s="9" t="s">
        <v>611</v>
      </c>
      <c r="F136" s="38" t="n">
        <f aca="false">$F$129-$F$134-$F$83-$F$87-$F$89</f>
        <v>26.46</v>
      </c>
      <c r="G136" s="38" t="n">
        <f aca="false">$G$129-$G$134-$G$83-$G$87-$G$89</f>
        <v>28.41744</v>
      </c>
      <c r="H136" s="38" t="n">
        <f aca="false">$H$129-$H$134-$H$83-$H$87-$H$89</f>
        <v>36.75056</v>
      </c>
      <c r="I136" s="38" t="n">
        <f aca="false">$I$129-$I$134-$I$83-$I$87-$I$89</f>
        <v>40.2148992</v>
      </c>
      <c r="J136" s="38" t="n">
        <f aca="false">$J$129-$J$134-$J$83-$J$87-$J$89</f>
        <v>42.45028816</v>
      </c>
      <c r="K136" s="38" t="n">
        <f aca="false">$K$129-$K$134-$K$83-$K$87-$K$89</f>
        <v>44.0642996864</v>
      </c>
      <c r="L136" s="38" t="n">
        <f aca="false">$L$129-$L$134-$L$83-$L$87-$L$89</f>
        <v>45.742871673856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9.18764</v>
      </c>
      <c r="I139" s="40" t="n">
        <f aca="false">IF($I$136&lt;0,0,Assumptions!$D$7*($I$136-$I$137))</f>
        <v>10.0537248</v>
      </c>
      <c r="J139" s="40" t="n">
        <f aca="false">IF($J$136&lt;0,0,Assumptions!$D$7*($J$136-$J$137))</f>
        <v>10.61257204</v>
      </c>
      <c r="K139" s="40" t="n">
        <f aca="false">IF($K$136&lt;0,0,Assumptions!$D$7*($K$136-$K$137))</f>
        <v>11.0160749216</v>
      </c>
      <c r="L139" s="40" t="n">
        <f aca="false">IF($L$136&lt;0,0,Assumptions!$D$7*($L$136-$L$137))</f>
        <v>11.435717918464</v>
      </c>
    </row>
    <row r="140" customFormat="false" ht="15" hidden="false" customHeight="false" outlineLevel="0" collapsed="false">
      <c r="B140" s="9" t="s">
        <v>615</v>
      </c>
      <c r="F140" s="19" t="n">
        <f aca="false">$F$131-$F$139</f>
        <v>10.8142857142857</v>
      </c>
      <c r="G140" s="19" t="n">
        <f aca="false">$G$131-$G$139</f>
        <v>14.7360507142857</v>
      </c>
      <c r="H140" s="19" t="n">
        <f aca="false">$H$131-$H$139</f>
        <v>21.8346058767857</v>
      </c>
      <c r="I140" s="19" t="n">
        <f aca="false">$I$131-$I$139</f>
        <v>27.706085896567</v>
      </c>
      <c r="J140" s="19" t="n">
        <f aca="false">$J$131-$J$139</f>
        <v>31.9873462957075</v>
      </c>
      <c r="K140" s="19" t="n">
        <f aca="false">$K$131-$K$139</f>
        <v>35.0052455812559</v>
      </c>
      <c r="L140" s="19" t="n">
        <f aca="false">$L$131-$L$139</f>
        <v>38.1804944118241</v>
      </c>
    </row>
    <row r="141" customFormat="false" ht="15" hidden="false" customHeight="false" outlineLevel="0" collapsed="false">
      <c r="B141" s="9" t="s">
        <v>616</v>
      </c>
      <c r="F141" s="38" t="n">
        <f aca="false">Assumptions!$D$7*($F$129-$F$130)</f>
        <v>4.35732142857143</v>
      </c>
      <c r="G141" s="38" t="n">
        <f aca="false">Assumptions!$D$7*($G$129-$G$130)</f>
        <v>5.83510267857143</v>
      </c>
      <c r="H141" s="38" t="n">
        <f aca="false">Assumptions!$D$7*($H$129-$H$130)</f>
        <v>7.75556146919643</v>
      </c>
      <c r="I141" s="38" t="n">
        <f aca="false">Assumptions!$D$7*($I$129-$I$130)</f>
        <v>9.43995267414174</v>
      </c>
      <c r="J141" s="38" t="n">
        <f aca="false">Assumptions!$D$7*($J$129-$J$130)</f>
        <v>10.6499795839269</v>
      </c>
      <c r="K141" s="38" t="n">
        <f aca="false">Assumptions!$D$7*($K$129-$K$130)</f>
        <v>11.505330125714</v>
      </c>
      <c r="L141" s="38" t="n">
        <f aca="false">Assumptions!$D$7*($L$129-$L$130)</f>
        <v>12.404053082572</v>
      </c>
    </row>
    <row r="142" customFormat="false" ht="15" hidden="false" customHeight="false" outlineLevel="0" collapsed="false">
      <c r="B142" s="9" t="s">
        <v>617</v>
      </c>
      <c r="F142" s="38" t="n">
        <f aca="false">$F$139-$F$141</f>
        <v>2.25767857142857</v>
      </c>
      <c r="G142" s="38" t="n">
        <f aca="false">$G$139-$G$141</f>
        <v>1.26925732142857</v>
      </c>
      <c r="H142" s="38" t="n">
        <f aca="false">$H$139-$H$141</f>
        <v>1.43207853080357</v>
      </c>
      <c r="I142" s="38" t="n">
        <f aca="false">$I$139-$I$141</f>
        <v>0.613772125858258</v>
      </c>
      <c r="J142" s="38" t="n">
        <f aca="false">$J$139-$J$141</f>
        <v>-0.0374075439268697</v>
      </c>
      <c r="K142" s="38" t="n">
        <f aca="false">$K$139-$K$141</f>
        <v>-0.489255204113977</v>
      </c>
      <c r="L142" s="38" t="n">
        <f aca="false">$L$139-$L$141</f>
        <v>-0.96833516410803</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14.555</v>
      </c>
      <c r="G145" s="19" t="n">
        <f aca="false">$G$123</f>
        <v>12.1941825</v>
      </c>
      <c r="H145" s="19" t="n">
        <f aca="false">$H$123</f>
        <v>21.24548333125</v>
      </c>
      <c r="I145" s="19" t="n">
        <f aca="false">$I$123</f>
        <v>37.1068779951485</v>
      </c>
      <c r="J145" s="19" t="n">
        <f aca="false">$J$123</f>
        <v>67.1186458405702</v>
      </c>
      <c r="K145" s="19" t="n">
        <f aca="false">$K$123</f>
        <v>100.6130630797</v>
      </c>
      <c r="L145" s="19" t="n">
        <f aca="false">$L$123</f>
        <v>137.290467444285</v>
      </c>
    </row>
    <row r="146" customFormat="false" ht="15" hidden="false" customHeight="false" outlineLevel="0" collapsed="false">
      <c r="B146" s="9" t="s">
        <v>619</v>
      </c>
      <c r="E146" s="19" t="n">
        <f aca="false">$E$78</f>
        <v>38.4</v>
      </c>
      <c r="F146" s="19" t="n">
        <f aca="false">$F$78</f>
        <v>40.32</v>
      </c>
      <c r="G146" s="19" t="n">
        <f aca="false">$G$78</f>
        <v>49.9392</v>
      </c>
      <c r="H146" s="19" t="n">
        <f aca="false">$H$78</f>
        <v>51.936768</v>
      </c>
      <c r="I146" s="19" t="n">
        <f aca="false">$I$78</f>
        <v>55.34770176</v>
      </c>
      <c r="J146" s="19" t="n">
        <f aca="false">$J$78</f>
        <v>58.037211648</v>
      </c>
      <c r="K146" s="19" t="n">
        <f aca="false">$K$78</f>
        <v>60.35870011392</v>
      </c>
      <c r="L146" s="19" t="n">
        <f aca="false">$L$78</f>
        <v>62.7730481184768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48.375168</v>
      </c>
      <c r="I147" s="19" t="n">
        <f aca="false">$H$147+$I$75-$I$74+IF(AND($D$12=1,$I$64=Assumptions!$D$116),Assumptions!$D$124*Assumptions!$D$117,0)</f>
        <v>46.06901376</v>
      </c>
      <c r="J147" s="19" t="n">
        <f aca="false">$I$147+$J$75-$J$74+IF(AND($D$12=1,$J$64=Assumptions!$D$116),Assumptions!$D$124*Assumptions!$D$117,0)</f>
        <v>43.650796608</v>
      </c>
      <c r="K147" s="19" t="n">
        <f aca="false">$J$147+$K$75-$K$74+IF(AND($D$12=1,$K$64=Assumptions!$D$116),Assumptions!$D$124*Assumptions!$D$117,0)</f>
        <v>41.13585076992</v>
      </c>
      <c r="L147" s="19" t="n">
        <f aca="false">$K$147+$L$75-$L$74+IF(AND($D$12=1,$L$64=Assumptions!$D$116),Assumptions!$D$124*Assumptions!$D$117,0)</f>
        <v>38.5203070983168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469.509285714286</v>
      </c>
      <c r="G150" s="18" t="n">
        <f aca="false">$G$145+$G$146+$G$147+$G$148+$G$149</f>
        <v>519.801153928572</v>
      </c>
      <c r="H150" s="18" t="n">
        <f aca="false">$H$145+$H$146+$H$147+$H$148+$H$149</f>
        <v>527.740276474107</v>
      </c>
      <c r="I150" s="18" t="n">
        <f aca="false">$I$145+$I$146+$I$147+$I$148+$I$149</f>
        <v>543.760736372291</v>
      </c>
      <c r="J150" s="18" t="n">
        <f aca="false">$J$145+$J$146+$J$147+$J$148+$J$149</f>
        <v>573.098082667999</v>
      </c>
      <c r="K150" s="18" t="n">
        <f aca="false">$K$145+$K$146+$K$147+$K$148+$K$149</f>
        <v>605.453328249255</v>
      </c>
      <c r="L150" s="18" t="n">
        <f aca="false">$L$145+$L$146+$L$147+$L$148+$L$149</f>
        <v>640.983822661079</v>
      </c>
    </row>
    <row r="151" customFormat="false" ht="15" hidden="false" customHeight="false" outlineLevel="0" collapsed="false">
      <c r="B151" s="9" t="s">
        <v>291</v>
      </c>
      <c r="E151" s="19" t="n">
        <f aca="false">$E$122</f>
        <v>275</v>
      </c>
      <c r="F151" s="19" t="n">
        <f aca="false">$F$122</f>
        <v>268.195</v>
      </c>
      <c r="G151" s="19" t="n">
        <f aca="false">$G$122</f>
        <v>303.7508175</v>
      </c>
      <c r="H151" s="19" t="n">
        <f aca="false">$H$122</f>
        <v>289.85533416875</v>
      </c>
      <c r="I151" s="19" t="n">
        <f aca="false">$I$122</f>
        <v>278.169708170367</v>
      </c>
      <c r="J151" s="19" t="n">
        <f aca="false">$J$122</f>
        <v>275.519708170367</v>
      </c>
      <c r="K151" s="19" t="n">
        <f aca="false">$K$122</f>
        <v>272.869708170367</v>
      </c>
      <c r="L151" s="19" t="n">
        <f aca="false">$L$122</f>
        <v>270.219708170367</v>
      </c>
    </row>
    <row r="152" customFormat="false" ht="15" hidden="false" customHeight="false" outlineLevel="0" collapsed="false">
      <c r="B152" s="9" t="s">
        <v>624</v>
      </c>
      <c r="E152" s="19" t="n">
        <f aca="false">$D$46-Assumptions!$D$76</f>
        <v>190.5</v>
      </c>
      <c r="F152" s="19" t="n">
        <f aca="false">$E$152+$F$140-$F$88+$F$90</f>
        <v>201.314285714286</v>
      </c>
      <c r="G152" s="19" t="n">
        <f aca="false">$F$152+$G$140-$G$88+$G$90</f>
        <v>216.050336428571</v>
      </c>
      <c r="H152" s="19" t="n">
        <f aca="false">$G$152+$H$140-$H$88+$H$90</f>
        <v>237.884942305357</v>
      </c>
      <c r="I152" s="19" t="n">
        <f aca="false">$H$152+$I$140-$I$88+$I$90</f>
        <v>265.591028201924</v>
      </c>
      <c r="J152" s="19" t="n">
        <f aca="false">$I$152+$J$140-$J$88+$J$90</f>
        <v>297.578374497632</v>
      </c>
      <c r="K152" s="19" t="n">
        <f aca="false">$J$152+$K$140-$K$88+$K$90</f>
        <v>332.583620078888</v>
      </c>
      <c r="L152" s="19" t="n">
        <f aca="false">$K$152+$L$140-$L$88+$L$90</f>
        <v>370.764114490712</v>
      </c>
    </row>
    <row r="153" customFormat="false" ht="15" hidden="false" customHeight="false" outlineLevel="0" collapsed="false">
      <c r="B153" s="17" t="s">
        <v>625</v>
      </c>
      <c r="E153" s="18" t="n">
        <f aca="false">$E$151+$E$152</f>
        <v>465.5</v>
      </c>
      <c r="F153" s="18" t="n">
        <f aca="false">$F$151+$F$152</f>
        <v>469.509285714286</v>
      </c>
      <c r="G153" s="18" t="n">
        <f aca="false">$G$151+$G$152</f>
        <v>519.801153928572</v>
      </c>
      <c r="H153" s="18" t="n">
        <f aca="false">$H$151+$H$152</f>
        <v>527.740276474107</v>
      </c>
      <c r="I153" s="18" t="n">
        <f aca="false">$I$151+$I$152</f>
        <v>543.760736372291</v>
      </c>
      <c r="J153" s="18" t="n">
        <f aca="false">$J$151+$J$152</f>
        <v>573.098082667999</v>
      </c>
      <c r="K153" s="18" t="n">
        <f aca="false">$K$151+$K$152</f>
        <v>605.453328249255</v>
      </c>
      <c r="L153" s="18" t="n">
        <f aca="false">$L$151+$L$152</f>
        <v>640.983822661079</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74.14112</v>
      </c>
      <c r="I157" s="19" t="n">
        <f aca="false">$I$72+IF(AND($D$12=1,$I$64=Assumptions!$D$116),Assumptions!$D$118,0)</f>
        <v>80.5113984</v>
      </c>
      <c r="J157" s="19" t="n">
        <f aca="false">$J$72+IF(AND($D$12=1,$J$64=Assumptions!$D$116),Assumptions!$D$118,0)</f>
        <v>84.82544032</v>
      </c>
      <c r="K157" s="19" t="n">
        <f aca="false">$K$72+IF(AND($D$12=1,$K$64=Assumptions!$D$116),Assumptions!$D$118,0)</f>
        <v>88.0984579328</v>
      </c>
      <c r="L157" s="19" t="n">
        <f aca="false">$L$72+IF(AND($D$12=1,$L$64=Assumptions!$D$116),Assumptions!$D$118,0)</f>
        <v>91.502396250112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76.14112</v>
      </c>
      <c r="I159" s="18" t="n">
        <f aca="false">$I$157+$I$158+$I$90</f>
        <v>81.0113984</v>
      </c>
      <c r="J159" s="18" t="n">
        <f aca="false">$J$157+$J$158+$J$90</f>
        <v>84.82544032</v>
      </c>
      <c r="K159" s="18" t="n">
        <f aca="false">$K$157+$K$158+$K$90</f>
        <v>88.0984579328</v>
      </c>
      <c r="L159" s="18" t="n">
        <f aca="false">$L$157+$L$158+$L$90</f>
        <v>91.502396250112</v>
      </c>
    </row>
    <row r="160" customFormat="false" ht="15" hidden="false" customHeight="false" outlineLevel="0" collapsed="false">
      <c r="B160" s="9" t="s">
        <v>631</v>
      </c>
      <c r="F160" s="19" t="n">
        <f aca="false">$F$124</f>
        <v>253.64</v>
      </c>
      <c r="G160" s="19" t="n">
        <f aca="false">$G$124</f>
        <v>291.556635</v>
      </c>
      <c r="H160" s="19" t="n">
        <f aca="false">$H$124</f>
        <v>268.6098508375</v>
      </c>
      <c r="I160" s="19" t="n">
        <f aca="false">$I$124</f>
        <v>241.062830175219</v>
      </c>
      <c r="J160" s="19" t="n">
        <f aca="false">$J$124</f>
        <v>208.401062329797</v>
      </c>
      <c r="K160" s="19" t="n">
        <f aca="false">$K$124</f>
        <v>172.256645090667</v>
      </c>
      <c r="L160" s="19" t="n">
        <f aca="false">$L$124</f>
        <v>132.929240726082</v>
      </c>
    </row>
    <row r="161" customFormat="false" ht="15" hidden="false" customHeight="false" outlineLevel="0" collapsed="false">
      <c r="B161" s="17" t="s">
        <v>632</v>
      </c>
      <c r="F161" s="41" t="n">
        <f aca="false">$F$124/$F$159</f>
        <v>4.64542124542125</v>
      </c>
      <c r="G161" s="41" t="n">
        <f aca="false">$G$124/$G$159</f>
        <v>4.0750250883333</v>
      </c>
      <c r="H161" s="41" t="n">
        <f aca="false">$H$124/$H$159</f>
        <v>3.5277895943414</v>
      </c>
      <c r="I161" s="41" t="n">
        <f aca="false">$I$124/$I$159</f>
        <v>2.97566558455086</v>
      </c>
      <c r="J161" s="41" t="n">
        <f aca="false">$J$124/$J$159</f>
        <v>2.45682264122195</v>
      </c>
      <c r="K161" s="41" t="n">
        <f aca="false">$K$124/$K$159</f>
        <v>1.95527423671889</v>
      </c>
      <c r="L161" s="41" t="n">
        <f aca="false">$L$124/$L$159</f>
        <v>1.45274054203711</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1.10457875457876</v>
      </c>
      <c r="G163" s="24" t="n">
        <f aca="false">$G$162-$G$161</f>
        <v>1.1749749116667</v>
      </c>
      <c r="H163" s="24" t="n">
        <f aca="false">$H$162-$H$161</f>
        <v>1.2222104056586</v>
      </c>
      <c r="I163" s="24" t="n">
        <f aca="false">$I$162-$I$161</f>
        <v>1.27433441544914</v>
      </c>
      <c r="J163" s="24" t="n">
        <f aca="false">$J$162-$J$161</f>
        <v>1.54317735877805</v>
      </c>
      <c r="K163" s="24" t="n">
        <f aca="false">$K$162-$K$161</f>
        <v>2.04472576328111</v>
      </c>
      <c r="L163" s="24" t="n">
        <f aca="false">$L$162-$L$161</f>
        <v>2.54725945796289</v>
      </c>
    </row>
    <row r="164" customFormat="false" ht="15" hidden="false" customHeight="false" outlineLevel="0" collapsed="false">
      <c r="B164" s="9" t="s">
        <v>635</v>
      </c>
      <c r="F164" s="14" t="n">
        <f aca="false">1-$F$124/($F$162*$F$159)</f>
        <v>0.192100652970218</v>
      </c>
      <c r="G164" s="14" t="n">
        <f aca="false">1-$G$124/($G$162*$G$159)</f>
        <v>0.223804745079372</v>
      </c>
      <c r="H164" s="14" t="n">
        <f aca="false">1-$H$124/($H$162*$H$159)</f>
        <v>0.257307453822863</v>
      </c>
      <c r="I164" s="14" t="n">
        <f aca="false">1-$I$124/($I$162*$I$159)</f>
        <v>0.299843391870386</v>
      </c>
      <c r="J164" s="14" t="n">
        <f aca="false">1-$J$124/($J$162*$J$159)</f>
        <v>0.385794339694514</v>
      </c>
      <c r="K164" s="14" t="n">
        <f aca="false">1-$K$124/($K$162*$K$159)</f>
        <v>0.511181440820278</v>
      </c>
      <c r="L164" s="14" t="n">
        <f aca="false">1-$L$124/($L$162*$L$159)</f>
        <v>0.636814864490723</v>
      </c>
    </row>
    <row r="165" customFormat="false" ht="15" hidden="false" customHeight="false" outlineLevel="0" collapsed="false">
      <c r="B165" s="9" t="s">
        <v>636</v>
      </c>
      <c r="F165" s="19" t="n">
        <f aca="false">$F$164*$F$159</f>
        <v>10.4886956521739</v>
      </c>
      <c r="G165" s="19" t="n">
        <f aca="false">$G$164*$G$159</f>
        <v>16.0126028571429</v>
      </c>
      <c r="H165" s="19" t="n">
        <f aca="false">$H$164*$H$159</f>
        <v>19.5916777184211</v>
      </c>
      <c r="I165" s="19" t="n">
        <f aca="false">$I$164*$I$159</f>
        <v>24.2907324764191</v>
      </c>
      <c r="J165" s="19" t="n">
        <f aca="false">$J$164*$J$159</f>
        <v>32.7251747375508</v>
      </c>
      <c r="K165" s="19" t="n">
        <f aca="false">$K$164*$K$159</f>
        <v>45.0342966601333</v>
      </c>
      <c r="L165" s="19" t="n">
        <f aca="false">$L$164*$L$159</f>
        <v>58.2700860685915</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-1.10457875457876</v>
      </c>
      <c r="G167" s="24" t="n">
        <f aca="false">$G$125-Assumptions!$G$169</f>
        <v>-0.434638843745047</v>
      </c>
      <c r="H167" s="24" t="n">
        <f aca="false">$H$125-Assumptions!$H$169</f>
        <v>-1.12704622161764</v>
      </c>
      <c r="I167" s="24" t="n">
        <f aca="false">$I$125-Assumptions!$I$169</f>
        <v>-1.25585463715882</v>
      </c>
      <c r="J167" s="24" t="n">
        <f aca="false">$J$125-Assumptions!$J$169</f>
        <v>-1.54317735877805</v>
      </c>
      <c r="K167" s="24" t="n">
        <f aca="false">$K$125-Assumptions!$K$169</f>
        <v>-2.04472576328111</v>
      </c>
      <c r="L167" s="24" t="n">
        <f aca="false">$L$125-Assumptions!$L$169</f>
        <v>-2.54725945796289</v>
      </c>
    </row>
    <row r="168" customFormat="false" ht="15" hidden="false" customHeight="false" outlineLevel="0" collapsed="false">
      <c r="B168" s="9" t="s">
        <v>639</v>
      </c>
      <c r="F168" s="24" t="n">
        <f aca="false">$F$161-$F$162</f>
        <v>-1.10457875457876</v>
      </c>
      <c r="G168" s="24" t="n">
        <f aca="false">$G$161-$G$162</f>
        <v>-1.1749749116667</v>
      </c>
      <c r="H168" s="24" t="n">
        <f aca="false">$H$161-$H$162</f>
        <v>-1.2222104056586</v>
      </c>
      <c r="I168" s="24" t="n">
        <f aca="false">$I$161-$I$162</f>
        <v>-1.27433441544914</v>
      </c>
      <c r="J168" s="24" t="n">
        <f aca="false">$J$161-$J$162</f>
        <v>-1.54317735877805</v>
      </c>
      <c r="K168" s="24" t="n">
        <f aca="false">$K$161-$K$162</f>
        <v>-2.04472576328111</v>
      </c>
      <c r="L168" s="24" t="n">
        <f aca="false">$L$161-$L$162</f>
        <v>-2.54725945796289</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84.82544032</v>
      </c>
    </row>
    <row r="172" customFormat="false" ht="15" hidden="false" customHeight="false" outlineLevel="0" collapsed="false">
      <c r="B172" s="17" t="s">
        <v>641</v>
      </c>
      <c r="D172" s="18" t="n">
        <f aca="false">$D$7*$D$171</f>
        <v>763.42896288</v>
      </c>
    </row>
    <row r="173" customFormat="false" ht="15" hidden="false" customHeight="false" outlineLevel="0" collapsed="false">
      <c r="B173" s="9" t="s">
        <v>642</v>
      </c>
      <c r="D173" s="19" t="n">
        <f aca="false">INDEX($E$124:$L$124,1,$D$170+1)</f>
        <v>208.401062329797</v>
      </c>
    </row>
    <row r="174" customFormat="false" ht="15" hidden="false" customHeight="false" outlineLevel="0" collapsed="false">
      <c r="B174" s="9" t="s">
        <v>643</v>
      </c>
      <c r="D174" s="19" t="n">
        <f aca="false">INDEX($E$118:$L$118,1,$D$170+1)</f>
        <v>225.519708170367</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67.1186458405702</v>
      </c>
    </row>
    <row r="178" customFormat="false" ht="15" hidden="false" customHeight="false" outlineLevel="0" collapsed="false">
      <c r="B178" s="9" t="s">
        <v>647</v>
      </c>
      <c r="D178" s="19" t="n">
        <f aca="false">$D$20*$D$172</f>
        <v>11.4514344432</v>
      </c>
    </row>
    <row r="179" customFormat="false" ht="15" hidden="false" customHeight="false" outlineLevel="0" collapsed="false">
      <c r="B179" s="17" t="s">
        <v>195</v>
      </c>
      <c r="D179" s="18" t="n">
        <f aca="false">$D$172-$D$173-$D$178</f>
        <v>543.576466107003</v>
      </c>
    </row>
    <row r="180" customFormat="false" ht="15" hidden="false" customHeight="false" outlineLevel="0" collapsed="false">
      <c r="B180" s="9" t="s">
        <v>648</v>
      </c>
      <c r="D180" s="19" t="n">
        <f aca="false">$D$171*(1-$D$20)</f>
        <v>83.5530587152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2.58045174409221</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2.58045174409221</v>
      </c>
    </row>
    <row r="195" customFormat="false" ht="15" hidden="false" customHeight="false" outlineLevel="0" collapsed="false">
      <c r="B195" s="9" t="s">
        <v>663</v>
      </c>
      <c r="D195" s="34" t="n">
        <f aca="false">IF($D$194&gt;=Assumptions!$D$110,$D$191,$D$191*0.5)</f>
        <v>17.3913043478261</v>
      </c>
    </row>
    <row r="196" customFormat="false" ht="15" hidden="false" customHeight="false" outlineLevel="0" collapsed="false">
      <c r="B196" s="9" t="s">
        <v>664</v>
      </c>
      <c r="D196" s="35" t="n">
        <f aca="false">($D$179+$D$195*Assumptions!$D$108)/($D$189+$D$195)</f>
        <v>2.58045174409221</v>
      </c>
    </row>
    <row r="197" customFormat="false" ht="15" hidden="false" customHeight="false" outlineLevel="0" collapsed="false">
      <c r="B197" s="9" t="s">
        <v>665</v>
      </c>
      <c r="D197" s="34" t="n">
        <f aca="false">IF($D$196&lt;Assumptions!$D$108,0,$D$195)</f>
        <v>17.3913043478261</v>
      </c>
    </row>
    <row r="198" customFormat="false" ht="15" hidden="false" customHeight="false" outlineLevel="0" collapsed="false">
      <c r="B198" s="17" t="s">
        <v>666</v>
      </c>
      <c r="D198" s="43" t="n">
        <f aca="false">IF($D$196&lt;Assumptions!$D$108,$D$179/$D$189,$D$196)</f>
        <v>2.58045174409221</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490.285831377521</v>
      </c>
    </row>
    <row r="201" customFormat="false" ht="15" hidden="false" customHeight="false" outlineLevel="0" collapsed="false">
      <c r="B201" s="9" t="s">
        <v>668</v>
      </c>
      <c r="D201" s="14" t="n">
        <f aca="false">$D$200/$D$179</f>
        <v>0.901962947161528</v>
      </c>
    </row>
    <row r="202" customFormat="false" ht="15" hidden="false" customHeight="false" outlineLevel="0" collapsed="false">
      <c r="B202" s="9" t="s">
        <v>669</v>
      </c>
      <c r="D202" s="19" t="n">
        <f aca="false">$D$185*$D$198</f>
        <v>25.8045174409221</v>
      </c>
    </row>
    <row r="203" customFormat="false" ht="15" hidden="false" customHeight="false" outlineLevel="0" collapsed="false">
      <c r="B203" s="9" t="s">
        <v>670</v>
      </c>
      <c r="D203" s="19" t="n">
        <f aca="false">$D$197*MAX(0,$D$198-Assumptions!$D$108)</f>
        <v>27.4861172885602</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53.2906347294824</v>
      </c>
    </row>
    <row r="206" customFormat="false" ht="15" hidden="false" customHeight="false" outlineLevel="0" collapsed="false">
      <c r="B206" s="9" t="s">
        <v>673</v>
      </c>
      <c r="D206" s="24" t="n">
        <f aca="false">$D$205/$D$47</f>
        <v>5.32906347294824</v>
      </c>
    </row>
    <row r="207" customFormat="false" ht="15" hidden="false" customHeight="false" outlineLevel="0" collapsed="false">
      <c r="B207" s="9" t="s">
        <v>674</v>
      </c>
      <c r="D207" s="19" t="n">
        <f aca="false">$D$187*$D$198</f>
        <v>10.3218069763689</v>
      </c>
    </row>
    <row r="208" customFormat="false" ht="15" hidden="false" customHeight="false" outlineLevel="0" collapsed="false">
      <c r="B208" s="9" t="s">
        <v>675</v>
      </c>
      <c r="D208" s="19" t="n">
        <f aca="false">$D$203*Assumptions!$D$112</f>
        <v>9.62014105099608</v>
      </c>
    </row>
    <row r="209" customFormat="false" ht="15" hidden="false" customHeight="false" outlineLevel="0" collapsed="false">
      <c r="B209" s="9" t="s">
        <v>676</v>
      </c>
      <c r="D209" s="19" t="n">
        <f aca="false">$D$207+$D$208</f>
        <v>19.9419480273649</v>
      </c>
    </row>
    <row r="210" customFormat="false" ht="15" hidden="false" customHeight="false" outlineLevel="0" collapsed="false">
      <c r="B210" s="9" t="s">
        <v>677</v>
      </c>
      <c r="D210" s="24" t="n">
        <f aca="false">$D$209/Assumptions!$D$111</f>
        <v>4.98548700684123</v>
      </c>
    </row>
    <row r="211" customFormat="false" ht="15" hidden="false" customHeight="false" outlineLevel="0" collapsed="false">
      <c r="B211" s="9" t="s">
        <v>678</v>
      </c>
      <c r="D211" s="19" t="n">
        <f aca="false">$D$179*$D$190/$D$189</f>
        <v>516.397642801653</v>
      </c>
    </row>
    <row r="212" customFormat="false" ht="15" hidden="false" customHeight="false" outlineLevel="0" collapsed="false">
      <c r="B212" s="9" t="s">
        <v>679</v>
      </c>
      <c r="D212" s="19" t="n">
        <f aca="false">$D$211-$D$200</f>
        <v>26.1118114241322</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490.285831377521</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543.576466107003</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0.208757407070763</v>
      </c>
    </row>
    <row r="224" customFormat="false" ht="15" hidden="false" customHeight="false" outlineLevel="0" collapsed="false">
      <c r="B224" s="9" t="s">
        <v>689</v>
      </c>
      <c r="D224" s="25" t="n">
        <f aca="false">XIRR($E$219:$L$219,$E$221:$L$221,0.1)</f>
        <v>0.208631908757545</v>
      </c>
    </row>
    <row r="225" customFormat="false" ht="15" hidden="false" customHeight="false" outlineLevel="0" collapsed="false">
      <c r="B225" s="17" t="s">
        <v>690</v>
      </c>
      <c r="D225" s="41" t="n">
        <f aca="false">SUMIF($E$219:$L$219,"&gt;0")/-SUMIF($E$219:$L$219,"&lt;0")</f>
        <v>2.58045174409221</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0.221366854851792</v>
      </c>
    </row>
    <row r="228" customFormat="false" ht="15" hidden="false" customHeight="false" outlineLevel="0" collapsed="false">
      <c r="B228" s="9" t="s">
        <v>693</v>
      </c>
      <c r="D228" s="24" t="n">
        <f aca="false">SUMIF($E$220:$L$220,"&gt;0")/-SUMIF($E$220:$L$220,"&lt;0")</f>
        <v>2.71788233053502</v>
      </c>
    </row>
    <row r="229" customFormat="false" ht="15" hidden="false" customHeight="false" outlineLevel="0" collapsed="false">
      <c r="B229" s="9" t="s">
        <v>694</v>
      </c>
      <c r="D229" s="19" t="n">
        <f aca="false">SUM($E$220:$L$220)</f>
        <v>343.576466107003</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109.398937670203</v>
      </c>
    </row>
    <row r="232" customFormat="false" ht="15" hidden="false" customHeight="false" outlineLevel="0" collapsed="false">
      <c r="B232" s="9" t="s">
        <v>697</v>
      </c>
      <c r="D232" s="19" t="n">
        <f aca="false">SUMPRODUCT(($F$64:$L$64&lt;=$D$170)*$F$105:$L$105)</f>
        <v>125.620492209797</v>
      </c>
    </row>
    <row r="233" customFormat="false" ht="15" hidden="false" customHeight="false" outlineLevel="0" collapsed="false">
      <c r="B233" s="9" t="s">
        <v>698</v>
      </c>
      <c r="D233" s="19" t="n">
        <f aca="false">SUMPRODUCT(($F$64:$L$64&lt;=$D$170)*$F$139:$L$139)</f>
        <v>43.57329684</v>
      </c>
    </row>
    <row r="234" customFormat="false" ht="15" hidden="false" customHeight="false" outlineLevel="0" collapsed="false">
      <c r="B234" s="9" t="s">
        <v>699</v>
      </c>
      <c r="D234" s="38" t="n">
        <f aca="false">SUMPRODUCT(($F$64:$L$64&lt;=$D$170)*$F$109:$L$109)</f>
        <v>12.45</v>
      </c>
    </row>
    <row r="235" customFormat="false" ht="15" hidden="false" customHeight="false" outlineLevel="0" collapsed="false">
      <c r="B235" s="9" t="s">
        <v>700</v>
      </c>
      <c r="D235" s="19" t="n">
        <f aca="false">SUMPRODUCT(($F$64:$L$64&lt;=$D$170)*$F$115:$L$115)</f>
        <v>27.0302918296328</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39.4802918296328</v>
      </c>
    </row>
    <row r="238" customFormat="false" ht="15" hidden="false" customHeight="false" outlineLevel="0" collapsed="false">
      <c r="B238" s="9" t="s">
        <v>703</v>
      </c>
      <c r="D238" s="19" t="n">
        <f aca="false">$D$54-$D$173</f>
        <v>56.598937670203</v>
      </c>
    </row>
    <row r="239" customFormat="false" ht="15" hidden="false" customHeight="false" outlineLevel="0" collapsed="false">
      <c r="B239" s="9" t="s">
        <v>704</v>
      </c>
      <c r="D239" s="25" t="n">
        <f aca="false">($D$171/$D$28)^(1/$D$170)-1</f>
        <v>0.111504495813316</v>
      </c>
    </row>
    <row r="240" customFormat="false" ht="15" hidden="false" customHeight="false" outlineLevel="0" collapsed="false">
      <c r="B240" s="9" t="s">
        <v>705</v>
      </c>
      <c r="D240" s="25" t="n">
        <f aca="false">(INDEX($E$71:$L$71,1,$D$170+1)/Assumptions!$D$13)^(1/$D$170)-1</f>
        <v>0.0861131275195481</v>
      </c>
    </row>
    <row r="241" customFormat="false" ht="15" hidden="false" customHeight="false" outlineLevel="0" collapsed="false">
      <c r="B241" s="9" t="s">
        <v>233</v>
      </c>
      <c r="D241" s="19" t="n">
        <f aca="false">$D$172-$D$29</f>
        <v>313.42896288</v>
      </c>
    </row>
    <row r="242" customFormat="false" ht="15" hidden="false" customHeight="false" outlineLevel="0" collapsed="false">
      <c r="B242" s="9" t="s">
        <v>234</v>
      </c>
      <c r="D242" s="14" t="n">
        <f aca="false">$D$172/$D$29-1</f>
        <v>0.6965088064</v>
      </c>
    </row>
    <row r="243" customFormat="false" ht="15" hidden="false" customHeight="false" outlineLevel="0" collapsed="false">
      <c r="B243" s="9" t="s">
        <v>235</v>
      </c>
      <c r="D243" s="25" t="n">
        <f aca="false">($D$172/$D$29)^(1/$D$170)-1</f>
        <v>0.111504495813316</v>
      </c>
    </row>
    <row r="244" customFormat="false" ht="15" hidden="false" customHeight="false" outlineLevel="0" collapsed="false">
      <c r="B244" s="9" t="s">
        <v>236</v>
      </c>
      <c r="D244" s="14" t="n">
        <f aca="false">$D$179/$D$46-1</f>
        <v>1.71788233053501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710</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Assumptions!$D$150</f>
        <v>-0.12</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Assumptions!$D$151</f>
        <v>-0.045</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313.4208</v>
      </c>
      <c r="I65" s="19" t="n">
        <f aca="false">$H$65*(1+$I$24)</f>
        <v>335.360256</v>
      </c>
      <c r="J65" s="19" t="n">
        <f aca="false">$I$65*(1+$J$24)</f>
        <v>352.1282688</v>
      </c>
      <c r="K65" s="19" t="n">
        <f aca="false">$J$65*(1+$K$24)</f>
        <v>366.213399552</v>
      </c>
      <c r="L65" s="19" t="n">
        <f aca="false">$K$65*(1+$L$24)</f>
        <v>380.86193553408</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0.13</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40.744704</v>
      </c>
      <c r="I67" s="19" t="n">
        <f aca="false">$I$65*$I$66</f>
        <v>55.33444224</v>
      </c>
      <c r="J67" s="19" t="n">
        <f aca="false">$J$65*$J$66</f>
        <v>61.62244704</v>
      </c>
      <c r="K67" s="19" t="n">
        <f aca="false">$K$65*$K$66</f>
        <v>64.0873449216</v>
      </c>
      <c r="L67" s="19" t="n">
        <f aca="false">$L$65*$L$66</f>
        <v>66.650838718464</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375.8208</v>
      </c>
      <c r="I71" s="18" t="n">
        <f aca="false">$I$65+IF(AND($D$12=1,$I$64&gt;Assumptions!$D$116),$I$68,0)</f>
        <v>400.256256</v>
      </c>
      <c r="J71" s="18" t="n">
        <f aca="false">$J$65+IF(AND($D$12=1,$J$64&gt;Assumptions!$D$116),$J$68,0)</f>
        <v>419.6201088</v>
      </c>
      <c r="K71" s="18" t="n">
        <f aca="false">$K$65+IF(AND($D$12=1,$K$64&gt;Assumptions!$D$116),$K$68,0)</f>
        <v>436.404913152</v>
      </c>
      <c r="L71" s="18" t="n">
        <f aca="false">$L$65+IF(AND($D$12=1,$L$64&gt;Assumptions!$D$116),$L$68,0)</f>
        <v>453.86110967808</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50.064704</v>
      </c>
      <c r="I72" s="18" t="n">
        <f aca="false">$I$67+IF(AND($D$12=1,$I$64&gt;Assumptions!$D$116),$I$69+$I$70,0)</f>
        <v>66.48724224</v>
      </c>
      <c r="J72" s="18" t="n">
        <f aca="false">$J$67+IF(AND($D$12=1,$J$64&gt;Assumptions!$D$116),$J$69+$J$70,0)</f>
        <v>73.62135904</v>
      </c>
      <c r="K72" s="18" t="n">
        <f aca="false">$K$67+IF(AND($D$12=1,$K$64&gt;Assumptions!$D$116),$K$69+$K$70,0)</f>
        <v>76.4462134016</v>
      </c>
      <c r="L72" s="18" t="n">
        <f aca="false">$L$67+IF(AND($D$12=1,$L$64&gt;Assumptions!$D$116),$L$69+$L$70,0)</f>
        <v>79.384061937664</v>
      </c>
    </row>
    <row r="73" customFormat="false" ht="15" hidden="false" customHeight="false" outlineLevel="0" collapsed="false">
      <c r="B73" s="9" t="s">
        <v>555</v>
      </c>
      <c r="E73" s="14" t="n">
        <f aca="false">$E$72/$E$71</f>
        <v>0.15625</v>
      </c>
      <c r="F73" s="14" t="n">
        <f aca="false">$F$72/$F$71</f>
        <v>0.1625</v>
      </c>
      <c r="G73" s="14" t="n">
        <f aca="false">$G$72/$G$71</f>
        <v>0.17</v>
      </c>
      <c r="H73" s="14" t="n">
        <f aca="false">$H$72/$H$71</f>
        <v>0.133214297878138</v>
      </c>
      <c r="I73" s="14" t="n">
        <f aca="false">$I$72/$I$71</f>
        <v>0.166111687808322</v>
      </c>
      <c r="J73" s="14" t="n">
        <f aca="false">$J$72/$J$71</f>
        <v>0.175447642989601</v>
      </c>
      <c r="K73" s="14" t="n">
        <f aca="false">$K$72/$K$71</f>
        <v>0.175172669000117</v>
      </c>
      <c r="L73" s="14" t="n">
        <f aca="false">$L$72/$L$71</f>
        <v>0.174908270933305</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13.153728</v>
      </c>
      <c r="I74" s="19" t="n">
        <f aca="false">Assumptions!$D$29*$I$71</f>
        <v>14.00896896</v>
      </c>
      <c r="J74" s="19" t="n">
        <f aca="false">Assumptions!$D$29*$J$71</f>
        <v>14.686703808</v>
      </c>
      <c r="K74" s="19" t="n">
        <f aca="false">Assumptions!$D$29*$K$71</f>
        <v>15.27417196032</v>
      </c>
      <c r="L74" s="19" t="n">
        <f aca="false">Assumptions!$D$29*$L$71</f>
        <v>15.8851388387328</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11.274624</v>
      </c>
      <c r="I75" s="19" t="n">
        <f aca="false">Assumptions!$D$30*$I$71</f>
        <v>12.00768768</v>
      </c>
      <c r="J75" s="19" t="n">
        <f aca="false">Assumptions!$D$30*$J$71</f>
        <v>12.588603264</v>
      </c>
      <c r="K75" s="19" t="n">
        <f aca="false">Assumptions!$D$30*$K$71</f>
        <v>13.09214739456</v>
      </c>
      <c r="L75" s="19" t="n">
        <f aca="false">Assumptions!$D$30*$L$71</f>
        <v>13.6158332903424</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45.098496</v>
      </c>
      <c r="I76" s="19" t="n">
        <f aca="false">Assumptions!$D$27*$I$71</f>
        <v>48.03075072</v>
      </c>
      <c r="J76" s="19" t="n">
        <f aca="false">Assumptions!$D$27*$J$71</f>
        <v>50.354413056</v>
      </c>
      <c r="K76" s="19" t="n">
        <f aca="false">Assumptions!$D$27*$K$71</f>
        <v>52.36858957824</v>
      </c>
      <c r="L76" s="19" t="n">
        <f aca="false">Assumptions!$D$27*$L$71</f>
        <v>54.4633331613696</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45.098496</v>
      </c>
      <c r="I78" s="19" t="n">
        <f aca="false">$I$76+$I$77</f>
        <v>48.03075072</v>
      </c>
      <c r="J78" s="19" t="n">
        <f aca="false">$J$76+$J$77</f>
        <v>50.354413056</v>
      </c>
      <c r="K78" s="19" t="n">
        <f aca="false">$K$76+$K$77</f>
        <v>52.36858957824</v>
      </c>
      <c r="L78" s="19" t="n">
        <f aca="false">$L$76+$L$77</f>
        <v>54.4633331613696</v>
      </c>
    </row>
    <row r="79" customFormat="false" ht="15" hidden="false" customHeight="false" outlineLevel="0" collapsed="false">
      <c r="B79" s="9" t="s">
        <v>561</v>
      </c>
      <c r="F79" s="19" t="n">
        <f aca="false">$F$78-$E$78-$F$77</f>
        <v>1.92</v>
      </c>
      <c r="G79" s="19" t="n">
        <f aca="false">$G$78-$F$78-$G$77</f>
        <v>2.4192</v>
      </c>
      <c r="H79" s="19" t="n">
        <f aca="false">$H$78-$G$78-$H$77</f>
        <v>-4.840704</v>
      </c>
      <c r="I79" s="19" t="n">
        <f aca="false">$I$78-$H$78-$I$77</f>
        <v>2.93225472</v>
      </c>
      <c r="J79" s="19" t="n">
        <f aca="false">$J$78-$I$78-$J$77</f>
        <v>2.323662336</v>
      </c>
      <c r="K79" s="19" t="n">
        <f aca="false">$K$78-$J$78-$K$77</f>
        <v>2.01417652224</v>
      </c>
      <c r="L79" s="19" t="n">
        <f aca="false">$L$78-$K$78-$L$77</f>
        <v>2.09474358312961</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11.36</v>
      </c>
      <c r="G91" s="18" t="n">
        <f aca="false">$G$72-$G$139-$G$105-$G$75-$G$79-$G$83-$G$87-$G$89</f>
        <v>14.883365</v>
      </c>
      <c r="H91" s="18" t="n">
        <f aca="false">$H$72-$H$139-$H$105-$H$75-$H$79-$H$83-$H$87-$H$89</f>
        <v>11.1329569625</v>
      </c>
      <c r="I91" s="18" t="n">
        <f aca="false">$I$72-$I$139-$I$105-$I$75-$I$79-$I$83-$I$87-$I$89</f>
        <v>17.1312550222812</v>
      </c>
      <c r="J91" s="18" t="n">
        <f aca="false">$J$72-$J$139-$J$105-$J$75-$J$79-$J$83-$J$87-$J$89</f>
        <v>24.3730312992166</v>
      </c>
      <c r="K91" s="18" t="n">
        <f aca="false">$K$72-$K$139-$K$105-$K$75-$K$79-$K$83-$K$87-$K$89</f>
        <v>27.8300908295357</v>
      </c>
      <c r="L91" s="18" t="n">
        <f aca="false">$L$72-$L$139-$L$105-$L$75-$L$79-$L$83-$L$87-$L$89</f>
        <v>30.5311564513104</v>
      </c>
    </row>
    <row r="92" customFormat="false" ht="15" hidden="false" customHeight="false" outlineLevel="0" collapsed="false">
      <c r="B92" s="9" t="s">
        <v>573</v>
      </c>
      <c r="F92" s="19" t="n">
        <f aca="false">$F$75+$F$79</f>
        <v>12</v>
      </c>
      <c r="G92" s="19" t="n">
        <f aca="false">$G$75+$G$79</f>
        <v>13.104</v>
      </c>
      <c r="H92" s="19" t="n">
        <f aca="false">$H$75+$H$79</f>
        <v>6.43392000000001</v>
      </c>
      <c r="I92" s="19" t="n">
        <f aca="false">$I$75+$I$79</f>
        <v>14.9399424</v>
      </c>
      <c r="J92" s="19" t="n">
        <f aca="false">$J$75+$J$79</f>
        <v>14.9122656</v>
      </c>
      <c r="K92" s="19" t="n">
        <f aca="false">$K$75+$K$79</f>
        <v>15.1063239168</v>
      </c>
      <c r="L92" s="19" t="n">
        <f aca="false">$L$75+$L$79</f>
        <v>15.710576873472</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14.555</v>
      </c>
      <c r="H94" s="19" t="n">
        <f aca="false">$G$123</f>
        <v>12.1941825</v>
      </c>
      <c r="I94" s="19" t="n">
        <f aca="false">$H$123</f>
        <v>15.33856973125</v>
      </c>
      <c r="J94" s="19" t="n">
        <f aca="false">$I$123</f>
        <v>19.9099123767656</v>
      </c>
      <c r="K94" s="19" t="n">
        <f aca="false">$J$123</f>
        <v>33.7247077569867</v>
      </c>
      <c r="L94" s="19" t="n">
        <f aca="false">$K$123</f>
        <v>58.9047985865224</v>
      </c>
    </row>
    <row r="95" customFormat="false" ht="15" hidden="false" customHeight="false" outlineLevel="0" collapsed="false">
      <c r="B95" s="9" t="s">
        <v>576</v>
      </c>
      <c r="F95" s="19" t="n">
        <f aca="false">$E$123+$F$91-$F$109-$F$82-$F$85+$F$84+$F$86-$F$88+$F$90</f>
        <v>19.11</v>
      </c>
      <c r="G95" s="19" t="n">
        <f aca="false">$F$123+$G$91-$G$109-$G$82-$G$85+$G$84+$G$86-$G$88+$G$90</f>
        <v>14.388365</v>
      </c>
      <c r="H95" s="19" t="n">
        <f aca="false">$G$123+$H$91-$H$109-$H$82-$H$85+$H$84+$H$86-$H$88+$H$90</f>
        <v>20.6771394625</v>
      </c>
      <c r="I95" s="19" t="n">
        <f aca="false">$H$123+$I$91-$I$109-$I$82-$I$85+$I$84+$I$86-$I$88+$I$90</f>
        <v>29.8198247535313</v>
      </c>
      <c r="J95" s="19" t="n">
        <f aca="false">$I$123+$J$91-$J$109-$J$82-$J$85+$J$84+$J$86-$J$88+$J$90</f>
        <v>41.6329436759823</v>
      </c>
      <c r="K95" s="19" t="n">
        <f aca="false">$J$123+$K$91-$K$109-$K$82-$K$85+$K$84+$K$86-$K$88+$K$90</f>
        <v>58.9047985865224</v>
      </c>
      <c r="L95" s="19" t="n">
        <f aca="false">$K$123+$L$91-$L$109-$L$82-$L$85+$L$84+$L$86-$L$88+$L$90</f>
        <v>86.7859550378328</v>
      </c>
    </row>
    <row r="96" customFormat="false" ht="15" hidden="false" customHeight="false" outlineLevel="0" collapsed="false">
      <c r="B96" s="17" t="s">
        <v>577</v>
      </c>
      <c r="F96" s="18" t="n">
        <f aca="false">$F$95+$F$110-$F$111-$F$115</f>
        <v>14.555</v>
      </c>
      <c r="G96" s="18" t="n">
        <f aca="false">$G$95+$G$110-$G$111-$G$115</f>
        <v>12.1941825</v>
      </c>
      <c r="H96" s="18" t="n">
        <f aca="false">$H$95+$H$110-$H$111-$H$115</f>
        <v>15.33856973125</v>
      </c>
      <c r="I96" s="18" t="n">
        <f aca="false">$I$95+$I$110-$I$111-$I$115</f>
        <v>19.9099123767656</v>
      </c>
      <c r="J96" s="18" t="n">
        <f aca="false">$J$95+$J$110-$J$111-$J$115</f>
        <v>33.7247077569867</v>
      </c>
      <c r="K96" s="18" t="n">
        <f aca="false">$K$95+$K$110-$K$111-$K$115</f>
        <v>58.9047985865224</v>
      </c>
      <c r="L96" s="18" t="n">
        <f aca="false">$L$95+$L$110-$L$111-$L$115</f>
        <v>86.7859550378328</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18.546575</v>
      </c>
      <c r="H101" s="38" t="n">
        <f aca="false">$G$118*$H$100</f>
        <v>21.5688194875</v>
      </c>
      <c r="I101" s="38" t="n">
        <f aca="false">$H$118*$I$100</f>
        <v>20.8897910603437</v>
      </c>
      <c r="J101" s="38" t="n">
        <f aca="false">$I$118*$J$100</f>
        <v>19.8221985083187</v>
      </c>
      <c r="K101" s="38" t="n">
        <f aca="false">$J$118*$K$100</f>
        <v>18.924748455204</v>
      </c>
      <c r="L101" s="38" t="n">
        <f aca="false">$K$118*$L$100</f>
        <v>18.699498455204</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0.2911</v>
      </c>
      <c r="H104" s="38" t="n">
        <f aca="false">$G$123*Assumptions!$D$9</f>
        <v>0.24388365</v>
      </c>
      <c r="I104" s="38" t="n">
        <f aca="false">$H$123*Assumptions!$D$9</f>
        <v>0.306771394625</v>
      </c>
      <c r="J104" s="38" t="n">
        <f aca="false">$I$123*Assumptions!$D$9</f>
        <v>0.398198247535313</v>
      </c>
      <c r="K104" s="38" t="n">
        <f aca="false">$J$123*Assumptions!$D$9</f>
        <v>0.674494155139734</v>
      </c>
      <c r="L104" s="38" t="n">
        <f aca="false">$K$123*Assumptions!$D$9</f>
        <v>1.17809597173045</v>
      </c>
    </row>
    <row r="105" customFormat="false" ht="15" hidden="false" customHeight="false" outlineLevel="0" collapsed="false">
      <c r="B105" s="17" t="s">
        <v>585</v>
      </c>
      <c r="F105" s="40" t="n">
        <f aca="false">$F$101+$F$102+$F$103-$F$104</f>
        <v>24.625</v>
      </c>
      <c r="G105" s="40" t="n">
        <f aca="false">$G$101+$G$102+$G$103-$G$104</f>
        <v>23.955475</v>
      </c>
      <c r="H105" s="40" t="n">
        <f aca="false">$H$101+$H$102+$H$103-$H$104</f>
        <v>27.0249358375</v>
      </c>
      <c r="I105" s="40" t="n">
        <f aca="false">$I$101+$I$102+$I$103-$I$104</f>
        <v>26.2830196657187</v>
      </c>
      <c r="J105" s="40" t="n">
        <f aca="false">$J$101+$J$102+$J$103-$J$104</f>
        <v>25.1240002607834</v>
      </c>
      <c r="K105" s="40" t="n">
        <f aca="false">$K$101+$K$102+$K$103-$K$104</f>
        <v>23.9502543000643</v>
      </c>
      <c r="L105" s="40" t="n">
        <f aca="false">$L$101+$L$102+$L$103-$L$104</f>
        <v>23.2214024834736</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2.21725888324873</v>
      </c>
      <c r="G107" s="24" t="n">
        <f aca="false">IF($G$105&lt;&gt;0,$G$72/$G$105,0)</f>
        <v>2.52748901868988</v>
      </c>
      <c r="H107" s="24" t="n">
        <f aca="false">IF($H$105&lt;&gt;0,$H$72/$H$105,0)</f>
        <v>1.85253738625088</v>
      </c>
      <c r="I107" s="24" t="n">
        <f aca="false">IF($I$105&lt;&gt;0,$I$72/$I$105,0)</f>
        <v>2.52966527764388</v>
      </c>
      <c r="J107" s="24" t="n">
        <f aca="false">IF($J$105&lt;&gt;0,$J$72/$J$105,0)</f>
        <v>2.93031994411007</v>
      </c>
      <c r="K107" s="24" t="n">
        <f aca="false">IF($K$105&lt;&gt;0,$K$72/$K$105,0)</f>
        <v>3.19187481033948</v>
      </c>
      <c r="L107" s="24" t="n">
        <f aca="false">IF($L$105&lt;&gt;0,$L$72/$L$105,0)</f>
        <v>3.41857310272972</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2.65</v>
      </c>
      <c r="K109" s="38" t="n">
        <f aca="false">IF($D$14=1,0,MIN($J$118,Assumptions!$D$85*$J$119))</f>
        <v>2.65</v>
      </c>
      <c r="L109" s="38" t="n">
        <f aca="false">IF($D$14=1,0,MIN($K$118,Assumptions!$D$85*$K$119))</f>
        <v>2.65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19.11</v>
      </c>
      <c r="G112" s="19" t="n">
        <f aca="false">$G$95+$G$110-$G$111</f>
        <v>14.388365</v>
      </c>
      <c r="H112" s="19" t="n">
        <f aca="false">$H$95+$H$110-$H$111</f>
        <v>20.6771394625</v>
      </c>
      <c r="I112" s="19" t="n">
        <f aca="false">$I$95+$I$110-$I$111</f>
        <v>29.8198247535313</v>
      </c>
      <c r="J112" s="19" t="n">
        <f aca="false">$J$95+$J$110-$J$111</f>
        <v>41.6329436759823</v>
      </c>
      <c r="K112" s="19" t="n">
        <f aca="false">$K$95+$K$110-$K$111</f>
        <v>58.9047985865224</v>
      </c>
      <c r="L112" s="19" t="n">
        <f aca="false">$L$95+$L$110-$L$111</f>
        <v>86.7859550378328</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9.11</v>
      </c>
      <c r="G114" s="19" t="n">
        <f aca="false">MAX(0,$G$112-Assumptions!$D$79)</f>
        <v>4.38836500000001</v>
      </c>
      <c r="H114" s="19" t="n">
        <f aca="false">MAX(0,$H$112-Assumptions!$D$79)</f>
        <v>10.6771394625</v>
      </c>
      <c r="I114" s="19" t="n">
        <f aca="false">MAX(0,$I$112-Assumptions!$D$79)</f>
        <v>19.8198247535313</v>
      </c>
      <c r="J114" s="19" t="n">
        <f aca="false">MAX(0,$J$112-Assumptions!$D$79)</f>
        <v>31.6329436759823</v>
      </c>
      <c r="K114" s="19" t="n">
        <f aca="false">MAX(0,$K$112-Assumptions!$D$79)</f>
        <v>48.9047985865224</v>
      </c>
      <c r="L114" s="19" t="n">
        <f aca="false">MAX(0,$L$112-Assumptions!$D$79)</f>
        <v>76.7859550378328</v>
      </c>
    </row>
    <row r="115" customFormat="false" ht="15" hidden="false" customHeight="false" outlineLevel="0" collapsed="false">
      <c r="B115" s="17" t="s">
        <v>595</v>
      </c>
      <c r="F115" s="18" t="n">
        <f aca="false">IF(AND($D$19=1,$D$14=0,$E$121-$F$111+$F$110=0),MIN($E$118-$F$109+$F$84,$F$113*$F$114),0)</f>
        <v>4.555</v>
      </c>
      <c r="G115" s="18" t="n">
        <f aca="false">IF(AND($D$19=1,$D$14=0,$F$121-$G$111+$G$110=0),MIN($F$118-$G$109+$G$84,$G$113*$G$114),0)</f>
        <v>2.19418250000001</v>
      </c>
      <c r="H115" s="18" t="n">
        <f aca="false">IF(AND($D$19=1,$D$14=0,$G$121-$H$111+$H$110=0),MIN($G$118-$H$109+$H$84,$H$113*$H$114),0)</f>
        <v>5.33856973125001</v>
      </c>
      <c r="I115" s="18" t="n">
        <f aca="false">IF(AND($D$19=1,$D$14=0,$H$121-$I$111+$I$110=0),MIN($H$118-$I$109+$I$84,$I$113*$I$114),0)</f>
        <v>9.90991237676563</v>
      </c>
      <c r="J115" s="18" t="n">
        <f aca="false">IF(AND($D$19=1,$D$14=0,$I$121-$J$111+$J$110=0),MIN($I$118-$J$109+$J$84,$J$113*$J$114),0)</f>
        <v>7.90823591899557</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218.195</v>
      </c>
      <c r="G118" s="19" t="n">
        <f aca="false">$F$118-$G$109-$G$115+$G$84+$G$86</f>
        <v>253.7508175</v>
      </c>
      <c r="H118" s="19" t="n">
        <f aca="false">$G$118-$H$109-$H$115+$H$84+$H$86</f>
        <v>245.76224776875</v>
      </c>
      <c r="I118" s="19" t="n">
        <f aca="false">$H$118-$I$109-$I$115+$I$84+$I$86</f>
        <v>233.202335391984</v>
      </c>
      <c r="J118" s="19" t="n">
        <f aca="false">$I$118-$J$109-$J$115+$J$84+$J$86</f>
        <v>222.644099472989</v>
      </c>
      <c r="K118" s="19" t="n">
        <f aca="false">$J$118-$K$109-$K$115+$K$84+$K$86</f>
        <v>219.994099472989</v>
      </c>
      <c r="L118" s="19" t="n">
        <f aca="false">$K$118-$L$109-$L$115+$L$84+$L$86</f>
        <v>217.344099472989</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268.195</v>
      </c>
      <c r="G122" s="18" t="n">
        <f aca="false">$G$118+$G$120+$G$121</f>
        <v>303.7508175</v>
      </c>
      <c r="H122" s="18" t="n">
        <f aca="false">$H$118+$H$120+$H$121</f>
        <v>295.76224776875</v>
      </c>
      <c r="I122" s="18" t="n">
        <f aca="false">$I$118+$I$120+$I$121</f>
        <v>283.202335391984</v>
      </c>
      <c r="J122" s="18" t="n">
        <f aca="false">$J$118+$J$120+$J$121</f>
        <v>272.644099472989</v>
      </c>
      <c r="K122" s="18" t="n">
        <f aca="false">$K$118+$K$120+$K$121</f>
        <v>269.994099472989</v>
      </c>
      <c r="L122" s="18" t="n">
        <f aca="false">$L$118+$L$120+$L$121</f>
        <v>267.344099472989</v>
      </c>
    </row>
    <row r="123" customFormat="false" ht="15" hidden="false" customHeight="false" outlineLevel="0" collapsed="false">
      <c r="B123" s="9" t="s">
        <v>600</v>
      </c>
      <c r="E123" s="19" t="n">
        <f aca="false">Assumptions!$D$78</f>
        <v>10</v>
      </c>
      <c r="F123" s="19" t="n">
        <f aca="false">$F$112-$F$115</f>
        <v>14.555</v>
      </c>
      <c r="G123" s="19" t="n">
        <f aca="false">$G$112-$G$115</f>
        <v>12.1941825</v>
      </c>
      <c r="H123" s="19" t="n">
        <f aca="false">$H$112-$H$115</f>
        <v>15.33856973125</v>
      </c>
      <c r="I123" s="19" t="n">
        <f aca="false">$I$112-$I$115</f>
        <v>19.9099123767656</v>
      </c>
      <c r="J123" s="19" t="n">
        <f aca="false">$J$112-$J$115</f>
        <v>33.7247077569867</v>
      </c>
      <c r="K123" s="19" t="n">
        <f aca="false">$K$112-$K$115</f>
        <v>58.9047985865224</v>
      </c>
      <c r="L123" s="19" t="n">
        <f aca="false">$L$112-$L$115</f>
        <v>86.7859550378328</v>
      </c>
    </row>
    <row r="124" customFormat="false" ht="15" hidden="false" customHeight="false" outlineLevel="0" collapsed="false">
      <c r="B124" s="17" t="s">
        <v>601</v>
      </c>
      <c r="E124" s="18" t="n">
        <f aca="false">$E$122-$E$123</f>
        <v>265</v>
      </c>
      <c r="F124" s="18" t="n">
        <f aca="false">$F$122-$F$123</f>
        <v>253.64</v>
      </c>
      <c r="G124" s="18" t="n">
        <f aca="false">$G$122-$G$123</f>
        <v>291.556635</v>
      </c>
      <c r="H124" s="18" t="n">
        <f aca="false">$H$122-$H$123</f>
        <v>280.4236780375</v>
      </c>
      <c r="I124" s="18" t="n">
        <f aca="false">$I$122-$I$123</f>
        <v>263.292423015219</v>
      </c>
      <c r="J124" s="18" t="n">
        <f aca="false">$J$122-$J$123</f>
        <v>238.919391716002</v>
      </c>
      <c r="K124" s="18" t="n">
        <f aca="false">$K$122-$K$123</f>
        <v>211.089300886466</v>
      </c>
      <c r="L124" s="18" t="n">
        <f aca="false">$L$122-$L$123</f>
        <v>180.558144435156</v>
      </c>
    </row>
    <row r="125" customFormat="false" ht="15" hidden="false" customHeight="false" outlineLevel="0" collapsed="false">
      <c r="B125" s="9" t="s">
        <v>538</v>
      </c>
      <c r="E125" s="24" t="n">
        <f aca="false">$E$124/$E$72</f>
        <v>5.3</v>
      </c>
      <c r="F125" s="24" t="n">
        <f aca="false">$F$124/$F$72</f>
        <v>4.64542124542125</v>
      </c>
      <c r="G125" s="24" t="n">
        <f aca="false">$G$124/$G$72</f>
        <v>4.81536115625495</v>
      </c>
      <c r="H125" s="24" t="n">
        <f aca="false">$H$124/$H$72</f>
        <v>5.60122512733721</v>
      </c>
      <c r="I125" s="24" t="n">
        <f aca="false">$I$124/$I$72</f>
        <v>3.96004427533343</v>
      </c>
      <c r="J125" s="24" t="n">
        <f aca="false">$J$124/$J$72</f>
        <v>3.24524560306191</v>
      </c>
      <c r="K125" s="24" t="n">
        <f aca="false">$K$124/$K$72</f>
        <v>2.76127870163479</v>
      </c>
      <c r="L125" s="24" t="n">
        <f aca="false">$L$124/$L$72</f>
        <v>2.27448860675508</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36.910976</v>
      </c>
      <c r="I129" s="38" t="n">
        <f aca="false">$I$72-$I$74</f>
        <v>52.47827328</v>
      </c>
      <c r="J129" s="38" t="n">
        <f aca="false">$J$72-$J$74</f>
        <v>58.934655232</v>
      </c>
      <c r="K129" s="38" t="n">
        <f aca="false">$K$72-$K$74</f>
        <v>61.17204144128</v>
      </c>
      <c r="L129" s="38" t="n">
        <f aca="false">$L$72-$L$74</f>
        <v>63.4989230989312</v>
      </c>
    </row>
    <row r="130" customFormat="false" ht="15" hidden="false" customHeight="false" outlineLevel="0" collapsed="false">
      <c r="B130" s="9" t="s">
        <v>605</v>
      </c>
      <c r="F130" s="38" t="n">
        <f aca="false">$F$105+$F$106</f>
        <v>25.4107142857143</v>
      </c>
      <c r="G130" s="38" t="n">
        <f aca="false">$G$105+$G$106</f>
        <v>24.7411892857143</v>
      </c>
      <c r="H130" s="38" t="n">
        <f aca="false">$H$105+$H$106</f>
        <v>27.9706501232143</v>
      </c>
      <c r="I130" s="38" t="n">
        <f aca="false">$I$105+$I$106</f>
        <v>27.228733951433</v>
      </c>
      <c r="J130" s="38" t="n">
        <f aca="false">$J$105+$J$106</f>
        <v>26.0697145464976</v>
      </c>
      <c r="K130" s="38" t="n">
        <f aca="false">$K$105+$K$106</f>
        <v>24.8959685857786</v>
      </c>
      <c r="L130" s="38" t="n">
        <f aca="false">$L$105+$L$106</f>
        <v>24.1671167691879</v>
      </c>
    </row>
    <row r="131" customFormat="false" ht="15" hidden="false" customHeight="false" outlineLevel="0" collapsed="false">
      <c r="B131" s="9" t="s">
        <v>606</v>
      </c>
      <c r="F131" s="38" t="n">
        <f aca="false">$F$129-$F$130-$F$83-$F$87-$F$89</f>
        <v>17.4292857142857</v>
      </c>
      <c r="G131" s="38" t="n">
        <f aca="false">$G$129-$G$130-$G$83-$G$87-$G$89</f>
        <v>21.8404107142857</v>
      </c>
      <c r="H131" s="38" t="n">
        <f aca="false">$H$129-$H$130-$H$83-$H$87-$H$89</f>
        <v>8.94032587678573</v>
      </c>
      <c r="I131" s="38" t="n">
        <f aca="false">$I$129-$I$130-$I$83-$I$87-$I$89</f>
        <v>25.249539328567</v>
      </c>
      <c r="J131" s="38" t="n">
        <f aca="false">$J$129-$J$130-$J$83-$J$87-$J$89</f>
        <v>32.8649406855024</v>
      </c>
      <c r="K131" s="38" t="n">
        <f aca="false">$K$129-$K$130-$K$83-$K$87-$K$89</f>
        <v>36.2760728555014</v>
      </c>
      <c r="L131" s="38" t="n">
        <f aca="false">$L$129-$L$130-$L$83-$L$87-$L$89</f>
        <v>39.3318063297433</v>
      </c>
    </row>
    <row r="132" customFormat="false" ht="15" hidden="false" customHeight="false" outlineLevel="0" collapsed="false">
      <c r="B132" s="9" t="s">
        <v>607</v>
      </c>
      <c r="F132" s="38" t="n">
        <f aca="false">Assumptions!$D$8*$F$72</f>
        <v>16.38</v>
      </c>
      <c r="G132" s="38" t="n">
        <f aca="false">Assumptions!$D$8*$G$72</f>
        <v>18.16416</v>
      </c>
      <c r="H132" s="38" t="n">
        <f aca="false">Assumptions!$D$8*$H$72</f>
        <v>15.0194112</v>
      </c>
      <c r="I132" s="38" t="n">
        <f aca="false">Assumptions!$D$8*$I$72</f>
        <v>19.946172672</v>
      </c>
      <c r="J132" s="38" t="n">
        <f aca="false">Assumptions!$D$8*$J$72</f>
        <v>22.086407712</v>
      </c>
      <c r="K132" s="38" t="n">
        <f aca="false">Assumptions!$D$8*$K$72</f>
        <v>22.93386402048</v>
      </c>
      <c r="L132" s="38" t="n">
        <f aca="false">Assumptions!$D$8*$L$72</f>
        <v>23.8152185812992</v>
      </c>
    </row>
    <row r="133" customFormat="false" ht="15" hidden="false" customHeight="false" outlineLevel="0" collapsed="false">
      <c r="B133" s="9" t="s">
        <v>608</v>
      </c>
      <c r="F133" s="38" t="n">
        <f aca="false">$F$130+$E$135</f>
        <v>25.4107142857143</v>
      </c>
      <c r="G133" s="38" t="n">
        <f aca="false">$G$130+$F$135</f>
        <v>33.7719035714286</v>
      </c>
      <c r="H133" s="38" t="n">
        <f aca="false">$H$130+$G$135</f>
        <v>43.5783936946428</v>
      </c>
      <c r="I133" s="38" t="n">
        <f aca="false">$I$130+$H$135</f>
        <v>55.7877164460759</v>
      </c>
      <c r="J133" s="38" t="n">
        <f aca="false">$J$130+$I$135</f>
        <v>61.9112583205735</v>
      </c>
      <c r="K133" s="38" t="n">
        <f aca="false">$K$130+$J$135</f>
        <v>64.7208191943521</v>
      </c>
      <c r="L133" s="38" t="n">
        <f aca="false">$L$130+$K$135</f>
        <v>65.95407194306</v>
      </c>
    </row>
    <row r="134" customFormat="false" ht="15" hidden="false" customHeight="false" outlineLevel="0" collapsed="false">
      <c r="B134" s="9" t="s">
        <v>609</v>
      </c>
      <c r="F134" s="38" t="n">
        <f aca="false">MIN($F$133,$F$132)</f>
        <v>16.38</v>
      </c>
      <c r="G134" s="38" t="n">
        <f aca="false">MIN($G$133,$G$132)</f>
        <v>18.16416</v>
      </c>
      <c r="H134" s="38" t="n">
        <f aca="false">MIN($H$133,$H$132)</f>
        <v>15.0194112</v>
      </c>
      <c r="I134" s="38" t="n">
        <f aca="false">MIN($I$133,$I$132)</f>
        <v>19.946172672</v>
      </c>
      <c r="J134" s="38" t="n">
        <f aca="false">MIN($J$133,$J$132)</f>
        <v>22.086407712</v>
      </c>
      <c r="K134" s="38" t="n">
        <f aca="false">MIN($K$133,$K$132)</f>
        <v>22.93386402048</v>
      </c>
      <c r="L134" s="38" t="n">
        <f aca="false">MIN($L$133,$L$132)</f>
        <v>23.8152185812992</v>
      </c>
    </row>
    <row r="135" customFormat="false" ht="15" hidden="false" customHeight="false" outlineLevel="0" collapsed="false">
      <c r="B135" s="9" t="s">
        <v>610</v>
      </c>
      <c r="E135" s="38" t="n">
        <f aca="false">0</f>
        <v>0</v>
      </c>
      <c r="F135" s="38" t="n">
        <f aca="false">$F$133-$F$134</f>
        <v>9.03071428571429</v>
      </c>
      <c r="G135" s="38" t="n">
        <f aca="false">$G$133-$G$134</f>
        <v>15.6077435714286</v>
      </c>
      <c r="H135" s="38" t="n">
        <f aca="false">$H$133-$H$134</f>
        <v>28.5589824946428</v>
      </c>
      <c r="I135" s="38" t="n">
        <f aca="false">$I$133-$I$134</f>
        <v>35.8415437740759</v>
      </c>
      <c r="J135" s="38" t="n">
        <f aca="false">$J$133-$J$134</f>
        <v>39.8248506085735</v>
      </c>
      <c r="K135" s="38" t="n">
        <f aca="false">$K$133-$K$134</f>
        <v>41.7869551738721</v>
      </c>
      <c r="L135" s="38" t="n">
        <f aca="false">$L$133-$L$134</f>
        <v>42.1388533617608</v>
      </c>
    </row>
    <row r="136" customFormat="false" ht="15" hidden="false" customHeight="false" outlineLevel="0" collapsed="false">
      <c r="B136" s="9" t="s">
        <v>611</v>
      </c>
      <c r="F136" s="38" t="n">
        <f aca="false">$F$129-$F$134-$F$83-$F$87-$F$89</f>
        <v>26.46</v>
      </c>
      <c r="G136" s="38" t="n">
        <f aca="false">$G$129-$G$134-$G$83-$G$87-$G$89</f>
        <v>28.41744</v>
      </c>
      <c r="H136" s="38" t="n">
        <f aca="false">$H$129-$H$134-$H$83-$H$87-$H$89</f>
        <v>21.8915648</v>
      </c>
      <c r="I136" s="38" t="n">
        <f aca="false">$I$129-$I$134-$I$83-$I$87-$I$89</f>
        <v>32.532100608</v>
      </c>
      <c r="J136" s="38" t="n">
        <f aca="false">$J$129-$J$134-$J$83-$J$87-$J$89</f>
        <v>36.84824752</v>
      </c>
      <c r="K136" s="38" t="n">
        <f aca="false">$K$129-$K$134-$K$83-$K$87-$K$89</f>
        <v>38.2381774208</v>
      </c>
      <c r="L136" s="38" t="n">
        <f aca="false">$L$129-$L$134-$L$83-$L$87-$L$89</f>
        <v>39.683704517632</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5.4728912</v>
      </c>
      <c r="I139" s="40" t="n">
        <f aca="false">IF($I$136&lt;0,0,Assumptions!$D$7*($I$136-$I$137))</f>
        <v>8.133025152</v>
      </c>
      <c r="J139" s="40" t="n">
        <f aca="false">IF($J$136&lt;0,0,Assumptions!$D$7*($J$136-$J$137))</f>
        <v>9.21206188</v>
      </c>
      <c r="K139" s="40" t="n">
        <f aca="false">IF($K$136&lt;0,0,Assumptions!$D$7*($K$136-$K$137))</f>
        <v>9.5595443552</v>
      </c>
      <c r="L139" s="40" t="n">
        <f aca="false">IF($L$136&lt;0,0,Assumptions!$D$7*($L$136-$L$137))</f>
        <v>9.920926129408</v>
      </c>
    </row>
    <row r="140" customFormat="false" ht="15" hidden="false" customHeight="false" outlineLevel="0" collapsed="false">
      <c r="B140" s="9" t="s">
        <v>615</v>
      </c>
      <c r="F140" s="19" t="n">
        <f aca="false">$F$131-$F$139</f>
        <v>10.8142857142857</v>
      </c>
      <c r="G140" s="19" t="n">
        <f aca="false">$G$131-$G$139</f>
        <v>14.7360507142857</v>
      </c>
      <c r="H140" s="19" t="n">
        <f aca="false">$H$131-$H$139</f>
        <v>3.46743467678572</v>
      </c>
      <c r="I140" s="19" t="n">
        <f aca="false">$I$131-$I$139</f>
        <v>17.116514176567</v>
      </c>
      <c r="J140" s="19" t="n">
        <f aca="false">$J$131-$J$139</f>
        <v>23.6528788055024</v>
      </c>
      <c r="K140" s="19" t="n">
        <f aca="false">$K$131-$K$139</f>
        <v>26.7165285003014</v>
      </c>
      <c r="L140" s="19" t="n">
        <f aca="false">$L$131-$L$139</f>
        <v>29.4108802003353</v>
      </c>
    </row>
    <row r="141" customFormat="false" ht="15" hidden="false" customHeight="false" outlineLevel="0" collapsed="false">
      <c r="B141" s="9" t="s">
        <v>616</v>
      </c>
      <c r="F141" s="38" t="n">
        <f aca="false">Assumptions!$D$7*($F$129-$F$130)</f>
        <v>4.35732142857143</v>
      </c>
      <c r="G141" s="38" t="n">
        <f aca="false">Assumptions!$D$7*($G$129-$G$130)</f>
        <v>5.83510267857143</v>
      </c>
      <c r="H141" s="38" t="n">
        <f aca="false">Assumptions!$D$7*($H$129-$H$130)</f>
        <v>2.23508146919643</v>
      </c>
      <c r="I141" s="38" t="n">
        <f aca="false">Assumptions!$D$7*($I$129-$I$130)</f>
        <v>6.31238483214174</v>
      </c>
      <c r="J141" s="38" t="n">
        <f aca="false">Assumptions!$D$7*($J$129-$J$130)</f>
        <v>8.21623517137559</v>
      </c>
      <c r="K141" s="38" t="n">
        <f aca="false">Assumptions!$D$7*($K$129-$K$130)</f>
        <v>9.06901821387535</v>
      </c>
      <c r="L141" s="38" t="n">
        <f aca="false">Assumptions!$D$7*($L$129-$L$130)</f>
        <v>9.83295158243583</v>
      </c>
    </row>
    <row r="142" customFormat="false" ht="15" hidden="false" customHeight="false" outlineLevel="0" collapsed="false">
      <c r="B142" s="9" t="s">
        <v>617</v>
      </c>
      <c r="F142" s="38" t="n">
        <f aca="false">$F$139-$F$141</f>
        <v>2.25767857142857</v>
      </c>
      <c r="G142" s="38" t="n">
        <f aca="false">$G$139-$G$141</f>
        <v>1.26925732142857</v>
      </c>
      <c r="H142" s="38" t="n">
        <f aca="false">$H$139-$H$141</f>
        <v>3.23780973080357</v>
      </c>
      <c r="I142" s="38" t="n">
        <f aca="false">$I$139-$I$141</f>
        <v>1.82064031985826</v>
      </c>
      <c r="J142" s="38" t="n">
        <f aca="false">$J$139-$J$141</f>
        <v>0.99582670862441</v>
      </c>
      <c r="K142" s="38" t="n">
        <f aca="false">$K$139-$K$141</f>
        <v>0.490526141324649</v>
      </c>
      <c r="L142" s="38" t="n">
        <f aca="false">$L$139-$L$141</f>
        <v>0.0879745469721698</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14.555</v>
      </c>
      <c r="G145" s="19" t="n">
        <f aca="false">$G$123</f>
        <v>12.1941825</v>
      </c>
      <c r="H145" s="19" t="n">
        <f aca="false">$H$123</f>
        <v>15.33856973125</v>
      </c>
      <c r="I145" s="19" t="n">
        <f aca="false">$I$123</f>
        <v>19.9099123767656</v>
      </c>
      <c r="J145" s="19" t="n">
        <f aca="false">$J$123</f>
        <v>33.7247077569867</v>
      </c>
      <c r="K145" s="19" t="n">
        <f aca="false">$K$123</f>
        <v>58.9047985865224</v>
      </c>
      <c r="L145" s="19" t="n">
        <f aca="false">$L$123</f>
        <v>86.7859550378328</v>
      </c>
    </row>
    <row r="146" customFormat="false" ht="15" hidden="false" customHeight="false" outlineLevel="0" collapsed="false">
      <c r="B146" s="9" t="s">
        <v>619</v>
      </c>
      <c r="E146" s="19" t="n">
        <f aca="false">$E$78</f>
        <v>38.4</v>
      </c>
      <c r="F146" s="19" t="n">
        <f aca="false">$F$78</f>
        <v>40.32</v>
      </c>
      <c r="G146" s="19" t="n">
        <f aca="false">$G$78</f>
        <v>49.9392</v>
      </c>
      <c r="H146" s="19" t="n">
        <f aca="false">$H$78</f>
        <v>45.098496</v>
      </c>
      <c r="I146" s="19" t="n">
        <f aca="false">$I$78</f>
        <v>48.03075072</v>
      </c>
      <c r="J146" s="19" t="n">
        <f aca="false">$J$78</f>
        <v>50.354413056</v>
      </c>
      <c r="K146" s="19" t="n">
        <f aca="false">$K$78</f>
        <v>52.36858957824</v>
      </c>
      <c r="L146" s="19" t="n">
        <f aca="false">$L$78</f>
        <v>54.4633331613696</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48.660096</v>
      </c>
      <c r="I147" s="19" t="n">
        <f aca="false">$H$147+$I$75-$I$74+IF(AND($D$12=1,$I$64=Assumptions!$D$116),Assumptions!$D$124*Assumptions!$D$117,0)</f>
        <v>46.65881472</v>
      </c>
      <c r="J147" s="19" t="n">
        <f aca="false">$I$147+$J$75-$J$74+IF(AND($D$12=1,$J$64=Assumptions!$D$116),Assumptions!$D$124*Assumptions!$D$117,0)</f>
        <v>44.560714176</v>
      </c>
      <c r="K147" s="19" t="n">
        <f aca="false">$J$147+$K$75-$K$74+IF(AND($D$12=1,$K$64=Assumptions!$D$116),Assumptions!$D$124*Assumptions!$D$117,0)</f>
        <v>42.37868961024</v>
      </c>
      <c r="L147" s="19" t="n">
        <f aca="false">$K$147+$L$75-$L$74+IF(AND($D$12=1,$L$64=Assumptions!$D$116),Assumptions!$D$124*Assumptions!$D$117,0)</f>
        <v>40.1093840618496</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469.509285714286</v>
      </c>
      <c r="G150" s="18" t="n">
        <f aca="false">$G$145+$G$146+$G$147+$G$148+$G$149</f>
        <v>519.801153928572</v>
      </c>
      <c r="H150" s="18" t="n">
        <f aca="false">$H$145+$H$146+$H$147+$H$148+$H$149</f>
        <v>515.280018874107</v>
      </c>
      <c r="I150" s="18" t="n">
        <f aca="false">$I$145+$I$146+$I$147+$I$148+$I$149</f>
        <v>519.836620673909</v>
      </c>
      <c r="J150" s="18" t="n">
        <f aca="false">$J$145+$J$146+$J$147+$J$148+$J$149</f>
        <v>532.931263560415</v>
      </c>
      <c r="K150" s="18" t="n">
        <f aca="false">$K$145+$K$146+$K$147+$K$148+$K$149</f>
        <v>556.997792060717</v>
      </c>
      <c r="L150" s="18" t="n">
        <f aca="false">$L$145+$L$146+$L$147+$L$148+$L$149</f>
        <v>583.758672261052</v>
      </c>
    </row>
    <row r="151" customFormat="false" ht="15" hidden="false" customHeight="false" outlineLevel="0" collapsed="false">
      <c r="B151" s="9" t="s">
        <v>291</v>
      </c>
      <c r="E151" s="19" t="n">
        <f aca="false">$E$122</f>
        <v>275</v>
      </c>
      <c r="F151" s="19" t="n">
        <f aca="false">$F$122</f>
        <v>268.195</v>
      </c>
      <c r="G151" s="19" t="n">
        <f aca="false">$G$122</f>
        <v>303.7508175</v>
      </c>
      <c r="H151" s="19" t="n">
        <f aca="false">$H$122</f>
        <v>295.76224776875</v>
      </c>
      <c r="I151" s="19" t="n">
        <f aca="false">$I$122</f>
        <v>283.202335391984</v>
      </c>
      <c r="J151" s="19" t="n">
        <f aca="false">$J$122</f>
        <v>272.644099472989</v>
      </c>
      <c r="K151" s="19" t="n">
        <f aca="false">$K$122</f>
        <v>269.994099472989</v>
      </c>
      <c r="L151" s="19" t="n">
        <f aca="false">$L$122</f>
        <v>267.344099472989</v>
      </c>
    </row>
    <row r="152" customFormat="false" ht="15" hidden="false" customHeight="false" outlineLevel="0" collapsed="false">
      <c r="B152" s="9" t="s">
        <v>624</v>
      </c>
      <c r="E152" s="19" t="n">
        <f aca="false">$D$46-Assumptions!$D$76</f>
        <v>190.5</v>
      </c>
      <c r="F152" s="19" t="n">
        <f aca="false">$E$152+$F$140-$F$88+$F$90</f>
        <v>201.314285714286</v>
      </c>
      <c r="G152" s="19" t="n">
        <f aca="false">$F$152+$G$140-$G$88+$G$90</f>
        <v>216.050336428571</v>
      </c>
      <c r="H152" s="19" t="n">
        <f aca="false">$G$152+$H$140-$H$88+$H$90</f>
        <v>219.517771105357</v>
      </c>
      <c r="I152" s="19" t="n">
        <f aca="false">$H$152+$I$140-$I$88+$I$90</f>
        <v>236.634285281924</v>
      </c>
      <c r="J152" s="19" t="n">
        <f aca="false">$I$152+$J$140-$J$88+$J$90</f>
        <v>260.287164087427</v>
      </c>
      <c r="K152" s="19" t="n">
        <f aca="false">$J$152+$K$140-$K$88+$K$90</f>
        <v>287.003692587728</v>
      </c>
      <c r="L152" s="19" t="n">
        <f aca="false">$K$152+$L$140-$L$88+$L$90</f>
        <v>316.414572788063</v>
      </c>
    </row>
    <row r="153" customFormat="false" ht="15" hidden="false" customHeight="false" outlineLevel="0" collapsed="false">
      <c r="B153" s="17" t="s">
        <v>625</v>
      </c>
      <c r="E153" s="18" t="n">
        <f aca="false">$E$151+$E$152</f>
        <v>465.5</v>
      </c>
      <c r="F153" s="18" t="n">
        <f aca="false">$F$151+$F$152</f>
        <v>469.509285714286</v>
      </c>
      <c r="G153" s="18" t="n">
        <f aca="false">$G$151+$G$152</f>
        <v>519.801153928572</v>
      </c>
      <c r="H153" s="18" t="n">
        <f aca="false">$H$151+$H$152</f>
        <v>515.280018874107</v>
      </c>
      <c r="I153" s="18" t="n">
        <f aca="false">$I$151+$I$152</f>
        <v>519.836620673908</v>
      </c>
      <c r="J153" s="18" t="n">
        <f aca="false">$J$151+$J$152</f>
        <v>532.931263560415</v>
      </c>
      <c r="K153" s="18" t="n">
        <f aca="false">$K$151+$K$152</f>
        <v>556.997792060717</v>
      </c>
      <c r="L153" s="18" t="n">
        <f aca="false">$L$151+$L$152</f>
        <v>583.758672261052</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50.064704</v>
      </c>
      <c r="I157" s="19" t="n">
        <f aca="false">$I$72+IF(AND($D$12=1,$I$64=Assumptions!$D$116),Assumptions!$D$118,0)</f>
        <v>66.48724224</v>
      </c>
      <c r="J157" s="19" t="n">
        <f aca="false">$J$72+IF(AND($D$12=1,$J$64=Assumptions!$D$116),Assumptions!$D$118,0)</f>
        <v>73.62135904</v>
      </c>
      <c r="K157" s="19" t="n">
        <f aca="false">$K$72+IF(AND($D$12=1,$K$64=Assumptions!$D$116),Assumptions!$D$118,0)</f>
        <v>76.4462134016</v>
      </c>
      <c r="L157" s="19" t="n">
        <f aca="false">$L$72+IF(AND($D$12=1,$L$64=Assumptions!$D$116),Assumptions!$D$118,0)</f>
        <v>79.384061937664</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52.064704</v>
      </c>
      <c r="I159" s="18" t="n">
        <f aca="false">$I$157+$I$158+$I$90</f>
        <v>66.98724224</v>
      </c>
      <c r="J159" s="18" t="n">
        <f aca="false">$J$157+$J$158+$J$90</f>
        <v>73.62135904</v>
      </c>
      <c r="K159" s="18" t="n">
        <f aca="false">$K$157+$K$158+$K$90</f>
        <v>76.4462134016</v>
      </c>
      <c r="L159" s="18" t="n">
        <f aca="false">$L$157+$L$158+$L$90</f>
        <v>79.384061937664</v>
      </c>
    </row>
    <row r="160" customFormat="false" ht="15" hidden="false" customHeight="false" outlineLevel="0" collapsed="false">
      <c r="B160" s="9" t="s">
        <v>631</v>
      </c>
      <c r="F160" s="19" t="n">
        <f aca="false">$F$124</f>
        <v>253.64</v>
      </c>
      <c r="G160" s="19" t="n">
        <f aca="false">$G$124</f>
        <v>291.556635</v>
      </c>
      <c r="H160" s="19" t="n">
        <f aca="false">$H$124</f>
        <v>280.4236780375</v>
      </c>
      <c r="I160" s="19" t="n">
        <f aca="false">$I$124</f>
        <v>263.292423015219</v>
      </c>
      <c r="J160" s="19" t="n">
        <f aca="false">$J$124</f>
        <v>238.919391716002</v>
      </c>
      <c r="K160" s="19" t="n">
        <f aca="false">$K$124</f>
        <v>211.089300886466</v>
      </c>
      <c r="L160" s="19" t="n">
        <f aca="false">$L$124</f>
        <v>180.558144435156</v>
      </c>
    </row>
    <row r="161" customFormat="false" ht="15" hidden="false" customHeight="false" outlineLevel="0" collapsed="false">
      <c r="B161" s="17" t="s">
        <v>632</v>
      </c>
      <c r="F161" s="41" t="n">
        <f aca="false">$F$124/$F$159</f>
        <v>4.64542124542125</v>
      </c>
      <c r="G161" s="41" t="n">
        <f aca="false">$G$124/$G$159</f>
        <v>4.0750250883333</v>
      </c>
      <c r="H161" s="41" t="n">
        <f aca="false">$H$124/$H$159</f>
        <v>5.38606112189747</v>
      </c>
      <c r="I161" s="41" t="n">
        <f aca="false">$I$124/$I$159</f>
        <v>3.93048607781019</v>
      </c>
      <c r="J161" s="41" t="n">
        <f aca="false">$J$124/$J$159</f>
        <v>3.24524560306191</v>
      </c>
      <c r="K161" s="41" t="n">
        <f aca="false">$K$124/$K$159</f>
        <v>2.76127870163479</v>
      </c>
      <c r="L161" s="41" t="n">
        <f aca="false">$L$124/$L$159</f>
        <v>2.27448860675508</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1.10457875457876</v>
      </c>
      <c r="G163" s="24" t="n">
        <f aca="false">$G$162-$G$161</f>
        <v>1.1749749116667</v>
      </c>
      <c r="H163" s="24" t="n">
        <f aca="false">$H$162-$H$161</f>
        <v>-0.636061121897474</v>
      </c>
      <c r="I163" s="24" t="n">
        <f aca="false">$I$162-$I$161</f>
        <v>0.31951392218981</v>
      </c>
      <c r="J163" s="24" t="n">
        <f aca="false">$J$162-$J$161</f>
        <v>0.754754396938092</v>
      </c>
      <c r="K163" s="24" t="n">
        <f aca="false">$K$162-$K$161</f>
        <v>1.23872129836521</v>
      </c>
      <c r="L163" s="24" t="n">
        <f aca="false">$L$162-$L$161</f>
        <v>1.72551139324493</v>
      </c>
    </row>
    <row r="164" customFormat="false" ht="15" hidden="false" customHeight="false" outlineLevel="0" collapsed="false">
      <c r="B164" s="9" t="s">
        <v>635</v>
      </c>
      <c r="F164" s="14" t="n">
        <f aca="false">1-$F$124/($F$162*$F$159)</f>
        <v>0.192100652970218</v>
      </c>
      <c r="G164" s="14" t="n">
        <f aca="false">1-$G$124/($G$162*$G$159)</f>
        <v>0.223804745079372</v>
      </c>
      <c r="H164" s="14" t="n">
        <f aca="false">1-$H$124/($H$162*$H$159)</f>
        <v>-0.133907604609995</v>
      </c>
      <c r="I164" s="14" t="n">
        <f aca="false">1-$I$124/($I$162*$I$159)</f>
        <v>0.0751797463976023</v>
      </c>
      <c r="J164" s="14" t="n">
        <f aca="false">1-$J$124/($J$162*$J$159)</f>
        <v>0.188688599234523</v>
      </c>
      <c r="K164" s="14" t="n">
        <f aca="false">1-$K$124/($K$162*$K$159)</f>
        <v>0.309680324591302</v>
      </c>
      <c r="L164" s="14" t="n">
        <f aca="false">1-$L$124/($L$162*$L$159)</f>
        <v>0.431377848311231</v>
      </c>
    </row>
    <row r="165" customFormat="false" ht="15" hidden="false" customHeight="false" outlineLevel="0" collapsed="false">
      <c r="B165" s="9" t="s">
        <v>636</v>
      </c>
      <c r="F165" s="19" t="n">
        <f aca="false">$F$164*$F$159</f>
        <v>10.4886956521739</v>
      </c>
      <c r="G165" s="19" t="n">
        <f aca="false">$G$164*$G$159</f>
        <v>16.0126028571429</v>
      </c>
      <c r="H165" s="19" t="n">
        <f aca="false">$H$164*$H$159</f>
        <v>-6.9718597973684</v>
      </c>
      <c r="I165" s="19" t="n">
        <f aca="false">$I$164*$I$159</f>
        <v>5.03608388347795</v>
      </c>
      <c r="J165" s="19" t="n">
        <f aca="false">$J$164*$J$159</f>
        <v>13.8915111109995</v>
      </c>
      <c r="K165" s="19" t="n">
        <f aca="false">$K$164*$K$159</f>
        <v>23.6738881799834</v>
      </c>
      <c r="L165" s="19" t="n">
        <f aca="false">$L$164*$L$159</f>
        <v>34.244525828875</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6.9718597973684</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-1.10457875457876</v>
      </c>
      <c r="G167" s="24" t="n">
        <f aca="false">$G$125-Assumptions!$G$169</f>
        <v>-0.434638843745047</v>
      </c>
      <c r="H167" s="24" t="n">
        <f aca="false">$H$125-Assumptions!$H$169</f>
        <v>0.851225127337214</v>
      </c>
      <c r="I167" s="24" t="n">
        <f aca="false">$I$125-Assumptions!$I$169</f>
        <v>-0.289955724666575</v>
      </c>
      <c r="J167" s="24" t="n">
        <f aca="false">$J$125-Assumptions!$J$169</f>
        <v>-0.754754396938092</v>
      </c>
      <c r="K167" s="24" t="n">
        <f aca="false">$K$125-Assumptions!$K$169</f>
        <v>-1.23872129836521</v>
      </c>
      <c r="L167" s="24" t="n">
        <f aca="false">$L$125-Assumptions!$L$169</f>
        <v>-1.72551139324493</v>
      </c>
    </row>
    <row r="168" customFormat="false" ht="15" hidden="false" customHeight="false" outlineLevel="0" collapsed="false">
      <c r="B168" s="9" t="s">
        <v>639</v>
      </c>
      <c r="F168" s="24" t="n">
        <f aca="false">$F$161-$F$162</f>
        <v>-1.10457875457876</v>
      </c>
      <c r="G168" s="24" t="n">
        <f aca="false">$G$161-$G$162</f>
        <v>-1.1749749116667</v>
      </c>
      <c r="H168" s="24" t="n">
        <f aca="false">$H$161-$H$162</f>
        <v>0.636061121897474</v>
      </c>
      <c r="I168" s="24" t="n">
        <f aca="false">$I$161-$I$162</f>
        <v>-0.31951392218981</v>
      </c>
      <c r="J168" s="24" t="n">
        <f aca="false">$J$161-$J$162</f>
        <v>-0.754754396938092</v>
      </c>
      <c r="K168" s="24" t="n">
        <f aca="false">$K$161-$K$162</f>
        <v>-1.23872129836521</v>
      </c>
      <c r="L168" s="24" t="n">
        <f aca="false">$L$161-$L$162</f>
        <v>-1.72551139324493</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73.62135904</v>
      </c>
    </row>
    <row r="172" customFormat="false" ht="15" hidden="false" customHeight="false" outlineLevel="0" collapsed="false">
      <c r="B172" s="17" t="s">
        <v>641</v>
      </c>
      <c r="D172" s="18" t="n">
        <f aca="false">$D$7*$D$171</f>
        <v>662.59223136</v>
      </c>
    </row>
    <row r="173" customFormat="false" ht="15" hidden="false" customHeight="false" outlineLevel="0" collapsed="false">
      <c r="B173" s="9" t="s">
        <v>642</v>
      </c>
      <c r="D173" s="19" t="n">
        <f aca="false">INDEX($E$124:$L$124,1,$D$170+1)</f>
        <v>238.919391716002</v>
      </c>
    </row>
    <row r="174" customFormat="false" ht="15" hidden="false" customHeight="false" outlineLevel="0" collapsed="false">
      <c r="B174" s="9" t="s">
        <v>643</v>
      </c>
      <c r="D174" s="19" t="n">
        <f aca="false">INDEX($E$118:$L$118,1,$D$170+1)</f>
        <v>222.644099472989</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33.7247077569867</v>
      </c>
    </row>
    <row r="178" customFormat="false" ht="15" hidden="false" customHeight="false" outlineLevel="0" collapsed="false">
      <c r="B178" s="9" t="s">
        <v>647</v>
      </c>
      <c r="D178" s="19" t="n">
        <f aca="false">$D$20*$D$172</f>
        <v>9.9388834704</v>
      </c>
    </row>
    <row r="179" customFormat="false" ht="15" hidden="false" customHeight="false" outlineLevel="0" collapsed="false">
      <c r="B179" s="17" t="s">
        <v>195</v>
      </c>
      <c r="D179" s="18" t="n">
        <f aca="false">$D$172-$D$173-$D$178</f>
        <v>413.733956173598</v>
      </c>
    </row>
    <row r="180" customFormat="false" ht="15" hidden="false" customHeight="false" outlineLevel="0" collapsed="false">
      <c r="B180" s="9" t="s">
        <v>648</v>
      </c>
      <c r="D180" s="19" t="n">
        <f aca="false">$D$171*(1-$D$20)</f>
        <v>72.5170386544</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1.98317619839855</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1.98317619839855</v>
      </c>
    </row>
    <row r="195" customFormat="false" ht="15" hidden="false" customHeight="false" outlineLevel="0" collapsed="false">
      <c r="B195" s="9" t="s">
        <v>663</v>
      </c>
      <c r="D195" s="34" t="n">
        <f aca="false">IF($D$194&gt;=Assumptions!$D$110,$D$191,$D$191*0.5)</f>
        <v>8.69565217391304</v>
      </c>
    </row>
    <row r="196" customFormat="false" ht="15" hidden="false" customHeight="false" outlineLevel="0" collapsed="false">
      <c r="B196" s="9" t="s">
        <v>664</v>
      </c>
      <c r="D196" s="35" t="n">
        <f aca="false">($D$179+$D$195*Assumptions!$D$108)/($D$189+$D$195)</f>
        <v>2.02414187333182</v>
      </c>
    </row>
    <row r="197" customFormat="false" ht="15" hidden="false" customHeight="false" outlineLevel="0" collapsed="false">
      <c r="B197" s="9" t="s">
        <v>665</v>
      </c>
      <c r="D197" s="34" t="n">
        <f aca="false">IF($D$196&lt;Assumptions!$D$108,0,$D$195)</f>
        <v>8.69565217391304</v>
      </c>
    </row>
    <row r="198" customFormat="false" ht="15" hidden="false" customHeight="false" outlineLevel="0" collapsed="false">
      <c r="B198" s="17" t="s">
        <v>666</v>
      </c>
      <c r="D198" s="43" t="n">
        <f aca="false">IF($D$196&lt;Assumptions!$D$108,$D$179/$D$189,$D$196)</f>
        <v>2.02414187333182</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384.586955933046</v>
      </c>
    </row>
    <row r="201" customFormat="false" ht="15" hidden="false" customHeight="false" outlineLevel="0" collapsed="false">
      <c r="B201" s="9" t="s">
        <v>668</v>
      </c>
      <c r="D201" s="14" t="n">
        <f aca="false">$D$200/$D$179</f>
        <v>0.929551346207799</v>
      </c>
    </row>
    <row r="202" customFormat="false" ht="15" hidden="false" customHeight="false" outlineLevel="0" collapsed="false">
      <c r="B202" s="9" t="s">
        <v>669</v>
      </c>
      <c r="D202" s="19" t="n">
        <f aca="false">$D$185*$D$198</f>
        <v>20.2414187333182</v>
      </c>
    </row>
    <row r="203" customFormat="false" ht="15" hidden="false" customHeight="false" outlineLevel="0" collapsed="false">
      <c r="B203" s="9" t="s">
        <v>670</v>
      </c>
      <c r="D203" s="19" t="n">
        <f aca="false">$D$197*MAX(0,$D$198-Assumptions!$D$108)</f>
        <v>8.90558150723325</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29.1470002405515</v>
      </c>
    </row>
    <row r="206" customFormat="false" ht="15" hidden="false" customHeight="false" outlineLevel="0" collapsed="false">
      <c r="B206" s="9" t="s">
        <v>673</v>
      </c>
      <c r="D206" s="24" t="n">
        <f aca="false">$D$205/$D$47</f>
        <v>2.91470002405515</v>
      </c>
    </row>
    <row r="207" customFormat="false" ht="15" hidden="false" customHeight="false" outlineLevel="0" collapsed="false">
      <c r="B207" s="9" t="s">
        <v>674</v>
      </c>
      <c r="D207" s="19" t="n">
        <f aca="false">$D$187*$D$198</f>
        <v>8.09656749332729</v>
      </c>
    </row>
    <row r="208" customFormat="false" ht="15" hidden="false" customHeight="false" outlineLevel="0" collapsed="false">
      <c r="B208" s="9" t="s">
        <v>675</v>
      </c>
      <c r="D208" s="19" t="n">
        <f aca="false">$D$203*Assumptions!$D$112</f>
        <v>3.11695352753164</v>
      </c>
    </row>
    <row r="209" customFormat="false" ht="15" hidden="false" customHeight="false" outlineLevel="0" collapsed="false">
      <c r="B209" s="9" t="s">
        <v>676</v>
      </c>
      <c r="D209" s="19" t="n">
        <f aca="false">$D$207+$D$208</f>
        <v>11.2135210208589</v>
      </c>
    </row>
    <row r="210" customFormat="false" ht="15" hidden="false" customHeight="false" outlineLevel="0" collapsed="false">
      <c r="B210" s="9" t="s">
        <v>677</v>
      </c>
      <c r="D210" s="24" t="n">
        <f aca="false">$D$209/Assumptions!$D$111</f>
        <v>2.80338025521473</v>
      </c>
    </row>
    <row r="211" customFormat="false" ht="15" hidden="false" customHeight="false" outlineLevel="0" collapsed="false">
      <c r="B211" s="9" t="s">
        <v>678</v>
      </c>
      <c r="D211" s="19" t="n">
        <f aca="false">$D$179*$D$190/$D$189</f>
        <v>393.047258364918</v>
      </c>
    </row>
    <row r="212" customFormat="false" ht="15" hidden="false" customHeight="false" outlineLevel="0" collapsed="false">
      <c r="B212" s="9" t="s">
        <v>679</v>
      </c>
      <c r="D212" s="19" t="n">
        <f aca="false">$D$211-$D$200</f>
        <v>8.46030243187158</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384.586955933046</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413.733956173598</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0.151458234262301</v>
      </c>
    </row>
    <row r="224" customFormat="false" ht="15" hidden="false" customHeight="false" outlineLevel="0" collapsed="false">
      <c r="B224" s="9" t="s">
        <v>689</v>
      </c>
      <c r="D224" s="25" t="n">
        <f aca="false">XIRR($E$219:$L$219,$E$221:$L$221,0.1)</f>
        <v>0.151369306043803</v>
      </c>
    </row>
    <row r="225" customFormat="false" ht="15" hidden="false" customHeight="false" outlineLevel="0" collapsed="false">
      <c r="B225" s="17" t="s">
        <v>690</v>
      </c>
      <c r="D225" s="41" t="n">
        <f aca="false">SUMIF($E$219:$L$219,"&gt;0")/-SUMIF($E$219:$L$219,"&lt;0")</f>
        <v>2.02414187333182</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0.156480286312865</v>
      </c>
    </row>
    <row r="228" customFormat="false" ht="15" hidden="false" customHeight="false" outlineLevel="0" collapsed="false">
      <c r="B228" s="9" t="s">
        <v>693</v>
      </c>
      <c r="D228" s="24" t="n">
        <f aca="false">SUMIF($E$220:$L$220,"&gt;0")/-SUMIF($E$220:$L$220,"&lt;0")</f>
        <v>2.06866978086799</v>
      </c>
    </row>
    <row r="229" customFormat="false" ht="15" hidden="false" customHeight="false" outlineLevel="0" collapsed="false">
      <c r="B229" s="9" t="s">
        <v>694</v>
      </c>
      <c r="D229" s="19" t="n">
        <f aca="false">SUM($E$220:$L$220)</f>
        <v>213.733956173598</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78.8806082839979</v>
      </c>
    </row>
    <row r="232" customFormat="false" ht="15" hidden="false" customHeight="false" outlineLevel="0" collapsed="false">
      <c r="B232" s="9" t="s">
        <v>697</v>
      </c>
      <c r="D232" s="19" t="n">
        <f aca="false">SUMPRODUCT(($F$64:$L$64&lt;=$D$170)*$F$105:$L$105)</f>
        <v>127.012430764002</v>
      </c>
    </row>
    <row r="233" customFormat="false" ht="15" hidden="false" customHeight="false" outlineLevel="0" collapsed="false">
      <c r="B233" s="9" t="s">
        <v>698</v>
      </c>
      <c r="D233" s="19" t="n">
        <f aca="false">SUMPRODUCT(($F$64:$L$64&lt;=$D$170)*$F$139:$L$139)</f>
        <v>36.537338232</v>
      </c>
    </row>
    <row r="234" customFormat="false" ht="15" hidden="false" customHeight="false" outlineLevel="0" collapsed="false">
      <c r="B234" s="9" t="s">
        <v>699</v>
      </c>
      <c r="D234" s="38" t="n">
        <f aca="false">SUMPRODUCT(($F$64:$L$64&lt;=$D$170)*$F$109:$L$109)</f>
        <v>12.45</v>
      </c>
    </row>
    <row r="235" customFormat="false" ht="15" hidden="false" customHeight="false" outlineLevel="0" collapsed="false">
      <c r="B235" s="9" t="s">
        <v>700</v>
      </c>
      <c r="D235" s="19" t="n">
        <f aca="false">SUMPRODUCT(($F$64:$L$64&lt;=$D$170)*$F$115:$L$115)</f>
        <v>29.9059005270112</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42.3559005270112</v>
      </c>
    </row>
    <row r="238" customFormat="false" ht="15" hidden="false" customHeight="false" outlineLevel="0" collapsed="false">
      <c r="B238" s="9" t="s">
        <v>703</v>
      </c>
      <c r="D238" s="19" t="n">
        <f aca="false">$D$54-$D$173</f>
        <v>26.0806082839979</v>
      </c>
    </row>
    <row r="239" customFormat="false" ht="15" hidden="false" customHeight="false" outlineLevel="0" collapsed="false">
      <c r="B239" s="9" t="s">
        <v>704</v>
      </c>
      <c r="D239" s="25" t="n">
        <f aca="false">($D$171/$D$28)^(1/$D$170)-1</f>
        <v>0.0804552029079741</v>
      </c>
    </row>
    <row r="240" customFormat="false" ht="15" hidden="false" customHeight="false" outlineLevel="0" collapsed="false">
      <c r="B240" s="9" t="s">
        <v>705</v>
      </c>
      <c r="D240" s="25" t="n">
        <f aca="false">(INDEX($E$71:$L$71,1,$D$170+1)/Assumptions!$D$13)^(1/$D$170)-1</f>
        <v>0.0557018017118149</v>
      </c>
    </row>
    <row r="241" customFormat="false" ht="15" hidden="false" customHeight="false" outlineLevel="0" collapsed="false">
      <c r="B241" s="9" t="s">
        <v>233</v>
      </c>
      <c r="D241" s="19" t="n">
        <f aca="false">$D$172-$D$29</f>
        <v>212.59223136</v>
      </c>
    </row>
    <row r="242" customFormat="false" ht="15" hidden="false" customHeight="false" outlineLevel="0" collapsed="false">
      <c r="B242" s="9" t="s">
        <v>234</v>
      </c>
      <c r="D242" s="14" t="n">
        <f aca="false">$D$172/$D$29-1</f>
        <v>0.4724271808</v>
      </c>
    </row>
    <row r="243" customFormat="false" ht="15" hidden="false" customHeight="false" outlineLevel="0" collapsed="false">
      <c r="B243" s="9" t="s">
        <v>235</v>
      </c>
      <c r="D243" s="25" t="n">
        <f aca="false">($D$172/$D$29)^(1/$D$170)-1</f>
        <v>0.0804552029079741</v>
      </c>
    </row>
    <row r="244" customFormat="false" ht="15" hidden="false" customHeight="false" outlineLevel="0" collapsed="false">
      <c r="B244" s="9" t="s">
        <v>236</v>
      </c>
      <c r="D244" s="14" t="n">
        <f aca="false">$D$179/$D$46-1</f>
        <v>1.06866978086799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711</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ROUNDUP(Case_Deeper_Bad_Year!$H$166,1)</f>
        <v>7</v>
      </c>
    </row>
    <row r="16" customFormat="false" ht="15" hidden="false" customHeight="false" outlineLevel="0" collapsed="false">
      <c r="B16" s="9" t="s">
        <v>159</v>
      </c>
      <c r="C16" s="6" t="s">
        <v>133</v>
      </c>
      <c r="D16" s="26" t="n">
        <v>3</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Assumptions!$D$150</f>
        <v>-0.12</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Assumptions!$D$151</f>
        <v>-0.045</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313.4208</v>
      </c>
      <c r="I65" s="19" t="n">
        <f aca="false">$H$65*(1+$I$24)</f>
        <v>335.360256</v>
      </c>
      <c r="J65" s="19" t="n">
        <f aca="false">$I$65*(1+$J$24)</f>
        <v>352.1282688</v>
      </c>
      <c r="K65" s="19" t="n">
        <f aca="false">$J$65*(1+$K$24)</f>
        <v>366.213399552</v>
      </c>
      <c r="L65" s="19" t="n">
        <f aca="false">$K$65*(1+$L$24)</f>
        <v>380.86193553408</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0.13</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40.744704</v>
      </c>
      <c r="I67" s="19" t="n">
        <f aca="false">$I$65*$I$66</f>
        <v>55.33444224</v>
      </c>
      <c r="J67" s="19" t="n">
        <f aca="false">$J$65*$J$66</f>
        <v>61.62244704</v>
      </c>
      <c r="K67" s="19" t="n">
        <f aca="false">$K$65*$K$66</f>
        <v>64.0873449216</v>
      </c>
      <c r="L67" s="19" t="n">
        <f aca="false">$L$65*$L$66</f>
        <v>66.650838718464</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375.8208</v>
      </c>
      <c r="I71" s="18" t="n">
        <f aca="false">$I$65+IF(AND($D$12=1,$I$64&gt;Assumptions!$D$116),$I$68,0)</f>
        <v>400.256256</v>
      </c>
      <c r="J71" s="18" t="n">
        <f aca="false">$J$65+IF(AND($D$12=1,$J$64&gt;Assumptions!$D$116),$J$68,0)</f>
        <v>419.6201088</v>
      </c>
      <c r="K71" s="18" t="n">
        <f aca="false">$K$65+IF(AND($D$12=1,$K$64&gt;Assumptions!$D$116),$K$68,0)</f>
        <v>436.404913152</v>
      </c>
      <c r="L71" s="18" t="n">
        <f aca="false">$L$65+IF(AND($D$12=1,$L$64&gt;Assumptions!$D$116),$L$68,0)</f>
        <v>453.86110967808</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50.064704</v>
      </c>
      <c r="I72" s="18" t="n">
        <f aca="false">$I$67+IF(AND($D$12=1,$I$64&gt;Assumptions!$D$116),$I$69+$I$70,0)</f>
        <v>66.48724224</v>
      </c>
      <c r="J72" s="18" t="n">
        <f aca="false">$J$67+IF(AND($D$12=1,$J$64&gt;Assumptions!$D$116),$J$69+$J$70,0)</f>
        <v>73.62135904</v>
      </c>
      <c r="K72" s="18" t="n">
        <f aca="false">$K$67+IF(AND($D$12=1,$K$64&gt;Assumptions!$D$116),$K$69+$K$70,0)</f>
        <v>76.4462134016</v>
      </c>
      <c r="L72" s="18" t="n">
        <f aca="false">$L$67+IF(AND($D$12=1,$L$64&gt;Assumptions!$D$116),$L$69+$L$70,0)</f>
        <v>79.384061937664</v>
      </c>
    </row>
    <row r="73" customFormat="false" ht="15" hidden="false" customHeight="false" outlineLevel="0" collapsed="false">
      <c r="B73" s="9" t="s">
        <v>555</v>
      </c>
      <c r="E73" s="14" t="n">
        <f aca="false">$E$72/$E$71</f>
        <v>0.15625</v>
      </c>
      <c r="F73" s="14" t="n">
        <f aca="false">$F$72/$F$71</f>
        <v>0.1625</v>
      </c>
      <c r="G73" s="14" t="n">
        <f aca="false">$G$72/$G$71</f>
        <v>0.17</v>
      </c>
      <c r="H73" s="14" t="n">
        <f aca="false">$H$72/$H$71</f>
        <v>0.133214297878138</v>
      </c>
      <c r="I73" s="14" t="n">
        <f aca="false">$I$72/$I$71</f>
        <v>0.166111687808322</v>
      </c>
      <c r="J73" s="14" t="n">
        <f aca="false">$J$72/$J$71</f>
        <v>0.175447642989601</v>
      </c>
      <c r="K73" s="14" t="n">
        <f aca="false">$K$72/$K$71</f>
        <v>0.175172669000117</v>
      </c>
      <c r="L73" s="14" t="n">
        <f aca="false">$L$72/$L$71</f>
        <v>0.174908270933305</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13.153728</v>
      </c>
      <c r="I74" s="19" t="n">
        <f aca="false">Assumptions!$D$29*$I$71</f>
        <v>14.00896896</v>
      </c>
      <c r="J74" s="19" t="n">
        <f aca="false">Assumptions!$D$29*$J$71</f>
        <v>14.686703808</v>
      </c>
      <c r="K74" s="19" t="n">
        <f aca="false">Assumptions!$D$29*$K$71</f>
        <v>15.27417196032</v>
      </c>
      <c r="L74" s="19" t="n">
        <f aca="false">Assumptions!$D$29*$L$71</f>
        <v>15.8851388387328</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11.274624</v>
      </c>
      <c r="I75" s="19" t="n">
        <f aca="false">Assumptions!$D$30*$I$71</f>
        <v>12.00768768</v>
      </c>
      <c r="J75" s="19" t="n">
        <f aca="false">Assumptions!$D$30*$J$71</f>
        <v>12.588603264</v>
      </c>
      <c r="K75" s="19" t="n">
        <f aca="false">Assumptions!$D$30*$K$71</f>
        <v>13.09214739456</v>
      </c>
      <c r="L75" s="19" t="n">
        <f aca="false">Assumptions!$D$30*$L$71</f>
        <v>13.6158332903424</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45.098496</v>
      </c>
      <c r="I76" s="19" t="n">
        <f aca="false">Assumptions!$D$27*$I$71</f>
        <v>48.03075072</v>
      </c>
      <c r="J76" s="19" t="n">
        <f aca="false">Assumptions!$D$27*$J$71</f>
        <v>50.354413056</v>
      </c>
      <c r="K76" s="19" t="n">
        <f aca="false">Assumptions!$D$27*$K$71</f>
        <v>52.36858957824</v>
      </c>
      <c r="L76" s="19" t="n">
        <f aca="false">Assumptions!$D$27*$L$71</f>
        <v>54.4633331613696</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45.098496</v>
      </c>
      <c r="I78" s="19" t="n">
        <f aca="false">$I$76+$I$77</f>
        <v>48.03075072</v>
      </c>
      <c r="J78" s="19" t="n">
        <f aca="false">$J$76+$J$77</f>
        <v>50.354413056</v>
      </c>
      <c r="K78" s="19" t="n">
        <f aca="false">$K$76+$K$77</f>
        <v>52.36858957824</v>
      </c>
      <c r="L78" s="19" t="n">
        <f aca="false">$L$76+$L$77</f>
        <v>54.4633331613696</v>
      </c>
    </row>
    <row r="79" customFormat="false" ht="15" hidden="false" customHeight="false" outlineLevel="0" collapsed="false">
      <c r="B79" s="9" t="s">
        <v>561</v>
      </c>
      <c r="F79" s="19" t="n">
        <f aca="false">$F$78-$E$78-$F$77</f>
        <v>1.92</v>
      </c>
      <c r="G79" s="19" t="n">
        <f aca="false">$G$78-$F$78-$G$77</f>
        <v>2.4192</v>
      </c>
      <c r="H79" s="19" t="n">
        <f aca="false">$H$78-$G$78-$H$77</f>
        <v>-4.840704</v>
      </c>
      <c r="I79" s="19" t="n">
        <f aca="false">$I$78-$H$78-$I$77</f>
        <v>2.93225472</v>
      </c>
      <c r="J79" s="19" t="n">
        <f aca="false">$J$78-$I$78-$J$77</f>
        <v>2.323662336</v>
      </c>
      <c r="K79" s="19" t="n">
        <f aca="false">$K$78-$J$78-$K$77</f>
        <v>2.01417652224</v>
      </c>
      <c r="L79" s="19" t="n">
        <f aca="false">$L$78-$K$78-$L$77</f>
        <v>2.09474358312961</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7</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11.36</v>
      </c>
      <c r="G91" s="18" t="n">
        <f aca="false">$G$72-$G$139-$G$105-$G$75-$G$79-$G$83-$G$87-$G$89</f>
        <v>14.883365</v>
      </c>
      <c r="H91" s="18" t="n">
        <f aca="false">$H$72-$H$139-$H$105-$H$75-$H$79-$H$83-$H$87-$H$89</f>
        <v>11.1329569625</v>
      </c>
      <c r="I91" s="18" t="n">
        <f aca="false">$I$72-$I$139-$I$105-$I$75-$I$79-$I$83-$I$87-$I$89</f>
        <v>17.4987550222812</v>
      </c>
      <c r="J91" s="18" t="n">
        <f aca="false">$J$72-$J$139-$J$105-$J$75-$J$79-$J$83-$J$87-$J$89</f>
        <v>24.8735750492166</v>
      </c>
      <c r="K91" s="18" t="n">
        <f aca="false">$K$72-$K$139-$K$105-$K$75-$K$79-$K$83-$K$87-$K$89</f>
        <v>28.3802027279732</v>
      </c>
      <c r="L91" s="18" t="n">
        <f aca="false">$L$72-$L$139-$L$105-$L$75-$L$79-$L$83-$L$87-$L$89</f>
        <v>31.0922705877167</v>
      </c>
    </row>
    <row r="92" customFormat="false" ht="15" hidden="false" customHeight="false" outlineLevel="0" collapsed="false">
      <c r="B92" s="9" t="s">
        <v>573</v>
      </c>
      <c r="F92" s="19" t="n">
        <f aca="false">$F$75+$F$79</f>
        <v>12</v>
      </c>
      <c r="G92" s="19" t="n">
        <f aca="false">$G$75+$G$79</f>
        <v>13.104</v>
      </c>
      <c r="H92" s="19" t="n">
        <f aca="false">$H$75+$H$79</f>
        <v>6.43392000000001</v>
      </c>
      <c r="I92" s="19" t="n">
        <f aca="false">$I$75+$I$79</f>
        <v>14.9399424</v>
      </c>
      <c r="J92" s="19" t="n">
        <f aca="false">$J$75+$J$79</f>
        <v>14.9122656</v>
      </c>
      <c r="K92" s="19" t="n">
        <f aca="false">$K$75+$K$79</f>
        <v>15.1063239168</v>
      </c>
      <c r="L92" s="19" t="n">
        <f aca="false">$L$75+$L$79</f>
        <v>15.710576873472</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14.555</v>
      </c>
      <c r="H94" s="19" t="n">
        <f aca="false">$G$123</f>
        <v>12.1941825</v>
      </c>
      <c r="I94" s="19" t="n">
        <f aca="false">$H$123</f>
        <v>18.83856973125</v>
      </c>
      <c r="J94" s="19" t="n">
        <f aca="false">$I$123</f>
        <v>21.8436623767656</v>
      </c>
      <c r="K94" s="19" t="n">
        <f aca="false">$J$123</f>
        <v>35.5504280694867</v>
      </c>
      <c r="L94" s="19" t="n">
        <f aca="false">$K$123</f>
        <v>61.2806307974599</v>
      </c>
    </row>
    <row r="95" customFormat="false" ht="15" hidden="false" customHeight="false" outlineLevel="0" collapsed="false">
      <c r="B95" s="9" t="s">
        <v>576</v>
      </c>
      <c r="F95" s="19" t="n">
        <f aca="false">$E$123+$F$91-$F$109-$F$82-$F$85+$F$84+$F$86-$F$88+$F$90</f>
        <v>19.11</v>
      </c>
      <c r="G95" s="19" t="n">
        <f aca="false">$F$123+$G$91-$G$109-$G$82-$G$85+$G$84+$G$86-$G$88+$G$90</f>
        <v>14.388365</v>
      </c>
      <c r="H95" s="19" t="n">
        <f aca="false">$G$123+$H$91-$H$109-$H$82-$H$85+$H$84+$H$86-$H$88+$H$90</f>
        <v>27.6771394625</v>
      </c>
      <c r="I95" s="19" t="n">
        <f aca="false">$H$123+$I$91-$I$109-$I$82-$I$85+$I$84+$I$86-$I$88+$I$90</f>
        <v>33.6873247535313</v>
      </c>
      <c r="J95" s="19" t="n">
        <f aca="false">$I$123+$J$91-$J$109-$J$82-$J$85+$J$84+$J$86-$J$88+$J$90</f>
        <v>44.0672374259823</v>
      </c>
      <c r="K95" s="19" t="n">
        <f aca="false">$J$123+$K$91-$K$109-$K$82-$K$85+$K$84+$K$86-$K$88+$K$90</f>
        <v>61.2806307974599</v>
      </c>
      <c r="L95" s="19" t="n">
        <f aca="false">$K$123+$L$91-$L$109-$L$82-$L$85+$L$84+$L$86-$L$88+$L$90</f>
        <v>89.7229013851766</v>
      </c>
    </row>
    <row r="96" customFormat="false" ht="15" hidden="false" customHeight="false" outlineLevel="0" collapsed="false">
      <c r="B96" s="17" t="s">
        <v>577</v>
      </c>
      <c r="F96" s="18" t="n">
        <f aca="false">$F$95+$F$110-$F$111-$F$115</f>
        <v>14.555</v>
      </c>
      <c r="G96" s="18" t="n">
        <f aca="false">$G$95+$G$110-$G$111-$G$115</f>
        <v>12.1941825</v>
      </c>
      <c r="H96" s="18" t="n">
        <f aca="false">$H$95+$H$110-$H$111-$H$115</f>
        <v>18.83856973125</v>
      </c>
      <c r="I96" s="18" t="n">
        <f aca="false">$I$95+$I$110-$I$111-$I$115</f>
        <v>21.8436623767656</v>
      </c>
      <c r="J96" s="18" t="n">
        <f aca="false">$J$95+$J$110-$J$111-$J$115</f>
        <v>35.5504280694867</v>
      </c>
      <c r="K96" s="18" t="n">
        <f aca="false">$K$95+$K$110-$K$111-$K$115</f>
        <v>61.2806307974599</v>
      </c>
      <c r="L96" s="18" t="n">
        <f aca="false">$L$95+$L$110-$L$111-$L$115</f>
        <v>89.7229013851766</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18.546575</v>
      </c>
      <c r="H101" s="38" t="n">
        <f aca="false">$G$118*$H$100</f>
        <v>21.5688194875</v>
      </c>
      <c r="I101" s="38" t="n">
        <f aca="false">$H$118*$I$100</f>
        <v>20.5922910603437</v>
      </c>
      <c r="J101" s="38" t="n">
        <f aca="false">$I$118*$J$100</f>
        <v>19.3603297583187</v>
      </c>
      <c r="K101" s="38" t="n">
        <f aca="false">$J$118*$K$100</f>
        <v>18.4111509630165</v>
      </c>
      <c r="L101" s="38" t="n">
        <f aca="false">$K$118*$L$100</f>
        <v>18.1859009630165</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0.2911</v>
      </c>
      <c r="H104" s="38" t="n">
        <f aca="false">$G$123*Assumptions!$D$9</f>
        <v>0.24388365</v>
      </c>
      <c r="I104" s="38" t="n">
        <f aca="false">$H$123*Assumptions!$D$9</f>
        <v>0.376771394625</v>
      </c>
      <c r="J104" s="38" t="n">
        <f aca="false">$I$123*Assumptions!$D$9</f>
        <v>0.436873247535313</v>
      </c>
      <c r="K104" s="38" t="n">
        <f aca="false">$J$123*Assumptions!$D$9</f>
        <v>0.711008561389734</v>
      </c>
      <c r="L104" s="38" t="n">
        <f aca="false">$K$123*Assumptions!$D$9</f>
        <v>1.2256126159492</v>
      </c>
    </row>
    <row r="105" customFormat="false" ht="15" hidden="false" customHeight="false" outlineLevel="0" collapsed="false">
      <c r="B105" s="17" t="s">
        <v>585</v>
      </c>
      <c r="F105" s="40" t="n">
        <f aca="false">$F$101+$F$102+$F$103-$F$104</f>
        <v>24.625</v>
      </c>
      <c r="G105" s="40" t="n">
        <f aca="false">$G$101+$G$102+$G$103-$G$104</f>
        <v>23.955475</v>
      </c>
      <c r="H105" s="40" t="n">
        <f aca="false">$H$101+$H$102+$H$103-$H$104</f>
        <v>27.0249358375</v>
      </c>
      <c r="I105" s="40" t="n">
        <f aca="false">$I$101+$I$102+$I$103-$I$104</f>
        <v>25.9155196657187</v>
      </c>
      <c r="J105" s="40" t="n">
        <f aca="false">$J$101+$J$102+$J$103-$J$104</f>
        <v>24.6234565107834</v>
      </c>
      <c r="K105" s="40" t="n">
        <f aca="false">$K$101+$K$102+$K$103-$K$104</f>
        <v>23.4001424016268</v>
      </c>
      <c r="L105" s="40" t="n">
        <f aca="false">$L$101+$L$102+$L$103-$L$104</f>
        <v>22.6602883470673</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2.21725888324873</v>
      </c>
      <c r="G107" s="24" t="n">
        <f aca="false">IF($G$105&lt;&gt;0,$G$72/$G$105,0)</f>
        <v>2.52748901868988</v>
      </c>
      <c r="H107" s="24" t="n">
        <f aca="false">IF($H$105&lt;&gt;0,$H$72/$H$105,0)</f>
        <v>1.85253738625088</v>
      </c>
      <c r="I107" s="24" t="n">
        <f aca="false">IF($I$105&lt;&gt;0,$I$72/$I$105,0)</f>
        <v>2.56553768157502</v>
      </c>
      <c r="J107" s="24" t="n">
        <f aca="false">IF($J$105&lt;&gt;0,$J$72/$J$105,0)</f>
        <v>2.98988726492396</v>
      </c>
      <c r="K107" s="24" t="n">
        <f aca="false">IF($K$105&lt;&gt;0,$K$72/$K$105,0)</f>
        <v>3.26691231572528</v>
      </c>
      <c r="L107" s="24" t="n">
        <f aca="false">IF($L$105&lt;&gt;0,$L$72/$L$105,0)</f>
        <v>3.50322382141875</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2.65</v>
      </c>
      <c r="K109" s="38" t="n">
        <f aca="false">IF($D$14=1,0,MIN($J$118,Assumptions!$D$85*$J$119))</f>
        <v>2.65</v>
      </c>
      <c r="L109" s="38" t="n">
        <f aca="false">IF($D$14=1,0,MIN($K$118,Assumptions!$D$85*$K$119))</f>
        <v>2.65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19.11</v>
      </c>
      <c r="G112" s="19" t="n">
        <f aca="false">$G$95+$G$110-$G$111</f>
        <v>14.388365</v>
      </c>
      <c r="H112" s="19" t="n">
        <f aca="false">$H$95+$H$110-$H$111</f>
        <v>27.6771394625</v>
      </c>
      <c r="I112" s="19" t="n">
        <f aca="false">$I$95+$I$110-$I$111</f>
        <v>33.6873247535313</v>
      </c>
      <c r="J112" s="19" t="n">
        <f aca="false">$J$95+$J$110-$J$111</f>
        <v>44.0672374259823</v>
      </c>
      <c r="K112" s="19" t="n">
        <f aca="false">$K$95+$K$110-$K$111</f>
        <v>61.2806307974599</v>
      </c>
      <c r="L112" s="19" t="n">
        <f aca="false">$L$95+$L$110-$L$111</f>
        <v>89.7229013851766</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9.11</v>
      </c>
      <c r="G114" s="19" t="n">
        <f aca="false">MAX(0,$G$112-Assumptions!$D$79)</f>
        <v>4.38836500000001</v>
      </c>
      <c r="H114" s="19" t="n">
        <f aca="false">MAX(0,$H$112-Assumptions!$D$79)</f>
        <v>17.6771394625</v>
      </c>
      <c r="I114" s="19" t="n">
        <f aca="false">MAX(0,$I$112-Assumptions!$D$79)</f>
        <v>23.6873247535313</v>
      </c>
      <c r="J114" s="19" t="n">
        <f aca="false">MAX(0,$J$112-Assumptions!$D$79)</f>
        <v>34.0672374259823</v>
      </c>
      <c r="K114" s="19" t="n">
        <f aca="false">MAX(0,$K$112-Assumptions!$D$79)</f>
        <v>51.2806307974599</v>
      </c>
      <c r="L114" s="19" t="n">
        <f aca="false">MAX(0,$L$112-Assumptions!$D$79)</f>
        <v>79.7229013851766</v>
      </c>
    </row>
    <row r="115" customFormat="false" ht="15" hidden="false" customHeight="false" outlineLevel="0" collapsed="false">
      <c r="B115" s="17" t="s">
        <v>595</v>
      </c>
      <c r="F115" s="18" t="n">
        <f aca="false">IF(AND($D$19=1,$D$14=0,$E$121-$F$111+$F$110=0),MIN($E$118-$F$109+$F$84,$F$113*$F$114),0)</f>
        <v>4.555</v>
      </c>
      <c r="G115" s="18" t="n">
        <f aca="false">IF(AND($D$19=1,$D$14=0,$F$121-$G$111+$G$110=0),MIN($F$118-$G$109+$G$84,$G$113*$G$114),0)</f>
        <v>2.19418250000001</v>
      </c>
      <c r="H115" s="18" t="n">
        <f aca="false">IF(AND($D$19=1,$D$14=0,$G$121-$H$111+$H$110=0),MIN($G$118-$H$109+$H$84,$H$113*$H$114),0)</f>
        <v>8.83856973125001</v>
      </c>
      <c r="I115" s="18" t="n">
        <f aca="false">IF(AND($D$19=1,$D$14=0,$H$121-$I$111+$I$110=0),MIN($H$118-$I$109+$I$84,$I$113*$I$114),0)</f>
        <v>11.8436623767656</v>
      </c>
      <c r="J115" s="18" t="n">
        <f aca="false">IF(AND($D$19=1,$D$14=0,$I$121-$J$111+$J$110=0),MIN($I$118-$J$109+$J$84,$J$113*$J$114),0)</f>
        <v>8.51680935649557</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218.195</v>
      </c>
      <c r="G118" s="19" t="n">
        <f aca="false">$F$118-$G$109-$G$115+$G$84+$G$86</f>
        <v>253.7508175</v>
      </c>
      <c r="H118" s="19" t="n">
        <f aca="false">$G$118-$H$109-$H$115+$H$84+$H$86</f>
        <v>242.26224776875</v>
      </c>
      <c r="I118" s="19" t="n">
        <f aca="false">$H$118-$I$109-$I$115+$I$84+$I$86</f>
        <v>227.768585391984</v>
      </c>
      <c r="J118" s="19" t="n">
        <f aca="false">$I$118-$J$109-$J$115+$J$84+$J$86</f>
        <v>216.601776035489</v>
      </c>
      <c r="K118" s="19" t="n">
        <f aca="false">$J$118-$K$109-$K$115+$K$84+$K$86</f>
        <v>213.951776035489</v>
      </c>
      <c r="L118" s="19" t="n">
        <f aca="false">$K$118-$L$109-$L$115+$L$84+$L$86</f>
        <v>211.301776035489</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268.195</v>
      </c>
      <c r="G122" s="18" t="n">
        <f aca="false">$G$118+$G$120+$G$121</f>
        <v>303.7508175</v>
      </c>
      <c r="H122" s="18" t="n">
        <f aca="false">$H$118+$H$120+$H$121</f>
        <v>292.26224776875</v>
      </c>
      <c r="I122" s="18" t="n">
        <f aca="false">$I$118+$I$120+$I$121</f>
        <v>277.768585391984</v>
      </c>
      <c r="J122" s="18" t="n">
        <f aca="false">$J$118+$J$120+$J$121</f>
        <v>266.601776035489</v>
      </c>
      <c r="K122" s="18" t="n">
        <f aca="false">$K$118+$K$120+$K$121</f>
        <v>263.951776035489</v>
      </c>
      <c r="L122" s="18" t="n">
        <f aca="false">$L$118+$L$120+$L$121</f>
        <v>261.301776035489</v>
      </c>
    </row>
    <row r="123" customFormat="false" ht="15" hidden="false" customHeight="false" outlineLevel="0" collapsed="false">
      <c r="B123" s="9" t="s">
        <v>600</v>
      </c>
      <c r="E123" s="19" t="n">
        <f aca="false">Assumptions!$D$78</f>
        <v>10</v>
      </c>
      <c r="F123" s="19" t="n">
        <f aca="false">$F$112-$F$115</f>
        <v>14.555</v>
      </c>
      <c r="G123" s="19" t="n">
        <f aca="false">$G$112-$G$115</f>
        <v>12.1941825</v>
      </c>
      <c r="H123" s="19" t="n">
        <f aca="false">$H$112-$H$115</f>
        <v>18.83856973125</v>
      </c>
      <c r="I123" s="19" t="n">
        <f aca="false">$I$112-$I$115</f>
        <v>21.8436623767656</v>
      </c>
      <c r="J123" s="19" t="n">
        <f aca="false">$J$112-$J$115</f>
        <v>35.5504280694867</v>
      </c>
      <c r="K123" s="19" t="n">
        <f aca="false">$K$112-$K$115</f>
        <v>61.2806307974599</v>
      </c>
      <c r="L123" s="19" t="n">
        <f aca="false">$L$112-$L$115</f>
        <v>89.7229013851766</v>
      </c>
    </row>
    <row r="124" customFormat="false" ht="15" hidden="false" customHeight="false" outlineLevel="0" collapsed="false">
      <c r="B124" s="17" t="s">
        <v>601</v>
      </c>
      <c r="E124" s="18" t="n">
        <f aca="false">$E$122-$E$123</f>
        <v>265</v>
      </c>
      <c r="F124" s="18" t="n">
        <f aca="false">$F$122-$F$123</f>
        <v>253.64</v>
      </c>
      <c r="G124" s="18" t="n">
        <f aca="false">$G$122-$G$123</f>
        <v>291.556635</v>
      </c>
      <c r="H124" s="18" t="n">
        <f aca="false">$H$122-$H$123</f>
        <v>273.4236780375</v>
      </c>
      <c r="I124" s="18" t="n">
        <f aca="false">$I$122-$I$123</f>
        <v>255.924923015219</v>
      </c>
      <c r="J124" s="18" t="n">
        <f aca="false">$J$122-$J$123</f>
        <v>231.051347966002</v>
      </c>
      <c r="K124" s="18" t="n">
        <f aca="false">$K$122-$K$123</f>
        <v>202.671145238029</v>
      </c>
      <c r="L124" s="18" t="n">
        <f aca="false">$L$122-$L$123</f>
        <v>171.578874650312</v>
      </c>
    </row>
    <row r="125" customFormat="false" ht="15" hidden="false" customHeight="false" outlineLevel="0" collapsed="false">
      <c r="B125" s="9" t="s">
        <v>538</v>
      </c>
      <c r="E125" s="24" t="n">
        <f aca="false">$E$124/$E$72</f>
        <v>5.3</v>
      </c>
      <c r="F125" s="24" t="n">
        <f aca="false">$F$124/$F$72</f>
        <v>4.64542124542125</v>
      </c>
      <c r="G125" s="24" t="n">
        <f aca="false">$G$124/$G$72</f>
        <v>4.81536115625495</v>
      </c>
      <c r="H125" s="24" t="n">
        <f aca="false">$H$124/$H$72</f>
        <v>5.46140606439019</v>
      </c>
      <c r="I125" s="24" t="n">
        <f aca="false">$I$124/$I$72</f>
        <v>3.8492335430518</v>
      </c>
      <c r="J125" s="24" t="n">
        <f aca="false">$J$124/$J$72</f>
        <v>3.1383738493671</v>
      </c>
      <c r="K125" s="24" t="n">
        <f aca="false">$K$124/$K$72</f>
        <v>2.65116002768277</v>
      </c>
      <c r="L125" s="24" t="n">
        <f aca="false">$L$124/$L$72</f>
        <v>2.16137686158015</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36.910976</v>
      </c>
      <c r="I129" s="38" t="n">
        <f aca="false">$I$72-$I$74</f>
        <v>52.47827328</v>
      </c>
      <c r="J129" s="38" t="n">
        <f aca="false">$J$72-$J$74</f>
        <v>58.934655232</v>
      </c>
      <c r="K129" s="38" t="n">
        <f aca="false">$K$72-$K$74</f>
        <v>61.17204144128</v>
      </c>
      <c r="L129" s="38" t="n">
        <f aca="false">$L$72-$L$74</f>
        <v>63.4989230989312</v>
      </c>
    </row>
    <row r="130" customFormat="false" ht="15" hidden="false" customHeight="false" outlineLevel="0" collapsed="false">
      <c r="B130" s="9" t="s">
        <v>605</v>
      </c>
      <c r="F130" s="38" t="n">
        <f aca="false">$F$105+$F$106</f>
        <v>25.4107142857143</v>
      </c>
      <c r="G130" s="38" t="n">
        <f aca="false">$G$105+$G$106</f>
        <v>24.7411892857143</v>
      </c>
      <c r="H130" s="38" t="n">
        <f aca="false">$H$105+$H$106</f>
        <v>27.9706501232143</v>
      </c>
      <c r="I130" s="38" t="n">
        <f aca="false">$I$105+$I$106</f>
        <v>26.861233951433</v>
      </c>
      <c r="J130" s="38" t="n">
        <f aca="false">$J$105+$J$106</f>
        <v>25.5691707964976</v>
      </c>
      <c r="K130" s="38" t="n">
        <f aca="false">$K$105+$K$106</f>
        <v>24.3458566873411</v>
      </c>
      <c r="L130" s="38" t="n">
        <f aca="false">$L$105+$L$106</f>
        <v>23.6060026327816</v>
      </c>
    </row>
    <row r="131" customFormat="false" ht="15" hidden="false" customHeight="false" outlineLevel="0" collapsed="false">
      <c r="B131" s="9" t="s">
        <v>606</v>
      </c>
      <c r="F131" s="38" t="n">
        <f aca="false">$F$129-$F$130-$F$83-$F$87-$F$89</f>
        <v>17.4292857142857</v>
      </c>
      <c r="G131" s="38" t="n">
        <f aca="false">$G$129-$G$130-$G$83-$G$87-$G$89</f>
        <v>21.8404107142857</v>
      </c>
      <c r="H131" s="38" t="n">
        <f aca="false">$H$129-$H$130-$H$83-$H$87-$H$89</f>
        <v>8.94032587678573</v>
      </c>
      <c r="I131" s="38" t="n">
        <f aca="false">$I$129-$I$130-$I$83-$I$87-$I$89</f>
        <v>25.617039328567</v>
      </c>
      <c r="J131" s="38" t="n">
        <f aca="false">$J$129-$J$130-$J$83-$J$87-$J$89</f>
        <v>33.3654844355024</v>
      </c>
      <c r="K131" s="38" t="n">
        <f aca="false">$K$129-$K$130-$K$83-$K$87-$K$89</f>
        <v>36.8261847539389</v>
      </c>
      <c r="L131" s="38" t="n">
        <f aca="false">$L$129-$L$130-$L$83-$L$87-$L$89</f>
        <v>39.8929204661496</v>
      </c>
    </row>
    <row r="132" customFormat="false" ht="15" hidden="false" customHeight="false" outlineLevel="0" collapsed="false">
      <c r="B132" s="9" t="s">
        <v>607</v>
      </c>
      <c r="F132" s="38" t="n">
        <f aca="false">Assumptions!$D$8*$F$72</f>
        <v>16.38</v>
      </c>
      <c r="G132" s="38" t="n">
        <f aca="false">Assumptions!$D$8*$G$72</f>
        <v>18.16416</v>
      </c>
      <c r="H132" s="38" t="n">
        <f aca="false">Assumptions!$D$8*$H$72</f>
        <v>15.0194112</v>
      </c>
      <c r="I132" s="38" t="n">
        <f aca="false">Assumptions!$D$8*$I$72</f>
        <v>19.946172672</v>
      </c>
      <c r="J132" s="38" t="n">
        <f aca="false">Assumptions!$D$8*$J$72</f>
        <v>22.086407712</v>
      </c>
      <c r="K132" s="38" t="n">
        <f aca="false">Assumptions!$D$8*$K$72</f>
        <v>22.93386402048</v>
      </c>
      <c r="L132" s="38" t="n">
        <f aca="false">Assumptions!$D$8*$L$72</f>
        <v>23.8152185812992</v>
      </c>
    </row>
    <row r="133" customFormat="false" ht="15" hidden="false" customHeight="false" outlineLevel="0" collapsed="false">
      <c r="B133" s="9" t="s">
        <v>608</v>
      </c>
      <c r="F133" s="38" t="n">
        <f aca="false">$F$130+$E$135</f>
        <v>25.4107142857143</v>
      </c>
      <c r="G133" s="38" t="n">
        <f aca="false">$G$130+$F$135</f>
        <v>33.7719035714286</v>
      </c>
      <c r="H133" s="38" t="n">
        <f aca="false">$H$130+$G$135</f>
        <v>43.5783936946428</v>
      </c>
      <c r="I133" s="38" t="n">
        <f aca="false">$I$130+$H$135</f>
        <v>55.4202164460759</v>
      </c>
      <c r="J133" s="38" t="n">
        <f aca="false">$J$130+$I$135</f>
        <v>61.0432145705735</v>
      </c>
      <c r="K133" s="38" t="n">
        <f aca="false">$K$130+$J$135</f>
        <v>63.3026635459146</v>
      </c>
      <c r="L133" s="38" t="n">
        <f aca="false">$L$130+$K$135</f>
        <v>63.9748021582162</v>
      </c>
    </row>
    <row r="134" customFormat="false" ht="15" hidden="false" customHeight="false" outlineLevel="0" collapsed="false">
      <c r="B134" s="9" t="s">
        <v>609</v>
      </c>
      <c r="F134" s="38" t="n">
        <f aca="false">MIN($F$133,$F$132)</f>
        <v>16.38</v>
      </c>
      <c r="G134" s="38" t="n">
        <f aca="false">MIN($G$133,$G$132)</f>
        <v>18.16416</v>
      </c>
      <c r="H134" s="38" t="n">
        <f aca="false">MIN($H$133,$H$132)</f>
        <v>15.0194112</v>
      </c>
      <c r="I134" s="38" t="n">
        <f aca="false">MIN($I$133,$I$132)</f>
        <v>19.946172672</v>
      </c>
      <c r="J134" s="38" t="n">
        <f aca="false">MIN($J$133,$J$132)</f>
        <v>22.086407712</v>
      </c>
      <c r="K134" s="38" t="n">
        <f aca="false">MIN($K$133,$K$132)</f>
        <v>22.93386402048</v>
      </c>
      <c r="L134" s="38" t="n">
        <f aca="false">MIN($L$133,$L$132)</f>
        <v>23.8152185812992</v>
      </c>
    </row>
    <row r="135" customFormat="false" ht="15" hidden="false" customHeight="false" outlineLevel="0" collapsed="false">
      <c r="B135" s="9" t="s">
        <v>610</v>
      </c>
      <c r="E135" s="38" t="n">
        <f aca="false">0</f>
        <v>0</v>
      </c>
      <c r="F135" s="38" t="n">
        <f aca="false">$F$133-$F$134</f>
        <v>9.03071428571429</v>
      </c>
      <c r="G135" s="38" t="n">
        <f aca="false">$G$133-$G$134</f>
        <v>15.6077435714286</v>
      </c>
      <c r="H135" s="38" t="n">
        <f aca="false">$H$133-$H$134</f>
        <v>28.5589824946428</v>
      </c>
      <c r="I135" s="38" t="n">
        <f aca="false">$I$133-$I$134</f>
        <v>35.4740437740759</v>
      </c>
      <c r="J135" s="38" t="n">
        <f aca="false">$J$133-$J$134</f>
        <v>38.9568068585735</v>
      </c>
      <c r="K135" s="38" t="n">
        <f aca="false">$K$133-$K$134</f>
        <v>40.3687995254346</v>
      </c>
      <c r="L135" s="38" t="n">
        <f aca="false">$L$133-$L$134</f>
        <v>40.159583576917</v>
      </c>
    </row>
    <row r="136" customFormat="false" ht="15" hidden="false" customHeight="false" outlineLevel="0" collapsed="false">
      <c r="B136" s="9" t="s">
        <v>611</v>
      </c>
      <c r="F136" s="38" t="n">
        <f aca="false">$F$129-$F$134-$F$83-$F$87-$F$89</f>
        <v>26.46</v>
      </c>
      <c r="G136" s="38" t="n">
        <f aca="false">$G$129-$G$134-$G$83-$G$87-$G$89</f>
        <v>28.41744</v>
      </c>
      <c r="H136" s="38" t="n">
        <f aca="false">$H$129-$H$134-$H$83-$H$87-$H$89</f>
        <v>21.8915648</v>
      </c>
      <c r="I136" s="38" t="n">
        <f aca="false">$I$129-$I$134-$I$83-$I$87-$I$89</f>
        <v>32.532100608</v>
      </c>
      <c r="J136" s="38" t="n">
        <f aca="false">$J$129-$J$134-$J$83-$J$87-$J$89</f>
        <v>36.84824752</v>
      </c>
      <c r="K136" s="38" t="n">
        <f aca="false">$K$129-$K$134-$K$83-$K$87-$K$89</f>
        <v>38.2381774208</v>
      </c>
      <c r="L136" s="38" t="n">
        <f aca="false">$L$129-$L$134-$L$83-$L$87-$L$89</f>
        <v>39.683704517632</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5.4728912</v>
      </c>
      <c r="I139" s="40" t="n">
        <f aca="false">IF($I$136&lt;0,0,Assumptions!$D$7*($I$136-$I$137))</f>
        <v>8.133025152</v>
      </c>
      <c r="J139" s="40" t="n">
        <f aca="false">IF($J$136&lt;0,0,Assumptions!$D$7*($J$136-$J$137))</f>
        <v>9.21206188</v>
      </c>
      <c r="K139" s="40" t="n">
        <f aca="false">IF($K$136&lt;0,0,Assumptions!$D$7*($K$136-$K$137))</f>
        <v>9.5595443552</v>
      </c>
      <c r="L139" s="40" t="n">
        <f aca="false">IF($L$136&lt;0,0,Assumptions!$D$7*($L$136-$L$137))</f>
        <v>9.920926129408</v>
      </c>
    </row>
    <row r="140" customFormat="false" ht="15" hidden="false" customHeight="false" outlineLevel="0" collapsed="false">
      <c r="B140" s="9" t="s">
        <v>615</v>
      </c>
      <c r="F140" s="19" t="n">
        <f aca="false">$F$131-$F$139</f>
        <v>10.8142857142857</v>
      </c>
      <c r="G140" s="19" t="n">
        <f aca="false">$G$131-$G$139</f>
        <v>14.7360507142857</v>
      </c>
      <c r="H140" s="19" t="n">
        <f aca="false">$H$131-$H$139</f>
        <v>3.46743467678572</v>
      </c>
      <c r="I140" s="19" t="n">
        <f aca="false">$I$131-$I$139</f>
        <v>17.484014176567</v>
      </c>
      <c r="J140" s="19" t="n">
        <f aca="false">$J$131-$J$139</f>
        <v>24.1534225555024</v>
      </c>
      <c r="K140" s="19" t="n">
        <f aca="false">$K$131-$K$139</f>
        <v>27.2666403987389</v>
      </c>
      <c r="L140" s="19" t="n">
        <f aca="false">$L$131-$L$139</f>
        <v>29.9719943367416</v>
      </c>
    </row>
    <row r="141" customFormat="false" ht="15" hidden="false" customHeight="false" outlineLevel="0" collapsed="false">
      <c r="B141" s="9" t="s">
        <v>616</v>
      </c>
      <c r="F141" s="38" t="n">
        <f aca="false">Assumptions!$D$7*($F$129-$F$130)</f>
        <v>4.35732142857143</v>
      </c>
      <c r="G141" s="38" t="n">
        <f aca="false">Assumptions!$D$7*($G$129-$G$130)</f>
        <v>5.83510267857143</v>
      </c>
      <c r="H141" s="38" t="n">
        <f aca="false">Assumptions!$D$7*($H$129-$H$130)</f>
        <v>2.23508146919643</v>
      </c>
      <c r="I141" s="38" t="n">
        <f aca="false">Assumptions!$D$7*($I$129-$I$130)</f>
        <v>6.40425983214174</v>
      </c>
      <c r="J141" s="38" t="n">
        <f aca="false">Assumptions!$D$7*($J$129-$J$130)</f>
        <v>8.34137110887559</v>
      </c>
      <c r="K141" s="38" t="n">
        <f aca="false">Assumptions!$D$7*($K$129-$K$130)</f>
        <v>9.20654618848473</v>
      </c>
      <c r="L141" s="38" t="n">
        <f aca="false">Assumptions!$D$7*($L$129-$L$130)</f>
        <v>9.9732301165374</v>
      </c>
    </row>
    <row r="142" customFormat="false" ht="15" hidden="false" customHeight="false" outlineLevel="0" collapsed="false">
      <c r="B142" s="9" t="s">
        <v>617</v>
      </c>
      <c r="F142" s="38" t="n">
        <f aca="false">$F$139-$F$141</f>
        <v>2.25767857142857</v>
      </c>
      <c r="G142" s="38" t="n">
        <f aca="false">$G$139-$G$141</f>
        <v>1.26925732142857</v>
      </c>
      <c r="H142" s="38" t="n">
        <f aca="false">$H$139-$H$141</f>
        <v>3.23780973080357</v>
      </c>
      <c r="I142" s="38" t="n">
        <f aca="false">$I$139-$I$141</f>
        <v>1.72876531985826</v>
      </c>
      <c r="J142" s="38" t="n">
        <f aca="false">$J$139-$J$141</f>
        <v>0.87069077112441</v>
      </c>
      <c r="K142" s="38" t="n">
        <f aca="false">$K$139-$K$141</f>
        <v>0.352998166715274</v>
      </c>
      <c r="L142" s="38" t="n">
        <f aca="false">$L$139-$L$141</f>
        <v>-0.0523039871293953</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14.555</v>
      </c>
      <c r="G145" s="19" t="n">
        <f aca="false">$G$123</f>
        <v>12.1941825</v>
      </c>
      <c r="H145" s="19" t="n">
        <f aca="false">$H$123</f>
        <v>18.83856973125</v>
      </c>
      <c r="I145" s="19" t="n">
        <f aca="false">$I$123</f>
        <v>21.8436623767656</v>
      </c>
      <c r="J145" s="19" t="n">
        <f aca="false">$J$123</f>
        <v>35.5504280694867</v>
      </c>
      <c r="K145" s="19" t="n">
        <f aca="false">$K$123</f>
        <v>61.2806307974599</v>
      </c>
      <c r="L145" s="19" t="n">
        <f aca="false">$L$123</f>
        <v>89.7229013851766</v>
      </c>
    </row>
    <row r="146" customFormat="false" ht="15" hidden="false" customHeight="false" outlineLevel="0" collapsed="false">
      <c r="B146" s="9" t="s">
        <v>619</v>
      </c>
      <c r="E146" s="19" t="n">
        <f aca="false">$E$78</f>
        <v>38.4</v>
      </c>
      <c r="F146" s="19" t="n">
        <f aca="false">$F$78</f>
        <v>40.32</v>
      </c>
      <c r="G146" s="19" t="n">
        <f aca="false">$G$78</f>
        <v>49.9392</v>
      </c>
      <c r="H146" s="19" t="n">
        <f aca="false">$H$78</f>
        <v>45.098496</v>
      </c>
      <c r="I146" s="19" t="n">
        <f aca="false">$I$78</f>
        <v>48.03075072</v>
      </c>
      <c r="J146" s="19" t="n">
        <f aca="false">$J$78</f>
        <v>50.354413056</v>
      </c>
      <c r="K146" s="19" t="n">
        <f aca="false">$K$78</f>
        <v>52.36858957824</v>
      </c>
      <c r="L146" s="19" t="n">
        <f aca="false">$L$78</f>
        <v>54.4633331613696</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48.660096</v>
      </c>
      <c r="I147" s="19" t="n">
        <f aca="false">$H$147+$I$75-$I$74+IF(AND($D$12=1,$I$64=Assumptions!$D$116),Assumptions!$D$124*Assumptions!$D$117,0)</f>
        <v>46.65881472</v>
      </c>
      <c r="J147" s="19" t="n">
        <f aca="false">$I$147+$J$75-$J$74+IF(AND($D$12=1,$J$64=Assumptions!$D$116),Assumptions!$D$124*Assumptions!$D$117,0)</f>
        <v>44.560714176</v>
      </c>
      <c r="K147" s="19" t="n">
        <f aca="false">$J$147+$K$75-$K$74+IF(AND($D$12=1,$K$64=Assumptions!$D$116),Assumptions!$D$124*Assumptions!$D$117,0)</f>
        <v>42.37868961024</v>
      </c>
      <c r="L147" s="19" t="n">
        <f aca="false">$K$147+$L$75-$L$74+IF(AND($D$12=1,$L$64=Assumptions!$D$116),Assumptions!$D$124*Assumptions!$D$117,0)</f>
        <v>40.1093840618496</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469.509285714286</v>
      </c>
      <c r="G150" s="18" t="n">
        <f aca="false">$G$145+$G$146+$G$147+$G$148+$G$149</f>
        <v>519.801153928572</v>
      </c>
      <c r="H150" s="18" t="n">
        <f aca="false">$H$145+$H$146+$H$147+$H$148+$H$149</f>
        <v>518.780018874107</v>
      </c>
      <c r="I150" s="18" t="n">
        <f aca="false">$I$145+$I$146+$I$147+$I$148+$I$149</f>
        <v>521.770370673909</v>
      </c>
      <c r="J150" s="18" t="n">
        <f aca="false">$J$145+$J$146+$J$147+$J$148+$J$149</f>
        <v>534.756983872915</v>
      </c>
      <c r="K150" s="18" t="n">
        <f aca="false">$K$145+$K$146+$K$147+$K$148+$K$149</f>
        <v>559.373624271654</v>
      </c>
      <c r="L150" s="18" t="n">
        <f aca="false">$L$145+$L$146+$L$147+$L$148+$L$149</f>
        <v>586.695618608396</v>
      </c>
    </row>
    <row r="151" customFormat="false" ht="15" hidden="false" customHeight="false" outlineLevel="0" collapsed="false">
      <c r="B151" s="9" t="s">
        <v>291</v>
      </c>
      <c r="E151" s="19" t="n">
        <f aca="false">$E$122</f>
        <v>275</v>
      </c>
      <c r="F151" s="19" t="n">
        <f aca="false">$F$122</f>
        <v>268.195</v>
      </c>
      <c r="G151" s="19" t="n">
        <f aca="false">$G$122</f>
        <v>303.7508175</v>
      </c>
      <c r="H151" s="19" t="n">
        <f aca="false">$H$122</f>
        <v>292.26224776875</v>
      </c>
      <c r="I151" s="19" t="n">
        <f aca="false">$I$122</f>
        <v>277.768585391984</v>
      </c>
      <c r="J151" s="19" t="n">
        <f aca="false">$J$122</f>
        <v>266.601776035489</v>
      </c>
      <c r="K151" s="19" t="n">
        <f aca="false">$K$122</f>
        <v>263.951776035489</v>
      </c>
      <c r="L151" s="19" t="n">
        <f aca="false">$L$122</f>
        <v>261.301776035489</v>
      </c>
    </row>
    <row r="152" customFormat="false" ht="15" hidden="false" customHeight="false" outlineLevel="0" collapsed="false">
      <c r="B152" s="9" t="s">
        <v>624</v>
      </c>
      <c r="E152" s="19" t="n">
        <f aca="false">$D$46-Assumptions!$D$76</f>
        <v>190.5</v>
      </c>
      <c r="F152" s="19" t="n">
        <f aca="false">$E$152+$F$140-$F$88+$F$90</f>
        <v>201.314285714286</v>
      </c>
      <c r="G152" s="19" t="n">
        <f aca="false">$F$152+$G$140-$G$88+$G$90</f>
        <v>216.050336428571</v>
      </c>
      <c r="H152" s="19" t="n">
        <f aca="false">$G$152+$H$140-$H$88+$H$90</f>
        <v>226.517771105357</v>
      </c>
      <c r="I152" s="19" t="n">
        <f aca="false">$H$152+$I$140-$I$88+$I$90</f>
        <v>244.001785281924</v>
      </c>
      <c r="J152" s="19" t="n">
        <f aca="false">$I$152+$J$140-$J$88+$J$90</f>
        <v>268.155207837427</v>
      </c>
      <c r="K152" s="19" t="n">
        <f aca="false">$J$152+$K$140-$K$88+$K$90</f>
        <v>295.421848236165</v>
      </c>
      <c r="L152" s="19" t="n">
        <f aca="false">$K$152+$L$140-$L$88+$L$90</f>
        <v>325.393842572907</v>
      </c>
    </row>
    <row r="153" customFormat="false" ht="15" hidden="false" customHeight="false" outlineLevel="0" collapsed="false">
      <c r="B153" s="17" t="s">
        <v>625</v>
      </c>
      <c r="E153" s="18" t="n">
        <f aca="false">$E$151+$E$152</f>
        <v>465.5</v>
      </c>
      <c r="F153" s="18" t="n">
        <f aca="false">$F$151+$F$152</f>
        <v>469.509285714286</v>
      </c>
      <c r="G153" s="18" t="n">
        <f aca="false">$G$151+$G$152</f>
        <v>519.801153928572</v>
      </c>
      <c r="H153" s="18" t="n">
        <f aca="false">$H$151+$H$152</f>
        <v>518.780018874107</v>
      </c>
      <c r="I153" s="18" t="n">
        <f aca="false">$I$151+$I$152</f>
        <v>521.770370673909</v>
      </c>
      <c r="J153" s="18" t="n">
        <f aca="false">$J$151+$J$152</f>
        <v>534.756983872915</v>
      </c>
      <c r="K153" s="18" t="n">
        <f aca="false">$K$151+$K$152</f>
        <v>559.373624271654</v>
      </c>
      <c r="L153" s="18" t="n">
        <f aca="false">$L$151+$L$152</f>
        <v>586.695618608396</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50.064704</v>
      </c>
      <c r="I157" s="19" t="n">
        <f aca="false">$I$72+IF(AND($D$12=1,$I$64=Assumptions!$D$116),Assumptions!$D$118,0)</f>
        <v>66.48724224</v>
      </c>
      <c r="J157" s="19" t="n">
        <f aca="false">$J$72+IF(AND($D$12=1,$J$64=Assumptions!$D$116),Assumptions!$D$118,0)</f>
        <v>73.62135904</v>
      </c>
      <c r="K157" s="19" t="n">
        <f aca="false">$K$72+IF(AND($D$12=1,$K$64=Assumptions!$D$116),Assumptions!$D$118,0)</f>
        <v>76.4462134016</v>
      </c>
      <c r="L157" s="19" t="n">
        <f aca="false">$L$72+IF(AND($D$12=1,$L$64=Assumptions!$D$116),Assumptions!$D$118,0)</f>
        <v>79.384061937664</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59.064704</v>
      </c>
      <c r="I159" s="18" t="n">
        <f aca="false">$I$157+$I$158+$I$90</f>
        <v>66.98724224</v>
      </c>
      <c r="J159" s="18" t="n">
        <f aca="false">$J$157+$J$158+$J$90</f>
        <v>73.62135904</v>
      </c>
      <c r="K159" s="18" t="n">
        <f aca="false">$K$157+$K$158+$K$90</f>
        <v>76.4462134016</v>
      </c>
      <c r="L159" s="18" t="n">
        <f aca="false">$L$157+$L$158+$L$90</f>
        <v>79.384061937664</v>
      </c>
    </row>
    <row r="160" customFormat="false" ht="15" hidden="false" customHeight="false" outlineLevel="0" collapsed="false">
      <c r="B160" s="9" t="s">
        <v>631</v>
      </c>
      <c r="F160" s="19" t="n">
        <f aca="false">$F$124</f>
        <v>253.64</v>
      </c>
      <c r="G160" s="19" t="n">
        <f aca="false">$G$124</f>
        <v>291.556635</v>
      </c>
      <c r="H160" s="19" t="n">
        <f aca="false">$H$124</f>
        <v>273.4236780375</v>
      </c>
      <c r="I160" s="19" t="n">
        <f aca="false">$I$124</f>
        <v>255.924923015219</v>
      </c>
      <c r="J160" s="19" t="n">
        <f aca="false">$J$124</f>
        <v>231.051347966002</v>
      </c>
      <c r="K160" s="19" t="n">
        <f aca="false">$K$124</f>
        <v>202.671145238029</v>
      </c>
      <c r="L160" s="19" t="n">
        <f aca="false">$L$124</f>
        <v>171.578874650312</v>
      </c>
    </row>
    <row r="161" customFormat="false" ht="15" hidden="false" customHeight="false" outlineLevel="0" collapsed="false">
      <c r="B161" s="17" t="s">
        <v>632</v>
      </c>
      <c r="F161" s="41" t="n">
        <f aca="false">$F$124/$F$159</f>
        <v>4.64542124542125</v>
      </c>
      <c r="G161" s="41" t="n">
        <f aca="false">$G$124/$G$159</f>
        <v>4.0750250883333</v>
      </c>
      <c r="H161" s="41" t="n">
        <f aca="false">$H$124/$H$159</f>
        <v>4.62922286104236</v>
      </c>
      <c r="I161" s="41" t="n">
        <f aca="false">$I$124/$I$159</f>
        <v>3.82050244878418</v>
      </c>
      <c r="J161" s="41" t="n">
        <f aca="false">$J$124/$J$159</f>
        <v>3.1383738493671</v>
      </c>
      <c r="K161" s="41" t="n">
        <f aca="false">$K$124/$K$159</f>
        <v>2.65116002768277</v>
      </c>
      <c r="L161" s="41" t="n">
        <f aca="false">$L$124/$L$159</f>
        <v>2.16137686158015</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1.10457875457876</v>
      </c>
      <c r="G163" s="24" t="n">
        <f aca="false">$G$162-$G$161</f>
        <v>1.1749749116667</v>
      </c>
      <c r="H163" s="24" t="n">
        <f aca="false">$H$162-$H$161</f>
        <v>0.120777138957644</v>
      </c>
      <c r="I163" s="24" t="n">
        <f aca="false">$I$162-$I$161</f>
        <v>0.429497551215825</v>
      </c>
      <c r="J163" s="24" t="n">
        <f aca="false">$J$162-$J$161</f>
        <v>0.861626150632901</v>
      </c>
      <c r="K163" s="24" t="n">
        <f aca="false">$K$162-$K$161</f>
        <v>1.34883997231723</v>
      </c>
      <c r="L163" s="24" t="n">
        <f aca="false">$L$162-$L$161</f>
        <v>1.83862313841985</v>
      </c>
    </row>
    <row r="164" customFormat="false" ht="15" hidden="false" customHeight="false" outlineLevel="0" collapsed="false">
      <c r="B164" s="9" t="s">
        <v>635</v>
      </c>
      <c r="F164" s="14" t="n">
        <f aca="false">1-$F$124/($F$162*$F$159)</f>
        <v>0.192100652970218</v>
      </c>
      <c r="G164" s="14" t="n">
        <f aca="false">1-$G$124/($G$162*$G$159)</f>
        <v>0.223804745079372</v>
      </c>
      <c r="H164" s="14" t="n">
        <f aca="false">1-$H$124/($H$162*$H$159)</f>
        <v>0.0254267660963461</v>
      </c>
      <c r="I164" s="14" t="n">
        <f aca="false">1-$I$124/($I$162*$I$159)</f>
        <v>0.1010582473449</v>
      </c>
      <c r="J164" s="14" t="n">
        <f aca="false">1-$J$124/($J$162*$J$159)</f>
        <v>0.215406537658225</v>
      </c>
      <c r="K164" s="14" t="n">
        <f aca="false">1-$K$124/($K$162*$K$159)</f>
        <v>0.337209993079307</v>
      </c>
      <c r="L164" s="14" t="n">
        <f aca="false">1-$L$124/($L$162*$L$159)</f>
        <v>0.459655784604964</v>
      </c>
    </row>
    <row r="165" customFormat="false" ht="15" hidden="false" customHeight="false" outlineLevel="0" collapsed="false">
      <c r="B165" s="9" t="s">
        <v>636</v>
      </c>
      <c r="F165" s="19" t="n">
        <f aca="false">$F$164*$F$159</f>
        <v>10.4886956521739</v>
      </c>
      <c r="G165" s="19" t="n">
        <f aca="false">$G$164*$G$159</f>
        <v>16.0126028571429</v>
      </c>
      <c r="H165" s="19" t="n">
        <f aca="false">$H$164*$H$159</f>
        <v>1.50182441315792</v>
      </c>
      <c r="I165" s="19" t="n">
        <f aca="false">$I$164*$I$159</f>
        <v>6.76961329524265</v>
      </c>
      <c r="J165" s="19" t="n">
        <f aca="false">$J$164*$J$159</f>
        <v>15.8585220484995</v>
      </c>
      <c r="K165" s="19" t="n">
        <f aca="false">$K$164*$K$159</f>
        <v>25.7784270920928</v>
      </c>
      <c r="L165" s="19" t="n">
        <f aca="false">$L$164*$L$159</f>
        <v>36.489343275086</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5.49817558684209</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-1.10457875457876</v>
      </c>
      <c r="G167" s="24" t="n">
        <f aca="false">$G$125-Assumptions!$G$169</f>
        <v>-0.434638843745047</v>
      </c>
      <c r="H167" s="24" t="n">
        <f aca="false">$H$125-Assumptions!$H$169</f>
        <v>0.711406064390192</v>
      </c>
      <c r="I167" s="24" t="n">
        <f aca="false">$I$125-Assumptions!$I$169</f>
        <v>-0.400766456948197</v>
      </c>
      <c r="J167" s="24" t="n">
        <f aca="false">$J$125-Assumptions!$J$169</f>
        <v>-0.861626150632901</v>
      </c>
      <c r="K167" s="24" t="n">
        <f aca="false">$K$125-Assumptions!$K$169</f>
        <v>-1.34883997231723</v>
      </c>
      <c r="L167" s="24" t="n">
        <f aca="false">$L$125-Assumptions!$L$169</f>
        <v>-1.83862313841985</v>
      </c>
    </row>
    <row r="168" customFormat="false" ht="15" hidden="false" customHeight="false" outlineLevel="0" collapsed="false">
      <c r="B168" s="9" t="s">
        <v>639</v>
      </c>
      <c r="F168" s="24" t="n">
        <f aca="false">$F$161-$F$162</f>
        <v>-1.10457875457876</v>
      </c>
      <c r="G168" s="24" t="n">
        <f aca="false">$G$161-$G$162</f>
        <v>-1.1749749116667</v>
      </c>
      <c r="H168" s="24" t="n">
        <f aca="false">$H$161-$H$162</f>
        <v>-0.120777138957644</v>
      </c>
      <c r="I168" s="24" t="n">
        <f aca="false">$I$161-$I$162</f>
        <v>-0.429497551215825</v>
      </c>
      <c r="J168" s="24" t="n">
        <f aca="false">$J$161-$J$162</f>
        <v>-0.861626150632901</v>
      </c>
      <c r="K168" s="24" t="n">
        <f aca="false">$K$161-$K$162</f>
        <v>-1.34883997231723</v>
      </c>
      <c r="L168" s="24" t="n">
        <f aca="false">$L$161-$L$162</f>
        <v>-1.83862313841985</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73.62135904</v>
      </c>
    </row>
    <row r="172" customFormat="false" ht="15" hidden="false" customHeight="false" outlineLevel="0" collapsed="false">
      <c r="B172" s="17" t="s">
        <v>641</v>
      </c>
      <c r="D172" s="18" t="n">
        <f aca="false">$D$7*$D$171</f>
        <v>662.59223136</v>
      </c>
    </row>
    <row r="173" customFormat="false" ht="15" hidden="false" customHeight="false" outlineLevel="0" collapsed="false">
      <c r="B173" s="9" t="s">
        <v>642</v>
      </c>
      <c r="D173" s="19" t="n">
        <f aca="false">INDEX($E$124:$L$124,1,$D$170+1)</f>
        <v>231.051347966002</v>
      </c>
    </row>
    <row r="174" customFormat="false" ht="15" hidden="false" customHeight="false" outlineLevel="0" collapsed="false">
      <c r="B174" s="9" t="s">
        <v>643</v>
      </c>
      <c r="D174" s="19" t="n">
        <f aca="false">INDEX($E$118:$L$118,1,$D$170+1)</f>
        <v>216.601776035489</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35.5504280694867</v>
      </c>
    </row>
    <row r="178" customFormat="false" ht="15" hidden="false" customHeight="false" outlineLevel="0" collapsed="false">
      <c r="B178" s="9" t="s">
        <v>647</v>
      </c>
      <c r="D178" s="19" t="n">
        <f aca="false">$D$20*$D$172</f>
        <v>9.9388834704</v>
      </c>
    </row>
    <row r="179" customFormat="false" ht="15" hidden="false" customHeight="false" outlineLevel="0" collapsed="false">
      <c r="B179" s="17" t="s">
        <v>195</v>
      </c>
      <c r="D179" s="18" t="n">
        <f aca="false">$D$172-$D$173-$D$178</f>
        <v>421.601999923598</v>
      </c>
    </row>
    <row r="180" customFormat="false" ht="15" hidden="false" customHeight="false" outlineLevel="0" collapsed="false">
      <c r="B180" s="9" t="s">
        <v>648</v>
      </c>
      <c r="D180" s="19" t="n">
        <f aca="false">$D$171*(1-$D$20)</f>
        <v>72.5170386544</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7</v>
      </c>
    </row>
    <row r="189" customFormat="false" ht="15" hidden="false" customHeight="false" outlineLevel="0" collapsed="false">
      <c r="B189" s="9" t="s">
        <v>657</v>
      </c>
      <c r="D189" s="34" t="n">
        <f aca="false">$D$182+$D$188/Assumptions!$D$108</f>
        <v>207</v>
      </c>
    </row>
    <row r="190" customFormat="false" ht="15" hidden="false" customHeight="false" outlineLevel="0" collapsed="false">
      <c r="B190" s="9" t="s">
        <v>658</v>
      </c>
      <c r="D190" s="34" t="n">
        <f aca="false">$D$183+$D$188/Assumptions!$D$108</f>
        <v>197</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1.95637395819468</v>
      </c>
    </row>
    <row r="193" customFormat="false" ht="15" hidden="false" customHeight="false" outlineLevel="0" collapsed="false">
      <c r="B193" s="9" t="s">
        <v>661</v>
      </c>
      <c r="D193" s="19" t="n">
        <f aca="false">SUMPRODUCT(($E$64:$L$64&lt;=$D$170)*$E$218:$L$218)</f>
        <v>-7</v>
      </c>
    </row>
    <row r="194" customFormat="false" ht="15" hidden="false" customHeight="false" outlineLevel="0" collapsed="false">
      <c r="B194" s="9" t="s">
        <v>662</v>
      </c>
      <c r="D194" s="24" t="n">
        <f aca="false">($D$193+$D$190*$D$192)/($D$48+$D$188)</f>
        <v>1.92084096327082</v>
      </c>
    </row>
    <row r="195" customFormat="false" ht="15" hidden="false" customHeight="false" outlineLevel="0" collapsed="false">
      <c r="B195" s="9" t="s">
        <v>663</v>
      </c>
      <c r="D195" s="34" t="n">
        <f aca="false">IF($D$194&gt;=Assumptions!$D$110,$D$191,$D$191*0.5)</f>
        <v>8.69565217391304</v>
      </c>
    </row>
    <row r="196" customFormat="false" ht="15" hidden="false" customHeight="false" outlineLevel="0" collapsed="false">
      <c r="B196" s="9" t="s">
        <v>664</v>
      </c>
      <c r="D196" s="35" t="n">
        <f aca="false">($D$179+$D$195*Assumptions!$D$108)/($D$189+$D$195)</f>
        <v>1.99492965092577</v>
      </c>
    </row>
    <row r="197" customFormat="false" ht="15" hidden="false" customHeight="false" outlineLevel="0" collapsed="false">
      <c r="B197" s="9" t="s">
        <v>665</v>
      </c>
      <c r="D197" s="34" t="n">
        <f aca="false">IF($D$196&lt;Assumptions!$D$108,0,$D$195)</f>
        <v>8.69565217391304</v>
      </c>
    </row>
    <row r="198" customFormat="false" ht="15" hidden="false" customHeight="false" outlineLevel="0" collapsed="false">
      <c r="B198" s="17" t="s">
        <v>666</v>
      </c>
      <c r="D198" s="43" t="n">
        <f aca="false">IF($D$196&lt;Assumptions!$D$108,$D$179/$D$189,$D$196)</f>
        <v>1.99492965092577</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393.001141232377</v>
      </c>
    </row>
    <row r="201" customFormat="false" ht="15" hidden="false" customHeight="false" outlineLevel="0" collapsed="false">
      <c r="B201" s="9" t="s">
        <v>668</v>
      </c>
      <c r="D201" s="14" t="n">
        <f aca="false">$D$200/$D$179</f>
        <v>0.932161472914256</v>
      </c>
    </row>
    <row r="202" customFormat="false" ht="15" hidden="false" customHeight="false" outlineLevel="0" collapsed="false">
      <c r="B202" s="9" t="s">
        <v>669</v>
      </c>
      <c r="D202" s="19" t="n">
        <f aca="false">$D$185*$D$198</f>
        <v>19.9492965092577</v>
      </c>
    </row>
    <row r="203" customFormat="false" ht="15" hidden="false" customHeight="false" outlineLevel="0" collapsed="false">
      <c r="B203" s="9" t="s">
        <v>670</v>
      </c>
      <c r="D203" s="19" t="n">
        <f aca="false">$D$197*MAX(0,$D$198-Assumptions!$D$108)</f>
        <v>8.65156218196323</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28.600858691221</v>
      </c>
    </row>
    <row r="206" customFormat="false" ht="15" hidden="false" customHeight="false" outlineLevel="0" collapsed="false">
      <c r="B206" s="9" t="s">
        <v>673</v>
      </c>
      <c r="D206" s="24" t="n">
        <f aca="false">$D$205/$D$47</f>
        <v>2.8600858691221</v>
      </c>
    </row>
    <row r="207" customFormat="false" ht="15" hidden="false" customHeight="false" outlineLevel="0" collapsed="false">
      <c r="B207" s="9" t="s">
        <v>674</v>
      </c>
      <c r="D207" s="19" t="n">
        <f aca="false">$D$187*$D$198</f>
        <v>7.97971860370309</v>
      </c>
    </row>
    <row r="208" customFormat="false" ht="15" hidden="false" customHeight="false" outlineLevel="0" collapsed="false">
      <c r="B208" s="9" t="s">
        <v>675</v>
      </c>
      <c r="D208" s="19" t="n">
        <f aca="false">$D$203*Assumptions!$D$112</f>
        <v>3.02804676368713</v>
      </c>
    </row>
    <row r="209" customFormat="false" ht="15" hidden="false" customHeight="false" outlineLevel="0" collapsed="false">
      <c r="B209" s="9" t="s">
        <v>676</v>
      </c>
      <c r="D209" s="19" t="n">
        <f aca="false">$D$207+$D$208</f>
        <v>11.0077653673902</v>
      </c>
    </row>
    <row r="210" customFormat="false" ht="15" hidden="false" customHeight="false" outlineLevel="0" collapsed="false">
      <c r="B210" s="9" t="s">
        <v>677</v>
      </c>
      <c r="D210" s="24" t="n">
        <f aca="false">$D$209/Assumptions!$D$111</f>
        <v>2.75194134184755</v>
      </c>
    </row>
    <row r="211" customFormat="false" ht="15" hidden="false" customHeight="false" outlineLevel="0" collapsed="false">
      <c r="B211" s="9" t="s">
        <v>678</v>
      </c>
      <c r="D211" s="19" t="n">
        <f aca="false">$D$179*$D$190/$D$189</f>
        <v>401.234753550477</v>
      </c>
    </row>
    <row r="212" customFormat="false" ht="15" hidden="false" customHeight="false" outlineLevel="0" collapsed="false">
      <c r="B212" s="9" t="s">
        <v>679</v>
      </c>
      <c r="D212" s="19" t="n">
        <f aca="false">$D$211-$D$200</f>
        <v>8.23361231810026</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7</v>
      </c>
      <c r="I215" s="19" t="n">
        <f aca="false">$H$215+$I$90</f>
        <v>7</v>
      </c>
      <c r="J215" s="19" t="n">
        <f aca="false">$I$215+$J$90</f>
        <v>7</v>
      </c>
      <c r="K215" s="19" t="n">
        <f aca="false">$J$215+$K$90</f>
        <v>7</v>
      </c>
      <c r="L215" s="19" t="n">
        <f aca="false">$K$215+$L$90</f>
        <v>7</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197</v>
      </c>
      <c r="I216" s="34" t="n">
        <f aca="false">$D$183+$I$215/Assumptions!$D$108</f>
        <v>197</v>
      </c>
      <c r="J216" s="34" t="n">
        <f aca="false">$D$183+$J$215/Assumptions!$D$108</f>
        <v>197</v>
      </c>
      <c r="K216" s="34" t="n">
        <f aca="false">$D$183+$K$215/Assumptions!$D$108</f>
        <v>197</v>
      </c>
      <c r="L216" s="34" t="n">
        <f aca="false">$D$183+$L$215/Assumptions!$D$108</f>
        <v>197</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207</v>
      </c>
      <c r="I217" s="34" t="n">
        <f aca="false">$D$182+$I$215/Assumptions!$D$108</f>
        <v>207</v>
      </c>
      <c r="J217" s="34" t="n">
        <f aca="false">$D$182+$J$215/Assumptions!$D$108</f>
        <v>207</v>
      </c>
      <c r="K217" s="34" t="n">
        <f aca="false">$D$182+$K$215/Assumptions!$D$108</f>
        <v>207</v>
      </c>
      <c r="L217" s="34" t="n">
        <f aca="false">$D$182+$L$215/Assumptions!$D$108</f>
        <v>207</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-7</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-7</v>
      </c>
      <c r="I219" s="18" t="n">
        <f aca="false">IF($I$64&lt;=$D$170,$I$218+IF($I$64=$D$170,$D$200,0),0)</f>
        <v>0</v>
      </c>
      <c r="J219" s="18" t="n">
        <f aca="false">IF($J$64&lt;=$D$170,$J$218+IF($J$64=$D$170,$D$200,0),0)</f>
        <v>393.001141232377</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-7</v>
      </c>
      <c r="I220" s="19" t="n">
        <f aca="false">IF($I$64&lt;=$D$170,$I$88-$I$90+IF($I$64=$D$170,$D$179,0),0)</f>
        <v>0</v>
      </c>
      <c r="J220" s="19" t="n">
        <f aca="false">IF($J$64&lt;=$D$170,$J$88-$J$90+IF($J$64=$D$170,$D$179,0),0)</f>
        <v>421.601999923598</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0.150943694003238</v>
      </c>
    </row>
    <row r="224" customFormat="false" ht="15" hidden="false" customHeight="false" outlineLevel="0" collapsed="false">
      <c r="B224" s="9" t="s">
        <v>689</v>
      </c>
      <c r="D224" s="25" t="n">
        <f aca="false">XIRR($E$219:$L$219,$E$221:$L$221,0.1)</f>
        <v>0.15085593493078</v>
      </c>
    </row>
    <row r="225" customFormat="false" ht="15" hidden="false" customHeight="false" outlineLevel="0" collapsed="false">
      <c r="B225" s="17" t="s">
        <v>690</v>
      </c>
      <c r="D225" s="41" t="n">
        <f aca="false">SUMIF($E$219:$L$219,"&gt;0")/-SUMIF($E$219:$L$219,"&lt;0")</f>
        <v>1.99492965092577</v>
      </c>
    </row>
    <row r="226" customFormat="false" ht="15" hidden="false" customHeight="false" outlineLevel="0" collapsed="false">
      <c r="B226" s="9" t="s">
        <v>691</v>
      </c>
      <c r="D226" s="19" t="n">
        <f aca="false">-SUMIF($E$219:$L$219,"&lt;0")</f>
        <v>197</v>
      </c>
    </row>
    <row r="227" customFormat="false" ht="15" hidden="false" customHeight="false" outlineLevel="0" collapsed="false">
      <c r="B227" s="9" t="s">
        <v>692</v>
      </c>
      <c r="D227" s="25" t="n">
        <f aca="false">IRR($E$220:$L$220,0.1)</f>
        <v>0.155651339114182</v>
      </c>
    </row>
    <row r="228" customFormat="false" ht="15" hidden="false" customHeight="false" outlineLevel="0" collapsed="false">
      <c r="B228" s="9" t="s">
        <v>693</v>
      </c>
      <c r="D228" s="24" t="n">
        <f aca="false">SUMIF($E$220:$L$220,"&gt;0")/-SUMIF($E$220:$L$220,"&lt;0")</f>
        <v>2.03672463731207</v>
      </c>
    </row>
    <row r="229" customFormat="false" ht="15" hidden="false" customHeight="false" outlineLevel="0" collapsed="false">
      <c r="B229" s="9" t="s">
        <v>694</v>
      </c>
      <c r="D229" s="19" t="n">
        <f aca="false">SUM($E$220:$L$220)</f>
        <v>214.601999923598</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79.7486520339979</v>
      </c>
    </row>
    <row r="232" customFormat="false" ht="15" hidden="false" customHeight="false" outlineLevel="0" collapsed="false">
      <c r="B232" s="9" t="s">
        <v>697</v>
      </c>
      <c r="D232" s="19" t="n">
        <f aca="false">SUMPRODUCT(($F$64:$L$64&lt;=$D$170)*$F$105:$L$105)</f>
        <v>126.144387014002</v>
      </c>
    </row>
    <row r="233" customFormat="false" ht="15" hidden="false" customHeight="false" outlineLevel="0" collapsed="false">
      <c r="B233" s="9" t="s">
        <v>698</v>
      </c>
      <c r="D233" s="19" t="n">
        <f aca="false">SUMPRODUCT(($F$64:$L$64&lt;=$D$170)*$F$139:$L$139)</f>
        <v>36.537338232</v>
      </c>
    </row>
    <row r="234" customFormat="false" ht="15" hidden="false" customHeight="false" outlineLevel="0" collapsed="false">
      <c r="B234" s="9" t="s">
        <v>699</v>
      </c>
      <c r="D234" s="38" t="n">
        <f aca="false">SUMPRODUCT(($F$64:$L$64&lt;=$D$170)*$F$109:$L$109)</f>
        <v>12.45</v>
      </c>
    </row>
    <row r="235" customFormat="false" ht="15" hidden="false" customHeight="false" outlineLevel="0" collapsed="false">
      <c r="B235" s="9" t="s">
        <v>700</v>
      </c>
      <c r="D235" s="19" t="n">
        <f aca="false">SUMPRODUCT(($F$64:$L$64&lt;=$D$170)*$F$115:$L$115)</f>
        <v>35.9482239645112</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48.3982239645112</v>
      </c>
    </row>
    <row r="238" customFormat="false" ht="15" hidden="false" customHeight="false" outlineLevel="0" collapsed="false">
      <c r="B238" s="9" t="s">
        <v>703</v>
      </c>
      <c r="D238" s="19" t="n">
        <f aca="false">$D$54-$D$173</f>
        <v>33.9486520339979</v>
      </c>
    </row>
    <row r="239" customFormat="false" ht="15" hidden="false" customHeight="false" outlineLevel="0" collapsed="false">
      <c r="B239" s="9" t="s">
        <v>704</v>
      </c>
      <c r="D239" s="25" t="n">
        <f aca="false">($D$171/$D$28)^(1/$D$170)-1</f>
        <v>0.0804552029079741</v>
      </c>
    </row>
    <row r="240" customFormat="false" ht="15" hidden="false" customHeight="false" outlineLevel="0" collapsed="false">
      <c r="B240" s="9" t="s">
        <v>705</v>
      </c>
      <c r="D240" s="25" t="n">
        <f aca="false">(INDEX($E$71:$L$71,1,$D$170+1)/Assumptions!$D$13)^(1/$D$170)-1</f>
        <v>0.0557018017118149</v>
      </c>
    </row>
    <row r="241" customFormat="false" ht="15" hidden="false" customHeight="false" outlineLevel="0" collapsed="false">
      <c r="B241" s="9" t="s">
        <v>233</v>
      </c>
      <c r="D241" s="19" t="n">
        <f aca="false">$D$172-$D$29</f>
        <v>212.59223136</v>
      </c>
    </row>
    <row r="242" customFormat="false" ht="15" hidden="false" customHeight="false" outlineLevel="0" collapsed="false">
      <c r="B242" s="9" t="s">
        <v>234</v>
      </c>
      <c r="D242" s="14" t="n">
        <f aca="false">$D$172/$D$29-1</f>
        <v>0.4724271808</v>
      </c>
    </row>
    <row r="243" customFormat="false" ht="15" hidden="false" customHeight="false" outlineLevel="0" collapsed="false">
      <c r="B243" s="9" t="s">
        <v>235</v>
      </c>
      <c r="D243" s="25" t="n">
        <f aca="false">($D$172/$D$29)^(1/$D$170)-1</f>
        <v>0.0804552029079741</v>
      </c>
    </row>
    <row r="244" customFormat="false" ht="15" hidden="false" customHeight="false" outlineLevel="0" collapsed="false">
      <c r="B244" s="9" t="s">
        <v>236</v>
      </c>
      <c r="D244" s="14" t="n">
        <f aca="false">$D$179/$D$46-1</f>
        <v>1.10800999961799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712</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26" t="n">
        <v>1</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Assumptions!$D$150</f>
        <v>-0.12</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Assumptions!$D$151</f>
        <v>-0.045</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313.4208</v>
      </c>
      <c r="I65" s="19" t="n">
        <f aca="false">$H$65*(1+$I$24)</f>
        <v>335.360256</v>
      </c>
      <c r="J65" s="19" t="n">
        <f aca="false">$I$65*(1+$J$24)</f>
        <v>352.1282688</v>
      </c>
      <c r="K65" s="19" t="n">
        <f aca="false">$J$65*(1+$K$24)</f>
        <v>366.213399552</v>
      </c>
      <c r="L65" s="19" t="n">
        <f aca="false">$K$65*(1+$L$24)</f>
        <v>380.86193553408</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0.13</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40.744704</v>
      </c>
      <c r="I67" s="19" t="n">
        <f aca="false">$I$65*$I$66</f>
        <v>55.33444224</v>
      </c>
      <c r="J67" s="19" t="n">
        <f aca="false">$J$65*$J$66</f>
        <v>61.62244704</v>
      </c>
      <c r="K67" s="19" t="n">
        <f aca="false">$K$65*$K$66</f>
        <v>64.0873449216</v>
      </c>
      <c r="L67" s="19" t="n">
        <f aca="false">$L$65*$L$66</f>
        <v>66.650838718464</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375.8208</v>
      </c>
      <c r="I71" s="18" t="n">
        <f aca="false">$I$65+IF(AND($D$12=1,$I$64&gt;Assumptions!$D$116),$I$68,0)</f>
        <v>400.256256</v>
      </c>
      <c r="J71" s="18" t="n">
        <f aca="false">$J$65+IF(AND($D$12=1,$J$64&gt;Assumptions!$D$116),$J$68,0)</f>
        <v>419.6201088</v>
      </c>
      <c r="K71" s="18" t="n">
        <f aca="false">$K$65+IF(AND($D$12=1,$K$64&gt;Assumptions!$D$116),$K$68,0)</f>
        <v>436.404913152</v>
      </c>
      <c r="L71" s="18" t="n">
        <f aca="false">$L$65+IF(AND($D$12=1,$L$64&gt;Assumptions!$D$116),$L$68,0)</f>
        <v>453.86110967808</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50.064704</v>
      </c>
      <c r="I72" s="18" t="n">
        <f aca="false">$I$67+IF(AND($D$12=1,$I$64&gt;Assumptions!$D$116),$I$69+$I$70,0)</f>
        <v>66.48724224</v>
      </c>
      <c r="J72" s="18" t="n">
        <f aca="false">$J$67+IF(AND($D$12=1,$J$64&gt;Assumptions!$D$116),$J$69+$J$70,0)</f>
        <v>73.62135904</v>
      </c>
      <c r="K72" s="18" t="n">
        <f aca="false">$K$67+IF(AND($D$12=1,$K$64&gt;Assumptions!$D$116),$K$69+$K$70,0)</f>
        <v>76.4462134016</v>
      </c>
      <c r="L72" s="18" t="n">
        <f aca="false">$L$67+IF(AND($D$12=1,$L$64&gt;Assumptions!$D$116),$L$69+$L$70,0)</f>
        <v>79.384061937664</v>
      </c>
    </row>
    <row r="73" customFormat="false" ht="15" hidden="false" customHeight="false" outlineLevel="0" collapsed="false">
      <c r="B73" s="9" t="s">
        <v>555</v>
      </c>
      <c r="E73" s="14" t="n">
        <f aca="false">$E$72/$E$71</f>
        <v>0.15625</v>
      </c>
      <c r="F73" s="14" t="n">
        <f aca="false">$F$72/$F$71</f>
        <v>0.1625</v>
      </c>
      <c r="G73" s="14" t="n">
        <f aca="false">$G$72/$G$71</f>
        <v>0.17</v>
      </c>
      <c r="H73" s="14" t="n">
        <f aca="false">$H$72/$H$71</f>
        <v>0.133214297878138</v>
      </c>
      <c r="I73" s="14" t="n">
        <f aca="false">$I$72/$I$71</f>
        <v>0.166111687808322</v>
      </c>
      <c r="J73" s="14" t="n">
        <f aca="false">$J$72/$J$71</f>
        <v>0.175447642989601</v>
      </c>
      <c r="K73" s="14" t="n">
        <f aca="false">$K$72/$K$71</f>
        <v>0.175172669000117</v>
      </c>
      <c r="L73" s="14" t="n">
        <f aca="false">$L$72/$L$71</f>
        <v>0.174908270933305</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13.153728</v>
      </c>
      <c r="I74" s="19" t="n">
        <f aca="false">Assumptions!$D$29*$I$71</f>
        <v>14.00896896</v>
      </c>
      <c r="J74" s="19" t="n">
        <f aca="false">Assumptions!$D$29*$J$71</f>
        <v>14.686703808</v>
      </c>
      <c r="K74" s="19" t="n">
        <f aca="false">Assumptions!$D$29*$K$71</f>
        <v>15.27417196032</v>
      </c>
      <c r="L74" s="19" t="n">
        <f aca="false">Assumptions!$D$29*$L$71</f>
        <v>15.8851388387328</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11.274624</v>
      </c>
      <c r="I75" s="19" t="n">
        <f aca="false">Assumptions!$D$30*$I$71</f>
        <v>12.00768768</v>
      </c>
      <c r="J75" s="19" t="n">
        <f aca="false">Assumptions!$D$30*$J$71</f>
        <v>12.588603264</v>
      </c>
      <c r="K75" s="19" t="n">
        <f aca="false">Assumptions!$D$30*$K$71</f>
        <v>13.09214739456</v>
      </c>
      <c r="L75" s="19" t="n">
        <f aca="false">Assumptions!$D$30*$L$71</f>
        <v>13.6158332903424</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45.098496</v>
      </c>
      <c r="I76" s="19" t="n">
        <f aca="false">Assumptions!$D$27*$I$71</f>
        <v>48.03075072</v>
      </c>
      <c r="J76" s="19" t="n">
        <f aca="false">Assumptions!$D$27*$J$71</f>
        <v>50.354413056</v>
      </c>
      <c r="K76" s="19" t="n">
        <f aca="false">Assumptions!$D$27*$K$71</f>
        <v>52.36858957824</v>
      </c>
      <c r="L76" s="19" t="n">
        <f aca="false">Assumptions!$D$27*$L$71</f>
        <v>54.4633331613696</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45.098496</v>
      </c>
      <c r="I78" s="19" t="n">
        <f aca="false">$I$76+$I$77</f>
        <v>48.03075072</v>
      </c>
      <c r="J78" s="19" t="n">
        <f aca="false">$J$76+$J$77</f>
        <v>50.354413056</v>
      </c>
      <c r="K78" s="19" t="n">
        <f aca="false">$K$76+$K$77</f>
        <v>52.36858957824</v>
      </c>
      <c r="L78" s="19" t="n">
        <f aca="false">$L$76+$L$77</f>
        <v>54.4633331613696</v>
      </c>
    </row>
    <row r="79" customFormat="false" ht="15" hidden="false" customHeight="false" outlineLevel="0" collapsed="false">
      <c r="B79" s="9" t="s">
        <v>561</v>
      </c>
      <c r="F79" s="19" t="n">
        <f aca="false">$F$78-$E$78-$F$77</f>
        <v>1.92</v>
      </c>
      <c r="G79" s="19" t="n">
        <f aca="false">$G$78-$F$78-$G$77</f>
        <v>2.4192</v>
      </c>
      <c r="H79" s="19" t="n">
        <f aca="false">$H$78-$G$78-$H$77</f>
        <v>-4.840704</v>
      </c>
      <c r="I79" s="19" t="n">
        <f aca="false">$I$78-$H$78-$I$77</f>
        <v>2.93225472</v>
      </c>
      <c r="J79" s="19" t="n">
        <f aca="false">$J$78-$I$78-$J$77</f>
        <v>2.323662336</v>
      </c>
      <c r="K79" s="19" t="n">
        <f aca="false">$K$78-$J$78-$K$77</f>
        <v>2.01417652224</v>
      </c>
      <c r="L79" s="19" t="n">
        <f aca="false">$L$78-$K$78-$L$77</f>
        <v>2.09474358312961</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2.537508175</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11.36</v>
      </c>
      <c r="G91" s="18" t="n">
        <f aca="false">$G$72-$G$139-$G$105-$G$75-$G$79-$G$83-$G$87-$G$89</f>
        <v>14.883365</v>
      </c>
      <c r="H91" s="18" t="n">
        <f aca="false">$H$72-$H$139-$H$105-$H$75-$H$79-$H$83-$H$87-$H$89</f>
        <v>9.22982583125001</v>
      </c>
      <c r="I91" s="18" t="n">
        <f aca="false">$I$72-$I$139-$I$105-$I$75-$I$79-$I$83-$I$87-$I$89</f>
        <v>14.5642025045469</v>
      </c>
      <c r="J91" s="18" t="n">
        <f aca="false">$J$72-$J$139-$J$105-$J$75-$J$79-$J$83-$J$87-$J$89</f>
        <v>21.7482886767693</v>
      </c>
      <c r="K91" s="18" t="n">
        <f aca="false">$K$72-$K$139-$K$105-$K$75-$K$79-$K$83-$K$87-$K$89</f>
        <v>25.1762347451269</v>
      </c>
      <c r="L91" s="18" t="n">
        <f aca="false">$L$72-$L$139-$L$105-$L$75-$L$79-$L$83-$L$87-$L$89</f>
        <v>27.8507232452135</v>
      </c>
    </row>
    <row r="92" customFormat="false" ht="15" hidden="false" customHeight="false" outlineLevel="0" collapsed="false">
      <c r="B92" s="9" t="s">
        <v>573</v>
      </c>
      <c r="F92" s="19" t="n">
        <f aca="false">$F$75+$F$79</f>
        <v>12</v>
      </c>
      <c r="G92" s="19" t="n">
        <f aca="false">$G$75+$G$79</f>
        <v>13.104</v>
      </c>
      <c r="H92" s="19" t="n">
        <f aca="false">$H$75+$H$79</f>
        <v>6.43392000000001</v>
      </c>
      <c r="I92" s="19" t="n">
        <f aca="false">$I$75+$I$79</f>
        <v>14.9399424</v>
      </c>
      <c r="J92" s="19" t="n">
        <f aca="false">$J$75+$J$79</f>
        <v>14.9122656</v>
      </c>
      <c r="K92" s="19" t="n">
        <f aca="false">$K$75+$K$79</f>
        <v>15.1063239168</v>
      </c>
      <c r="L92" s="19" t="n">
        <f aca="false">$L$75+$L$79</f>
        <v>15.710576873472</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14.555</v>
      </c>
      <c r="H94" s="19" t="n">
        <f aca="false">$G$123</f>
        <v>12.1941825</v>
      </c>
      <c r="I94" s="19" t="n">
        <f aca="false">$H$123</f>
        <v>14.387004165625</v>
      </c>
      <c r="J94" s="19" t="n">
        <f aca="false">$I$123</f>
        <v>18.1506033350859</v>
      </c>
      <c r="K94" s="19" t="n">
        <f aca="false">$J$123</f>
        <v>30.4366690088914</v>
      </c>
      <c r="L94" s="19" t="n">
        <f aca="false">$K$123</f>
        <v>52.9629037540183</v>
      </c>
    </row>
    <row r="95" customFormat="false" ht="15" hidden="false" customHeight="false" outlineLevel="0" collapsed="false">
      <c r="B95" s="9" t="s">
        <v>576</v>
      </c>
      <c r="F95" s="19" t="n">
        <f aca="false">$E$123+$F$91-$F$109-$F$82-$F$85+$F$84+$F$86-$F$88+$F$90</f>
        <v>19.11</v>
      </c>
      <c r="G95" s="19" t="n">
        <f aca="false">$F$123+$G$91-$G$109-$G$82-$G$85+$G$84+$G$86-$G$88+$G$90</f>
        <v>14.388365</v>
      </c>
      <c r="H95" s="19" t="n">
        <f aca="false">$G$123+$H$91-$H$109-$H$82-$H$85+$H$84+$H$86-$H$88+$H$90</f>
        <v>18.77400833125</v>
      </c>
      <c r="I95" s="19" t="n">
        <f aca="false">$H$123+$I$91-$I$109-$I$82-$I$85+$I$84+$I$86-$I$88+$I$90</f>
        <v>26.3012066701719</v>
      </c>
      <c r="J95" s="19" t="n">
        <f aca="false">$I$123+$J$91-$J$109-$J$82-$J$85+$J$84+$J$86-$J$88+$J$90</f>
        <v>37.2488920118552</v>
      </c>
      <c r="K95" s="19" t="n">
        <f aca="false">$J$123+$K$91-$K$109-$K$82-$K$85+$K$84+$K$86-$K$88+$K$90</f>
        <v>52.9629037540183</v>
      </c>
      <c r="L95" s="19" t="n">
        <f aca="false">$K$123+$L$91-$L$109-$L$82-$L$85+$L$84+$L$86-$L$88+$L$90</f>
        <v>78.1636269992318</v>
      </c>
    </row>
    <row r="96" customFormat="false" ht="15" hidden="false" customHeight="false" outlineLevel="0" collapsed="false">
      <c r="B96" s="17" t="s">
        <v>577</v>
      </c>
      <c r="F96" s="18" t="n">
        <f aca="false">$F$95+$F$110-$F$111-$F$115</f>
        <v>14.555</v>
      </c>
      <c r="G96" s="18" t="n">
        <f aca="false">$G$95+$G$110-$G$111-$G$115</f>
        <v>12.1941825</v>
      </c>
      <c r="H96" s="18" t="n">
        <f aca="false">$H$95+$H$110-$H$111-$H$115</f>
        <v>14.387004165625</v>
      </c>
      <c r="I96" s="18" t="n">
        <f aca="false">$I$95+$I$110-$I$111-$I$115</f>
        <v>18.1506033350859</v>
      </c>
      <c r="J96" s="18" t="n">
        <f aca="false">$J$95+$J$110-$J$111-$J$115</f>
        <v>30.4366690088914</v>
      </c>
      <c r="K96" s="18" t="n">
        <f aca="false">$K$95+$K$110-$K$111-$K$115</f>
        <v>52.9629037540183</v>
      </c>
      <c r="L96" s="18" t="n">
        <f aca="false">$L$95+$L$110-$L$111-$L$115</f>
        <v>78.1636269992318</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0.055</v>
      </c>
      <c r="J99" s="25" t="n">
        <f aca="false">$D$21+IF(AND($D$17=1,$J$64&gt;Assumptions!$D$146),Assumptions!$D$148,0)</f>
        <v>0.055</v>
      </c>
      <c r="K99" s="25" t="n">
        <f aca="false">$D$21+IF(AND($D$17=1,$K$64&gt;Assumptions!$D$146),Assumptions!$D$148,0)</f>
        <v>0.055</v>
      </c>
      <c r="L99" s="25" t="n">
        <f aca="false">$D$21+IF(AND($D$17=1,$L$64&gt;Assumptions!$D$146),Assumptions!$D$148,0)</f>
        <v>0.055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0.095</v>
      </c>
      <c r="J100" s="25" t="n">
        <f aca="false">$D$18+$J$99</f>
        <v>0.095</v>
      </c>
      <c r="K100" s="25" t="n">
        <f aca="false">$D$18+$K$99</f>
        <v>0.095</v>
      </c>
      <c r="L100" s="25" t="n">
        <f aca="false">$D$18+$L$99</f>
        <v>0.095</v>
      </c>
    </row>
    <row r="101" customFormat="false" ht="15" hidden="false" customHeight="false" outlineLevel="0" collapsed="false">
      <c r="B101" s="9" t="s">
        <v>581</v>
      </c>
      <c r="F101" s="38" t="n">
        <f aca="false">$E$118*$F$100</f>
        <v>19.125</v>
      </c>
      <c r="G101" s="38" t="n">
        <f aca="false">$F$118*$G$100</f>
        <v>18.546575</v>
      </c>
      <c r="H101" s="38" t="n">
        <f aca="false">$G$118*$H$100</f>
        <v>21.5688194875</v>
      </c>
      <c r="I101" s="38" t="n">
        <f aca="false">$H$118*$I$100</f>
        <v>23.4378122667656</v>
      </c>
      <c r="J101" s="38" t="n">
        <f aca="false">$I$118*$J$100</f>
        <v>22.4117549499325</v>
      </c>
      <c r="K101" s="38" t="n">
        <f aca="false">$J$118*$K$100</f>
        <v>21.5128437646509</v>
      </c>
      <c r="L101" s="38" t="n">
        <f aca="false">$K$118*$L$100</f>
        <v>21.2610937646509</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0.2911</v>
      </c>
      <c r="H104" s="38" t="n">
        <f aca="false">$G$123*Assumptions!$D$9</f>
        <v>0.24388365</v>
      </c>
      <c r="I104" s="38" t="n">
        <f aca="false">$H$123*Assumptions!$D$9</f>
        <v>0.2877400833125</v>
      </c>
      <c r="J104" s="38" t="n">
        <f aca="false">$I$123*Assumptions!$D$9</f>
        <v>0.363012066701719</v>
      </c>
      <c r="K104" s="38" t="n">
        <f aca="false">$J$123*Assumptions!$D$9</f>
        <v>0.608733380177828</v>
      </c>
      <c r="L104" s="38" t="n">
        <f aca="false">$K$123*Assumptions!$D$9</f>
        <v>1.05925807508037</v>
      </c>
    </row>
    <row r="105" customFormat="false" ht="15" hidden="false" customHeight="false" outlineLevel="0" collapsed="false">
      <c r="B105" s="17" t="s">
        <v>585</v>
      </c>
      <c r="F105" s="40" t="n">
        <f aca="false">$F$101+$F$102+$F$103-$F$104</f>
        <v>24.625</v>
      </c>
      <c r="G105" s="40" t="n">
        <f aca="false">$G$101+$G$102+$G$103-$G$104</f>
        <v>23.955475</v>
      </c>
      <c r="H105" s="40" t="n">
        <f aca="false">$H$101+$H$102+$H$103-$H$104</f>
        <v>27.0249358375</v>
      </c>
      <c r="I105" s="40" t="n">
        <f aca="false">$I$101+$I$102+$I$103-$I$104</f>
        <v>28.8500721834531</v>
      </c>
      <c r="J105" s="40" t="n">
        <f aca="false">$J$101+$J$102+$J$103-$J$104</f>
        <v>27.7487428832307</v>
      </c>
      <c r="K105" s="40" t="n">
        <f aca="false">$K$101+$K$102+$K$103-$K$104</f>
        <v>26.6041103844731</v>
      </c>
      <c r="L105" s="40" t="n">
        <f aca="false">$L$101+$L$102+$L$103-$L$104</f>
        <v>25.9018356895705</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2.21725888324873</v>
      </c>
      <c r="G107" s="24" t="n">
        <f aca="false">IF($G$105&lt;&gt;0,$G$72/$G$105,0)</f>
        <v>2.52748901868988</v>
      </c>
      <c r="H107" s="24" t="n">
        <f aca="false">IF($H$105&lt;&gt;0,$H$72/$H$105,0)</f>
        <v>1.85253738625088</v>
      </c>
      <c r="I107" s="24" t="n">
        <f aca="false">IF($I$105&lt;&gt;0,$I$72/$I$105,0)</f>
        <v>2.30457802036744</v>
      </c>
      <c r="J107" s="24" t="n">
        <f aca="false">IF($J$105&lt;&gt;0,$J$72/$J$105,0)</f>
        <v>2.65314213871978</v>
      </c>
      <c r="K107" s="24" t="n">
        <f aca="false">IF($K$105&lt;&gt;0,$K$72/$K$105,0)</f>
        <v>2.87347377141452</v>
      </c>
      <c r="L107" s="24" t="n">
        <f aca="false">IF($L$105&lt;&gt;0,$L$72/$L$105,0)</f>
        <v>3.06480447521441</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2.65</v>
      </c>
      <c r="K109" s="38" t="n">
        <f aca="false">IF($D$14=1,0,MIN($J$118,Assumptions!$D$85*$J$119))</f>
        <v>2.65</v>
      </c>
      <c r="L109" s="38" t="n">
        <f aca="false">IF($D$14=1,0,MIN($K$118,Assumptions!$D$85*$K$119))</f>
        <v>2.65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19.11</v>
      </c>
      <c r="G112" s="19" t="n">
        <f aca="false">$G$95+$G$110-$G$111</f>
        <v>14.388365</v>
      </c>
      <c r="H112" s="19" t="n">
        <f aca="false">$H$95+$H$110-$H$111</f>
        <v>18.77400833125</v>
      </c>
      <c r="I112" s="19" t="n">
        <f aca="false">$I$95+$I$110-$I$111</f>
        <v>26.3012066701719</v>
      </c>
      <c r="J112" s="19" t="n">
        <f aca="false">$J$95+$J$110-$J$111</f>
        <v>37.2488920118552</v>
      </c>
      <c r="K112" s="19" t="n">
        <f aca="false">$K$95+$K$110-$K$111</f>
        <v>52.9629037540183</v>
      </c>
      <c r="L112" s="19" t="n">
        <f aca="false">$L$95+$L$110-$L$111</f>
        <v>78.1636269992318</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9.11</v>
      </c>
      <c r="G114" s="19" t="n">
        <f aca="false">MAX(0,$G$112-Assumptions!$D$79)</f>
        <v>4.38836500000001</v>
      </c>
      <c r="H114" s="19" t="n">
        <f aca="false">MAX(0,$H$112-Assumptions!$D$79)</f>
        <v>8.77400833125002</v>
      </c>
      <c r="I114" s="19" t="n">
        <f aca="false">MAX(0,$I$112-Assumptions!$D$79)</f>
        <v>16.3012066701719</v>
      </c>
      <c r="J114" s="19" t="n">
        <f aca="false">MAX(0,$J$112-Assumptions!$D$79)</f>
        <v>27.2488920118552</v>
      </c>
      <c r="K114" s="19" t="n">
        <f aca="false">MAX(0,$K$112-Assumptions!$D$79)</f>
        <v>42.9629037540183</v>
      </c>
      <c r="L114" s="19" t="n">
        <f aca="false">MAX(0,$L$112-Assumptions!$D$79)</f>
        <v>68.1636269992318</v>
      </c>
    </row>
    <row r="115" customFormat="false" ht="15" hidden="false" customHeight="false" outlineLevel="0" collapsed="false">
      <c r="B115" s="17" t="s">
        <v>595</v>
      </c>
      <c r="F115" s="18" t="n">
        <f aca="false">IF(AND($D$19=1,$D$14=0,$E$121-$F$111+$F$110=0),MIN($E$118-$F$109+$F$84,$F$113*$F$114),0)</f>
        <v>4.555</v>
      </c>
      <c r="G115" s="18" t="n">
        <f aca="false">IF(AND($D$19=1,$D$14=0,$F$121-$G$111+$G$110=0),MIN($F$118-$G$109+$G$84,$G$113*$G$114),0)</f>
        <v>2.19418250000001</v>
      </c>
      <c r="H115" s="18" t="n">
        <f aca="false">IF(AND($D$19=1,$D$14=0,$G$121-$H$111+$H$110=0),MIN($G$118-$H$109+$H$84,$H$113*$H$114),0)</f>
        <v>4.38700416562501</v>
      </c>
      <c r="I115" s="18" t="n">
        <f aca="false">IF(AND($D$19=1,$D$14=0,$H$121-$I$111+$I$110=0),MIN($H$118-$I$109+$I$84,$I$113*$I$114),0)</f>
        <v>8.15060333508594</v>
      </c>
      <c r="J115" s="18" t="n">
        <f aca="false">IF(AND($D$19=1,$D$14=0,$I$121-$J$111+$J$110=0),MIN($I$118-$J$109+$J$84,$J$113*$J$114),0)</f>
        <v>6.8122230029638</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218.195</v>
      </c>
      <c r="G118" s="19" t="n">
        <f aca="false">$F$118-$G$109-$G$115+$G$84+$G$86</f>
        <v>253.7508175</v>
      </c>
      <c r="H118" s="19" t="n">
        <f aca="false">$G$118-$H$109-$H$115+$H$84+$H$86</f>
        <v>246.713813334375</v>
      </c>
      <c r="I118" s="19" t="n">
        <f aca="false">$H$118-$I$109-$I$115+$I$84+$I$86</f>
        <v>235.913209999289</v>
      </c>
      <c r="J118" s="19" t="n">
        <f aca="false">$I$118-$J$109-$J$115+$J$84+$J$86</f>
        <v>226.450986996325</v>
      </c>
      <c r="K118" s="19" t="n">
        <f aca="false">$J$118-$K$109-$K$115+$K$84+$K$86</f>
        <v>223.800986996325</v>
      </c>
      <c r="L118" s="19" t="n">
        <f aca="false">$K$118-$L$109-$L$115+$L$84+$L$86</f>
        <v>221.150986996325</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268.195</v>
      </c>
      <c r="G122" s="18" t="n">
        <f aca="false">$G$118+$G$120+$G$121</f>
        <v>303.7508175</v>
      </c>
      <c r="H122" s="18" t="n">
        <f aca="false">$H$118+$H$120+$H$121</f>
        <v>296.713813334375</v>
      </c>
      <c r="I122" s="18" t="n">
        <f aca="false">$I$118+$I$120+$I$121</f>
        <v>285.913209999289</v>
      </c>
      <c r="J122" s="18" t="n">
        <f aca="false">$J$118+$J$120+$J$121</f>
        <v>276.450986996325</v>
      </c>
      <c r="K122" s="18" t="n">
        <f aca="false">$K$118+$K$120+$K$121</f>
        <v>273.800986996325</v>
      </c>
      <c r="L122" s="18" t="n">
        <f aca="false">$L$118+$L$120+$L$121</f>
        <v>271.150986996325</v>
      </c>
    </row>
    <row r="123" customFormat="false" ht="15" hidden="false" customHeight="false" outlineLevel="0" collapsed="false">
      <c r="B123" s="9" t="s">
        <v>600</v>
      </c>
      <c r="E123" s="19" t="n">
        <f aca="false">Assumptions!$D$78</f>
        <v>10</v>
      </c>
      <c r="F123" s="19" t="n">
        <f aca="false">$F$112-$F$115</f>
        <v>14.555</v>
      </c>
      <c r="G123" s="19" t="n">
        <f aca="false">$G$112-$G$115</f>
        <v>12.1941825</v>
      </c>
      <c r="H123" s="19" t="n">
        <f aca="false">$H$112-$H$115</f>
        <v>14.387004165625</v>
      </c>
      <c r="I123" s="19" t="n">
        <f aca="false">$I$112-$I$115</f>
        <v>18.1506033350859</v>
      </c>
      <c r="J123" s="19" t="n">
        <f aca="false">$J$112-$J$115</f>
        <v>30.4366690088914</v>
      </c>
      <c r="K123" s="19" t="n">
        <f aca="false">$K$112-$K$115</f>
        <v>52.9629037540183</v>
      </c>
      <c r="L123" s="19" t="n">
        <f aca="false">$L$112-$L$115</f>
        <v>78.1636269992318</v>
      </c>
    </row>
    <row r="124" customFormat="false" ht="15" hidden="false" customHeight="false" outlineLevel="0" collapsed="false">
      <c r="B124" s="17" t="s">
        <v>601</v>
      </c>
      <c r="E124" s="18" t="n">
        <f aca="false">$E$122-$E$123</f>
        <v>265</v>
      </c>
      <c r="F124" s="18" t="n">
        <f aca="false">$F$122-$F$123</f>
        <v>253.64</v>
      </c>
      <c r="G124" s="18" t="n">
        <f aca="false">$G$122-$G$123</f>
        <v>291.556635</v>
      </c>
      <c r="H124" s="18" t="n">
        <f aca="false">$H$122-$H$123</f>
        <v>282.32680916875</v>
      </c>
      <c r="I124" s="18" t="n">
        <f aca="false">$I$122-$I$123</f>
        <v>267.762606664203</v>
      </c>
      <c r="J124" s="18" t="n">
        <f aca="false">$J$122-$J$123</f>
        <v>246.014317987434</v>
      </c>
      <c r="K124" s="18" t="n">
        <f aca="false">$K$122-$K$123</f>
        <v>220.838083242307</v>
      </c>
      <c r="L124" s="18" t="n">
        <f aca="false">$L$122-$L$123</f>
        <v>192.987359997093</v>
      </c>
    </row>
    <row r="125" customFormat="false" ht="15" hidden="false" customHeight="false" outlineLevel="0" collapsed="false">
      <c r="B125" s="9" t="s">
        <v>538</v>
      </c>
      <c r="E125" s="24" t="n">
        <f aca="false">$E$124/$E$72</f>
        <v>5.3</v>
      </c>
      <c r="F125" s="24" t="n">
        <f aca="false">$F$124/$F$72</f>
        <v>4.64542124542125</v>
      </c>
      <c r="G125" s="24" t="n">
        <f aca="false">$G$124/$G$72</f>
        <v>4.81536115625495</v>
      </c>
      <c r="H125" s="24" t="n">
        <f aca="false">$H$124/$H$72</f>
        <v>5.63923855754246</v>
      </c>
      <c r="I125" s="24" t="n">
        <f aca="false">$I$124/$I$72</f>
        <v>4.0272779806035</v>
      </c>
      <c r="J125" s="24" t="n">
        <f aca="false">$J$124/$J$72</f>
        <v>3.34161609070228</v>
      </c>
      <c r="K125" s="24" t="n">
        <f aca="false">$K$124/$K$72</f>
        <v>2.8888034268246</v>
      </c>
      <c r="L125" s="24" t="n">
        <f aca="false">$L$124/$L$72</f>
        <v>2.43105927419834</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36.910976</v>
      </c>
      <c r="I129" s="38" t="n">
        <f aca="false">$I$72-$I$74</f>
        <v>52.47827328</v>
      </c>
      <c r="J129" s="38" t="n">
        <f aca="false">$J$72-$J$74</f>
        <v>58.934655232</v>
      </c>
      <c r="K129" s="38" t="n">
        <f aca="false">$K$72-$K$74</f>
        <v>61.17204144128</v>
      </c>
      <c r="L129" s="38" t="n">
        <f aca="false">$L$72-$L$74</f>
        <v>63.4989230989312</v>
      </c>
    </row>
    <row r="130" customFormat="false" ht="15" hidden="false" customHeight="false" outlineLevel="0" collapsed="false">
      <c r="B130" s="9" t="s">
        <v>605</v>
      </c>
      <c r="F130" s="38" t="n">
        <f aca="false">$F$105+$F$106</f>
        <v>25.4107142857143</v>
      </c>
      <c r="G130" s="38" t="n">
        <f aca="false">$G$105+$G$106</f>
        <v>24.7411892857143</v>
      </c>
      <c r="H130" s="38" t="n">
        <f aca="false">$H$105+$H$106</f>
        <v>27.9706501232143</v>
      </c>
      <c r="I130" s="38" t="n">
        <f aca="false">$I$105+$I$106</f>
        <v>29.7957864691674</v>
      </c>
      <c r="J130" s="38" t="n">
        <f aca="false">$J$105+$J$106</f>
        <v>28.694457168945</v>
      </c>
      <c r="K130" s="38" t="n">
        <f aca="false">$K$105+$K$106</f>
        <v>27.5498246701874</v>
      </c>
      <c r="L130" s="38" t="n">
        <f aca="false">$L$105+$L$106</f>
        <v>26.8475499752848</v>
      </c>
    </row>
    <row r="131" customFormat="false" ht="15" hidden="false" customHeight="false" outlineLevel="0" collapsed="false">
      <c r="B131" s="9" t="s">
        <v>606</v>
      </c>
      <c r="F131" s="38" t="n">
        <f aca="false">$F$129-$F$130-$F$83-$F$87-$F$89</f>
        <v>17.4292857142857</v>
      </c>
      <c r="G131" s="38" t="n">
        <f aca="false">$G$129-$G$130-$G$83-$G$87-$G$89</f>
        <v>21.8404107142857</v>
      </c>
      <c r="H131" s="38" t="n">
        <f aca="false">$H$129-$H$130-$H$83-$H$87-$H$89</f>
        <v>6.40281770178573</v>
      </c>
      <c r="I131" s="38" t="n">
        <f aca="false">$I$129-$I$130-$I$83-$I$87-$I$89</f>
        <v>22.6824868108326</v>
      </c>
      <c r="J131" s="38" t="n">
        <f aca="false">$J$129-$J$130-$J$83-$J$87-$J$89</f>
        <v>30.240198063055</v>
      </c>
      <c r="K131" s="38" t="n">
        <f aca="false">$K$129-$K$130-$K$83-$K$87-$K$89</f>
        <v>33.6222167710927</v>
      </c>
      <c r="L131" s="38" t="n">
        <f aca="false">$L$129-$L$130-$L$83-$L$87-$L$89</f>
        <v>36.6513731236464</v>
      </c>
    </row>
    <row r="132" customFormat="false" ht="15" hidden="false" customHeight="false" outlineLevel="0" collapsed="false">
      <c r="B132" s="9" t="s">
        <v>607</v>
      </c>
      <c r="F132" s="38" t="n">
        <f aca="false">Assumptions!$D$8*$F$72</f>
        <v>16.38</v>
      </c>
      <c r="G132" s="38" t="n">
        <f aca="false">Assumptions!$D$8*$G$72</f>
        <v>18.16416</v>
      </c>
      <c r="H132" s="38" t="n">
        <f aca="false">Assumptions!$D$8*$H$72</f>
        <v>15.0194112</v>
      </c>
      <c r="I132" s="38" t="n">
        <f aca="false">Assumptions!$D$8*$I$72</f>
        <v>19.946172672</v>
      </c>
      <c r="J132" s="38" t="n">
        <f aca="false">Assumptions!$D$8*$J$72</f>
        <v>22.086407712</v>
      </c>
      <c r="K132" s="38" t="n">
        <f aca="false">Assumptions!$D$8*$K$72</f>
        <v>22.93386402048</v>
      </c>
      <c r="L132" s="38" t="n">
        <f aca="false">Assumptions!$D$8*$L$72</f>
        <v>23.8152185812992</v>
      </c>
    </row>
    <row r="133" customFormat="false" ht="15" hidden="false" customHeight="false" outlineLevel="0" collapsed="false">
      <c r="B133" s="9" t="s">
        <v>608</v>
      </c>
      <c r="F133" s="38" t="n">
        <f aca="false">$F$130+$E$135</f>
        <v>25.4107142857143</v>
      </c>
      <c r="G133" s="38" t="n">
        <f aca="false">$G$130+$F$135</f>
        <v>33.7719035714286</v>
      </c>
      <c r="H133" s="38" t="n">
        <f aca="false">$H$130+$G$135</f>
        <v>43.5783936946428</v>
      </c>
      <c r="I133" s="38" t="n">
        <f aca="false">$I$130+$H$135</f>
        <v>58.3547689638102</v>
      </c>
      <c r="J133" s="38" t="n">
        <f aca="false">$J$130+$I$135</f>
        <v>67.1030534607553</v>
      </c>
      <c r="K133" s="38" t="n">
        <f aca="false">$K$130+$J$135</f>
        <v>72.5664704189426</v>
      </c>
      <c r="L133" s="38" t="n">
        <f aca="false">$L$130+$K$135</f>
        <v>76.4801563737474</v>
      </c>
    </row>
    <row r="134" customFormat="false" ht="15" hidden="false" customHeight="false" outlineLevel="0" collapsed="false">
      <c r="B134" s="9" t="s">
        <v>609</v>
      </c>
      <c r="F134" s="38" t="n">
        <f aca="false">MIN($F$133,$F$132)</f>
        <v>16.38</v>
      </c>
      <c r="G134" s="38" t="n">
        <f aca="false">MIN($G$133,$G$132)</f>
        <v>18.16416</v>
      </c>
      <c r="H134" s="38" t="n">
        <f aca="false">MIN($H$133,$H$132)</f>
        <v>15.0194112</v>
      </c>
      <c r="I134" s="38" t="n">
        <f aca="false">MIN($I$133,$I$132)</f>
        <v>19.946172672</v>
      </c>
      <c r="J134" s="38" t="n">
        <f aca="false">MIN($J$133,$J$132)</f>
        <v>22.086407712</v>
      </c>
      <c r="K134" s="38" t="n">
        <f aca="false">MIN($K$133,$K$132)</f>
        <v>22.93386402048</v>
      </c>
      <c r="L134" s="38" t="n">
        <f aca="false">MIN($L$133,$L$132)</f>
        <v>23.8152185812992</v>
      </c>
    </row>
    <row r="135" customFormat="false" ht="15" hidden="false" customHeight="false" outlineLevel="0" collapsed="false">
      <c r="B135" s="9" t="s">
        <v>610</v>
      </c>
      <c r="E135" s="38" t="n">
        <f aca="false">0</f>
        <v>0</v>
      </c>
      <c r="F135" s="38" t="n">
        <f aca="false">$F$133-$F$134</f>
        <v>9.03071428571429</v>
      </c>
      <c r="G135" s="38" t="n">
        <f aca="false">$G$133-$G$134</f>
        <v>15.6077435714286</v>
      </c>
      <c r="H135" s="38" t="n">
        <f aca="false">$H$133-$H$134</f>
        <v>28.5589824946428</v>
      </c>
      <c r="I135" s="38" t="n">
        <f aca="false">$I$133-$I$134</f>
        <v>38.4085962918102</v>
      </c>
      <c r="J135" s="38" t="n">
        <f aca="false">$J$133-$J$134</f>
        <v>45.0166457487553</v>
      </c>
      <c r="K135" s="38" t="n">
        <f aca="false">$K$133-$K$134</f>
        <v>49.6326063984626</v>
      </c>
      <c r="L135" s="38" t="n">
        <f aca="false">$L$133-$L$134</f>
        <v>52.6649377924482</v>
      </c>
    </row>
    <row r="136" customFormat="false" ht="15" hidden="false" customHeight="false" outlineLevel="0" collapsed="false">
      <c r="B136" s="9" t="s">
        <v>611</v>
      </c>
      <c r="F136" s="38" t="n">
        <f aca="false">$F$129-$F$134-$F$83-$F$87-$F$89</f>
        <v>26.46</v>
      </c>
      <c r="G136" s="38" t="n">
        <f aca="false">$G$129-$G$134-$G$83-$G$87-$G$89</f>
        <v>28.41744</v>
      </c>
      <c r="H136" s="38" t="n">
        <f aca="false">$H$129-$H$134-$H$83-$H$87-$H$89</f>
        <v>19.354056625</v>
      </c>
      <c r="I136" s="38" t="n">
        <f aca="false">$I$129-$I$134-$I$83-$I$87-$I$89</f>
        <v>32.532100608</v>
      </c>
      <c r="J136" s="38" t="n">
        <f aca="false">$J$129-$J$134-$J$83-$J$87-$J$89</f>
        <v>36.84824752</v>
      </c>
      <c r="K136" s="38" t="n">
        <f aca="false">$K$129-$K$134-$K$83-$K$87-$K$89</f>
        <v>38.2381774208</v>
      </c>
      <c r="L136" s="38" t="n">
        <f aca="false">$L$129-$L$134-$L$83-$L$87-$L$89</f>
        <v>39.683704517632</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4.83851415625</v>
      </c>
      <c r="I139" s="40" t="n">
        <f aca="false">IF($I$136&lt;0,0,Assumptions!$D$7*($I$136-$I$137))</f>
        <v>8.133025152</v>
      </c>
      <c r="J139" s="40" t="n">
        <f aca="false">IF($J$136&lt;0,0,Assumptions!$D$7*($J$136-$J$137))</f>
        <v>9.21206188</v>
      </c>
      <c r="K139" s="40" t="n">
        <f aca="false">IF($K$136&lt;0,0,Assumptions!$D$7*($K$136-$K$137))</f>
        <v>9.5595443552</v>
      </c>
      <c r="L139" s="40" t="n">
        <f aca="false">IF($L$136&lt;0,0,Assumptions!$D$7*($L$136-$L$137))</f>
        <v>9.920926129408</v>
      </c>
    </row>
    <row r="140" customFormat="false" ht="15" hidden="false" customHeight="false" outlineLevel="0" collapsed="false">
      <c r="B140" s="9" t="s">
        <v>615</v>
      </c>
      <c r="F140" s="19" t="n">
        <f aca="false">$F$131-$F$139</f>
        <v>10.8142857142857</v>
      </c>
      <c r="G140" s="19" t="n">
        <f aca="false">$G$131-$G$139</f>
        <v>14.7360507142857</v>
      </c>
      <c r="H140" s="19" t="n">
        <f aca="false">$H$131-$H$139</f>
        <v>1.56430354553572</v>
      </c>
      <c r="I140" s="19" t="n">
        <f aca="false">$I$131-$I$139</f>
        <v>14.5494616588326</v>
      </c>
      <c r="J140" s="19" t="n">
        <f aca="false">$J$131-$J$139</f>
        <v>21.028136183055</v>
      </c>
      <c r="K140" s="19" t="n">
        <f aca="false">$K$131-$K$139</f>
        <v>24.0626724158927</v>
      </c>
      <c r="L140" s="19" t="n">
        <f aca="false">$L$131-$L$139</f>
        <v>26.7304469942384</v>
      </c>
    </row>
    <row r="141" customFormat="false" ht="15" hidden="false" customHeight="false" outlineLevel="0" collapsed="false">
      <c r="B141" s="9" t="s">
        <v>616</v>
      </c>
      <c r="F141" s="38" t="n">
        <f aca="false">Assumptions!$D$7*($F$129-$F$130)</f>
        <v>4.35732142857143</v>
      </c>
      <c r="G141" s="38" t="n">
        <f aca="false">Assumptions!$D$7*($G$129-$G$130)</f>
        <v>5.83510267857143</v>
      </c>
      <c r="H141" s="38" t="n">
        <f aca="false">Assumptions!$D$7*($H$129-$H$130)</f>
        <v>2.23508146919643</v>
      </c>
      <c r="I141" s="38" t="n">
        <f aca="false">Assumptions!$D$7*($I$129-$I$130)</f>
        <v>5.67062170270815</v>
      </c>
      <c r="J141" s="38" t="n">
        <f aca="false">Assumptions!$D$7*($J$129-$J$130)</f>
        <v>7.56004951576374</v>
      </c>
      <c r="K141" s="38" t="n">
        <f aca="false">Assumptions!$D$7*($K$129-$K$130)</f>
        <v>8.40555419277316</v>
      </c>
      <c r="L141" s="38" t="n">
        <f aca="false">Assumptions!$D$7*($L$129-$L$130)</f>
        <v>9.1628432809116</v>
      </c>
    </row>
    <row r="142" customFormat="false" ht="15" hidden="false" customHeight="false" outlineLevel="0" collapsed="false">
      <c r="B142" s="9" t="s">
        <v>617</v>
      </c>
      <c r="F142" s="38" t="n">
        <f aca="false">$F$139-$F$141</f>
        <v>2.25767857142857</v>
      </c>
      <c r="G142" s="38" t="n">
        <f aca="false">$G$139-$G$141</f>
        <v>1.26925732142857</v>
      </c>
      <c r="H142" s="38" t="n">
        <f aca="false">$H$139-$H$141</f>
        <v>2.60343268705357</v>
      </c>
      <c r="I142" s="38" t="n">
        <f aca="false">$I$139-$I$141</f>
        <v>2.46240344929185</v>
      </c>
      <c r="J142" s="38" t="n">
        <f aca="false">$J$139-$J$141</f>
        <v>1.65201236423626</v>
      </c>
      <c r="K142" s="38" t="n">
        <f aca="false">$K$139-$K$141</f>
        <v>1.15399016242684</v>
      </c>
      <c r="L142" s="38" t="n">
        <f aca="false">$L$139-$L$141</f>
        <v>0.7580828484964</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14.555</v>
      </c>
      <c r="G145" s="19" t="n">
        <f aca="false">$G$123</f>
        <v>12.1941825</v>
      </c>
      <c r="H145" s="19" t="n">
        <f aca="false">$H$123</f>
        <v>14.387004165625</v>
      </c>
      <c r="I145" s="19" t="n">
        <f aca="false">$I$123</f>
        <v>18.1506033350859</v>
      </c>
      <c r="J145" s="19" t="n">
        <f aca="false">$J$123</f>
        <v>30.4366690088914</v>
      </c>
      <c r="K145" s="19" t="n">
        <f aca="false">$K$123</f>
        <v>52.9629037540183</v>
      </c>
      <c r="L145" s="19" t="n">
        <f aca="false">$L$123</f>
        <v>78.1636269992318</v>
      </c>
    </row>
    <row r="146" customFormat="false" ht="15" hidden="false" customHeight="false" outlineLevel="0" collapsed="false">
      <c r="B146" s="9" t="s">
        <v>619</v>
      </c>
      <c r="E146" s="19" t="n">
        <f aca="false">$E$78</f>
        <v>38.4</v>
      </c>
      <c r="F146" s="19" t="n">
        <f aca="false">$F$78</f>
        <v>40.32</v>
      </c>
      <c r="G146" s="19" t="n">
        <f aca="false">$G$78</f>
        <v>49.9392</v>
      </c>
      <c r="H146" s="19" t="n">
        <f aca="false">$H$78</f>
        <v>45.098496</v>
      </c>
      <c r="I146" s="19" t="n">
        <f aca="false">$I$78</f>
        <v>48.03075072</v>
      </c>
      <c r="J146" s="19" t="n">
        <f aca="false">$J$78</f>
        <v>50.354413056</v>
      </c>
      <c r="K146" s="19" t="n">
        <f aca="false">$K$78</f>
        <v>52.36858957824</v>
      </c>
      <c r="L146" s="19" t="n">
        <f aca="false">$L$78</f>
        <v>54.4633331613696</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48.660096</v>
      </c>
      <c r="I147" s="19" t="n">
        <f aca="false">$H$147+$I$75-$I$74+IF(AND($D$12=1,$I$64=Assumptions!$D$116),Assumptions!$D$124*Assumptions!$D$117,0)</f>
        <v>46.65881472</v>
      </c>
      <c r="J147" s="19" t="n">
        <f aca="false">$I$147+$J$75-$J$74+IF(AND($D$12=1,$J$64=Assumptions!$D$116),Assumptions!$D$124*Assumptions!$D$117,0)</f>
        <v>44.560714176</v>
      </c>
      <c r="K147" s="19" t="n">
        <f aca="false">$J$147+$K$75-$K$74+IF(AND($D$12=1,$K$64=Assumptions!$D$116),Assumptions!$D$124*Assumptions!$D$117,0)</f>
        <v>42.37868961024</v>
      </c>
      <c r="L147" s="19" t="n">
        <f aca="false">$K$147+$L$75-$L$74+IF(AND($D$12=1,$L$64=Assumptions!$D$116),Assumptions!$D$124*Assumptions!$D$117,0)</f>
        <v>40.1093840618496</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469.509285714286</v>
      </c>
      <c r="G150" s="18" t="n">
        <f aca="false">$G$145+$G$146+$G$147+$G$148+$G$149</f>
        <v>519.801153928572</v>
      </c>
      <c r="H150" s="18" t="n">
        <f aca="false">$H$145+$H$146+$H$147+$H$148+$H$149</f>
        <v>514.328453308482</v>
      </c>
      <c r="I150" s="18" t="n">
        <f aca="false">$I$145+$I$146+$I$147+$I$148+$I$149</f>
        <v>518.077311632229</v>
      </c>
      <c r="J150" s="18" t="n">
        <f aca="false">$J$145+$J$146+$J$147+$J$148+$J$149</f>
        <v>529.64322481232</v>
      </c>
      <c r="K150" s="18" t="n">
        <f aca="false">$K$145+$K$146+$K$147+$K$148+$K$149</f>
        <v>551.055897228213</v>
      </c>
      <c r="L150" s="18" t="n">
        <f aca="false">$L$145+$L$146+$L$147+$L$148+$L$149</f>
        <v>575.136344222451</v>
      </c>
    </row>
    <row r="151" customFormat="false" ht="15" hidden="false" customHeight="false" outlineLevel="0" collapsed="false">
      <c r="B151" s="9" t="s">
        <v>291</v>
      </c>
      <c r="E151" s="19" t="n">
        <f aca="false">$E$122</f>
        <v>275</v>
      </c>
      <c r="F151" s="19" t="n">
        <f aca="false">$F$122</f>
        <v>268.195</v>
      </c>
      <c r="G151" s="19" t="n">
        <f aca="false">$G$122</f>
        <v>303.7508175</v>
      </c>
      <c r="H151" s="19" t="n">
        <f aca="false">$H$122</f>
        <v>296.713813334375</v>
      </c>
      <c r="I151" s="19" t="n">
        <f aca="false">$I$122</f>
        <v>285.913209999289</v>
      </c>
      <c r="J151" s="19" t="n">
        <f aca="false">$J$122</f>
        <v>276.450986996325</v>
      </c>
      <c r="K151" s="19" t="n">
        <f aca="false">$K$122</f>
        <v>273.800986996325</v>
      </c>
      <c r="L151" s="19" t="n">
        <f aca="false">$L$122</f>
        <v>271.150986996325</v>
      </c>
    </row>
    <row r="152" customFormat="false" ht="15" hidden="false" customHeight="false" outlineLevel="0" collapsed="false">
      <c r="B152" s="9" t="s">
        <v>624</v>
      </c>
      <c r="E152" s="19" t="n">
        <f aca="false">$D$46-Assumptions!$D$76</f>
        <v>190.5</v>
      </c>
      <c r="F152" s="19" t="n">
        <f aca="false">$E$152+$F$140-$F$88+$F$90</f>
        <v>201.314285714286</v>
      </c>
      <c r="G152" s="19" t="n">
        <f aca="false">$F$152+$G$140-$G$88+$G$90</f>
        <v>216.050336428571</v>
      </c>
      <c r="H152" s="19" t="n">
        <f aca="false">$G$152+$H$140-$H$88+$H$90</f>
        <v>217.614639974107</v>
      </c>
      <c r="I152" s="19" t="n">
        <f aca="false">$H$152+$I$140-$I$88+$I$90</f>
        <v>232.16410163294</v>
      </c>
      <c r="J152" s="19" t="n">
        <f aca="false">$I$152+$J$140-$J$88+$J$90</f>
        <v>253.192237815995</v>
      </c>
      <c r="K152" s="19" t="n">
        <f aca="false">$J$152+$K$140-$K$88+$K$90</f>
        <v>277.254910231887</v>
      </c>
      <c r="L152" s="19" t="n">
        <f aca="false">$K$152+$L$140-$L$88+$L$90</f>
        <v>303.985357226126</v>
      </c>
    </row>
    <row r="153" customFormat="false" ht="15" hidden="false" customHeight="false" outlineLevel="0" collapsed="false">
      <c r="B153" s="17" t="s">
        <v>625</v>
      </c>
      <c r="E153" s="18" t="n">
        <f aca="false">$E$151+$E$152</f>
        <v>465.5</v>
      </c>
      <c r="F153" s="18" t="n">
        <f aca="false">$F$151+$F$152</f>
        <v>469.509285714286</v>
      </c>
      <c r="G153" s="18" t="n">
        <f aca="false">$G$151+$G$152</f>
        <v>519.801153928572</v>
      </c>
      <c r="H153" s="18" t="n">
        <f aca="false">$H$151+$H$152</f>
        <v>514.328453308482</v>
      </c>
      <c r="I153" s="18" t="n">
        <f aca="false">$I$151+$I$152</f>
        <v>518.077311632229</v>
      </c>
      <c r="J153" s="18" t="n">
        <f aca="false">$J$151+$J$152</f>
        <v>529.64322481232</v>
      </c>
      <c r="K153" s="18" t="n">
        <f aca="false">$K$151+$K$152</f>
        <v>551.055897228213</v>
      </c>
      <c r="L153" s="18" t="n">
        <f aca="false">$L$151+$L$152</f>
        <v>575.136344222451</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50.064704</v>
      </c>
      <c r="I157" s="19" t="n">
        <f aca="false">$I$72+IF(AND($D$12=1,$I$64=Assumptions!$D$116),Assumptions!$D$118,0)</f>
        <v>66.48724224</v>
      </c>
      <c r="J157" s="19" t="n">
        <f aca="false">$J$72+IF(AND($D$12=1,$J$64=Assumptions!$D$116),Assumptions!$D$118,0)</f>
        <v>73.62135904</v>
      </c>
      <c r="K157" s="19" t="n">
        <f aca="false">$K$72+IF(AND($D$12=1,$K$64=Assumptions!$D$116),Assumptions!$D$118,0)</f>
        <v>76.4462134016</v>
      </c>
      <c r="L157" s="19" t="n">
        <f aca="false">$L$72+IF(AND($D$12=1,$L$64=Assumptions!$D$116),Assumptions!$D$118,0)</f>
        <v>79.384061937664</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52.064704</v>
      </c>
      <c r="I159" s="18" t="n">
        <f aca="false">$I$157+$I$158+$I$90</f>
        <v>66.98724224</v>
      </c>
      <c r="J159" s="18" t="n">
        <f aca="false">$J$157+$J$158+$J$90</f>
        <v>73.62135904</v>
      </c>
      <c r="K159" s="18" t="n">
        <f aca="false">$K$157+$K$158+$K$90</f>
        <v>76.4462134016</v>
      </c>
      <c r="L159" s="18" t="n">
        <f aca="false">$L$157+$L$158+$L$90</f>
        <v>79.384061937664</v>
      </c>
    </row>
    <row r="160" customFormat="false" ht="15" hidden="false" customHeight="false" outlineLevel="0" collapsed="false">
      <c r="B160" s="9" t="s">
        <v>631</v>
      </c>
      <c r="F160" s="19" t="n">
        <f aca="false">$F$124</f>
        <v>253.64</v>
      </c>
      <c r="G160" s="19" t="n">
        <f aca="false">$G$124</f>
        <v>291.556635</v>
      </c>
      <c r="H160" s="19" t="n">
        <f aca="false">$H$124</f>
        <v>282.32680916875</v>
      </c>
      <c r="I160" s="19" t="n">
        <f aca="false">$I$124</f>
        <v>267.762606664203</v>
      </c>
      <c r="J160" s="19" t="n">
        <f aca="false">$J$124</f>
        <v>246.014317987434</v>
      </c>
      <c r="K160" s="19" t="n">
        <f aca="false">$K$124</f>
        <v>220.838083242307</v>
      </c>
      <c r="L160" s="19" t="n">
        <f aca="false">$L$124</f>
        <v>192.987359997093</v>
      </c>
    </row>
    <row r="161" customFormat="false" ht="15" hidden="false" customHeight="false" outlineLevel="0" collapsed="false">
      <c r="B161" s="17" t="s">
        <v>632</v>
      </c>
      <c r="F161" s="41" t="n">
        <f aca="false">$F$124/$F$159</f>
        <v>4.64542124542125</v>
      </c>
      <c r="G161" s="41" t="n">
        <f aca="false">$G$124/$G$159</f>
        <v>4.0750250883333</v>
      </c>
      <c r="H161" s="41" t="n">
        <f aca="false">$H$124/$H$159</f>
        <v>5.42261431408023</v>
      </c>
      <c r="I161" s="41" t="n">
        <f aca="false">$I$124/$I$159</f>
        <v>3.99721794345363</v>
      </c>
      <c r="J161" s="41" t="n">
        <f aca="false">$J$124/$J$159</f>
        <v>3.34161609070228</v>
      </c>
      <c r="K161" s="41" t="n">
        <f aca="false">$K$124/$K$159</f>
        <v>2.8888034268246</v>
      </c>
      <c r="L161" s="41" t="n">
        <f aca="false">$L$124/$L$159</f>
        <v>2.43105927419834</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5.5</v>
      </c>
      <c r="I162" s="24" t="n">
        <f aca="false">Assumptions!$I$169+IF(AND($D$17=1,$I$64&gt;=Assumptions!$D$146),Assumptions!$D$149,0)</f>
        <v>5</v>
      </c>
      <c r="J162" s="24" t="n">
        <f aca="false">Assumptions!$J$169+IF(AND($D$17=1,$J$64&gt;=Assumptions!$D$146),Assumptions!$D$149,0)</f>
        <v>4.75</v>
      </c>
      <c r="K162" s="24" t="n">
        <f aca="false">Assumptions!$K$169+IF(AND($D$17=1,$K$64&gt;=Assumptions!$D$146),Assumptions!$D$149,0)</f>
        <v>4.75</v>
      </c>
      <c r="L162" s="24" t="n">
        <f aca="false">Assumptions!$L$169+IF(AND($D$17=1,$L$64&gt;=Assumptions!$D$146),Assumptions!$D$149,0)</f>
        <v>4.75</v>
      </c>
    </row>
    <row r="163" customFormat="false" ht="15" hidden="false" customHeight="false" outlineLevel="0" collapsed="false">
      <c r="B163" s="9" t="s">
        <v>634</v>
      </c>
      <c r="F163" s="24" t="n">
        <f aca="false">$F$162-$F$161</f>
        <v>1.10457875457876</v>
      </c>
      <c r="G163" s="24" t="n">
        <f aca="false">$G$162-$G$161</f>
        <v>1.1749749116667</v>
      </c>
      <c r="H163" s="24" t="n">
        <f aca="false">$H$162-$H$161</f>
        <v>0.0773856859197748</v>
      </c>
      <c r="I163" s="24" t="n">
        <f aca="false">$I$162-$I$161</f>
        <v>1.00278205654637</v>
      </c>
      <c r="J163" s="24" t="n">
        <f aca="false">$J$162-$J$161</f>
        <v>1.40838390929772</v>
      </c>
      <c r="K163" s="24" t="n">
        <f aca="false">$K$162-$K$161</f>
        <v>1.8611965731754</v>
      </c>
      <c r="L163" s="24" t="n">
        <f aca="false">$L$162-$L$161</f>
        <v>2.31894072580166</v>
      </c>
    </row>
    <row r="164" customFormat="false" ht="15" hidden="false" customHeight="false" outlineLevel="0" collapsed="false">
      <c r="B164" s="9" t="s">
        <v>635</v>
      </c>
      <c r="F164" s="14" t="n">
        <f aca="false">1-$F$124/($F$162*$F$159)</f>
        <v>0.192100652970218</v>
      </c>
      <c r="G164" s="14" t="n">
        <f aca="false">1-$G$124/($G$162*$G$159)</f>
        <v>0.223804745079372</v>
      </c>
      <c r="H164" s="14" t="n">
        <f aca="false">1-$H$124/($H$162*$H$159)</f>
        <v>0.0140701247126863</v>
      </c>
      <c r="I164" s="14" t="n">
        <f aca="false">1-$I$124/($I$162*$I$159)</f>
        <v>0.200556411309273</v>
      </c>
      <c r="J164" s="14" t="n">
        <f aca="false">1-$J$124/($J$162*$J$159)</f>
        <v>0.296501875641625</v>
      </c>
      <c r="K164" s="14" t="n">
        <f aca="false">1-$K$124/($K$162*$K$159)</f>
        <v>0.39183085751061</v>
      </c>
      <c r="L164" s="14" t="n">
        <f aca="false">1-$L$124/($L$162*$L$159)</f>
        <v>0.488198047537192</v>
      </c>
    </row>
    <row r="165" customFormat="false" ht="15" hidden="false" customHeight="false" outlineLevel="0" collapsed="false">
      <c r="B165" s="9" t="s">
        <v>636</v>
      </c>
      <c r="F165" s="19" t="n">
        <f aca="false">$F$164*$F$159</f>
        <v>10.4886956521739</v>
      </c>
      <c r="G165" s="19" t="n">
        <f aca="false">$G$164*$G$159</f>
        <v>16.0126028571429</v>
      </c>
      <c r="H165" s="19" t="n">
        <f aca="false">$H$164*$H$159</f>
        <v>0.732556878409098</v>
      </c>
      <c r="I165" s="19" t="n">
        <f aca="false">$I$164*$I$159</f>
        <v>13.4347209071594</v>
      </c>
      <c r="J165" s="19" t="n">
        <f aca="false">$J$164*$J$159</f>
        <v>21.8288710426455</v>
      </c>
      <c r="K165" s="19" t="n">
        <f aca="false">$K$164*$K$159</f>
        <v>29.953985350588</v>
      </c>
      <c r="L165" s="19" t="n">
        <f aca="false">$L$164*$L$159</f>
        <v>38.7551440435391</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7.37251898289473</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-1.10457875457876</v>
      </c>
      <c r="G167" s="24" t="n">
        <f aca="false">$G$125-Assumptions!$G$169</f>
        <v>-0.434638843745047</v>
      </c>
      <c r="H167" s="24" t="n">
        <f aca="false">$H$125-Assumptions!$H$169</f>
        <v>0.889238557542455</v>
      </c>
      <c r="I167" s="24" t="n">
        <f aca="false">$I$125-Assumptions!$I$169</f>
        <v>-0.222722019396497</v>
      </c>
      <c r="J167" s="24" t="n">
        <f aca="false">$J$125-Assumptions!$J$169</f>
        <v>-0.658383909297719</v>
      </c>
      <c r="K167" s="24" t="n">
        <f aca="false">$K$125-Assumptions!$K$169</f>
        <v>-1.1111965731754</v>
      </c>
      <c r="L167" s="24" t="n">
        <f aca="false">$L$125-Assumptions!$L$169</f>
        <v>-1.56894072580166</v>
      </c>
    </row>
    <row r="168" customFormat="false" ht="15" hidden="false" customHeight="false" outlineLevel="0" collapsed="false">
      <c r="B168" s="9" t="s">
        <v>639</v>
      </c>
      <c r="F168" s="24" t="n">
        <f aca="false">$F$161-$F$162</f>
        <v>-1.10457875457876</v>
      </c>
      <c r="G168" s="24" t="n">
        <f aca="false">$G$161-$G$162</f>
        <v>-1.1749749116667</v>
      </c>
      <c r="H168" s="24" t="n">
        <f aca="false">$H$161-$H$162</f>
        <v>-0.0773856859197748</v>
      </c>
      <c r="I168" s="24" t="n">
        <f aca="false">$I$161-$I$162</f>
        <v>-1.00278205654637</v>
      </c>
      <c r="J168" s="24" t="n">
        <f aca="false">$J$161-$J$162</f>
        <v>-1.40838390929772</v>
      </c>
      <c r="K168" s="24" t="n">
        <f aca="false">$K$161-$K$162</f>
        <v>-1.8611965731754</v>
      </c>
      <c r="L168" s="24" t="n">
        <f aca="false">$L$161-$L$162</f>
        <v>-2.31894072580166</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73.62135904</v>
      </c>
    </row>
    <row r="172" customFormat="false" ht="15" hidden="false" customHeight="false" outlineLevel="0" collapsed="false">
      <c r="B172" s="17" t="s">
        <v>641</v>
      </c>
      <c r="D172" s="18" t="n">
        <f aca="false">$D$7*$D$171</f>
        <v>662.59223136</v>
      </c>
    </row>
    <row r="173" customFormat="false" ht="15" hidden="false" customHeight="false" outlineLevel="0" collapsed="false">
      <c r="B173" s="9" t="s">
        <v>642</v>
      </c>
      <c r="D173" s="19" t="n">
        <f aca="false">INDEX($E$124:$L$124,1,$D$170+1)</f>
        <v>246.014317987434</v>
      </c>
    </row>
    <row r="174" customFormat="false" ht="15" hidden="false" customHeight="false" outlineLevel="0" collapsed="false">
      <c r="B174" s="9" t="s">
        <v>643</v>
      </c>
      <c r="D174" s="19" t="n">
        <f aca="false">INDEX($E$118:$L$118,1,$D$170+1)</f>
        <v>226.450986996325</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30.4366690088914</v>
      </c>
    </row>
    <row r="178" customFormat="false" ht="15" hidden="false" customHeight="false" outlineLevel="0" collapsed="false">
      <c r="B178" s="9" t="s">
        <v>647</v>
      </c>
      <c r="D178" s="19" t="n">
        <f aca="false">$D$20*$D$172</f>
        <v>9.9388834704</v>
      </c>
    </row>
    <row r="179" customFormat="false" ht="15" hidden="false" customHeight="false" outlineLevel="0" collapsed="false">
      <c r="B179" s="17" t="s">
        <v>195</v>
      </c>
      <c r="D179" s="18" t="n">
        <f aca="false">$D$172-$D$173-$D$178</f>
        <v>406.639029902166</v>
      </c>
    </row>
    <row r="180" customFormat="false" ht="15" hidden="false" customHeight="false" outlineLevel="0" collapsed="false">
      <c r="B180" s="9" t="s">
        <v>648</v>
      </c>
      <c r="D180" s="19" t="n">
        <f aca="false">$D$171*(1-$D$20)</f>
        <v>72.5170386544</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1.95053953754996</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1.95053953754996</v>
      </c>
    </row>
    <row r="195" customFormat="false" ht="15" hidden="false" customHeight="false" outlineLevel="0" collapsed="false">
      <c r="B195" s="9" t="s">
        <v>663</v>
      </c>
      <c r="D195" s="34" t="n">
        <f aca="false">IF($D$194&gt;=Assumptions!$D$110,$D$191,$D$191*0.5)</f>
        <v>8.69565217391304</v>
      </c>
    </row>
    <row r="196" customFormat="false" ht="15" hidden="false" customHeight="false" outlineLevel="0" collapsed="false">
      <c r="B196" s="9" t="s">
        <v>664</v>
      </c>
      <c r="D196" s="35" t="n">
        <f aca="false">($D$179+$D$195*Assumptions!$D$108)/($D$189+$D$195)</f>
        <v>1.99014535161455</v>
      </c>
    </row>
    <row r="197" customFormat="false" ht="15" hidden="false" customHeight="false" outlineLevel="0" collapsed="false">
      <c r="B197" s="9" t="s">
        <v>665</v>
      </c>
      <c r="D197" s="34" t="n">
        <f aca="false">IF($D$196&lt;Assumptions!$D$108,0,$D$195)</f>
        <v>8.69565217391304</v>
      </c>
    </row>
    <row r="198" customFormat="false" ht="15" hidden="false" customHeight="false" outlineLevel="0" collapsed="false">
      <c r="B198" s="17" t="s">
        <v>666</v>
      </c>
      <c r="D198" s="43" t="n">
        <f aca="false">IF($D$196&lt;Assumptions!$D$108,$D$179/$D$189,$D$196)</f>
        <v>1.99014535161455</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378.127616806764</v>
      </c>
    </row>
    <row r="201" customFormat="false" ht="15" hidden="false" customHeight="false" outlineLevel="0" collapsed="false">
      <c r="B201" s="9" t="s">
        <v>668</v>
      </c>
      <c r="D201" s="14" t="n">
        <f aca="false">$D$200/$D$179</f>
        <v>0.929885202848674</v>
      </c>
    </row>
    <row r="202" customFormat="false" ht="15" hidden="false" customHeight="false" outlineLevel="0" collapsed="false">
      <c r="B202" s="9" t="s">
        <v>669</v>
      </c>
      <c r="D202" s="19" t="n">
        <f aca="false">$D$185*$D$198</f>
        <v>19.9014535161455</v>
      </c>
    </row>
    <row r="203" customFormat="false" ht="15" hidden="false" customHeight="false" outlineLevel="0" collapsed="false">
      <c r="B203" s="9" t="s">
        <v>670</v>
      </c>
      <c r="D203" s="19" t="n">
        <f aca="false">$D$197*MAX(0,$D$198-Assumptions!$D$108)</f>
        <v>8.60995957925693</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28.5114130954024</v>
      </c>
    </row>
    <row r="206" customFormat="false" ht="15" hidden="false" customHeight="false" outlineLevel="0" collapsed="false">
      <c r="B206" s="9" t="s">
        <v>673</v>
      </c>
      <c r="D206" s="24" t="n">
        <f aca="false">$D$205/$D$47</f>
        <v>2.85114130954024</v>
      </c>
    </row>
    <row r="207" customFormat="false" ht="15" hidden="false" customHeight="false" outlineLevel="0" collapsed="false">
      <c r="B207" s="9" t="s">
        <v>674</v>
      </c>
      <c r="D207" s="19" t="n">
        <f aca="false">$D$187*$D$198</f>
        <v>7.96058140645819</v>
      </c>
    </row>
    <row r="208" customFormat="false" ht="15" hidden="false" customHeight="false" outlineLevel="0" collapsed="false">
      <c r="B208" s="9" t="s">
        <v>675</v>
      </c>
      <c r="D208" s="19" t="n">
        <f aca="false">$D$203*Assumptions!$D$112</f>
        <v>3.01348585273992</v>
      </c>
    </row>
    <row r="209" customFormat="false" ht="15" hidden="false" customHeight="false" outlineLevel="0" collapsed="false">
      <c r="B209" s="9" t="s">
        <v>676</v>
      </c>
      <c r="D209" s="19" t="n">
        <f aca="false">$D$207+$D$208</f>
        <v>10.9740672591981</v>
      </c>
    </row>
    <row r="210" customFormat="false" ht="15" hidden="false" customHeight="false" outlineLevel="0" collapsed="false">
      <c r="B210" s="9" t="s">
        <v>677</v>
      </c>
      <c r="D210" s="24" t="n">
        <f aca="false">$D$209/Assumptions!$D$111</f>
        <v>2.74351681479953</v>
      </c>
    </row>
    <row r="211" customFormat="false" ht="15" hidden="false" customHeight="false" outlineLevel="0" collapsed="false">
      <c r="B211" s="9" t="s">
        <v>678</v>
      </c>
      <c r="D211" s="19" t="n">
        <f aca="false">$D$179*$D$190/$D$189</f>
        <v>386.307078407058</v>
      </c>
    </row>
    <row r="212" customFormat="false" ht="15" hidden="false" customHeight="false" outlineLevel="0" collapsed="false">
      <c r="B212" s="9" t="s">
        <v>679</v>
      </c>
      <c r="D212" s="19" t="n">
        <f aca="false">$D$211-$D$200</f>
        <v>8.17946160029408</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378.127616806764</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406.639029902166</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0.147564115443235</v>
      </c>
    </row>
    <row r="224" customFormat="false" ht="15" hidden="false" customHeight="false" outlineLevel="0" collapsed="false">
      <c r="B224" s="9" t="s">
        <v>689</v>
      </c>
      <c r="D224" s="25" t="n">
        <f aca="false">XIRR($E$219:$L$219,$E$221:$L$221,0.1)</f>
        <v>0.147477616793805</v>
      </c>
    </row>
    <row r="225" customFormat="false" ht="15" hidden="false" customHeight="false" outlineLevel="0" collapsed="false">
      <c r="B225" s="17" t="s">
        <v>690</v>
      </c>
      <c r="D225" s="41" t="n">
        <f aca="false">SUMIF($E$219:$L$219,"&gt;0")/-SUMIF($E$219:$L$219,"&lt;0")</f>
        <v>1.99014535161455</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0.152486410146221</v>
      </c>
    </row>
    <row r="228" customFormat="false" ht="15" hidden="false" customHeight="false" outlineLevel="0" collapsed="false">
      <c r="B228" s="9" t="s">
        <v>693</v>
      </c>
      <c r="D228" s="24" t="n">
        <f aca="false">SUMIF($E$220:$L$220,"&gt;0")/-SUMIF($E$220:$L$220,"&lt;0")</f>
        <v>2.03319514951083</v>
      </c>
    </row>
    <row r="229" customFormat="false" ht="15" hidden="false" customHeight="false" outlineLevel="0" collapsed="false">
      <c r="B229" s="9" t="s">
        <v>694</v>
      </c>
      <c r="D229" s="19" t="n">
        <f aca="false">SUM($E$220:$L$220)</f>
        <v>206.639029902166</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71.7856820125661</v>
      </c>
    </row>
    <row r="232" customFormat="false" ht="15" hidden="false" customHeight="false" outlineLevel="0" collapsed="false">
      <c r="B232" s="9" t="s">
        <v>697</v>
      </c>
      <c r="D232" s="19" t="n">
        <f aca="false">SUMPRODUCT(($F$64:$L$64&lt;=$D$170)*$F$105:$L$105)</f>
        <v>132.204225904184</v>
      </c>
    </row>
    <row r="233" customFormat="false" ht="15" hidden="false" customHeight="false" outlineLevel="0" collapsed="false">
      <c r="B233" s="9" t="s">
        <v>698</v>
      </c>
      <c r="D233" s="19" t="n">
        <f aca="false">SUMPRODUCT(($F$64:$L$64&lt;=$D$170)*$F$139:$L$139)</f>
        <v>35.90296118825</v>
      </c>
    </row>
    <row r="234" customFormat="false" ht="15" hidden="false" customHeight="false" outlineLevel="0" collapsed="false">
      <c r="B234" s="9" t="s">
        <v>699</v>
      </c>
      <c r="D234" s="38" t="n">
        <f aca="false">SUMPRODUCT(($F$64:$L$64&lt;=$D$170)*$F$109:$L$109)</f>
        <v>12.45</v>
      </c>
    </row>
    <row r="235" customFormat="false" ht="15" hidden="false" customHeight="false" outlineLevel="0" collapsed="false">
      <c r="B235" s="9" t="s">
        <v>700</v>
      </c>
      <c r="D235" s="19" t="n">
        <f aca="false">SUMPRODUCT(($F$64:$L$64&lt;=$D$170)*$F$115:$L$115)</f>
        <v>26.0990130036748</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38.5490130036748</v>
      </c>
    </row>
    <row r="238" customFormat="false" ht="15" hidden="false" customHeight="false" outlineLevel="0" collapsed="false">
      <c r="B238" s="9" t="s">
        <v>703</v>
      </c>
      <c r="D238" s="19" t="n">
        <f aca="false">$D$54-$D$173</f>
        <v>18.9856820125661</v>
      </c>
    </row>
    <row r="239" customFormat="false" ht="15" hidden="false" customHeight="false" outlineLevel="0" collapsed="false">
      <c r="B239" s="9" t="s">
        <v>704</v>
      </c>
      <c r="D239" s="25" t="n">
        <f aca="false">($D$171/$D$28)^(1/$D$170)-1</f>
        <v>0.0804552029079741</v>
      </c>
    </row>
    <row r="240" customFormat="false" ht="15" hidden="false" customHeight="false" outlineLevel="0" collapsed="false">
      <c r="B240" s="9" t="s">
        <v>705</v>
      </c>
      <c r="D240" s="25" t="n">
        <f aca="false">(INDEX($E$71:$L$71,1,$D$170+1)/Assumptions!$D$13)^(1/$D$170)-1</f>
        <v>0.0557018017118149</v>
      </c>
    </row>
    <row r="241" customFormat="false" ht="15" hidden="false" customHeight="false" outlineLevel="0" collapsed="false">
      <c r="B241" s="9" t="s">
        <v>233</v>
      </c>
      <c r="D241" s="19" t="n">
        <f aca="false">$D$172-$D$29</f>
        <v>212.59223136</v>
      </c>
    </row>
    <row r="242" customFormat="false" ht="15" hidden="false" customHeight="false" outlineLevel="0" collapsed="false">
      <c r="B242" s="9" t="s">
        <v>234</v>
      </c>
      <c r="D242" s="14" t="n">
        <f aca="false">$D$172/$D$29-1</f>
        <v>0.4724271808</v>
      </c>
    </row>
    <row r="243" customFormat="false" ht="15" hidden="false" customHeight="false" outlineLevel="0" collapsed="false">
      <c r="B243" s="9" t="s">
        <v>235</v>
      </c>
      <c r="D243" s="25" t="n">
        <f aca="false">($D$172/$D$29)^(1/$D$170)-1</f>
        <v>0.0804552029079741</v>
      </c>
    </row>
    <row r="244" customFormat="false" ht="15" hidden="false" customHeight="false" outlineLevel="0" collapsed="false">
      <c r="B244" s="9" t="s">
        <v>236</v>
      </c>
      <c r="D244" s="14" t="n">
        <f aca="false">$D$179/$D$46-1</f>
        <v>1.03319514951083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713</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26" t="n">
        <v>1</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35</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0.7</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35</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11.36</v>
      </c>
      <c r="G91" s="18" t="n">
        <f aca="false">$G$72-$G$139-$G$105-$G$75-$G$79-$G$83-$G$87-$G$89</f>
        <v>14.883365</v>
      </c>
      <c r="H91" s="18" t="n">
        <f aca="false">$H$72-$H$139-$H$105-$H$75-$H$79-$H$83-$H$87-$H$89</f>
        <v>14.5494217625</v>
      </c>
      <c r="I91" s="18" t="n">
        <f aca="false">$I$72-$I$139-$I$105-$I$75-$I$79-$I$83-$I$87-$I$89</f>
        <v>19.2327858802813</v>
      </c>
      <c r="J91" s="18" t="n">
        <f aca="false">$J$72-$J$139-$J$105-$J$75-$J$79-$J$83-$J$87-$J$89</f>
        <v>24.5621275942617</v>
      </c>
      <c r="K91" s="18" t="n">
        <f aca="false">$K$72-$K$139-$K$105-$K$75-$K$79-$K$83-$K$87-$K$89</f>
        <v>28.2142526169473</v>
      </c>
      <c r="L91" s="18" t="n">
        <f aca="false">$L$72-$L$139-$L$105-$L$75-$L$79-$L$83-$L$87-$L$89</f>
        <v>31.0641145902783</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14.555</v>
      </c>
      <c r="H94" s="19" t="n">
        <f aca="false">$G$123</f>
        <v>12.1941825</v>
      </c>
      <c r="I94" s="19" t="n">
        <f aca="false">$H$123</f>
        <v>17.04680213125</v>
      </c>
      <c r="J94" s="19" t="n">
        <f aca="false">$I$123</f>
        <v>21.8147940057656</v>
      </c>
      <c r="K94" s="19" t="n">
        <f aca="false">$J$123</f>
        <v>35.0326912000205</v>
      </c>
      <c r="L94" s="19" t="n">
        <f aca="false">$K$123</f>
        <v>60.2469438169678</v>
      </c>
    </row>
    <row r="95" customFormat="false" ht="15" hidden="false" customHeight="false" outlineLevel="0" collapsed="false">
      <c r="B95" s="9" t="s">
        <v>576</v>
      </c>
      <c r="F95" s="19" t="n">
        <f aca="false">$E$123+$F$91-$F$109-$F$82-$F$85+$F$84+$F$86-$F$88+$F$90</f>
        <v>19.11</v>
      </c>
      <c r="G95" s="19" t="n">
        <f aca="false">$F$123+$G$91-$G$109-$G$82-$G$85+$G$84+$G$86-$G$88+$G$90</f>
        <v>14.388365</v>
      </c>
      <c r="H95" s="19" t="n">
        <f aca="false">$G$123+$H$91-$H$109-$H$82-$H$85+$H$84+$H$86-$H$88+$H$90</f>
        <v>24.0936042625</v>
      </c>
      <c r="I95" s="19" t="n">
        <f aca="false">$H$123+$I$91-$I$109-$I$82-$I$85+$I$84+$I$86-$I$88+$I$90</f>
        <v>33.6295880115313</v>
      </c>
      <c r="J95" s="19" t="n">
        <f aca="false">$I$123+$J$91-$J$109-$J$82-$J$85+$J$84+$J$86-$J$88+$J$90</f>
        <v>43.3769216000273</v>
      </c>
      <c r="K95" s="19" t="n">
        <f aca="false">$J$123+$K$91-$K$109-$K$82-$K$85+$K$84+$K$86-$K$88+$K$90</f>
        <v>60.2469438169678</v>
      </c>
      <c r="L95" s="19" t="n">
        <f aca="false">$K$123+$L$91-$L$109-$L$82-$L$85+$L$84+$L$86-$L$88+$L$90</f>
        <v>88.3110584072461</v>
      </c>
    </row>
    <row r="96" customFormat="false" ht="15" hidden="false" customHeight="false" outlineLevel="0" collapsed="false">
      <c r="B96" s="17" t="s">
        <v>577</v>
      </c>
      <c r="F96" s="18" t="n">
        <f aca="false">$F$95+$F$110-$F$111-$F$115</f>
        <v>14.555</v>
      </c>
      <c r="G96" s="18" t="n">
        <f aca="false">$G$95+$G$110-$G$111-$G$115</f>
        <v>12.1941825</v>
      </c>
      <c r="H96" s="18" t="n">
        <f aca="false">$H$95+$H$110-$H$111-$H$115</f>
        <v>17.04680213125</v>
      </c>
      <c r="I96" s="18" t="n">
        <f aca="false">$I$95+$I$110-$I$111-$I$115</f>
        <v>21.8147940057656</v>
      </c>
      <c r="J96" s="18" t="n">
        <f aca="false">$J$95+$J$110-$J$111-$J$115</f>
        <v>35.0326912000205</v>
      </c>
      <c r="K96" s="18" t="n">
        <f aca="false">$K$95+$K$110-$K$111-$K$115</f>
        <v>60.2469438169678</v>
      </c>
      <c r="L96" s="18" t="n">
        <f aca="false">$L$95+$L$110-$L$111-$L$115</f>
        <v>88.3110584072461</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18.546575</v>
      </c>
      <c r="H101" s="38" t="n">
        <f aca="false">$G$118*$H$100</f>
        <v>21.5688194875</v>
      </c>
      <c r="I101" s="38" t="n">
        <f aca="false">$H$118*$I$100</f>
        <v>20.7445913063437</v>
      </c>
      <c r="J101" s="38" t="n">
        <f aca="false">$I$118*$J$100</f>
        <v>22.4900838158537</v>
      </c>
      <c r="K101" s="38" t="n">
        <f aca="false">$J$118*$K$100</f>
        <v>21.5258242318531</v>
      </c>
      <c r="L101" s="38" t="n">
        <f aca="false">$K$118*$L$100</f>
        <v>21.2708242318531</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0.2911</v>
      </c>
      <c r="H104" s="38" t="n">
        <f aca="false">$G$123*Assumptions!$D$9</f>
        <v>0.24388365</v>
      </c>
      <c r="I104" s="38" t="n">
        <f aca="false">$H$123*Assumptions!$D$9</f>
        <v>0.340936042625</v>
      </c>
      <c r="J104" s="38" t="n">
        <f aca="false">$I$123*Assumptions!$D$9</f>
        <v>0.436295880115313</v>
      </c>
      <c r="K104" s="38" t="n">
        <f aca="false">$J$123*Assumptions!$D$9</f>
        <v>0.700653824000409</v>
      </c>
      <c r="L104" s="38" t="n">
        <f aca="false">$K$123*Assumptions!$D$9</f>
        <v>1.20493887633936</v>
      </c>
    </row>
    <row r="105" customFormat="false" ht="15" hidden="false" customHeight="false" outlineLevel="0" collapsed="false">
      <c r="B105" s="17" t="s">
        <v>585</v>
      </c>
      <c r="F105" s="40" t="n">
        <f aca="false">$F$101+$F$102+$F$103-$F$104</f>
        <v>24.625</v>
      </c>
      <c r="G105" s="40" t="n">
        <f aca="false">$G$101+$G$102+$G$103-$G$104</f>
        <v>23.955475</v>
      </c>
      <c r="H105" s="40" t="n">
        <f aca="false">$H$101+$H$102+$H$103-$H$104</f>
        <v>27.0249358375</v>
      </c>
      <c r="I105" s="40" t="n">
        <f aca="false">$I$101+$I$102+$I$103-$I$104</f>
        <v>26.1036552637187</v>
      </c>
      <c r="J105" s="40" t="n">
        <f aca="false">$J$101+$J$102+$J$103-$J$104</f>
        <v>27.7537879357383</v>
      </c>
      <c r="K105" s="40" t="n">
        <f aca="false">$K$101+$K$102+$K$103-$K$104</f>
        <v>26.5251704078527</v>
      </c>
      <c r="L105" s="40" t="n">
        <f aca="false">$L$101+$L$102+$L$103-$L$104</f>
        <v>25.7658853555137</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2.21725888324873</v>
      </c>
      <c r="G107" s="24" t="n">
        <f aca="false">IF($G$105&lt;&gt;0,$G$72/$G$105,0)</f>
        <v>2.52748901868988</v>
      </c>
      <c r="H107" s="24" t="n">
        <f aca="false">IF($H$105&lt;&gt;0,$H$72/$H$105,0)</f>
        <v>2.14115616584394</v>
      </c>
      <c r="I107" s="24" t="n">
        <f aca="false">IF($I$105&lt;&gt;0,$I$72/$I$105,0)</f>
        <v>2.6915788003703</v>
      </c>
      <c r="J107" s="24" t="n">
        <f aca="false">IF($J$105&lt;&gt;0,$J$72/$J$105,0)</f>
        <v>2.8040456927967</v>
      </c>
      <c r="K107" s="24" t="n">
        <f aca="false">IF($K$105&lt;&gt;0,$K$72/$K$105,0)</f>
        <v>3.04675912946726</v>
      </c>
      <c r="L107" s="24" t="n">
        <f aca="false">IF($L$105&lt;&gt;0,$L$72/$L$105,0)</f>
        <v>3.25734730814798</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3</v>
      </c>
      <c r="K109" s="38" t="n">
        <f aca="false">IF($D$14=1,0,MIN($J$118,Assumptions!$D$85*$J$119))</f>
        <v>3</v>
      </c>
      <c r="L109" s="38" t="n">
        <f aca="false">IF($D$14=1,0,MIN($K$118,Assumptions!$D$85*$K$119))</f>
        <v>3</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19.11</v>
      </c>
      <c r="G112" s="19" t="n">
        <f aca="false">$G$95+$G$110-$G$111</f>
        <v>14.388365</v>
      </c>
      <c r="H112" s="19" t="n">
        <f aca="false">$H$95+$H$110-$H$111</f>
        <v>24.0936042625</v>
      </c>
      <c r="I112" s="19" t="n">
        <f aca="false">$I$95+$I$110-$I$111</f>
        <v>33.6295880115313</v>
      </c>
      <c r="J112" s="19" t="n">
        <f aca="false">$J$95+$J$110-$J$111</f>
        <v>43.3769216000273</v>
      </c>
      <c r="K112" s="19" t="n">
        <f aca="false">$K$95+$K$110-$K$111</f>
        <v>60.2469438169678</v>
      </c>
      <c r="L112" s="19" t="n">
        <f aca="false">$L$95+$L$110-$L$111</f>
        <v>88.3110584072461</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9.11</v>
      </c>
      <c r="G114" s="19" t="n">
        <f aca="false">MAX(0,$G$112-Assumptions!$D$79)</f>
        <v>4.38836500000001</v>
      </c>
      <c r="H114" s="19" t="n">
        <f aca="false">MAX(0,$H$112-Assumptions!$D$79)</f>
        <v>14.0936042625</v>
      </c>
      <c r="I114" s="19" t="n">
        <f aca="false">MAX(0,$I$112-Assumptions!$D$79)</f>
        <v>23.6295880115313</v>
      </c>
      <c r="J114" s="19" t="n">
        <f aca="false">MAX(0,$J$112-Assumptions!$D$79)</f>
        <v>33.3769216000273</v>
      </c>
      <c r="K114" s="19" t="n">
        <f aca="false">MAX(0,$K$112-Assumptions!$D$79)</f>
        <v>50.2469438169678</v>
      </c>
      <c r="L114" s="19" t="n">
        <f aca="false">MAX(0,$L$112-Assumptions!$D$79)</f>
        <v>78.3110584072461</v>
      </c>
    </row>
    <row r="115" customFormat="false" ht="15" hidden="false" customHeight="false" outlineLevel="0" collapsed="false">
      <c r="B115" s="17" t="s">
        <v>595</v>
      </c>
      <c r="F115" s="18" t="n">
        <f aca="false">IF(AND($D$19=1,$D$14=0,$E$121-$F$111+$F$110=0),MIN($E$118-$F$109+$F$84,$F$113*$F$114),0)</f>
        <v>4.555</v>
      </c>
      <c r="G115" s="18" t="n">
        <f aca="false">IF(AND($D$19=1,$D$14=0,$F$121-$G$111+$G$110=0),MIN($F$118-$G$109+$G$84,$G$113*$G$114),0)</f>
        <v>2.19418250000001</v>
      </c>
      <c r="H115" s="18" t="n">
        <f aca="false">IF(AND($D$19=1,$D$14=0,$G$121-$H$111+$H$110=0),MIN($G$118-$H$109+$H$84,$H$113*$H$114),0)</f>
        <v>7.04680213125001</v>
      </c>
      <c r="I115" s="18" t="n">
        <f aca="false">IF(AND($D$19=1,$D$14=0,$H$121-$I$111+$I$110=0),MIN($H$118-$I$109+$I$84,$I$113*$I$114),0)</f>
        <v>11.8147940057656</v>
      </c>
      <c r="J115" s="18" t="n">
        <f aca="false">IF(AND($D$19=1,$D$14=0,$I$121-$J$111+$J$110=0),MIN($I$118-$J$109+$J$84,$J$113*$J$114),0)</f>
        <v>8.34423040000682</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218.195</v>
      </c>
      <c r="G118" s="19" t="n">
        <f aca="false">$F$118-$G$109-$G$115+$G$84+$G$86</f>
        <v>253.7508175</v>
      </c>
      <c r="H118" s="19" t="n">
        <f aca="false">$G$118-$H$109-$H$115+$H$84+$H$86</f>
        <v>244.05401536875</v>
      </c>
      <c r="I118" s="19" t="n">
        <f aca="false">$H$118-$I$109-$I$115+$I$84+$I$86</f>
        <v>264.589221362984</v>
      </c>
      <c r="J118" s="19" t="n">
        <f aca="false">$I$118-$J$109-$J$115+$J$84+$J$86</f>
        <v>253.244990962977</v>
      </c>
      <c r="K118" s="19" t="n">
        <f aca="false">$J$118-$K$109-$K$115+$K$84+$K$86</f>
        <v>250.244990962977</v>
      </c>
      <c r="L118" s="19" t="n">
        <f aca="false">$K$118-$L$109-$L$115+$L$84+$L$86</f>
        <v>247.244990962977</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300</v>
      </c>
      <c r="J119" s="19" t="n">
        <f aca="false">$I$119+$J$84+$J$86</f>
        <v>300</v>
      </c>
      <c r="K119" s="19" t="n">
        <f aca="false">$J$119+$K$84+$K$86</f>
        <v>300</v>
      </c>
      <c r="L119" s="19" t="n">
        <f aca="false">$K$119+$L$84+$L$86</f>
        <v>300</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268.195</v>
      </c>
      <c r="G122" s="18" t="n">
        <f aca="false">$G$118+$G$120+$G$121</f>
        <v>303.7508175</v>
      </c>
      <c r="H122" s="18" t="n">
        <f aca="false">$H$118+$H$120+$H$121</f>
        <v>294.05401536875</v>
      </c>
      <c r="I122" s="18" t="n">
        <f aca="false">$I$118+$I$120+$I$121</f>
        <v>314.589221362984</v>
      </c>
      <c r="J122" s="18" t="n">
        <f aca="false">$J$118+$J$120+$J$121</f>
        <v>303.244990962977</v>
      </c>
      <c r="K122" s="18" t="n">
        <f aca="false">$K$118+$K$120+$K$121</f>
        <v>300.244990962977</v>
      </c>
      <c r="L122" s="18" t="n">
        <f aca="false">$L$118+$L$120+$L$121</f>
        <v>297.244990962977</v>
      </c>
    </row>
    <row r="123" customFormat="false" ht="15" hidden="false" customHeight="false" outlineLevel="0" collapsed="false">
      <c r="B123" s="9" t="s">
        <v>600</v>
      </c>
      <c r="E123" s="19" t="n">
        <f aca="false">Assumptions!$D$78</f>
        <v>10</v>
      </c>
      <c r="F123" s="19" t="n">
        <f aca="false">$F$112-$F$115</f>
        <v>14.555</v>
      </c>
      <c r="G123" s="19" t="n">
        <f aca="false">$G$112-$G$115</f>
        <v>12.1941825</v>
      </c>
      <c r="H123" s="19" t="n">
        <f aca="false">$H$112-$H$115</f>
        <v>17.04680213125</v>
      </c>
      <c r="I123" s="19" t="n">
        <f aca="false">$I$112-$I$115</f>
        <v>21.8147940057656</v>
      </c>
      <c r="J123" s="19" t="n">
        <f aca="false">$J$112-$J$115</f>
        <v>35.0326912000205</v>
      </c>
      <c r="K123" s="19" t="n">
        <f aca="false">$K$112-$K$115</f>
        <v>60.2469438169678</v>
      </c>
      <c r="L123" s="19" t="n">
        <f aca="false">$L$112-$L$115</f>
        <v>88.3110584072461</v>
      </c>
    </row>
    <row r="124" customFormat="false" ht="15" hidden="false" customHeight="false" outlineLevel="0" collapsed="false">
      <c r="B124" s="17" t="s">
        <v>601</v>
      </c>
      <c r="E124" s="18" t="n">
        <f aca="false">$E$122-$E$123</f>
        <v>265</v>
      </c>
      <c r="F124" s="18" t="n">
        <f aca="false">$F$122-$F$123</f>
        <v>253.64</v>
      </c>
      <c r="G124" s="18" t="n">
        <f aca="false">$G$122-$G$123</f>
        <v>291.556635</v>
      </c>
      <c r="H124" s="18" t="n">
        <f aca="false">$H$122-$H$123</f>
        <v>277.0072132375</v>
      </c>
      <c r="I124" s="18" t="n">
        <f aca="false">$I$122-$I$123</f>
        <v>292.774427357219</v>
      </c>
      <c r="J124" s="18" t="n">
        <f aca="false">$J$122-$J$123</f>
        <v>268.212299762957</v>
      </c>
      <c r="K124" s="18" t="n">
        <f aca="false">$K$122-$K$123</f>
        <v>239.99804714601</v>
      </c>
      <c r="L124" s="18" t="n">
        <f aca="false">$L$122-$L$123</f>
        <v>208.933932555731</v>
      </c>
    </row>
    <row r="125" customFormat="false" ht="15" hidden="false" customHeight="false" outlineLevel="0" collapsed="false">
      <c r="B125" s="9" t="s">
        <v>538</v>
      </c>
      <c r="E125" s="24" t="n">
        <f aca="false">$E$124/$E$72</f>
        <v>5.3</v>
      </c>
      <c r="F125" s="24" t="n">
        <f aca="false">$F$124/$F$72</f>
        <v>4.64542124542125</v>
      </c>
      <c r="G125" s="24" t="n">
        <f aca="false">$G$124/$G$72</f>
        <v>4.81536115625495</v>
      </c>
      <c r="H125" s="24" t="n">
        <f aca="false">$H$124/$H$72</f>
        <v>4.7871613203964</v>
      </c>
      <c r="I125" s="24" t="n">
        <f aca="false">$I$124/$I$72</f>
        <v>4.16701166156636</v>
      </c>
      <c r="J125" s="24" t="n">
        <f aca="false">$J$124/$J$72</f>
        <v>3.44644488809463</v>
      </c>
      <c r="K125" s="24" t="n">
        <f aca="false">$K$124/$K$72</f>
        <v>2.96969196615272</v>
      </c>
      <c r="L125" s="24" t="n">
        <f aca="false">$L$124/$L$72</f>
        <v>2.48942955767035</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25.4107142857143</v>
      </c>
      <c r="G130" s="38" t="n">
        <f aca="false">$G$105+$G$106</f>
        <v>24.7411892857143</v>
      </c>
      <c r="H130" s="38" t="n">
        <f aca="false">$H$105+$H$106</f>
        <v>27.9706501232143</v>
      </c>
      <c r="I130" s="38" t="n">
        <f aca="false">$I$105+$I$106</f>
        <v>27.049369549433</v>
      </c>
      <c r="J130" s="38" t="n">
        <f aca="false">$J$105+$J$106</f>
        <v>28.6995022214526</v>
      </c>
      <c r="K130" s="38" t="n">
        <f aca="false">$K$105+$K$106</f>
        <v>27.470884693567</v>
      </c>
      <c r="L130" s="38" t="n">
        <f aca="false">$L$105+$L$106</f>
        <v>26.711599641228</v>
      </c>
    </row>
    <row r="131" customFormat="false" ht="15" hidden="false" customHeight="false" outlineLevel="0" collapsed="false">
      <c r="B131" s="9" t="s">
        <v>606</v>
      </c>
      <c r="F131" s="38" t="n">
        <f aca="false">$F$129-$F$130-$F$83-$F$87-$F$89</f>
        <v>17.4292857142857</v>
      </c>
      <c r="G131" s="38" t="n">
        <f aca="false">$G$129-$G$130-$G$83-$G$87-$G$89</f>
        <v>21.8404107142857</v>
      </c>
      <c r="H131" s="38" t="n">
        <f aca="false">$H$129-$H$130-$H$83-$H$87-$H$89</f>
        <v>15.9922938767857</v>
      </c>
      <c r="I131" s="38" t="n">
        <f aca="false">$I$129-$I$130-$I$83-$I$87-$I$89</f>
        <v>27.701415090567</v>
      </c>
      <c r="J131" s="38" t="n">
        <f aca="false">$J$129-$J$130-$J$83-$J$87-$J$89</f>
        <v>33.5963773945474</v>
      </c>
      <c r="K131" s="38" t="n">
        <f aca="false">$K$129-$K$130-$K$83-$K$87-$K$89</f>
        <v>37.196830107073</v>
      </c>
      <c r="L131" s="38" t="n">
        <f aca="false">$L$129-$L$130-$L$83-$L$87-$L$89</f>
        <v>40.4228237514376</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25.4107142857143</v>
      </c>
      <c r="G133" s="38" t="n">
        <f aca="false">$G$130+$F$135</f>
        <v>33.7719035714286</v>
      </c>
      <c r="H133" s="38" t="n">
        <f aca="false">$H$130+$G$135</f>
        <v>43.5783936946428</v>
      </c>
      <c r="I133" s="38" t="n">
        <f aca="false">$I$130+$H$135</f>
        <v>53.2683808440759</v>
      </c>
      <c r="J133" s="38" t="n">
        <f aca="false">$J$130+$I$135</f>
        <v>60.8898695295285</v>
      </c>
      <c r="K133" s="38" t="n">
        <f aca="false">$K$130+$J$135</f>
        <v>65.0138873670955</v>
      </c>
      <c r="L133" s="38" t="n">
        <f aca="false">$L$130+$K$135</f>
        <v>67.4807454780835</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9.03071428571429</v>
      </c>
      <c r="G135" s="38" t="n">
        <f aca="false">$G$133-$G$134</f>
        <v>15.6077435714286</v>
      </c>
      <c r="H135" s="38" t="n">
        <f aca="false">$H$133-$H$134</f>
        <v>26.2190112946428</v>
      </c>
      <c r="I135" s="38" t="n">
        <f aca="false">$I$133-$I$134</f>
        <v>32.1903673080759</v>
      </c>
      <c r="J135" s="38" t="n">
        <f aca="false">$J$133-$J$134</f>
        <v>37.5430026735285</v>
      </c>
      <c r="K135" s="38" t="n">
        <f aca="false">$K$133-$K$134</f>
        <v>40.7691458368555</v>
      </c>
      <c r="L135" s="38" t="n">
        <f aca="false">$L$133-$L$134</f>
        <v>42.3022142866339</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33.672771104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8.418192776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10.8142857142857</v>
      </c>
      <c r="G140" s="19" t="n">
        <f aca="false">$G$131-$G$139</f>
        <v>14.7360507142857</v>
      </c>
      <c r="H140" s="19" t="n">
        <f aca="false">$H$131-$H$139</f>
        <v>9.34140347678572</v>
      </c>
      <c r="I140" s="19" t="n">
        <f aca="false">$I$131-$I$139</f>
        <v>19.283222314567</v>
      </c>
      <c r="J140" s="19" t="n">
        <f aca="false">$J$131-$J$139</f>
        <v>23.8591242045474</v>
      </c>
      <c r="K140" s="19" t="n">
        <f aca="false">$K$131-$K$139</f>
        <v>27.091086789473</v>
      </c>
      <c r="L140" s="19" t="n">
        <f aca="false">$L$131-$L$139</f>
        <v>29.9338507011336</v>
      </c>
    </row>
    <row r="141" customFormat="false" ht="15" hidden="false" customHeight="false" outlineLevel="0" collapsed="false">
      <c r="B141" s="9" t="s">
        <v>616</v>
      </c>
      <c r="F141" s="38" t="n">
        <f aca="false">Assumptions!$D$7*($F$129-$F$130)</f>
        <v>4.35732142857143</v>
      </c>
      <c r="G141" s="38" t="n">
        <f aca="false">Assumptions!$D$7*($G$129-$G$130)</f>
        <v>5.83510267857143</v>
      </c>
      <c r="H141" s="38" t="n">
        <f aca="false">Assumptions!$D$7*($H$129-$H$130)</f>
        <v>3.99807346919643</v>
      </c>
      <c r="I141" s="38" t="n">
        <f aca="false">Assumptions!$D$7*($I$129-$I$130)</f>
        <v>7.10035377264174</v>
      </c>
      <c r="J141" s="38" t="n">
        <f aca="false">Assumptions!$D$7*($J$129-$J$130)</f>
        <v>8.39909434863684</v>
      </c>
      <c r="K141" s="38" t="n">
        <f aca="false">Assumptions!$D$7*($K$129-$K$130)</f>
        <v>9.29920752676826</v>
      </c>
      <c r="L141" s="38" t="n">
        <f aca="false">Assumptions!$D$7*($L$129-$L$130)</f>
        <v>10.1057059378594</v>
      </c>
    </row>
    <row r="142" customFormat="false" ht="15" hidden="false" customHeight="false" outlineLevel="0" collapsed="false">
      <c r="B142" s="9" t="s">
        <v>617</v>
      </c>
      <c r="F142" s="38" t="n">
        <f aca="false">$F$139-$F$141</f>
        <v>2.25767857142857</v>
      </c>
      <c r="G142" s="38" t="n">
        <f aca="false">$G$139-$G$141</f>
        <v>1.26925732142857</v>
      </c>
      <c r="H142" s="38" t="n">
        <f aca="false">$H$139-$H$141</f>
        <v>2.65281693080357</v>
      </c>
      <c r="I142" s="38" t="n">
        <f aca="false">$I$139-$I$141</f>
        <v>1.31783900335826</v>
      </c>
      <c r="J142" s="38" t="n">
        <f aca="false">$J$139-$J$141</f>
        <v>1.33815884136316</v>
      </c>
      <c r="K142" s="38" t="n">
        <f aca="false">$K$139-$K$141</f>
        <v>0.806535790831742</v>
      </c>
      <c r="L142" s="38" t="n">
        <f aca="false">$L$139-$L$141</f>
        <v>0.383267112444603</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14.555</v>
      </c>
      <c r="G145" s="19" t="n">
        <f aca="false">$G$123</f>
        <v>12.1941825</v>
      </c>
      <c r="H145" s="19" t="n">
        <f aca="false">$H$123</f>
        <v>17.04680213125</v>
      </c>
      <c r="I145" s="19" t="n">
        <f aca="false">$I$123</f>
        <v>21.8147940057656</v>
      </c>
      <c r="J145" s="19" t="n">
        <f aca="false">$J$123</f>
        <v>35.0326912000205</v>
      </c>
      <c r="K145" s="19" t="n">
        <f aca="false">$K$123</f>
        <v>60.2469438169678</v>
      </c>
      <c r="L145" s="19" t="n">
        <f aca="false">$L$123</f>
        <v>88.3110584072461</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469.509285714286</v>
      </c>
      <c r="G150" s="18" t="n">
        <f aca="false">$G$145+$G$146+$G$147+$G$148+$G$149</f>
        <v>519.801153928572</v>
      </c>
      <c r="H150" s="18" t="n">
        <f aca="false">$H$145+$H$146+$H$147+$H$148+$H$149</f>
        <v>519.445755274107</v>
      </c>
      <c r="I150" s="18" t="n">
        <f aca="false">$I$145+$I$146+$I$147+$I$148+$I$149</f>
        <v>524.264183582909</v>
      </c>
      <c r="J150" s="18" t="n">
        <f aca="false">$J$145+$J$146+$J$147+$J$148+$J$149</f>
        <v>536.779077387449</v>
      </c>
      <c r="K150" s="18" t="n">
        <f aca="false">$K$145+$K$146+$K$147+$K$148+$K$149</f>
        <v>560.870164176922</v>
      </c>
      <c r="L150" s="18" t="n">
        <f aca="false">$L$145+$L$146+$L$147+$L$148+$L$149</f>
        <v>587.804014878056</v>
      </c>
    </row>
    <row r="151" customFormat="false" ht="15" hidden="false" customHeight="false" outlineLevel="0" collapsed="false">
      <c r="B151" s="9" t="s">
        <v>291</v>
      </c>
      <c r="E151" s="19" t="n">
        <f aca="false">$E$122</f>
        <v>275</v>
      </c>
      <c r="F151" s="19" t="n">
        <f aca="false">$F$122</f>
        <v>268.195</v>
      </c>
      <c r="G151" s="19" t="n">
        <f aca="false">$G$122</f>
        <v>303.7508175</v>
      </c>
      <c r="H151" s="19" t="n">
        <f aca="false">$H$122</f>
        <v>294.05401536875</v>
      </c>
      <c r="I151" s="19" t="n">
        <f aca="false">$I$122</f>
        <v>314.589221362984</v>
      </c>
      <c r="J151" s="19" t="n">
        <f aca="false">$J$122</f>
        <v>303.244990962977</v>
      </c>
      <c r="K151" s="19" t="n">
        <f aca="false">$K$122</f>
        <v>300.244990962977</v>
      </c>
      <c r="L151" s="19" t="n">
        <f aca="false">$L$122</f>
        <v>297.244990962977</v>
      </c>
    </row>
    <row r="152" customFormat="false" ht="15" hidden="false" customHeight="false" outlineLevel="0" collapsed="false">
      <c r="B152" s="9" t="s">
        <v>624</v>
      </c>
      <c r="E152" s="19" t="n">
        <f aca="false">$D$46-Assumptions!$D$76</f>
        <v>190.5</v>
      </c>
      <c r="F152" s="19" t="n">
        <f aca="false">$E$152+$F$140-$F$88+$F$90</f>
        <v>201.314285714286</v>
      </c>
      <c r="G152" s="19" t="n">
        <f aca="false">$F$152+$G$140-$G$88+$G$90</f>
        <v>216.050336428571</v>
      </c>
      <c r="H152" s="19" t="n">
        <f aca="false">$G$152+$H$140-$H$88+$H$90</f>
        <v>225.391739905357</v>
      </c>
      <c r="I152" s="19" t="n">
        <f aca="false">$H$152+$I$140-$I$88+$I$90</f>
        <v>209.674962219924</v>
      </c>
      <c r="J152" s="19" t="n">
        <f aca="false">$I$152+$J$140-$J$88+$J$90</f>
        <v>233.534086424471</v>
      </c>
      <c r="K152" s="19" t="n">
        <f aca="false">$J$152+$K$140-$K$88+$K$90</f>
        <v>260.625173213945</v>
      </c>
      <c r="L152" s="19" t="n">
        <f aca="false">$K$152+$L$140-$L$88+$L$90</f>
        <v>290.559023915078</v>
      </c>
    </row>
    <row r="153" customFormat="false" ht="15" hidden="false" customHeight="false" outlineLevel="0" collapsed="false">
      <c r="B153" s="17" t="s">
        <v>625</v>
      </c>
      <c r="E153" s="18" t="n">
        <f aca="false">$E$151+$E$152</f>
        <v>465.5</v>
      </c>
      <c r="F153" s="18" t="n">
        <f aca="false">$F$151+$F$152</f>
        <v>469.509285714286</v>
      </c>
      <c r="G153" s="18" t="n">
        <f aca="false">$G$151+$G$152</f>
        <v>519.801153928572</v>
      </c>
      <c r="H153" s="18" t="n">
        <f aca="false">$H$151+$H$152</f>
        <v>519.445755274107</v>
      </c>
      <c r="I153" s="18" t="n">
        <f aca="false">$I$151+$I$152</f>
        <v>524.264183582908</v>
      </c>
      <c r="J153" s="18" t="n">
        <f aca="false">$J$151+$J$152</f>
        <v>536.779077387449</v>
      </c>
      <c r="K153" s="18" t="n">
        <f aca="false">$K$151+$K$152</f>
        <v>560.870164176922</v>
      </c>
      <c r="L153" s="18" t="n">
        <f aca="false">$L$151+$L$152</f>
        <v>587.804014878056</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253.64</v>
      </c>
      <c r="G160" s="19" t="n">
        <f aca="false">$G$124</f>
        <v>291.556635</v>
      </c>
      <c r="H160" s="19" t="n">
        <f aca="false">$H$124</f>
        <v>277.0072132375</v>
      </c>
      <c r="I160" s="19" t="n">
        <f aca="false">$I$124</f>
        <v>292.774427357219</v>
      </c>
      <c r="J160" s="19" t="n">
        <f aca="false">$J$124</f>
        <v>268.212299762957</v>
      </c>
      <c r="K160" s="19" t="n">
        <f aca="false">$K$124</f>
        <v>239.99804714601</v>
      </c>
      <c r="L160" s="19" t="n">
        <f aca="false">$L$124</f>
        <v>208.933932555731</v>
      </c>
    </row>
    <row r="161" customFormat="false" ht="15" hidden="false" customHeight="false" outlineLevel="0" collapsed="false">
      <c r="B161" s="17" t="s">
        <v>632</v>
      </c>
      <c r="F161" s="41" t="n">
        <f aca="false">$F$124/$F$159</f>
        <v>4.64542124542125</v>
      </c>
      <c r="G161" s="41" t="n">
        <f aca="false">$G$124/$G$159</f>
        <v>4.0750250883333</v>
      </c>
      <c r="H161" s="41" t="n">
        <f aca="false">$H$124/$H$159</f>
        <v>4.62722838237745</v>
      </c>
      <c r="I161" s="41" t="n">
        <f aca="false">$I$124/$I$159</f>
        <v>4.1375669964697</v>
      </c>
      <c r="J161" s="41" t="n">
        <f aca="false">$J$124/$J$159</f>
        <v>3.44644488809463</v>
      </c>
      <c r="K161" s="41" t="n">
        <f aca="false">$K$124/$K$159</f>
        <v>2.96969196615272</v>
      </c>
      <c r="L161" s="41" t="n">
        <f aca="false">$L$124/$L$159</f>
        <v>2.48942955767035</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1.10457875457876</v>
      </c>
      <c r="G163" s="24" t="n">
        <f aca="false">$G$162-$G$161</f>
        <v>1.1749749116667</v>
      </c>
      <c r="H163" s="24" t="n">
        <f aca="false">$H$162-$H$161</f>
        <v>0.122771617622552</v>
      </c>
      <c r="I163" s="24" t="n">
        <f aca="false">$I$162-$I$161</f>
        <v>0.112433003530303</v>
      </c>
      <c r="J163" s="24" t="n">
        <f aca="false">$J$162-$J$161</f>
        <v>0.553555111905372</v>
      </c>
      <c r="K163" s="24" t="n">
        <f aca="false">$K$162-$K$161</f>
        <v>1.03030803384728</v>
      </c>
      <c r="L163" s="24" t="n">
        <f aca="false">$L$162-$L$161</f>
        <v>1.51057044232965</v>
      </c>
    </row>
    <row r="164" customFormat="false" ht="15" hidden="false" customHeight="false" outlineLevel="0" collapsed="false">
      <c r="B164" s="9" t="s">
        <v>635</v>
      </c>
      <c r="F164" s="14" t="n">
        <f aca="false">1-$F$124/($F$162*$F$159)</f>
        <v>0.192100652970218</v>
      </c>
      <c r="G164" s="14" t="n">
        <f aca="false">1-$G$124/($G$162*$G$159)</f>
        <v>0.223804745079372</v>
      </c>
      <c r="H164" s="14" t="n">
        <f aca="false">1-$H$124/($H$162*$H$159)</f>
        <v>0.02584665634159</v>
      </c>
      <c r="I164" s="14" t="n">
        <f aca="false">1-$I$124/($I$162*$I$159)</f>
        <v>0.0264548243600713</v>
      </c>
      <c r="J164" s="14" t="n">
        <f aca="false">1-$J$124/($J$162*$J$159)</f>
        <v>0.138388777976343</v>
      </c>
      <c r="K164" s="14" t="n">
        <f aca="false">1-$K$124/($K$162*$K$159)</f>
        <v>0.25757700846182</v>
      </c>
      <c r="L164" s="14" t="n">
        <f aca="false">1-$L$124/($L$162*$L$159)</f>
        <v>0.377642610582413</v>
      </c>
    </row>
    <row r="165" customFormat="false" ht="15" hidden="false" customHeight="false" outlineLevel="0" collapsed="false">
      <c r="B165" s="9" t="s">
        <v>636</v>
      </c>
      <c r="F165" s="19" t="n">
        <f aca="false">$F$164*$F$159</f>
        <v>10.4886956521739</v>
      </c>
      <c r="G165" s="19" t="n">
        <f aca="false">$G$164*$G$159</f>
        <v>16.0126028571429</v>
      </c>
      <c r="H165" s="19" t="n">
        <f aca="false">$H$164*$H$159</f>
        <v>1.54729995</v>
      </c>
      <c r="I165" s="19" t="n">
        <f aca="false">$I$164*$I$159</f>
        <v>1.87194456536032</v>
      </c>
      <c r="J165" s="19" t="n">
        <f aca="false">$J$164*$J$159</f>
        <v>10.7698145792608</v>
      </c>
      <c r="K165" s="19" t="n">
        <f aca="false">$K$164*$K$159</f>
        <v>20.8162933142976</v>
      </c>
      <c r="L165" s="19" t="n">
        <f aca="false">$L$164*$L$159</f>
        <v>31.6949541658991</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-1.10457875457876</v>
      </c>
      <c r="G167" s="24" t="n">
        <f aca="false">$G$125-Assumptions!$G$169</f>
        <v>-0.434638843745047</v>
      </c>
      <c r="H167" s="24" t="n">
        <f aca="false">$H$125-Assumptions!$H$169</f>
        <v>0.0371613203963985</v>
      </c>
      <c r="I167" s="24" t="n">
        <f aca="false">$I$125-Assumptions!$I$169</f>
        <v>-0.0829883384336396</v>
      </c>
      <c r="J167" s="24" t="n">
        <f aca="false">$J$125-Assumptions!$J$169</f>
        <v>-0.553555111905372</v>
      </c>
      <c r="K167" s="24" t="n">
        <f aca="false">$K$125-Assumptions!$K$169</f>
        <v>-1.03030803384728</v>
      </c>
      <c r="L167" s="24" t="n">
        <f aca="false">$L$125-Assumptions!$L$169</f>
        <v>-1.51057044232965</v>
      </c>
    </row>
    <row r="168" customFormat="false" ht="15" hidden="false" customHeight="false" outlineLevel="0" collapsed="false">
      <c r="B168" s="9" t="s">
        <v>639</v>
      </c>
      <c r="F168" s="24" t="n">
        <f aca="false">$F$161-$F$162</f>
        <v>-1.10457875457876</v>
      </c>
      <c r="G168" s="24" t="n">
        <f aca="false">$G$161-$G$162</f>
        <v>-1.1749749116667</v>
      </c>
      <c r="H168" s="24" t="n">
        <f aca="false">$H$161-$H$162</f>
        <v>-0.122771617622552</v>
      </c>
      <c r="I168" s="24" t="n">
        <f aca="false">$I$161-$I$162</f>
        <v>-0.112433003530303</v>
      </c>
      <c r="J168" s="24" t="n">
        <f aca="false">$J$161-$J$162</f>
        <v>-0.553555111905372</v>
      </c>
      <c r="K168" s="24" t="n">
        <f aca="false">$K$161-$K$162</f>
        <v>-1.03030803384728</v>
      </c>
      <c r="L168" s="24" t="n">
        <f aca="false">$L$161-$L$162</f>
        <v>-1.51057044232965</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268.212299762957</v>
      </c>
    </row>
    <row r="174" customFormat="false" ht="15" hidden="false" customHeight="false" outlineLevel="0" collapsed="false">
      <c r="B174" s="9" t="s">
        <v>643</v>
      </c>
      <c r="D174" s="19" t="n">
        <f aca="false">INDEX($E$118:$L$118,1,$D$170+1)</f>
        <v>253.244990962977</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35.0326912000205</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421.687615831843</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2.01976303282648</v>
      </c>
    </row>
    <row r="193" customFormat="false" ht="15" hidden="false" customHeight="false" outlineLevel="0" collapsed="false">
      <c r="B193" s="9" t="s">
        <v>661</v>
      </c>
      <c r="D193" s="19" t="n">
        <f aca="false">SUMPRODUCT(($E$64:$L$64&lt;=$D$170)*$E$218:$L$218)</f>
        <v>33.25</v>
      </c>
    </row>
    <row r="194" customFormat="false" ht="15" hidden="false" customHeight="false" outlineLevel="0" collapsed="false">
      <c r="B194" s="9" t="s">
        <v>662</v>
      </c>
      <c r="D194" s="24" t="n">
        <f aca="false">($D$193+$D$190*$D$192)/($D$48+$D$188)</f>
        <v>2.19476303282648</v>
      </c>
    </row>
    <row r="195" customFormat="false" ht="15" hidden="false" customHeight="false" outlineLevel="0" collapsed="false">
      <c r="B195" s="9" t="s">
        <v>663</v>
      </c>
      <c r="D195" s="34" t="n">
        <f aca="false">IF($D$194&gt;=Assumptions!$D$110,$D$191,$D$191*0.5)</f>
        <v>17.3913043478261</v>
      </c>
    </row>
    <row r="196" customFormat="false" ht="15" hidden="false" customHeight="false" outlineLevel="0" collapsed="false">
      <c r="B196" s="9" t="s">
        <v>664</v>
      </c>
      <c r="D196" s="35" t="n">
        <f aca="false">($D$179+$D$195*Assumptions!$D$108)/($D$189+$D$195)</f>
        <v>2.01976303282648</v>
      </c>
    </row>
    <row r="197" customFormat="false" ht="15" hidden="false" customHeight="false" outlineLevel="0" collapsed="false">
      <c r="B197" s="9" t="s">
        <v>665</v>
      </c>
      <c r="D197" s="34" t="n">
        <f aca="false">IF($D$196&lt;Assumptions!$D$108,0,$D$195)</f>
        <v>17.3913043478261</v>
      </c>
    </row>
    <row r="198" customFormat="false" ht="15" hidden="false" customHeight="false" outlineLevel="0" collapsed="false">
      <c r="B198" s="17" t="s">
        <v>666</v>
      </c>
      <c r="D198" s="43" t="n">
        <f aca="false">IF($D$196&lt;Assumptions!$D$108,$D$179/$D$189,$D$196)</f>
        <v>2.01976303282648</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383.754976237031</v>
      </c>
    </row>
    <row r="201" customFormat="false" ht="15" hidden="false" customHeight="false" outlineLevel="0" collapsed="false">
      <c r="B201" s="9" t="s">
        <v>668</v>
      </c>
      <c r="D201" s="14" t="n">
        <f aca="false">$D$200/$D$179</f>
        <v>0.910045640017233</v>
      </c>
    </row>
    <row r="202" customFormat="false" ht="15" hidden="false" customHeight="false" outlineLevel="0" collapsed="false">
      <c r="B202" s="9" t="s">
        <v>669</v>
      </c>
      <c r="D202" s="19" t="n">
        <f aca="false">$D$185*$D$198</f>
        <v>20.1976303282648</v>
      </c>
    </row>
    <row r="203" customFormat="false" ht="15" hidden="false" customHeight="false" outlineLevel="0" collapsed="false">
      <c r="B203" s="9" t="s">
        <v>670</v>
      </c>
      <c r="D203" s="19" t="n">
        <f aca="false">$D$197*MAX(0,$D$198-Assumptions!$D$108)</f>
        <v>17.7350092665474</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37.9326395948122</v>
      </c>
    </row>
    <row r="206" customFormat="false" ht="15" hidden="false" customHeight="false" outlineLevel="0" collapsed="false">
      <c r="B206" s="9" t="s">
        <v>673</v>
      </c>
      <c r="D206" s="24" t="n">
        <f aca="false">$D$205/$D$47</f>
        <v>3.79326395948122</v>
      </c>
    </row>
    <row r="207" customFormat="false" ht="15" hidden="false" customHeight="false" outlineLevel="0" collapsed="false">
      <c r="B207" s="9" t="s">
        <v>674</v>
      </c>
      <c r="D207" s="19" t="n">
        <f aca="false">$D$187*$D$198</f>
        <v>8.07905213130591</v>
      </c>
    </row>
    <row r="208" customFormat="false" ht="15" hidden="false" customHeight="false" outlineLevel="0" collapsed="false">
      <c r="B208" s="9" t="s">
        <v>675</v>
      </c>
      <c r="D208" s="19" t="n">
        <f aca="false">$D$203*Assumptions!$D$112</f>
        <v>6.2072532432916</v>
      </c>
    </row>
    <row r="209" customFormat="false" ht="15" hidden="false" customHeight="false" outlineLevel="0" collapsed="false">
      <c r="B209" s="9" t="s">
        <v>676</v>
      </c>
      <c r="D209" s="19" t="n">
        <f aca="false">$D$207+$D$208</f>
        <v>14.2863053745975</v>
      </c>
    </row>
    <row r="210" customFormat="false" ht="15" hidden="false" customHeight="false" outlineLevel="0" collapsed="false">
      <c r="B210" s="9" t="s">
        <v>677</v>
      </c>
      <c r="D210" s="24" t="n">
        <f aca="false">$D$209/Assumptions!$D$111</f>
        <v>3.57157634364938</v>
      </c>
    </row>
    <row r="211" customFormat="false" ht="15" hidden="false" customHeight="false" outlineLevel="0" collapsed="false">
      <c r="B211" s="9" t="s">
        <v>678</v>
      </c>
      <c r="D211" s="19" t="n">
        <f aca="false">$D$179*$D$190/$D$189</f>
        <v>400.603235040251</v>
      </c>
    </row>
    <row r="212" customFormat="false" ht="15" hidden="false" customHeight="false" outlineLevel="0" collapsed="false">
      <c r="B212" s="9" t="s">
        <v>679</v>
      </c>
      <c r="D212" s="19" t="n">
        <f aca="false">$D$211-$D$200</f>
        <v>16.8482588032201</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33.25</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33.25</v>
      </c>
      <c r="J219" s="18" t="n">
        <f aca="false">IF($J$64&lt;=$D$170,$J$218+IF($J$64=$D$170,$D$200,0),0)</f>
        <v>383.754976237031</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35</v>
      </c>
      <c r="J220" s="19" t="n">
        <f aca="false">IF($J$64&lt;=$D$170,$J$88-$J$90+IF($J$64=$D$170,$D$179,0),0)</f>
        <v>421.687615831843</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0.17346644129639</v>
      </c>
    </row>
    <row r="224" customFormat="false" ht="15" hidden="false" customHeight="false" outlineLevel="0" collapsed="false">
      <c r="B224" s="9" t="s">
        <v>689</v>
      </c>
      <c r="D224" s="25" t="n">
        <f aca="false">XIRR($E$219:$L$219,$E$221:$L$221,0.1)</f>
        <v>0.173361715409814</v>
      </c>
    </row>
    <row r="225" customFormat="false" ht="15" hidden="false" customHeight="false" outlineLevel="0" collapsed="false">
      <c r="B225" s="17" t="s">
        <v>690</v>
      </c>
      <c r="D225" s="41" t="n">
        <f aca="false">SUMIF($E$219:$L$219,"&gt;0")/-SUMIF($E$219:$L$219,"&lt;0")</f>
        <v>2.19476303282648</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0.182841439619233</v>
      </c>
    </row>
    <row r="228" customFormat="false" ht="15" hidden="false" customHeight="false" outlineLevel="0" collapsed="false">
      <c r="B228" s="9" t="s">
        <v>693</v>
      </c>
      <c r="D228" s="24" t="n">
        <f aca="false">SUMIF($E$220:$L$220,"&gt;0")/-SUMIF($E$220:$L$220,"&lt;0")</f>
        <v>2.28343807915922</v>
      </c>
    </row>
    <row r="229" customFormat="false" ht="15" hidden="false" customHeight="false" outlineLevel="0" collapsed="false">
      <c r="B229" s="9" t="s">
        <v>694</v>
      </c>
      <c r="D229" s="19" t="n">
        <f aca="false">SUM($E$220:$L$220)</f>
        <v>256.687615831843</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84.5877002370429</v>
      </c>
    </row>
    <row r="232" customFormat="false" ht="15" hidden="false" customHeight="false" outlineLevel="0" collapsed="false">
      <c r="B232" s="9" t="s">
        <v>697</v>
      </c>
      <c r="D232" s="19" t="n">
        <f aca="false">SUMPRODUCT(($F$64:$L$64&lt;=$D$170)*$F$105:$L$105)</f>
        <v>129.462854036957</v>
      </c>
    </row>
    <row r="233" customFormat="false" ht="15" hidden="false" customHeight="false" outlineLevel="0" collapsed="false">
      <c r="B233" s="9" t="s">
        <v>698</v>
      </c>
      <c r="D233" s="19" t="n">
        <f aca="false">SUMPRODUCT(($F$64:$L$64&lt;=$D$170)*$F$139:$L$139)</f>
        <v>38.525696366</v>
      </c>
    </row>
    <row r="234" customFormat="false" ht="15" hidden="false" customHeight="false" outlineLevel="0" collapsed="false">
      <c r="B234" s="9" t="s">
        <v>699</v>
      </c>
      <c r="D234" s="38" t="n">
        <f aca="false">SUMPRODUCT(($F$64:$L$64&lt;=$D$170)*$F$109:$L$109)</f>
        <v>12.8</v>
      </c>
    </row>
    <row r="235" customFormat="false" ht="15" hidden="false" customHeight="false" outlineLevel="0" collapsed="false">
      <c r="B235" s="9" t="s">
        <v>700</v>
      </c>
      <c r="D235" s="19" t="n">
        <f aca="false">SUMPRODUCT(($F$64:$L$64&lt;=$D$170)*$F$115:$L$115)</f>
        <v>33.9550090370225</v>
      </c>
    </row>
    <row r="236" customFormat="false" ht="15" hidden="false" customHeight="false" outlineLevel="0" collapsed="false">
      <c r="B236" s="9" t="s">
        <v>701</v>
      </c>
      <c r="D236" s="19" t="n">
        <f aca="false">SUMPRODUCT(($F$64:$L$64&lt;=$D$170)*$F$88:$L$88)</f>
        <v>35</v>
      </c>
    </row>
    <row r="237" customFormat="false" ht="15" hidden="false" customHeight="false" outlineLevel="0" collapsed="false">
      <c r="B237" s="9" t="s">
        <v>702</v>
      </c>
      <c r="D237" s="19" t="n">
        <f aca="false">$D$234+$D$235</f>
        <v>46.7550090370225</v>
      </c>
    </row>
    <row r="238" customFormat="false" ht="15" hidden="false" customHeight="false" outlineLevel="0" collapsed="false">
      <c r="B238" s="9" t="s">
        <v>703</v>
      </c>
      <c r="D238" s="19" t="n">
        <f aca="false">$D$54-$D$173</f>
        <v>-3.212299762957</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250.40600568</v>
      </c>
    </row>
    <row r="242" customFormat="false" ht="15" hidden="false" customHeight="false" outlineLevel="0" collapsed="false">
      <c r="B242" s="9" t="s">
        <v>234</v>
      </c>
      <c r="D242" s="14" t="n">
        <f aca="false">$D$172/$D$29-1</f>
        <v>0.5564577904</v>
      </c>
    </row>
    <row r="243" customFormat="false" ht="15" hidden="false" customHeight="false" outlineLevel="0" collapsed="false">
      <c r="B243" s="9" t="s">
        <v>235</v>
      </c>
      <c r="D243" s="25" t="n">
        <f aca="false">($D$172/$D$29)^(1/$D$170)-1</f>
        <v>0.0925151535860498</v>
      </c>
    </row>
    <row r="244" customFormat="false" ht="15" hidden="false" customHeight="false" outlineLevel="0" collapsed="false">
      <c r="B244" s="9" t="s">
        <v>236</v>
      </c>
      <c r="D244" s="14" t="n">
        <f aca="false">$D$179/$D$46-1</f>
        <v>1.10843807915922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714</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2" t="n">
        <v>7</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26" t="n">
        <v>1</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35</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0.7</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35</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11.36</v>
      </c>
      <c r="G91" s="18" t="n">
        <f aca="false">$G$72-$G$139-$G$105-$G$75-$G$79-$G$83-$G$87-$G$89</f>
        <v>14.883365</v>
      </c>
      <c r="H91" s="18" t="n">
        <f aca="false">$H$72-$H$139-$H$105-$H$75-$H$79-$H$83-$H$87-$H$89</f>
        <v>14.5494217625</v>
      </c>
      <c r="I91" s="18" t="n">
        <f aca="false">$I$72-$I$139-$I$105-$I$75-$I$79-$I$83-$I$87-$I$89</f>
        <v>19.2327858802813</v>
      </c>
      <c r="J91" s="18" t="n">
        <f aca="false">$J$72-$J$139-$J$105-$J$75-$J$79-$J$83-$J$87-$J$89</f>
        <v>24.5621275942617</v>
      </c>
      <c r="K91" s="18" t="n">
        <f aca="false">$K$72-$K$139-$K$105-$K$75-$K$79-$K$83-$K$87-$K$89</f>
        <v>28.2142526169473</v>
      </c>
      <c r="L91" s="18" t="n">
        <f aca="false">$L$72-$L$139-$L$105-$L$75-$L$79-$L$83-$L$87-$L$89</f>
        <v>31.0641145902783</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14.555</v>
      </c>
      <c r="H94" s="19" t="n">
        <f aca="false">$G$123</f>
        <v>12.1941825</v>
      </c>
      <c r="I94" s="19" t="n">
        <f aca="false">$H$123</f>
        <v>17.04680213125</v>
      </c>
      <c r="J94" s="19" t="n">
        <f aca="false">$I$123</f>
        <v>21.8147940057656</v>
      </c>
      <c r="K94" s="19" t="n">
        <f aca="false">$J$123</f>
        <v>35.0326912000205</v>
      </c>
      <c r="L94" s="19" t="n">
        <f aca="false">$K$123</f>
        <v>60.2469438169678</v>
      </c>
    </row>
    <row r="95" customFormat="false" ht="15" hidden="false" customHeight="false" outlineLevel="0" collapsed="false">
      <c r="B95" s="9" t="s">
        <v>576</v>
      </c>
      <c r="F95" s="19" t="n">
        <f aca="false">$E$123+$F$91-$F$109-$F$82-$F$85+$F$84+$F$86-$F$88+$F$90</f>
        <v>19.11</v>
      </c>
      <c r="G95" s="19" t="n">
        <f aca="false">$F$123+$G$91-$G$109-$G$82-$G$85+$G$84+$G$86-$G$88+$G$90</f>
        <v>14.388365</v>
      </c>
      <c r="H95" s="19" t="n">
        <f aca="false">$G$123+$H$91-$H$109-$H$82-$H$85+$H$84+$H$86-$H$88+$H$90</f>
        <v>24.0936042625</v>
      </c>
      <c r="I95" s="19" t="n">
        <f aca="false">$H$123+$I$91-$I$109-$I$82-$I$85+$I$84+$I$86-$I$88+$I$90</f>
        <v>33.6295880115313</v>
      </c>
      <c r="J95" s="19" t="n">
        <f aca="false">$I$123+$J$91-$J$109-$J$82-$J$85+$J$84+$J$86-$J$88+$J$90</f>
        <v>43.3769216000273</v>
      </c>
      <c r="K95" s="19" t="n">
        <f aca="false">$J$123+$K$91-$K$109-$K$82-$K$85+$K$84+$K$86-$K$88+$K$90</f>
        <v>60.2469438169678</v>
      </c>
      <c r="L95" s="19" t="n">
        <f aca="false">$K$123+$L$91-$L$109-$L$82-$L$85+$L$84+$L$86-$L$88+$L$90</f>
        <v>88.3110584072461</v>
      </c>
    </row>
    <row r="96" customFormat="false" ht="15" hidden="false" customHeight="false" outlineLevel="0" collapsed="false">
      <c r="B96" s="17" t="s">
        <v>577</v>
      </c>
      <c r="F96" s="18" t="n">
        <f aca="false">$F$95+$F$110-$F$111-$F$115</f>
        <v>14.555</v>
      </c>
      <c r="G96" s="18" t="n">
        <f aca="false">$G$95+$G$110-$G$111-$G$115</f>
        <v>12.1941825</v>
      </c>
      <c r="H96" s="18" t="n">
        <f aca="false">$H$95+$H$110-$H$111-$H$115</f>
        <v>17.04680213125</v>
      </c>
      <c r="I96" s="18" t="n">
        <f aca="false">$I$95+$I$110-$I$111-$I$115</f>
        <v>21.8147940057656</v>
      </c>
      <c r="J96" s="18" t="n">
        <f aca="false">$J$95+$J$110-$J$111-$J$115</f>
        <v>35.0326912000205</v>
      </c>
      <c r="K96" s="18" t="n">
        <f aca="false">$K$95+$K$110-$K$111-$K$115</f>
        <v>60.2469438169678</v>
      </c>
      <c r="L96" s="18" t="n">
        <f aca="false">$L$95+$L$110-$L$111-$L$115</f>
        <v>88.3110584072461</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18.546575</v>
      </c>
      <c r="H101" s="38" t="n">
        <f aca="false">$G$118*$H$100</f>
        <v>21.5688194875</v>
      </c>
      <c r="I101" s="38" t="n">
        <f aca="false">$H$118*$I$100</f>
        <v>20.7445913063437</v>
      </c>
      <c r="J101" s="38" t="n">
        <f aca="false">$I$118*$J$100</f>
        <v>22.4900838158537</v>
      </c>
      <c r="K101" s="38" t="n">
        <f aca="false">$J$118*$K$100</f>
        <v>21.5258242318531</v>
      </c>
      <c r="L101" s="38" t="n">
        <f aca="false">$K$118*$L$100</f>
        <v>21.2708242318531</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0.2911</v>
      </c>
      <c r="H104" s="38" t="n">
        <f aca="false">$G$123*Assumptions!$D$9</f>
        <v>0.24388365</v>
      </c>
      <c r="I104" s="38" t="n">
        <f aca="false">$H$123*Assumptions!$D$9</f>
        <v>0.340936042625</v>
      </c>
      <c r="J104" s="38" t="n">
        <f aca="false">$I$123*Assumptions!$D$9</f>
        <v>0.436295880115313</v>
      </c>
      <c r="K104" s="38" t="n">
        <f aca="false">$J$123*Assumptions!$D$9</f>
        <v>0.700653824000409</v>
      </c>
      <c r="L104" s="38" t="n">
        <f aca="false">$K$123*Assumptions!$D$9</f>
        <v>1.20493887633936</v>
      </c>
    </row>
    <row r="105" customFormat="false" ht="15" hidden="false" customHeight="false" outlineLevel="0" collapsed="false">
      <c r="B105" s="17" t="s">
        <v>585</v>
      </c>
      <c r="F105" s="40" t="n">
        <f aca="false">$F$101+$F$102+$F$103-$F$104</f>
        <v>24.625</v>
      </c>
      <c r="G105" s="40" t="n">
        <f aca="false">$G$101+$G$102+$G$103-$G$104</f>
        <v>23.955475</v>
      </c>
      <c r="H105" s="40" t="n">
        <f aca="false">$H$101+$H$102+$H$103-$H$104</f>
        <v>27.0249358375</v>
      </c>
      <c r="I105" s="40" t="n">
        <f aca="false">$I$101+$I$102+$I$103-$I$104</f>
        <v>26.1036552637187</v>
      </c>
      <c r="J105" s="40" t="n">
        <f aca="false">$J$101+$J$102+$J$103-$J$104</f>
        <v>27.7537879357383</v>
      </c>
      <c r="K105" s="40" t="n">
        <f aca="false">$K$101+$K$102+$K$103-$K$104</f>
        <v>26.5251704078527</v>
      </c>
      <c r="L105" s="40" t="n">
        <f aca="false">$L$101+$L$102+$L$103-$L$104</f>
        <v>25.7658853555137</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2.21725888324873</v>
      </c>
      <c r="G107" s="24" t="n">
        <f aca="false">IF($G$105&lt;&gt;0,$G$72/$G$105,0)</f>
        <v>2.52748901868988</v>
      </c>
      <c r="H107" s="24" t="n">
        <f aca="false">IF($H$105&lt;&gt;0,$H$72/$H$105,0)</f>
        <v>2.14115616584394</v>
      </c>
      <c r="I107" s="24" t="n">
        <f aca="false">IF($I$105&lt;&gt;0,$I$72/$I$105,0)</f>
        <v>2.6915788003703</v>
      </c>
      <c r="J107" s="24" t="n">
        <f aca="false">IF($J$105&lt;&gt;0,$J$72/$J$105,0)</f>
        <v>2.8040456927967</v>
      </c>
      <c r="K107" s="24" t="n">
        <f aca="false">IF($K$105&lt;&gt;0,$K$72/$K$105,0)</f>
        <v>3.04675912946726</v>
      </c>
      <c r="L107" s="24" t="n">
        <f aca="false">IF($L$105&lt;&gt;0,$L$72/$L$105,0)</f>
        <v>3.25734730814798</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3</v>
      </c>
      <c r="K109" s="38" t="n">
        <f aca="false">IF($D$14=1,0,MIN($J$118,Assumptions!$D$85*$J$119))</f>
        <v>3</v>
      </c>
      <c r="L109" s="38" t="n">
        <f aca="false">IF($D$14=1,0,MIN($K$118,Assumptions!$D$85*$K$119))</f>
        <v>3</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19.11</v>
      </c>
      <c r="G112" s="19" t="n">
        <f aca="false">$G$95+$G$110-$G$111</f>
        <v>14.388365</v>
      </c>
      <c r="H112" s="19" t="n">
        <f aca="false">$H$95+$H$110-$H$111</f>
        <v>24.0936042625</v>
      </c>
      <c r="I112" s="19" t="n">
        <f aca="false">$I$95+$I$110-$I$111</f>
        <v>33.6295880115313</v>
      </c>
      <c r="J112" s="19" t="n">
        <f aca="false">$J$95+$J$110-$J$111</f>
        <v>43.3769216000273</v>
      </c>
      <c r="K112" s="19" t="n">
        <f aca="false">$K$95+$K$110-$K$111</f>
        <v>60.2469438169678</v>
      </c>
      <c r="L112" s="19" t="n">
        <f aca="false">$L$95+$L$110-$L$111</f>
        <v>88.3110584072461</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9.11</v>
      </c>
      <c r="G114" s="19" t="n">
        <f aca="false">MAX(0,$G$112-Assumptions!$D$79)</f>
        <v>4.38836500000001</v>
      </c>
      <c r="H114" s="19" t="n">
        <f aca="false">MAX(0,$H$112-Assumptions!$D$79)</f>
        <v>14.0936042625</v>
      </c>
      <c r="I114" s="19" t="n">
        <f aca="false">MAX(0,$I$112-Assumptions!$D$79)</f>
        <v>23.6295880115313</v>
      </c>
      <c r="J114" s="19" t="n">
        <f aca="false">MAX(0,$J$112-Assumptions!$D$79)</f>
        <v>33.3769216000273</v>
      </c>
      <c r="K114" s="19" t="n">
        <f aca="false">MAX(0,$K$112-Assumptions!$D$79)</f>
        <v>50.2469438169678</v>
      </c>
      <c r="L114" s="19" t="n">
        <f aca="false">MAX(0,$L$112-Assumptions!$D$79)</f>
        <v>78.3110584072461</v>
      </c>
    </row>
    <row r="115" customFormat="false" ht="15" hidden="false" customHeight="false" outlineLevel="0" collapsed="false">
      <c r="B115" s="17" t="s">
        <v>595</v>
      </c>
      <c r="F115" s="18" t="n">
        <f aca="false">IF(AND($D$19=1,$D$14=0,$E$121-$F$111+$F$110=0),MIN($E$118-$F$109+$F$84,$F$113*$F$114),0)</f>
        <v>4.555</v>
      </c>
      <c r="G115" s="18" t="n">
        <f aca="false">IF(AND($D$19=1,$D$14=0,$F$121-$G$111+$G$110=0),MIN($F$118-$G$109+$G$84,$G$113*$G$114),0)</f>
        <v>2.19418250000001</v>
      </c>
      <c r="H115" s="18" t="n">
        <f aca="false">IF(AND($D$19=1,$D$14=0,$G$121-$H$111+$H$110=0),MIN($G$118-$H$109+$H$84,$H$113*$H$114),0)</f>
        <v>7.04680213125001</v>
      </c>
      <c r="I115" s="18" t="n">
        <f aca="false">IF(AND($D$19=1,$D$14=0,$H$121-$I$111+$I$110=0),MIN($H$118-$I$109+$I$84,$I$113*$I$114),0)</f>
        <v>11.8147940057656</v>
      </c>
      <c r="J115" s="18" t="n">
        <f aca="false">IF(AND($D$19=1,$D$14=0,$I$121-$J$111+$J$110=0),MIN($I$118-$J$109+$J$84,$J$113*$J$114),0)</f>
        <v>8.34423040000682</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218.195</v>
      </c>
      <c r="G118" s="19" t="n">
        <f aca="false">$F$118-$G$109-$G$115+$G$84+$G$86</f>
        <v>253.7508175</v>
      </c>
      <c r="H118" s="19" t="n">
        <f aca="false">$G$118-$H$109-$H$115+$H$84+$H$86</f>
        <v>244.05401536875</v>
      </c>
      <c r="I118" s="19" t="n">
        <f aca="false">$H$118-$I$109-$I$115+$I$84+$I$86</f>
        <v>264.589221362984</v>
      </c>
      <c r="J118" s="19" t="n">
        <f aca="false">$I$118-$J$109-$J$115+$J$84+$J$86</f>
        <v>253.244990962977</v>
      </c>
      <c r="K118" s="19" t="n">
        <f aca="false">$J$118-$K$109-$K$115+$K$84+$K$86</f>
        <v>250.244990962977</v>
      </c>
      <c r="L118" s="19" t="n">
        <f aca="false">$K$118-$L$109-$L$115+$L$84+$L$86</f>
        <v>247.244990962977</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300</v>
      </c>
      <c r="J119" s="19" t="n">
        <f aca="false">$I$119+$J$84+$J$86</f>
        <v>300</v>
      </c>
      <c r="K119" s="19" t="n">
        <f aca="false">$J$119+$K$84+$K$86</f>
        <v>300</v>
      </c>
      <c r="L119" s="19" t="n">
        <f aca="false">$K$119+$L$84+$L$86</f>
        <v>300</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268.195</v>
      </c>
      <c r="G122" s="18" t="n">
        <f aca="false">$G$118+$G$120+$G$121</f>
        <v>303.7508175</v>
      </c>
      <c r="H122" s="18" t="n">
        <f aca="false">$H$118+$H$120+$H$121</f>
        <v>294.05401536875</v>
      </c>
      <c r="I122" s="18" t="n">
        <f aca="false">$I$118+$I$120+$I$121</f>
        <v>314.589221362984</v>
      </c>
      <c r="J122" s="18" t="n">
        <f aca="false">$J$118+$J$120+$J$121</f>
        <v>303.244990962977</v>
      </c>
      <c r="K122" s="18" t="n">
        <f aca="false">$K$118+$K$120+$K$121</f>
        <v>300.244990962977</v>
      </c>
      <c r="L122" s="18" t="n">
        <f aca="false">$L$118+$L$120+$L$121</f>
        <v>297.244990962977</v>
      </c>
    </row>
    <row r="123" customFormat="false" ht="15" hidden="false" customHeight="false" outlineLevel="0" collapsed="false">
      <c r="B123" s="9" t="s">
        <v>600</v>
      </c>
      <c r="E123" s="19" t="n">
        <f aca="false">Assumptions!$D$78</f>
        <v>10</v>
      </c>
      <c r="F123" s="19" t="n">
        <f aca="false">$F$112-$F$115</f>
        <v>14.555</v>
      </c>
      <c r="G123" s="19" t="n">
        <f aca="false">$G$112-$G$115</f>
        <v>12.1941825</v>
      </c>
      <c r="H123" s="19" t="n">
        <f aca="false">$H$112-$H$115</f>
        <v>17.04680213125</v>
      </c>
      <c r="I123" s="19" t="n">
        <f aca="false">$I$112-$I$115</f>
        <v>21.8147940057656</v>
      </c>
      <c r="J123" s="19" t="n">
        <f aca="false">$J$112-$J$115</f>
        <v>35.0326912000205</v>
      </c>
      <c r="K123" s="19" t="n">
        <f aca="false">$K$112-$K$115</f>
        <v>60.2469438169678</v>
      </c>
      <c r="L123" s="19" t="n">
        <f aca="false">$L$112-$L$115</f>
        <v>88.3110584072461</v>
      </c>
    </row>
    <row r="124" customFormat="false" ht="15" hidden="false" customHeight="false" outlineLevel="0" collapsed="false">
      <c r="B124" s="17" t="s">
        <v>601</v>
      </c>
      <c r="E124" s="18" t="n">
        <f aca="false">$E$122-$E$123</f>
        <v>265</v>
      </c>
      <c r="F124" s="18" t="n">
        <f aca="false">$F$122-$F$123</f>
        <v>253.64</v>
      </c>
      <c r="G124" s="18" t="n">
        <f aca="false">$G$122-$G$123</f>
        <v>291.556635</v>
      </c>
      <c r="H124" s="18" t="n">
        <f aca="false">$H$122-$H$123</f>
        <v>277.0072132375</v>
      </c>
      <c r="I124" s="18" t="n">
        <f aca="false">$I$122-$I$123</f>
        <v>292.774427357219</v>
      </c>
      <c r="J124" s="18" t="n">
        <f aca="false">$J$122-$J$123</f>
        <v>268.212299762957</v>
      </c>
      <c r="K124" s="18" t="n">
        <f aca="false">$K$122-$K$123</f>
        <v>239.99804714601</v>
      </c>
      <c r="L124" s="18" t="n">
        <f aca="false">$L$122-$L$123</f>
        <v>208.933932555731</v>
      </c>
    </row>
    <row r="125" customFormat="false" ht="15" hidden="false" customHeight="false" outlineLevel="0" collapsed="false">
      <c r="B125" s="9" t="s">
        <v>538</v>
      </c>
      <c r="E125" s="24" t="n">
        <f aca="false">$E$124/$E$72</f>
        <v>5.3</v>
      </c>
      <c r="F125" s="24" t="n">
        <f aca="false">$F$124/$F$72</f>
        <v>4.64542124542125</v>
      </c>
      <c r="G125" s="24" t="n">
        <f aca="false">$G$124/$G$72</f>
        <v>4.81536115625495</v>
      </c>
      <c r="H125" s="24" t="n">
        <f aca="false">$H$124/$H$72</f>
        <v>4.7871613203964</v>
      </c>
      <c r="I125" s="24" t="n">
        <f aca="false">$I$124/$I$72</f>
        <v>4.16701166156636</v>
      </c>
      <c r="J125" s="24" t="n">
        <f aca="false">$J$124/$J$72</f>
        <v>3.44644488809463</v>
      </c>
      <c r="K125" s="24" t="n">
        <f aca="false">$K$124/$K$72</f>
        <v>2.96969196615272</v>
      </c>
      <c r="L125" s="24" t="n">
        <f aca="false">$L$124/$L$72</f>
        <v>2.48942955767035</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25.4107142857143</v>
      </c>
      <c r="G130" s="38" t="n">
        <f aca="false">$G$105+$G$106</f>
        <v>24.7411892857143</v>
      </c>
      <c r="H130" s="38" t="n">
        <f aca="false">$H$105+$H$106</f>
        <v>27.9706501232143</v>
      </c>
      <c r="I130" s="38" t="n">
        <f aca="false">$I$105+$I$106</f>
        <v>27.049369549433</v>
      </c>
      <c r="J130" s="38" t="n">
        <f aca="false">$J$105+$J$106</f>
        <v>28.6995022214526</v>
      </c>
      <c r="K130" s="38" t="n">
        <f aca="false">$K$105+$K$106</f>
        <v>27.470884693567</v>
      </c>
      <c r="L130" s="38" t="n">
        <f aca="false">$L$105+$L$106</f>
        <v>26.711599641228</v>
      </c>
    </row>
    <row r="131" customFormat="false" ht="15" hidden="false" customHeight="false" outlineLevel="0" collapsed="false">
      <c r="B131" s="9" t="s">
        <v>606</v>
      </c>
      <c r="F131" s="38" t="n">
        <f aca="false">$F$129-$F$130-$F$83-$F$87-$F$89</f>
        <v>17.4292857142857</v>
      </c>
      <c r="G131" s="38" t="n">
        <f aca="false">$G$129-$G$130-$G$83-$G$87-$G$89</f>
        <v>21.8404107142857</v>
      </c>
      <c r="H131" s="38" t="n">
        <f aca="false">$H$129-$H$130-$H$83-$H$87-$H$89</f>
        <v>15.9922938767857</v>
      </c>
      <c r="I131" s="38" t="n">
        <f aca="false">$I$129-$I$130-$I$83-$I$87-$I$89</f>
        <v>27.701415090567</v>
      </c>
      <c r="J131" s="38" t="n">
        <f aca="false">$J$129-$J$130-$J$83-$J$87-$J$89</f>
        <v>33.5963773945474</v>
      </c>
      <c r="K131" s="38" t="n">
        <f aca="false">$K$129-$K$130-$K$83-$K$87-$K$89</f>
        <v>37.196830107073</v>
      </c>
      <c r="L131" s="38" t="n">
        <f aca="false">$L$129-$L$130-$L$83-$L$87-$L$89</f>
        <v>40.4228237514376</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25.4107142857143</v>
      </c>
      <c r="G133" s="38" t="n">
        <f aca="false">$G$130+$F$135</f>
        <v>33.7719035714286</v>
      </c>
      <c r="H133" s="38" t="n">
        <f aca="false">$H$130+$G$135</f>
        <v>43.5783936946428</v>
      </c>
      <c r="I133" s="38" t="n">
        <f aca="false">$I$130+$H$135</f>
        <v>53.2683808440759</v>
      </c>
      <c r="J133" s="38" t="n">
        <f aca="false">$J$130+$I$135</f>
        <v>60.8898695295285</v>
      </c>
      <c r="K133" s="38" t="n">
        <f aca="false">$K$130+$J$135</f>
        <v>65.0138873670955</v>
      </c>
      <c r="L133" s="38" t="n">
        <f aca="false">$L$130+$K$135</f>
        <v>67.4807454780835</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9.03071428571429</v>
      </c>
      <c r="G135" s="38" t="n">
        <f aca="false">$G$133-$G$134</f>
        <v>15.6077435714286</v>
      </c>
      <c r="H135" s="38" t="n">
        <f aca="false">$H$133-$H$134</f>
        <v>26.2190112946428</v>
      </c>
      <c r="I135" s="38" t="n">
        <f aca="false">$I$133-$I$134</f>
        <v>32.1903673080759</v>
      </c>
      <c r="J135" s="38" t="n">
        <f aca="false">$J$133-$J$134</f>
        <v>37.5430026735285</v>
      </c>
      <c r="K135" s="38" t="n">
        <f aca="false">$K$133-$K$134</f>
        <v>40.7691458368555</v>
      </c>
      <c r="L135" s="38" t="n">
        <f aca="false">$L$133-$L$134</f>
        <v>42.3022142866339</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33.672771104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8.418192776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10.8142857142857</v>
      </c>
      <c r="G140" s="19" t="n">
        <f aca="false">$G$131-$G$139</f>
        <v>14.7360507142857</v>
      </c>
      <c r="H140" s="19" t="n">
        <f aca="false">$H$131-$H$139</f>
        <v>9.34140347678572</v>
      </c>
      <c r="I140" s="19" t="n">
        <f aca="false">$I$131-$I$139</f>
        <v>19.283222314567</v>
      </c>
      <c r="J140" s="19" t="n">
        <f aca="false">$J$131-$J$139</f>
        <v>23.8591242045474</v>
      </c>
      <c r="K140" s="19" t="n">
        <f aca="false">$K$131-$K$139</f>
        <v>27.091086789473</v>
      </c>
      <c r="L140" s="19" t="n">
        <f aca="false">$L$131-$L$139</f>
        <v>29.9338507011336</v>
      </c>
    </row>
    <row r="141" customFormat="false" ht="15" hidden="false" customHeight="false" outlineLevel="0" collapsed="false">
      <c r="B141" s="9" t="s">
        <v>616</v>
      </c>
      <c r="F141" s="38" t="n">
        <f aca="false">Assumptions!$D$7*($F$129-$F$130)</f>
        <v>4.35732142857143</v>
      </c>
      <c r="G141" s="38" t="n">
        <f aca="false">Assumptions!$D$7*($G$129-$G$130)</f>
        <v>5.83510267857143</v>
      </c>
      <c r="H141" s="38" t="n">
        <f aca="false">Assumptions!$D$7*($H$129-$H$130)</f>
        <v>3.99807346919643</v>
      </c>
      <c r="I141" s="38" t="n">
        <f aca="false">Assumptions!$D$7*($I$129-$I$130)</f>
        <v>7.10035377264174</v>
      </c>
      <c r="J141" s="38" t="n">
        <f aca="false">Assumptions!$D$7*($J$129-$J$130)</f>
        <v>8.39909434863684</v>
      </c>
      <c r="K141" s="38" t="n">
        <f aca="false">Assumptions!$D$7*($K$129-$K$130)</f>
        <v>9.29920752676826</v>
      </c>
      <c r="L141" s="38" t="n">
        <f aca="false">Assumptions!$D$7*($L$129-$L$130)</f>
        <v>10.1057059378594</v>
      </c>
    </row>
    <row r="142" customFormat="false" ht="15" hidden="false" customHeight="false" outlineLevel="0" collapsed="false">
      <c r="B142" s="9" t="s">
        <v>617</v>
      </c>
      <c r="F142" s="38" t="n">
        <f aca="false">$F$139-$F$141</f>
        <v>2.25767857142857</v>
      </c>
      <c r="G142" s="38" t="n">
        <f aca="false">$G$139-$G$141</f>
        <v>1.26925732142857</v>
      </c>
      <c r="H142" s="38" t="n">
        <f aca="false">$H$139-$H$141</f>
        <v>2.65281693080357</v>
      </c>
      <c r="I142" s="38" t="n">
        <f aca="false">$I$139-$I$141</f>
        <v>1.31783900335826</v>
      </c>
      <c r="J142" s="38" t="n">
        <f aca="false">$J$139-$J$141</f>
        <v>1.33815884136316</v>
      </c>
      <c r="K142" s="38" t="n">
        <f aca="false">$K$139-$K$141</f>
        <v>0.806535790831742</v>
      </c>
      <c r="L142" s="38" t="n">
        <f aca="false">$L$139-$L$141</f>
        <v>0.383267112444603</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14.555</v>
      </c>
      <c r="G145" s="19" t="n">
        <f aca="false">$G$123</f>
        <v>12.1941825</v>
      </c>
      <c r="H145" s="19" t="n">
        <f aca="false">$H$123</f>
        <v>17.04680213125</v>
      </c>
      <c r="I145" s="19" t="n">
        <f aca="false">$I$123</f>
        <v>21.8147940057656</v>
      </c>
      <c r="J145" s="19" t="n">
        <f aca="false">$J$123</f>
        <v>35.0326912000205</v>
      </c>
      <c r="K145" s="19" t="n">
        <f aca="false">$K$123</f>
        <v>60.2469438169678</v>
      </c>
      <c r="L145" s="19" t="n">
        <f aca="false">$L$123</f>
        <v>88.3110584072461</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469.509285714286</v>
      </c>
      <c r="G150" s="18" t="n">
        <f aca="false">$G$145+$G$146+$G$147+$G$148+$G$149</f>
        <v>519.801153928572</v>
      </c>
      <c r="H150" s="18" t="n">
        <f aca="false">$H$145+$H$146+$H$147+$H$148+$H$149</f>
        <v>519.445755274107</v>
      </c>
      <c r="I150" s="18" t="n">
        <f aca="false">$I$145+$I$146+$I$147+$I$148+$I$149</f>
        <v>524.264183582909</v>
      </c>
      <c r="J150" s="18" t="n">
        <f aca="false">$J$145+$J$146+$J$147+$J$148+$J$149</f>
        <v>536.779077387449</v>
      </c>
      <c r="K150" s="18" t="n">
        <f aca="false">$K$145+$K$146+$K$147+$K$148+$K$149</f>
        <v>560.870164176922</v>
      </c>
      <c r="L150" s="18" t="n">
        <f aca="false">$L$145+$L$146+$L$147+$L$148+$L$149</f>
        <v>587.804014878056</v>
      </c>
    </row>
    <row r="151" customFormat="false" ht="15" hidden="false" customHeight="false" outlineLevel="0" collapsed="false">
      <c r="B151" s="9" t="s">
        <v>291</v>
      </c>
      <c r="E151" s="19" t="n">
        <f aca="false">$E$122</f>
        <v>275</v>
      </c>
      <c r="F151" s="19" t="n">
        <f aca="false">$F$122</f>
        <v>268.195</v>
      </c>
      <c r="G151" s="19" t="n">
        <f aca="false">$G$122</f>
        <v>303.7508175</v>
      </c>
      <c r="H151" s="19" t="n">
        <f aca="false">$H$122</f>
        <v>294.05401536875</v>
      </c>
      <c r="I151" s="19" t="n">
        <f aca="false">$I$122</f>
        <v>314.589221362984</v>
      </c>
      <c r="J151" s="19" t="n">
        <f aca="false">$J$122</f>
        <v>303.244990962977</v>
      </c>
      <c r="K151" s="19" t="n">
        <f aca="false">$K$122</f>
        <v>300.244990962977</v>
      </c>
      <c r="L151" s="19" t="n">
        <f aca="false">$L$122</f>
        <v>297.244990962977</v>
      </c>
    </row>
    <row r="152" customFormat="false" ht="15" hidden="false" customHeight="false" outlineLevel="0" collapsed="false">
      <c r="B152" s="9" t="s">
        <v>624</v>
      </c>
      <c r="E152" s="19" t="n">
        <f aca="false">$D$46-Assumptions!$D$76</f>
        <v>190.5</v>
      </c>
      <c r="F152" s="19" t="n">
        <f aca="false">$E$152+$F$140-$F$88+$F$90</f>
        <v>201.314285714286</v>
      </c>
      <c r="G152" s="19" t="n">
        <f aca="false">$F$152+$G$140-$G$88+$G$90</f>
        <v>216.050336428571</v>
      </c>
      <c r="H152" s="19" t="n">
        <f aca="false">$G$152+$H$140-$H$88+$H$90</f>
        <v>225.391739905357</v>
      </c>
      <c r="I152" s="19" t="n">
        <f aca="false">$H$152+$I$140-$I$88+$I$90</f>
        <v>209.674962219924</v>
      </c>
      <c r="J152" s="19" t="n">
        <f aca="false">$I$152+$J$140-$J$88+$J$90</f>
        <v>233.534086424471</v>
      </c>
      <c r="K152" s="19" t="n">
        <f aca="false">$J$152+$K$140-$K$88+$K$90</f>
        <v>260.625173213945</v>
      </c>
      <c r="L152" s="19" t="n">
        <f aca="false">$K$152+$L$140-$L$88+$L$90</f>
        <v>290.559023915078</v>
      </c>
    </row>
    <row r="153" customFormat="false" ht="15" hidden="false" customHeight="false" outlineLevel="0" collapsed="false">
      <c r="B153" s="17" t="s">
        <v>625</v>
      </c>
      <c r="E153" s="18" t="n">
        <f aca="false">$E$151+$E$152</f>
        <v>465.5</v>
      </c>
      <c r="F153" s="18" t="n">
        <f aca="false">$F$151+$F$152</f>
        <v>469.509285714286</v>
      </c>
      <c r="G153" s="18" t="n">
        <f aca="false">$G$151+$G$152</f>
        <v>519.801153928572</v>
      </c>
      <c r="H153" s="18" t="n">
        <f aca="false">$H$151+$H$152</f>
        <v>519.445755274107</v>
      </c>
      <c r="I153" s="18" t="n">
        <f aca="false">$I$151+$I$152</f>
        <v>524.264183582908</v>
      </c>
      <c r="J153" s="18" t="n">
        <f aca="false">$J$151+$J$152</f>
        <v>536.779077387449</v>
      </c>
      <c r="K153" s="18" t="n">
        <f aca="false">$K$151+$K$152</f>
        <v>560.870164176922</v>
      </c>
      <c r="L153" s="18" t="n">
        <f aca="false">$L$151+$L$152</f>
        <v>587.804014878056</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253.64</v>
      </c>
      <c r="G160" s="19" t="n">
        <f aca="false">$G$124</f>
        <v>291.556635</v>
      </c>
      <c r="H160" s="19" t="n">
        <f aca="false">$H$124</f>
        <v>277.0072132375</v>
      </c>
      <c r="I160" s="19" t="n">
        <f aca="false">$I$124</f>
        <v>292.774427357219</v>
      </c>
      <c r="J160" s="19" t="n">
        <f aca="false">$J$124</f>
        <v>268.212299762957</v>
      </c>
      <c r="K160" s="19" t="n">
        <f aca="false">$K$124</f>
        <v>239.99804714601</v>
      </c>
      <c r="L160" s="19" t="n">
        <f aca="false">$L$124</f>
        <v>208.933932555731</v>
      </c>
    </row>
    <row r="161" customFormat="false" ht="15" hidden="false" customHeight="false" outlineLevel="0" collapsed="false">
      <c r="B161" s="17" t="s">
        <v>632</v>
      </c>
      <c r="F161" s="41" t="n">
        <f aca="false">$F$124/$F$159</f>
        <v>4.64542124542125</v>
      </c>
      <c r="G161" s="41" t="n">
        <f aca="false">$G$124/$G$159</f>
        <v>4.0750250883333</v>
      </c>
      <c r="H161" s="41" t="n">
        <f aca="false">$H$124/$H$159</f>
        <v>4.62722838237745</v>
      </c>
      <c r="I161" s="41" t="n">
        <f aca="false">$I$124/$I$159</f>
        <v>4.1375669964697</v>
      </c>
      <c r="J161" s="41" t="n">
        <f aca="false">$J$124/$J$159</f>
        <v>3.44644488809463</v>
      </c>
      <c r="K161" s="41" t="n">
        <f aca="false">$K$124/$K$159</f>
        <v>2.96969196615272</v>
      </c>
      <c r="L161" s="41" t="n">
        <f aca="false">$L$124/$L$159</f>
        <v>2.48942955767035</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1.10457875457876</v>
      </c>
      <c r="G163" s="24" t="n">
        <f aca="false">$G$162-$G$161</f>
        <v>1.1749749116667</v>
      </c>
      <c r="H163" s="24" t="n">
        <f aca="false">$H$162-$H$161</f>
        <v>0.122771617622552</v>
      </c>
      <c r="I163" s="24" t="n">
        <f aca="false">$I$162-$I$161</f>
        <v>0.112433003530303</v>
      </c>
      <c r="J163" s="24" t="n">
        <f aca="false">$J$162-$J$161</f>
        <v>0.553555111905372</v>
      </c>
      <c r="K163" s="24" t="n">
        <f aca="false">$K$162-$K$161</f>
        <v>1.03030803384728</v>
      </c>
      <c r="L163" s="24" t="n">
        <f aca="false">$L$162-$L$161</f>
        <v>1.51057044232965</v>
      </c>
    </row>
    <row r="164" customFormat="false" ht="15" hidden="false" customHeight="false" outlineLevel="0" collapsed="false">
      <c r="B164" s="9" t="s">
        <v>635</v>
      </c>
      <c r="F164" s="14" t="n">
        <f aca="false">1-$F$124/($F$162*$F$159)</f>
        <v>0.192100652970218</v>
      </c>
      <c r="G164" s="14" t="n">
        <f aca="false">1-$G$124/($G$162*$G$159)</f>
        <v>0.223804745079372</v>
      </c>
      <c r="H164" s="14" t="n">
        <f aca="false">1-$H$124/($H$162*$H$159)</f>
        <v>0.02584665634159</v>
      </c>
      <c r="I164" s="14" t="n">
        <f aca="false">1-$I$124/($I$162*$I$159)</f>
        <v>0.0264548243600713</v>
      </c>
      <c r="J164" s="14" t="n">
        <f aca="false">1-$J$124/($J$162*$J$159)</f>
        <v>0.138388777976343</v>
      </c>
      <c r="K164" s="14" t="n">
        <f aca="false">1-$K$124/($K$162*$K$159)</f>
        <v>0.25757700846182</v>
      </c>
      <c r="L164" s="14" t="n">
        <f aca="false">1-$L$124/($L$162*$L$159)</f>
        <v>0.377642610582413</v>
      </c>
    </row>
    <row r="165" customFormat="false" ht="15" hidden="false" customHeight="false" outlineLevel="0" collapsed="false">
      <c r="B165" s="9" t="s">
        <v>636</v>
      </c>
      <c r="F165" s="19" t="n">
        <f aca="false">$F$164*$F$159</f>
        <v>10.4886956521739</v>
      </c>
      <c r="G165" s="19" t="n">
        <f aca="false">$G$164*$G$159</f>
        <v>16.0126028571429</v>
      </c>
      <c r="H165" s="19" t="n">
        <f aca="false">$H$164*$H$159</f>
        <v>1.54729995</v>
      </c>
      <c r="I165" s="19" t="n">
        <f aca="false">$I$164*$I$159</f>
        <v>1.87194456536032</v>
      </c>
      <c r="J165" s="19" t="n">
        <f aca="false">$J$164*$J$159</f>
        <v>10.7698145792608</v>
      </c>
      <c r="K165" s="19" t="n">
        <f aca="false">$K$164*$K$159</f>
        <v>20.8162933142976</v>
      </c>
      <c r="L165" s="19" t="n">
        <f aca="false">$L$164*$L$159</f>
        <v>31.6949541658991</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-1.10457875457876</v>
      </c>
      <c r="G167" s="24" t="n">
        <f aca="false">$G$125-Assumptions!$G$169</f>
        <v>-0.434638843745047</v>
      </c>
      <c r="H167" s="24" t="n">
        <f aca="false">$H$125-Assumptions!$H$169</f>
        <v>0.0371613203963985</v>
      </c>
      <c r="I167" s="24" t="n">
        <f aca="false">$I$125-Assumptions!$I$169</f>
        <v>-0.0829883384336396</v>
      </c>
      <c r="J167" s="24" t="n">
        <f aca="false">$J$125-Assumptions!$J$169</f>
        <v>-0.553555111905372</v>
      </c>
      <c r="K167" s="24" t="n">
        <f aca="false">$K$125-Assumptions!$K$169</f>
        <v>-1.03030803384728</v>
      </c>
      <c r="L167" s="24" t="n">
        <f aca="false">$L$125-Assumptions!$L$169</f>
        <v>-1.51057044232965</v>
      </c>
    </row>
    <row r="168" customFormat="false" ht="15" hidden="false" customHeight="false" outlineLevel="0" collapsed="false">
      <c r="B168" s="9" t="s">
        <v>639</v>
      </c>
      <c r="F168" s="24" t="n">
        <f aca="false">$F$161-$F$162</f>
        <v>-1.10457875457876</v>
      </c>
      <c r="G168" s="24" t="n">
        <f aca="false">$G$161-$G$162</f>
        <v>-1.1749749116667</v>
      </c>
      <c r="H168" s="24" t="n">
        <f aca="false">$H$161-$H$162</f>
        <v>-0.122771617622552</v>
      </c>
      <c r="I168" s="24" t="n">
        <f aca="false">$I$161-$I$162</f>
        <v>-0.112433003530303</v>
      </c>
      <c r="J168" s="24" t="n">
        <f aca="false">$J$161-$J$162</f>
        <v>-0.553555111905372</v>
      </c>
      <c r="K168" s="24" t="n">
        <f aca="false">$K$161-$K$162</f>
        <v>-1.03030803384728</v>
      </c>
      <c r="L168" s="24" t="n">
        <f aca="false">$L$161-$L$162</f>
        <v>-1.51057044232965</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544.76022664</v>
      </c>
    </row>
    <row r="173" customFormat="false" ht="15" hidden="false" customHeight="false" outlineLevel="0" collapsed="false">
      <c r="B173" s="9" t="s">
        <v>642</v>
      </c>
      <c r="D173" s="19" t="n">
        <f aca="false">INDEX($E$124:$L$124,1,$D$170+1)</f>
        <v>268.212299762957</v>
      </c>
    </row>
    <row r="174" customFormat="false" ht="15" hidden="false" customHeight="false" outlineLevel="0" collapsed="false">
      <c r="B174" s="9" t="s">
        <v>643</v>
      </c>
      <c r="D174" s="19" t="n">
        <f aca="false">INDEX($E$118:$L$118,1,$D$170+1)</f>
        <v>253.244990962977</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35.0326912000205</v>
      </c>
    </row>
    <row r="178" customFormat="false" ht="15" hidden="false" customHeight="false" outlineLevel="0" collapsed="false">
      <c r="B178" s="9" t="s">
        <v>647</v>
      </c>
      <c r="D178" s="19" t="n">
        <f aca="false">$D$20*$D$172</f>
        <v>8.1714033996</v>
      </c>
    </row>
    <row r="179" customFormat="false" ht="15" hidden="false" customHeight="false" outlineLevel="0" collapsed="false">
      <c r="B179" s="17" t="s">
        <v>195</v>
      </c>
      <c r="D179" s="18" t="n">
        <f aca="false">$D$172-$D$173-$D$178</f>
        <v>268.376523477443</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1.31453200799624</v>
      </c>
    </row>
    <row r="193" customFormat="false" ht="15" hidden="false" customHeight="false" outlineLevel="0" collapsed="false">
      <c r="B193" s="9" t="s">
        <v>661</v>
      </c>
      <c r="D193" s="19" t="n">
        <f aca="false">SUMPRODUCT(($E$64:$L$64&lt;=$D$170)*$E$218:$L$218)</f>
        <v>33.25</v>
      </c>
    </row>
    <row r="194" customFormat="false" ht="15" hidden="false" customHeight="false" outlineLevel="0" collapsed="false">
      <c r="B194" s="9" t="s">
        <v>662</v>
      </c>
      <c r="D194" s="24" t="n">
        <f aca="false">($D$193+$D$190*$D$192)/($D$48+$D$188)</f>
        <v>1.48953200799624</v>
      </c>
    </row>
    <row r="195" customFormat="false" ht="15" hidden="false" customHeight="false" outlineLevel="0" collapsed="false">
      <c r="B195" s="9" t="s">
        <v>663</v>
      </c>
      <c r="D195" s="34" t="n">
        <f aca="false">IF($D$194&gt;=Assumptions!$D$110,$D$191,$D$191*0.5)</f>
        <v>8.69565217391304</v>
      </c>
    </row>
    <row r="196" customFormat="false" ht="15" hidden="false" customHeight="false" outlineLevel="0" collapsed="false">
      <c r="B196" s="9" t="s">
        <v>664</v>
      </c>
      <c r="D196" s="35" t="n">
        <f aca="false">($D$179+$D$195*Assumptions!$D$108)/($D$189+$D$195)</f>
        <v>1.32763750832941</v>
      </c>
    </row>
    <row r="197" customFormat="false" ht="15" hidden="false" customHeight="false" outlineLevel="0" collapsed="false">
      <c r="B197" s="9" t="s">
        <v>665</v>
      </c>
      <c r="D197" s="34" t="n">
        <f aca="false">IF($D$196&lt;Assumptions!$D$108,0,$D$195)</f>
        <v>8.69565217391304</v>
      </c>
    </row>
    <row r="198" customFormat="false" ht="15" hidden="false" customHeight="false" outlineLevel="0" collapsed="false">
      <c r="B198" s="17" t="s">
        <v>666</v>
      </c>
      <c r="D198" s="43" t="n">
        <f aca="false">IF($D$196&lt;Assumptions!$D$108,$D$179/$D$189,$D$196)</f>
        <v>1.32763750832941</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252.251126582589</v>
      </c>
    </row>
    <row r="201" customFormat="false" ht="15" hidden="false" customHeight="false" outlineLevel="0" collapsed="false">
      <c r="B201" s="9" t="s">
        <v>668</v>
      </c>
      <c r="D201" s="14" t="n">
        <f aca="false">$D$200/$D$179</f>
        <v>0.939915024287847</v>
      </c>
    </row>
    <row r="202" customFormat="false" ht="15" hidden="false" customHeight="false" outlineLevel="0" collapsed="false">
      <c r="B202" s="9" t="s">
        <v>669</v>
      </c>
      <c r="D202" s="19" t="n">
        <f aca="false">$D$185*$D$198</f>
        <v>13.2763750832941</v>
      </c>
    </row>
    <row r="203" customFormat="false" ht="15" hidden="false" customHeight="false" outlineLevel="0" collapsed="false">
      <c r="B203" s="9" t="s">
        <v>670</v>
      </c>
      <c r="D203" s="19" t="n">
        <f aca="false">$D$197*MAX(0,$D$198-Assumptions!$D$108)</f>
        <v>2.84902181156013</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16.1253968948543</v>
      </c>
    </row>
    <row r="206" customFormat="false" ht="15" hidden="false" customHeight="false" outlineLevel="0" collapsed="false">
      <c r="B206" s="9" t="s">
        <v>673</v>
      </c>
      <c r="D206" s="24" t="n">
        <f aca="false">$D$205/$D$47</f>
        <v>1.61253968948543</v>
      </c>
    </row>
    <row r="207" customFormat="false" ht="15" hidden="false" customHeight="false" outlineLevel="0" collapsed="false">
      <c r="B207" s="9" t="s">
        <v>674</v>
      </c>
      <c r="D207" s="19" t="n">
        <f aca="false">$D$187*$D$198</f>
        <v>5.31055003331766</v>
      </c>
    </row>
    <row r="208" customFormat="false" ht="15" hidden="false" customHeight="false" outlineLevel="0" collapsed="false">
      <c r="B208" s="9" t="s">
        <v>675</v>
      </c>
      <c r="D208" s="19" t="n">
        <f aca="false">$D$203*Assumptions!$D$112</f>
        <v>0.997157634046044</v>
      </c>
    </row>
    <row r="209" customFormat="false" ht="15" hidden="false" customHeight="false" outlineLevel="0" collapsed="false">
      <c r="B209" s="9" t="s">
        <v>676</v>
      </c>
      <c r="D209" s="19" t="n">
        <f aca="false">$D$207+$D$208</f>
        <v>6.3077076673637</v>
      </c>
    </row>
    <row r="210" customFormat="false" ht="15" hidden="false" customHeight="false" outlineLevel="0" collapsed="false">
      <c r="B210" s="9" t="s">
        <v>677</v>
      </c>
      <c r="D210" s="24" t="n">
        <f aca="false">$D$209/Assumptions!$D$111</f>
        <v>1.57692691684093</v>
      </c>
    </row>
    <row r="211" customFormat="false" ht="15" hidden="false" customHeight="false" outlineLevel="0" collapsed="false">
      <c r="B211" s="9" t="s">
        <v>678</v>
      </c>
      <c r="D211" s="19" t="n">
        <f aca="false">$D$179*$D$190/$D$189</f>
        <v>254.957697303571</v>
      </c>
    </row>
    <row r="212" customFormat="false" ht="15" hidden="false" customHeight="false" outlineLevel="0" collapsed="false">
      <c r="B212" s="9" t="s">
        <v>679</v>
      </c>
      <c r="D212" s="19" t="n">
        <f aca="false">$D$211-$D$200</f>
        <v>2.70657072098209</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33.25</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33.25</v>
      </c>
      <c r="J219" s="18" t="n">
        <f aca="false">IF($J$64&lt;=$D$170,$J$218+IF($J$64=$D$170,$D$200,0),0)</f>
        <v>252.251126582589</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35</v>
      </c>
      <c r="J220" s="19" t="n">
        <f aca="false">IF($J$64&lt;=$D$170,$J$88-$J$90+IF($J$64=$D$170,$D$179,0),0)</f>
        <v>268.376523477443</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0.0870434971509742</v>
      </c>
    </row>
    <row r="224" customFormat="false" ht="15" hidden="false" customHeight="false" outlineLevel="0" collapsed="false">
      <c r="B224" s="9" t="s">
        <v>689</v>
      </c>
      <c r="D224" s="25" t="n">
        <f aca="false">XIRR($E$219:$L$219,$E$221:$L$221,0.1)</f>
        <v>0.0869925357785829</v>
      </c>
    </row>
    <row r="225" customFormat="false" ht="15" hidden="false" customHeight="false" outlineLevel="0" collapsed="false">
      <c r="B225" s="17" t="s">
        <v>690</v>
      </c>
      <c r="D225" s="41" t="n">
        <f aca="false">SUMIF($E$219:$L$219,"&gt;0")/-SUMIF($E$219:$L$219,"&lt;0")</f>
        <v>1.50263750832941</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0.0891281048033969</v>
      </c>
    </row>
    <row r="228" customFormat="false" ht="15" hidden="false" customHeight="false" outlineLevel="0" collapsed="false">
      <c r="B228" s="9" t="s">
        <v>693</v>
      </c>
      <c r="D228" s="24" t="n">
        <f aca="false">SUMIF($E$220:$L$220,"&gt;0")/-SUMIF($E$220:$L$220,"&lt;0")</f>
        <v>1.51688261738722</v>
      </c>
    </row>
    <row r="229" customFormat="false" ht="15" hidden="false" customHeight="false" outlineLevel="0" collapsed="false">
      <c r="B229" s="9" t="s">
        <v>694</v>
      </c>
      <c r="D229" s="19" t="n">
        <f aca="false">SUM($E$220:$L$220)</f>
        <v>103.376523477443</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84.5877002370429</v>
      </c>
    </row>
    <row r="232" customFormat="false" ht="15" hidden="false" customHeight="false" outlineLevel="0" collapsed="false">
      <c r="B232" s="9" t="s">
        <v>697</v>
      </c>
      <c r="D232" s="19" t="n">
        <f aca="false">SUMPRODUCT(($F$64:$L$64&lt;=$D$170)*$F$105:$L$105)</f>
        <v>129.462854036957</v>
      </c>
    </row>
    <row r="233" customFormat="false" ht="15" hidden="false" customHeight="false" outlineLevel="0" collapsed="false">
      <c r="B233" s="9" t="s">
        <v>698</v>
      </c>
      <c r="D233" s="19" t="n">
        <f aca="false">SUMPRODUCT(($F$64:$L$64&lt;=$D$170)*$F$139:$L$139)</f>
        <v>38.525696366</v>
      </c>
    </row>
    <row r="234" customFormat="false" ht="15" hidden="false" customHeight="false" outlineLevel="0" collapsed="false">
      <c r="B234" s="9" t="s">
        <v>699</v>
      </c>
      <c r="D234" s="38" t="n">
        <f aca="false">SUMPRODUCT(($F$64:$L$64&lt;=$D$170)*$F$109:$L$109)</f>
        <v>12.8</v>
      </c>
    </row>
    <row r="235" customFormat="false" ht="15" hidden="false" customHeight="false" outlineLevel="0" collapsed="false">
      <c r="B235" s="9" t="s">
        <v>700</v>
      </c>
      <c r="D235" s="19" t="n">
        <f aca="false">SUMPRODUCT(($F$64:$L$64&lt;=$D$170)*$F$115:$L$115)</f>
        <v>33.9550090370225</v>
      </c>
    </row>
    <row r="236" customFormat="false" ht="15" hidden="false" customHeight="false" outlineLevel="0" collapsed="false">
      <c r="B236" s="9" t="s">
        <v>701</v>
      </c>
      <c r="D236" s="19" t="n">
        <f aca="false">SUMPRODUCT(($F$64:$L$64&lt;=$D$170)*$F$88:$L$88)</f>
        <v>35</v>
      </c>
    </row>
    <row r="237" customFormat="false" ht="15" hidden="false" customHeight="false" outlineLevel="0" collapsed="false">
      <c r="B237" s="9" t="s">
        <v>702</v>
      </c>
      <c r="D237" s="19" t="n">
        <f aca="false">$D$234+$D$235</f>
        <v>46.7550090370225</v>
      </c>
    </row>
    <row r="238" customFormat="false" ht="15" hidden="false" customHeight="false" outlineLevel="0" collapsed="false">
      <c r="B238" s="9" t="s">
        <v>703</v>
      </c>
      <c r="D238" s="19" t="n">
        <f aca="false">$D$54-$D$173</f>
        <v>-3.212299762957</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94.76022664</v>
      </c>
    </row>
    <row r="242" customFormat="false" ht="15" hidden="false" customHeight="false" outlineLevel="0" collapsed="false">
      <c r="B242" s="9" t="s">
        <v>234</v>
      </c>
      <c r="D242" s="14" t="n">
        <f aca="false">$D$172/$D$29-1</f>
        <v>0.210578281422222</v>
      </c>
    </row>
    <row r="243" customFormat="false" ht="15" hidden="false" customHeight="false" outlineLevel="0" collapsed="false">
      <c r="B243" s="9" t="s">
        <v>235</v>
      </c>
      <c r="D243" s="25" t="n">
        <f aca="false">($D$172/$D$29)^(1/$D$170)-1</f>
        <v>0.038959397377242</v>
      </c>
    </row>
    <row r="244" customFormat="false" ht="15" hidden="false" customHeight="false" outlineLevel="0" collapsed="false">
      <c r="B244" s="9" t="s">
        <v>236</v>
      </c>
      <c r="D244" s="14" t="n">
        <f aca="false">$D$179/$D$46-1</f>
        <v>0.341882617387215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715</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2" t="n">
        <v>7.5</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11" t="n">
        <v>0.5</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0.159375</v>
      </c>
      <c r="G66" s="25" t="n">
        <f aca="false">Assumptions!$D$25+$D$11*Assumptions!$G$166+$G$25</f>
        <v>0.163125</v>
      </c>
      <c r="H66" s="25" t="n">
        <f aca="false">Assumptions!$D$25+$D$11*Assumptions!$H$166+$H$25</f>
        <v>0.135625</v>
      </c>
      <c r="I66" s="25" t="n">
        <f aca="false">Assumptions!$D$25+$D$11*Assumptions!$I$166+$I$25</f>
        <v>0.155625</v>
      </c>
      <c r="J66" s="25" t="n">
        <f aca="false">Assumptions!$D$25+$D$11*Assumptions!$J$166+$J$25</f>
        <v>0.165625</v>
      </c>
      <c r="K66" s="25" t="n">
        <f aca="false">Assumptions!$D$25+$D$11*Assumptions!$K$166+$K$25</f>
        <v>0.165625</v>
      </c>
      <c r="L66" s="25" t="n">
        <f aca="false">Assumptions!$D$25+$D$11*Assumptions!$L$166+$L$25</f>
        <v>0.165625</v>
      </c>
    </row>
    <row r="67" customFormat="false" ht="15" hidden="false" customHeight="false" outlineLevel="0" collapsed="false">
      <c r="B67" s="9" t="s">
        <v>549</v>
      </c>
      <c r="E67" s="19" t="n">
        <f aca="false">$E$65*$E$66</f>
        <v>50</v>
      </c>
      <c r="F67" s="19" t="n">
        <f aca="false">$F$65*$F$66</f>
        <v>53.55</v>
      </c>
      <c r="G67" s="19" t="n">
        <f aca="false">$G$65*$G$66</f>
        <v>58.0986</v>
      </c>
      <c r="H67" s="19" t="n">
        <f aca="false">$H$65*$H$66</f>
        <v>45.405948</v>
      </c>
      <c r="I67" s="19" t="n">
        <f aca="false">$I$65*$I$66</f>
        <v>55.74887892</v>
      </c>
      <c r="J67" s="19" t="n">
        <f aca="false">$J$65*$J$66</f>
        <v>62.29769301</v>
      </c>
      <c r="K67" s="19" t="n">
        <f aca="false">$K$65*$K$66</f>
        <v>64.7896007304</v>
      </c>
      <c r="L67" s="19" t="n">
        <f aca="false">$L$65*$L$66</f>
        <v>67.381184759616</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53.55</v>
      </c>
      <c r="G72" s="18" t="n">
        <f aca="false">$G$67+IF(AND($D$12=1,$G$64&gt;Assumptions!$D$116),$G$69+$G$70,0)</f>
        <v>58.0986</v>
      </c>
      <c r="H72" s="18" t="n">
        <f aca="false">$H$67+IF(AND($D$12=1,$H$64&gt;Assumptions!$D$116),$H$69+$H$70,0)</f>
        <v>54.725948</v>
      </c>
      <c r="I72" s="18" t="n">
        <f aca="false">$I$67+IF(AND($D$12=1,$I$64&gt;Assumptions!$D$116),$I$69+$I$70,0)</f>
        <v>66.90167892</v>
      </c>
      <c r="J72" s="18" t="n">
        <f aca="false">$J$67+IF(AND($D$12=1,$J$64&gt;Assumptions!$D$116),$J$69+$J$70,0)</f>
        <v>74.29660501</v>
      </c>
      <c r="K72" s="18" t="n">
        <f aca="false">$K$67+IF(AND($D$12=1,$K$64&gt;Assumptions!$D$116),$K$69+$K$70,0)</f>
        <v>77.1484692104</v>
      </c>
      <c r="L72" s="18" t="n">
        <f aca="false">$L$67+IF(AND($D$12=1,$L$64&gt;Assumptions!$D$116),$L$69+$L$70,0)</f>
        <v>80.114407978816</v>
      </c>
    </row>
    <row r="73" customFormat="false" ht="15" hidden="false" customHeight="false" outlineLevel="0" collapsed="false">
      <c r="B73" s="9" t="s">
        <v>555</v>
      </c>
      <c r="E73" s="14" t="n">
        <f aca="false">$E$72/$E$71</f>
        <v>0.15625</v>
      </c>
      <c r="F73" s="14" t="n">
        <f aca="false">$F$72/$F$71</f>
        <v>0.159375</v>
      </c>
      <c r="G73" s="14" t="n">
        <f aca="false">$G$72/$G$71</f>
        <v>0.163125</v>
      </c>
      <c r="H73" s="14" t="n">
        <f aca="false">$H$72/$H$71</f>
        <v>0.137782655371328</v>
      </c>
      <c r="I73" s="14" t="n">
        <f aca="false">$I$72/$I$71</f>
        <v>0.158114496355999</v>
      </c>
      <c r="J73" s="14" t="n">
        <f aca="false">$J$72/$J$71</f>
        <v>0.167474690325283</v>
      </c>
      <c r="K73" s="14" t="n">
        <f aca="false">$K$72/$K$71</f>
        <v>0.167214597650426</v>
      </c>
      <c r="L73" s="14" t="n">
        <f aca="false">$L$72/$L$71</f>
        <v>0.166964508539987</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10.49375</v>
      </c>
      <c r="G91" s="18" t="n">
        <f aca="false">$G$72-$G$139-$G$105-$G$75-$G$79-$G$83-$G$87-$G$89</f>
        <v>12.817791875</v>
      </c>
      <c r="H91" s="18" t="n">
        <f aca="false">$H$72-$H$139-$H$105-$H$75-$H$79-$H$83-$H$87-$H$89</f>
        <v>11.7920299859375</v>
      </c>
      <c r="I91" s="18" t="n">
        <f aca="false">$I$72-$I$139-$I$105-$I$75-$I$79-$I$83-$I$87-$I$89</f>
        <v>16.633769575918</v>
      </c>
      <c r="J91" s="18" t="n">
        <f aca="false">$J$72-$J$139-$J$105-$J$75-$J$79-$J$83-$J$87-$J$89</f>
        <v>24.0730207895345</v>
      </c>
      <c r="K91" s="18" t="n">
        <f aca="false">$K$72-$K$139-$K$105-$K$75-$K$79-$K$83-$K$87-$K$89</f>
        <v>27.5365914095872</v>
      </c>
      <c r="L91" s="18" t="n">
        <f aca="false">$L$72-$L$139-$L$105-$L$75-$L$79-$L$83-$L$87-$L$89</f>
        <v>30.2291280743877</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14.121875</v>
      </c>
      <c r="H94" s="19" t="n">
        <f aca="false">$G$123</f>
        <v>10.9448334375</v>
      </c>
      <c r="I94" s="19" t="n">
        <f aca="false">$H$123</f>
        <v>15.0434317117188</v>
      </c>
      <c r="J94" s="19" t="n">
        <f aca="false">$I$123</f>
        <v>19.5136006438184</v>
      </c>
      <c r="K94" s="19" t="n">
        <f aca="false">$J$123</f>
        <v>33.2024660750147</v>
      </c>
      <c r="L94" s="19" t="n">
        <f aca="false">$K$123</f>
        <v>58.0890574846019</v>
      </c>
    </row>
    <row r="95" customFormat="false" ht="15" hidden="false" customHeight="false" outlineLevel="0" collapsed="false">
      <c r="B95" s="9" t="s">
        <v>576</v>
      </c>
      <c r="F95" s="19" t="n">
        <f aca="false">$E$123+$F$91-$F$109-$F$82-$F$85+$F$84+$F$86-$F$88+$F$90</f>
        <v>18.24375</v>
      </c>
      <c r="G95" s="19" t="n">
        <f aca="false">$F$123+$G$91-$G$109-$G$82-$G$85+$G$84+$G$86-$G$88+$G$90</f>
        <v>11.889666875</v>
      </c>
      <c r="H95" s="19" t="n">
        <f aca="false">$G$123+$H$91-$H$109-$H$82-$H$85+$H$84+$H$86-$H$88+$H$90</f>
        <v>20.0868634234375</v>
      </c>
      <c r="I95" s="19" t="n">
        <f aca="false">$H$123+$I$91-$I$109-$I$82-$I$85+$I$84+$I$86-$I$88+$I$90</f>
        <v>29.0272012876367</v>
      </c>
      <c r="J95" s="19" t="n">
        <f aca="false">$I$123+$J$91-$J$109-$J$82-$J$85+$J$84+$J$86-$J$88+$J$90</f>
        <v>40.9366214333529</v>
      </c>
      <c r="K95" s="19" t="n">
        <f aca="false">$J$123+$K$91-$K$109-$K$82-$K$85+$K$84+$K$86-$K$88+$K$90</f>
        <v>58.0890574846019</v>
      </c>
      <c r="L95" s="19" t="n">
        <f aca="false">$K$123+$L$91-$L$109-$L$82-$L$85+$L$84+$L$86-$L$88+$L$90</f>
        <v>85.6681855589896</v>
      </c>
    </row>
    <row r="96" customFormat="false" ht="15" hidden="false" customHeight="false" outlineLevel="0" collapsed="false">
      <c r="B96" s="17" t="s">
        <v>577</v>
      </c>
      <c r="F96" s="18" t="n">
        <f aca="false">$F$95+$F$110-$F$111-$F$115</f>
        <v>14.121875</v>
      </c>
      <c r="G96" s="18" t="n">
        <f aca="false">$G$95+$G$110-$G$111-$G$115</f>
        <v>10.9448334375</v>
      </c>
      <c r="H96" s="18" t="n">
        <f aca="false">$H$95+$H$110-$H$111-$H$115</f>
        <v>15.0434317117188</v>
      </c>
      <c r="I96" s="18" t="n">
        <f aca="false">$I$95+$I$110-$I$111-$I$115</f>
        <v>19.5136006438184</v>
      </c>
      <c r="J96" s="18" t="n">
        <f aca="false">$J$95+$J$110-$J$111-$J$115</f>
        <v>33.2024660750147</v>
      </c>
      <c r="K96" s="18" t="n">
        <f aca="false">$K$95+$K$110-$K$111-$K$115</f>
        <v>58.0890574846019</v>
      </c>
      <c r="L96" s="18" t="n">
        <f aca="false">$L$95+$L$110-$L$111-$L$115</f>
        <v>85.6681855589896</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18.583390625</v>
      </c>
      <c r="H101" s="38" t="n">
        <f aca="false">$G$118*$H$100</f>
        <v>21.7118297828125</v>
      </c>
      <c r="I101" s="38" t="n">
        <f aca="false">$H$118*$I$100</f>
        <v>21.0578880873164</v>
      </c>
      <c r="J101" s="38" t="n">
        <f aca="false">$I$118*$J$100</f>
        <v>20.0239820325918</v>
      </c>
      <c r="K101" s="38" t="n">
        <f aca="false">$J$118*$K$100</f>
        <v>19.1413288271331</v>
      </c>
      <c r="L101" s="38" t="n">
        <f aca="false">$K$118*$L$100</f>
        <v>18.9160788271331</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0.2824375</v>
      </c>
      <c r="H104" s="38" t="n">
        <f aca="false">$G$123*Assumptions!$D$9</f>
        <v>0.21889666875</v>
      </c>
      <c r="I104" s="38" t="n">
        <f aca="false">$H$123*Assumptions!$D$9</f>
        <v>0.300868634234375</v>
      </c>
      <c r="J104" s="38" t="n">
        <f aca="false">$I$123*Assumptions!$D$9</f>
        <v>0.390272012876367</v>
      </c>
      <c r="K104" s="38" t="n">
        <f aca="false">$J$123*Assumptions!$D$9</f>
        <v>0.664049321500293</v>
      </c>
      <c r="L104" s="38" t="n">
        <f aca="false">$K$123*Assumptions!$D$9</f>
        <v>1.16178114969204</v>
      </c>
    </row>
    <row r="105" customFormat="false" ht="15" hidden="false" customHeight="false" outlineLevel="0" collapsed="false">
      <c r="B105" s="17" t="s">
        <v>585</v>
      </c>
      <c r="F105" s="40" t="n">
        <f aca="false">$F$101+$F$102+$F$103-$F$104</f>
        <v>24.625</v>
      </c>
      <c r="G105" s="40" t="n">
        <f aca="false">$G$101+$G$102+$G$103-$G$104</f>
        <v>24.000953125</v>
      </c>
      <c r="H105" s="40" t="n">
        <f aca="false">$H$101+$H$102+$H$103-$H$104</f>
        <v>27.1929331140625</v>
      </c>
      <c r="I105" s="40" t="n">
        <f aca="false">$I$101+$I$102+$I$103-$I$104</f>
        <v>26.457019453082</v>
      </c>
      <c r="J105" s="40" t="n">
        <f aca="false">$J$101+$J$102+$J$103-$J$104</f>
        <v>25.3337100197155</v>
      </c>
      <c r="K105" s="40" t="n">
        <f aca="false">$K$101+$K$102+$K$103-$K$104</f>
        <v>24.1772795056328</v>
      </c>
      <c r="L105" s="40" t="n">
        <f aca="false">$L$101+$L$102+$L$103-$L$104</f>
        <v>23.4542976774411</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2.1746192893401</v>
      </c>
      <c r="G107" s="24" t="n">
        <f aca="false">IF($G$105&lt;&gt;0,$G$72/$G$105,0)</f>
        <v>2.42067886626898</v>
      </c>
      <c r="H107" s="24" t="n">
        <f aca="false">IF($H$105&lt;&gt;0,$H$72/$H$105,0)</f>
        <v>2.012506255594</v>
      </c>
      <c r="I107" s="24" t="n">
        <f aca="false">IF($I$105&lt;&gt;0,$I$72/$I$105,0)</f>
        <v>2.52869296326599</v>
      </c>
      <c r="J107" s="24" t="n">
        <f aca="false">IF($J$105&lt;&gt;0,$J$72/$J$105,0)</f>
        <v>2.93271711692366</v>
      </c>
      <c r="K107" s="24" t="n">
        <f aca="false">IF($K$105&lt;&gt;0,$K$72/$K$105,0)</f>
        <v>3.19094913852595</v>
      </c>
      <c r="L107" s="24" t="n">
        <f aca="false">IF($L$105&lt;&gt;0,$L$72/$L$105,0)</f>
        <v>3.41576665737777</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2.65</v>
      </c>
      <c r="K109" s="38" t="n">
        <f aca="false">IF($D$14=1,0,MIN($J$118,Assumptions!$D$85*$J$119))</f>
        <v>2.65</v>
      </c>
      <c r="L109" s="38" t="n">
        <f aca="false">IF($D$14=1,0,MIN($K$118,Assumptions!$D$85*$K$119))</f>
        <v>2.65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18.24375</v>
      </c>
      <c r="G112" s="19" t="n">
        <f aca="false">$G$95+$G$110-$G$111</f>
        <v>11.889666875</v>
      </c>
      <c r="H112" s="19" t="n">
        <f aca="false">$H$95+$H$110-$H$111</f>
        <v>20.0868634234375</v>
      </c>
      <c r="I112" s="19" t="n">
        <f aca="false">$I$95+$I$110-$I$111</f>
        <v>29.0272012876367</v>
      </c>
      <c r="J112" s="19" t="n">
        <f aca="false">$J$95+$J$110-$J$111</f>
        <v>40.9366214333529</v>
      </c>
      <c r="K112" s="19" t="n">
        <f aca="false">$K$95+$K$110-$K$111</f>
        <v>58.0890574846019</v>
      </c>
      <c r="L112" s="19" t="n">
        <f aca="false">$L$95+$L$110-$L$111</f>
        <v>85.6681855589896</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8.24375</v>
      </c>
      <c r="G114" s="19" t="n">
        <f aca="false">MAX(0,$G$112-Assumptions!$D$79)</f>
        <v>1.88966687500001</v>
      </c>
      <c r="H114" s="19" t="n">
        <f aca="false">MAX(0,$H$112-Assumptions!$D$79)</f>
        <v>10.0868634234375</v>
      </c>
      <c r="I114" s="19" t="n">
        <f aca="false">MAX(0,$I$112-Assumptions!$D$79)</f>
        <v>19.0272012876367</v>
      </c>
      <c r="J114" s="19" t="n">
        <f aca="false">MAX(0,$J$112-Assumptions!$D$79)</f>
        <v>30.9366214333529</v>
      </c>
      <c r="K114" s="19" t="n">
        <f aca="false">MAX(0,$K$112-Assumptions!$D$79)</f>
        <v>48.0890574846019</v>
      </c>
      <c r="L114" s="19" t="n">
        <f aca="false">MAX(0,$L$112-Assumptions!$D$79)</f>
        <v>75.6681855589896</v>
      </c>
    </row>
    <row r="115" customFormat="false" ht="15" hidden="false" customHeight="false" outlineLevel="0" collapsed="false">
      <c r="B115" s="17" t="s">
        <v>595</v>
      </c>
      <c r="F115" s="18" t="n">
        <f aca="false">IF(AND($D$19=1,$D$14=0,$E$121-$F$111+$F$110=0),MIN($E$118-$F$109+$F$84,$F$113*$F$114),0)</f>
        <v>4.121875</v>
      </c>
      <c r="G115" s="18" t="n">
        <f aca="false">IF(AND($D$19=1,$D$14=0,$F$121-$G$111+$G$110=0),MIN($F$118-$G$109+$G$84,$G$113*$G$114),0)</f>
        <v>0.944833437500003</v>
      </c>
      <c r="H115" s="18" t="n">
        <f aca="false">IF(AND($D$19=1,$D$14=0,$G$121-$H$111+$H$110=0),MIN($G$118-$H$109+$H$84,$H$113*$H$114),0)</f>
        <v>5.04343171171876</v>
      </c>
      <c r="I115" s="18" t="n">
        <f aca="false">IF(AND($D$19=1,$D$14=0,$H$121-$I$111+$I$110=0),MIN($H$118-$I$109+$I$84,$I$113*$I$114),0)</f>
        <v>9.51360064381836</v>
      </c>
      <c r="J115" s="18" t="n">
        <f aca="false">IF(AND($D$19=1,$D$14=0,$I$121-$J$111+$J$110=0),MIN($I$118-$J$109+$J$84,$J$113*$J$114),0)</f>
        <v>7.73415535833822</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218.628125</v>
      </c>
      <c r="G118" s="19" t="n">
        <f aca="false">$F$118-$G$109-$G$115+$G$84+$G$86</f>
        <v>255.4332915625</v>
      </c>
      <c r="H118" s="19" t="n">
        <f aca="false">$G$118-$H$109-$H$115+$H$84+$H$86</f>
        <v>247.739859850781</v>
      </c>
      <c r="I118" s="19" t="n">
        <f aca="false">$H$118-$I$109-$I$115+$I$84+$I$86</f>
        <v>235.576259206963</v>
      </c>
      <c r="J118" s="19" t="n">
        <f aca="false">$I$118-$J$109-$J$115+$J$84+$J$86</f>
        <v>225.192103848625</v>
      </c>
      <c r="K118" s="19" t="n">
        <f aca="false">$J$118-$K$109-$K$115+$K$84+$K$86</f>
        <v>222.542103848625</v>
      </c>
      <c r="L118" s="19" t="n">
        <f aca="false">$K$118-$L$109-$L$115+$L$84+$L$86</f>
        <v>219.892103848625</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268.628125</v>
      </c>
      <c r="G122" s="18" t="n">
        <f aca="false">$G$118+$G$120+$G$121</f>
        <v>305.4332915625</v>
      </c>
      <c r="H122" s="18" t="n">
        <f aca="false">$H$118+$H$120+$H$121</f>
        <v>297.739859850781</v>
      </c>
      <c r="I122" s="18" t="n">
        <f aca="false">$I$118+$I$120+$I$121</f>
        <v>285.576259206963</v>
      </c>
      <c r="J122" s="18" t="n">
        <f aca="false">$J$118+$J$120+$J$121</f>
        <v>275.192103848625</v>
      </c>
      <c r="K122" s="18" t="n">
        <f aca="false">$K$118+$K$120+$K$121</f>
        <v>272.542103848625</v>
      </c>
      <c r="L122" s="18" t="n">
        <f aca="false">$L$118+$L$120+$L$121</f>
        <v>269.892103848625</v>
      </c>
    </row>
    <row r="123" customFormat="false" ht="15" hidden="false" customHeight="false" outlineLevel="0" collapsed="false">
      <c r="B123" s="9" t="s">
        <v>600</v>
      </c>
      <c r="E123" s="19" t="n">
        <f aca="false">Assumptions!$D$78</f>
        <v>10</v>
      </c>
      <c r="F123" s="19" t="n">
        <f aca="false">$F$112-$F$115</f>
        <v>14.121875</v>
      </c>
      <c r="G123" s="19" t="n">
        <f aca="false">$G$112-$G$115</f>
        <v>10.9448334375</v>
      </c>
      <c r="H123" s="19" t="n">
        <f aca="false">$H$112-$H$115</f>
        <v>15.0434317117188</v>
      </c>
      <c r="I123" s="19" t="n">
        <f aca="false">$I$112-$I$115</f>
        <v>19.5136006438184</v>
      </c>
      <c r="J123" s="19" t="n">
        <f aca="false">$J$112-$J$115</f>
        <v>33.2024660750147</v>
      </c>
      <c r="K123" s="19" t="n">
        <f aca="false">$K$112-$K$115</f>
        <v>58.0890574846019</v>
      </c>
      <c r="L123" s="19" t="n">
        <f aca="false">$L$112-$L$115</f>
        <v>85.6681855589896</v>
      </c>
    </row>
    <row r="124" customFormat="false" ht="15" hidden="false" customHeight="false" outlineLevel="0" collapsed="false">
      <c r="B124" s="17" t="s">
        <v>601</v>
      </c>
      <c r="E124" s="18" t="n">
        <f aca="false">$E$122-$E$123</f>
        <v>265</v>
      </c>
      <c r="F124" s="18" t="n">
        <f aca="false">$F$122-$F$123</f>
        <v>254.50625</v>
      </c>
      <c r="G124" s="18" t="n">
        <f aca="false">$G$122-$G$123</f>
        <v>294.488458125</v>
      </c>
      <c r="H124" s="18" t="n">
        <f aca="false">$H$122-$H$123</f>
        <v>282.696428139063</v>
      </c>
      <c r="I124" s="18" t="n">
        <f aca="false">$I$122-$I$123</f>
        <v>266.062658563145</v>
      </c>
      <c r="J124" s="18" t="n">
        <f aca="false">$J$122-$J$123</f>
        <v>241.98963777361</v>
      </c>
      <c r="K124" s="18" t="n">
        <f aca="false">$K$122-$K$123</f>
        <v>214.453046364023</v>
      </c>
      <c r="L124" s="18" t="n">
        <f aca="false">$L$122-$L$123</f>
        <v>184.223918289635</v>
      </c>
    </row>
    <row r="125" customFormat="false" ht="15" hidden="false" customHeight="false" outlineLevel="0" collapsed="false">
      <c r="B125" s="9" t="s">
        <v>538</v>
      </c>
      <c r="E125" s="24" t="n">
        <f aca="false">$E$124/$E$72</f>
        <v>5.3</v>
      </c>
      <c r="F125" s="24" t="n">
        <f aca="false">$F$124/$F$72</f>
        <v>4.75268440709617</v>
      </c>
      <c r="G125" s="24" t="n">
        <f aca="false">$G$124/$G$72</f>
        <v>5.0687702995425</v>
      </c>
      <c r="H125" s="24" t="n">
        <f aca="false">$H$124/$H$72</f>
        <v>5.16567439158957</v>
      </c>
      <c r="I125" s="24" t="n">
        <f aca="false">$I$124/$I$72</f>
        <v>3.9769205027171</v>
      </c>
      <c r="J125" s="24" t="n">
        <f aca="false">$J$124/$J$72</f>
        <v>3.25707530971354</v>
      </c>
      <c r="K125" s="24" t="n">
        <f aca="false">$K$124/$K$72</f>
        <v>2.77974467360026</v>
      </c>
      <c r="L125" s="24" t="n">
        <f aca="false">$L$124/$L$72</f>
        <v>2.29951044933575</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41.79</v>
      </c>
      <c r="G129" s="38" t="n">
        <f aca="false">$G$72-$G$74</f>
        <v>45.633</v>
      </c>
      <c r="H129" s="38" t="n">
        <f aca="false">$H$72-$H$74</f>
        <v>40.824284</v>
      </c>
      <c r="I129" s="38" t="n">
        <f aca="false">$I$72-$I$74</f>
        <v>52.09241844</v>
      </c>
      <c r="J129" s="38" t="n">
        <f aca="false">$J$72-$J$74</f>
        <v>58.769595106</v>
      </c>
      <c r="K129" s="38" t="n">
        <f aca="false">$K$72-$K$74</f>
        <v>61.00037891024</v>
      </c>
      <c r="L129" s="38" t="n">
        <f aca="false">$L$72-$L$74</f>
        <v>63.3203940666496</v>
      </c>
    </row>
    <row r="130" customFormat="false" ht="15" hidden="false" customHeight="false" outlineLevel="0" collapsed="false">
      <c r="B130" s="9" t="s">
        <v>605</v>
      </c>
      <c r="F130" s="38" t="n">
        <f aca="false">$F$105+$F$106</f>
        <v>25.4107142857143</v>
      </c>
      <c r="G130" s="38" t="n">
        <f aca="false">$G$105+$G$106</f>
        <v>24.7866674107143</v>
      </c>
      <c r="H130" s="38" t="n">
        <f aca="false">$H$105+$H$106</f>
        <v>28.1386473997768</v>
      </c>
      <c r="I130" s="38" t="n">
        <f aca="false">$I$105+$I$106</f>
        <v>27.4027337387963</v>
      </c>
      <c r="J130" s="38" t="n">
        <f aca="false">$J$105+$J$106</f>
        <v>26.2794243054298</v>
      </c>
      <c r="K130" s="38" t="n">
        <f aca="false">$K$105+$K$106</f>
        <v>25.1229937913471</v>
      </c>
      <c r="L130" s="38" t="n">
        <f aca="false">$L$105+$L$106</f>
        <v>24.4000119631553</v>
      </c>
    </row>
    <row r="131" customFormat="false" ht="15" hidden="false" customHeight="false" outlineLevel="0" collapsed="false">
      <c r="B131" s="9" t="s">
        <v>606</v>
      </c>
      <c r="F131" s="38" t="n">
        <f aca="false">$F$129-$F$130-$F$83-$F$87-$F$89</f>
        <v>16.3792857142857</v>
      </c>
      <c r="G131" s="38" t="n">
        <f aca="false">$G$129-$G$130-$G$83-$G$87-$G$89</f>
        <v>19.3463325892857</v>
      </c>
      <c r="H131" s="38" t="n">
        <f aca="false">$H$129-$H$130-$H$83-$H$87-$H$89</f>
        <v>12.6856366002232</v>
      </c>
      <c r="I131" s="38" t="n">
        <f aca="false">$I$129-$I$130-$I$83-$I$87-$I$89</f>
        <v>24.6896847012037</v>
      </c>
      <c r="J131" s="38" t="n">
        <f aca="false">$J$129-$J$130-$J$83-$J$87-$J$89</f>
        <v>32.4901708005702</v>
      </c>
      <c r="K131" s="38" t="n">
        <f aca="false">$K$129-$K$130-$K$83-$K$87-$K$89</f>
        <v>35.8773851188929</v>
      </c>
      <c r="L131" s="38" t="n">
        <f aca="false">$L$129-$L$130-$L$83-$L$87-$L$89</f>
        <v>38.9203821034943</v>
      </c>
    </row>
    <row r="132" customFormat="false" ht="15" hidden="false" customHeight="false" outlineLevel="0" collapsed="false">
      <c r="B132" s="9" t="s">
        <v>607</v>
      </c>
      <c r="F132" s="38" t="n">
        <f aca="false">Assumptions!$D$8*$F$72</f>
        <v>16.065</v>
      </c>
      <c r="G132" s="38" t="n">
        <f aca="false">Assumptions!$D$8*$G$72</f>
        <v>17.42958</v>
      </c>
      <c r="H132" s="38" t="n">
        <f aca="false">Assumptions!$D$8*$H$72</f>
        <v>16.4177844</v>
      </c>
      <c r="I132" s="38" t="n">
        <f aca="false">Assumptions!$D$8*$I$72</f>
        <v>20.070503676</v>
      </c>
      <c r="J132" s="38" t="n">
        <f aca="false">Assumptions!$D$8*$J$72</f>
        <v>22.288981503</v>
      </c>
      <c r="K132" s="38" t="n">
        <f aca="false">Assumptions!$D$8*$K$72</f>
        <v>23.14454076312</v>
      </c>
      <c r="L132" s="38" t="n">
        <f aca="false">Assumptions!$D$8*$L$72</f>
        <v>24.0343223936448</v>
      </c>
    </row>
    <row r="133" customFormat="false" ht="15" hidden="false" customHeight="false" outlineLevel="0" collapsed="false">
      <c r="B133" s="9" t="s">
        <v>608</v>
      </c>
      <c r="F133" s="38" t="n">
        <f aca="false">$F$130+$E$135</f>
        <v>25.4107142857143</v>
      </c>
      <c r="G133" s="38" t="n">
        <f aca="false">$G$130+$F$135</f>
        <v>34.1323816964286</v>
      </c>
      <c r="H133" s="38" t="n">
        <f aca="false">$H$130+$G$135</f>
        <v>44.8414490962054</v>
      </c>
      <c r="I133" s="38" t="n">
        <f aca="false">$I$130+$H$135</f>
        <v>55.8263984350017</v>
      </c>
      <c r="J133" s="38" t="n">
        <f aca="false">$J$130+$I$135</f>
        <v>62.0353190644314</v>
      </c>
      <c r="K133" s="38" t="n">
        <f aca="false">$K$130+$J$135</f>
        <v>64.8693313527785</v>
      </c>
      <c r="L133" s="38" t="n">
        <f aca="false">$L$130+$K$135</f>
        <v>66.1248025528139</v>
      </c>
    </row>
    <row r="134" customFormat="false" ht="15" hidden="false" customHeight="false" outlineLevel="0" collapsed="false">
      <c r="B134" s="9" t="s">
        <v>609</v>
      </c>
      <c r="F134" s="38" t="n">
        <f aca="false">MIN($F$133,$F$132)</f>
        <v>16.065</v>
      </c>
      <c r="G134" s="38" t="n">
        <f aca="false">MIN($G$133,$G$132)</f>
        <v>17.42958</v>
      </c>
      <c r="H134" s="38" t="n">
        <f aca="false">MIN($H$133,$H$132)</f>
        <v>16.4177844</v>
      </c>
      <c r="I134" s="38" t="n">
        <f aca="false">MIN($I$133,$I$132)</f>
        <v>20.070503676</v>
      </c>
      <c r="J134" s="38" t="n">
        <f aca="false">MIN($J$133,$J$132)</f>
        <v>22.288981503</v>
      </c>
      <c r="K134" s="38" t="n">
        <f aca="false">MIN($K$133,$K$132)</f>
        <v>23.14454076312</v>
      </c>
      <c r="L134" s="38" t="n">
        <f aca="false">MIN($L$133,$L$132)</f>
        <v>24.0343223936448</v>
      </c>
    </row>
    <row r="135" customFormat="false" ht="15" hidden="false" customHeight="false" outlineLevel="0" collapsed="false">
      <c r="B135" s="9" t="s">
        <v>610</v>
      </c>
      <c r="E135" s="38" t="n">
        <f aca="false">0</f>
        <v>0</v>
      </c>
      <c r="F135" s="38" t="n">
        <f aca="false">$F$133-$F$134</f>
        <v>9.34571428571429</v>
      </c>
      <c r="G135" s="38" t="n">
        <f aca="false">$G$133-$G$134</f>
        <v>16.7028016964286</v>
      </c>
      <c r="H135" s="38" t="n">
        <f aca="false">$H$133-$H$134</f>
        <v>28.4236646962054</v>
      </c>
      <c r="I135" s="38" t="n">
        <f aca="false">$I$133-$I$134</f>
        <v>35.7558947590017</v>
      </c>
      <c r="J135" s="38" t="n">
        <f aca="false">$J$133-$J$134</f>
        <v>39.7463375614314</v>
      </c>
      <c r="K135" s="38" t="n">
        <f aca="false">$K$133-$K$134</f>
        <v>41.7247905896585</v>
      </c>
      <c r="L135" s="38" t="n">
        <f aca="false">$L$133-$L$134</f>
        <v>42.0904801591691</v>
      </c>
    </row>
    <row r="136" customFormat="false" ht="15" hidden="false" customHeight="false" outlineLevel="0" collapsed="false">
      <c r="B136" s="9" t="s">
        <v>611</v>
      </c>
      <c r="F136" s="38" t="n">
        <f aca="false">$F$129-$F$134-$F$83-$F$87-$F$89</f>
        <v>25.725</v>
      </c>
      <c r="G136" s="38" t="n">
        <f aca="false">$G$129-$G$134-$G$83-$G$87-$G$89</f>
        <v>26.70342</v>
      </c>
      <c r="H136" s="38" t="n">
        <f aca="false">$H$129-$H$134-$H$83-$H$87-$H$89</f>
        <v>24.4064996</v>
      </c>
      <c r="I136" s="38" t="n">
        <f aca="false">$I$129-$I$134-$I$83-$I$87-$I$89</f>
        <v>32.021914764</v>
      </c>
      <c r="J136" s="38" t="n">
        <f aca="false">$J$129-$J$134-$J$83-$J$87-$J$89</f>
        <v>36.480613603</v>
      </c>
      <c r="K136" s="38" t="n">
        <f aca="false">$K$129-$K$134-$K$83-$K$87-$K$89</f>
        <v>37.85583814712</v>
      </c>
      <c r="L136" s="38" t="n">
        <f aca="false">$L$129-$L$134-$L$83-$L$87-$L$89</f>
        <v>39.2860716730048</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6.43125</v>
      </c>
      <c r="G139" s="40" t="n">
        <f aca="false">IF($G$136&lt;0,0,Assumptions!$D$7*($G$136-$G$137))</f>
        <v>6.675855</v>
      </c>
      <c r="H139" s="40" t="n">
        <f aca="false">IF($H$136&lt;0,0,Assumptions!$D$7*($H$136-$H$137))</f>
        <v>6.1016249</v>
      </c>
      <c r="I139" s="40" t="n">
        <f aca="false">IF($I$136&lt;0,0,Assumptions!$D$7*($I$136-$I$137))</f>
        <v>8.005478691</v>
      </c>
      <c r="J139" s="40" t="n">
        <f aca="false">IF($J$136&lt;0,0,Assumptions!$D$7*($J$136-$J$137))</f>
        <v>9.12015340075</v>
      </c>
      <c r="K139" s="40" t="n">
        <f aca="false">IF($K$136&lt;0,0,Assumptions!$D$7*($K$136-$K$137))</f>
        <v>9.46395953678</v>
      </c>
      <c r="L139" s="40" t="n">
        <f aca="false">IF($L$136&lt;0,0,Assumptions!$D$7*($L$136-$L$137))</f>
        <v>9.8215179182512</v>
      </c>
    </row>
    <row r="140" customFormat="false" ht="15" hidden="false" customHeight="false" outlineLevel="0" collapsed="false">
      <c r="B140" s="9" t="s">
        <v>615</v>
      </c>
      <c r="F140" s="19" t="n">
        <f aca="false">$F$131-$F$139</f>
        <v>9.94803571428571</v>
      </c>
      <c r="G140" s="19" t="n">
        <f aca="false">$G$131-$G$139</f>
        <v>12.6704775892857</v>
      </c>
      <c r="H140" s="19" t="n">
        <f aca="false">$H$131-$H$139</f>
        <v>6.58401170022321</v>
      </c>
      <c r="I140" s="19" t="n">
        <f aca="false">$I$131-$I$139</f>
        <v>16.6842060102037</v>
      </c>
      <c r="J140" s="19" t="n">
        <f aca="false">$J$131-$J$139</f>
        <v>23.3700173998202</v>
      </c>
      <c r="K140" s="19" t="n">
        <f aca="false">$K$131-$K$139</f>
        <v>26.4134255821129</v>
      </c>
      <c r="L140" s="19" t="n">
        <f aca="false">$L$131-$L$139</f>
        <v>29.0988641852431</v>
      </c>
    </row>
    <row r="141" customFormat="false" ht="15" hidden="false" customHeight="false" outlineLevel="0" collapsed="false">
      <c r="B141" s="9" t="s">
        <v>616</v>
      </c>
      <c r="F141" s="38" t="n">
        <f aca="false">Assumptions!$D$7*($F$129-$F$130)</f>
        <v>4.09482142857143</v>
      </c>
      <c r="G141" s="38" t="n">
        <f aca="false">Assumptions!$D$7*($G$129-$G$130)</f>
        <v>5.21158314732143</v>
      </c>
      <c r="H141" s="38" t="n">
        <f aca="false">Assumptions!$D$7*($H$129-$H$130)</f>
        <v>3.1714091500558</v>
      </c>
      <c r="I141" s="38" t="n">
        <f aca="false">Assumptions!$D$7*($I$129-$I$130)</f>
        <v>6.17242117530092</v>
      </c>
      <c r="J141" s="38" t="n">
        <f aca="false">Assumptions!$D$7*($J$129-$J$130)</f>
        <v>8.12254270014256</v>
      </c>
      <c r="K141" s="38" t="n">
        <f aca="false">Assumptions!$D$7*($K$129-$K$130)</f>
        <v>8.96934627972323</v>
      </c>
      <c r="L141" s="38" t="n">
        <f aca="false">Assumptions!$D$7*($L$129-$L$130)</f>
        <v>9.73009552587356</v>
      </c>
    </row>
    <row r="142" customFormat="false" ht="15" hidden="false" customHeight="false" outlineLevel="0" collapsed="false">
      <c r="B142" s="9" t="s">
        <v>617</v>
      </c>
      <c r="F142" s="38" t="n">
        <f aca="false">$F$139-$F$141</f>
        <v>2.33642857142857</v>
      </c>
      <c r="G142" s="38" t="n">
        <f aca="false">$G$139-$G$141</f>
        <v>1.46427185267857</v>
      </c>
      <c r="H142" s="38" t="n">
        <f aca="false">$H$139-$H$141</f>
        <v>2.9302157499442</v>
      </c>
      <c r="I142" s="38" t="n">
        <f aca="false">$I$139-$I$141</f>
        <v>1.83305751569908</v>
      </c>
      <c r="J142" s="38" t="n">
        <f aca="false">$J$139-$J$141</f>
        <v>0.997610700607442</v>
      </c>
      <c r="K142" s="38" t="n">
        <f aca="false">$K$139-$K$141</f>
        <v>0.494613257056772</v>
      </c>
      <c r="L142" s="38" t="n">
        <f aca="false">$L$139-$L$141</f>
        <v>0.0914223923776341</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14.121875</v>
      </c>
      <c r="G145" s="19" t="n">
        <f aca="false">$G$123</f>
        <v>10.9448334375</v>
      </c>
      <c r="H145" s="19" t="n">
        <f aca="false">$H$123</f>
        <v>15.0434317117188</v>
      </c>
      <c r="I145" s="19" t="n">
        <f aca="false">$I$123</f>
        <v>19.5136006438184</v>
      </c>
      <c r="J145" s="19" t="n">
        <f aca="false">$J$123</f>
        <v>33.2024660750147</v>
      </c>
      <c r="K145" s="19" t="n">
        <f aca="false">$K$123</f>
        <v>58.0890574846019</v>
      </c>
      <c r="L145" s="19" t="n">
        <f aca="false">$L$123</f>
        <v>85.6681855589896</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469.076160714286</v>
      </c>
      <c r="G150" s="18" t="n">
        <f aca="false">$G$145+$G$146+$G$147+$G$148+$G$149</f>
        <v>518.551804866071</v>
      </c>
      <c r="H150" s="18" t="n">
        <f aca="false">$H$145+$H$146+$H$147+$H$148+$H$149</f>
        <v>517.442384854576</v>
      </c>
      <c r="I150" s="18" t="n">
        <f aca="false">$I$145+$I$146+$I$147+$I$148+$I$149</f>
        <v>521.962990220961</v>
      </c>
      <c r="J150" s="18" t="n">
        <f aca="false">$J$145+$J$146+$J$147+$J$148+$J$149</f>
        <v>534.948852262443</v>
      </c>
      <c r="K150" s="18" t="n">
        <f aca="false">$K$145+$K$146+$K$147+$K$148+$K$149</f>
        <v>558.712277844556</v>
      </c>
      <c r="L150" s="18" t="n">
        <f aca="false">$L$145+$L$146+$L$147+$L$148+$L$149</f>
        <v>585.161142029799</v>
      </c>
    </row>
    <row r="151" customFormat="false" ht="15" hidden="false" customHeight="false" outlineLevel="0" collapsed="false">
      <c r="B151" s="9" t="s">
        <v>291</v>
      </c>
      <c r="E151" s="19" t="n">
        <f aca="false">$E$122</f>
        <v>275</v>
      </c>
      <c r="F151" s="19" t="n">
        <f aca="false">$F$122</f>
        <v>268.628125</v>
      </c>
      <c r="G151" s="19" t="n">
        <f aca="false">$G$122</f>
        <v>305.4332915625</v>
      </c>
      <c r="H151" s="19" t="n">
        <f aca="false">$H$122</f>
        <v>297.739859850781</v>
      </c>
      <c r="I151" s="19" t="n">
        <f aca="false">$I$122</f>
        <v>285.576259206963</v>
      </c>
      <c r="J151" s="19" t="n">
        <f aca="false">$J$122</f>
        <v>275.192103848625</v>
      </c>
      <c r="K151" s="19" t="n">
        <f aca="false">$K$122</f>
        <v>272.542103848625</v>
      </c>
      <c r="L151" s="19" t="n">
        <f aca="false">$L$122</f>
        <v>269.892103848625</v>
      </c>
    </row>
    <row r="152" customFormat="false" ht="15" hidden="false" customHeight="false" outlineLevel="0" collapsed="false">
      <c r="B152" s="9" t="s">
        <v>624</v>
      </c>
      <c r="E152" s="19" t="n">
        <f aca="false">$D$46-Assumptions!$D$76</f>
        <v>190.5</v>
      </c>
      <c r="F152" s="19" t="n">
        <f aca="false">$E$152+$F$140-$F$88+$F$90</f>
        <v>200.448035714286</v>
      </c>
      <c r="G152" s="19" t="n">
        <f aca="false">$F$152+$G$140-$G$88+$G$90</f>
        <v>213.118513303571</v>
      </c>
      <c r="H152" s="19" t="n">
        <f aca="false">$G$152+$H$140-$H$88+$H$90</f>
        <v>219.702525003795</v>
      </c>
      <c r="I152" s="19" t="n">
        <f aca="false">$H$152+$I$140-$I$88+$I$90</f>
        <v>236.386731013998</v>
      </c>
      <c r="J152" s="19" t="n">
        <f aca="false">$I$152+$J$140-$J$88+$J$90</f>
        <v>259.756748413819</v>
      </c>
      <c r="K152" s="19" t="n">
        <f aca="false">$J$152+$K$140-$K$88+$K$90</f>
        <v>286.170173995931</v>
      </c>
      <c r="L152" s="19" t="n">
        <f aca="false">$K$152+$L$140-$L$88+$L$90</f>
        <v>315.269038181174</v>
      </c>
    </row>
    <row r="153" customFormat="false" ht="15" hidden="false" customHeight="false" outlineLevel="0" collapsed="false">
      <c r="B153" s="17" t="s">
        <v>625</v>
      </c>
      <c r="E153" s="18" t="n">
        <f aca="false">$E$151+$E$152</f>
        <v>465.5</v>
      </c>
      <c r="F153" s="18" t="n">
        <f aca="false">$F$151+$F$152</f>
        <v>469.076160714286</v>
      </c>
      <c r="G153" s="18" t="n">
        <f aca="false">$G$151+$G$152</f>
        <v>518.551804866072</v>
      </c>
      <c r="H153" s="18" t="n">
        <f aca="false">$H$151+$H$152</f>
        <v>517.442384854576</v>
      </c>
      <c r="I153" s="18" t="n">
        <f aca="false">$I$151+$I$152</f>
        <v>521.962990220961</v>
      </c>
      <c r="J153" s="18" t="n">
        <f aca="false">$J$151+$J$152</f>
        <v>534.948852262443</v>
      </c>
      <c r="K153" s="18" t="n">
        <f aca="false">$K$151+$K$152</f>
        <v>558.712277844556</v>
      </c>
      <c r="L153" s="18" t="n">
        <f aca="false">$L$151+$L$152</f>
        <v>585.161142029799</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53.55</v>
      </c>
      <c r="G157" s="19" t="n">
        <f aca="false">$G$72+IF(AND($D$12=1,$G$64=Assumptions!$D$116),Assumptions!$D$118,0)</f>
        <v>66.0986</v>
      </c>
      <c r="H157" s="19" t="n">
        <f aca="false">$H$72+IF(AND($D$12=1,$H$64=Assumptions!$D$116),Assumptions!$D$118,0)</f>
        <v>54.725948</v>
      </c>
      <c r="I157" s="19" t="n">
        <f aca="false">$I$72+IF(AND($D$12=1,$I$64=Assumptions!$D$116),Assumptions!$D$118,0)</f>
        <v>66.90167892</v>
      </c>
      <c r="J157" s="19" t="n">
        <f aca="false">$J$72+IF(AND($D$12=1,$J$64=Assumptions!$D$116),Assumptions!$D$118,0)</f>
        <v>74.29660501</v>
      </c>
      <c r="K157" s="19" t="n">
        <f aca="false">$K$72+IF(AND($D$12=1,$K$64=Assumptions!$D$116),Assumptions!$D$118,0)</f>
        <v>77.1484692104</v>
      </c>
      <c r="L157" s="19" t="n">
        <f aca="false">$L$72+IF(AND($D$12=1,$L$64=Assumptions!$D$116),Assumptions!$D$118,0)</f>
        <v>80.114407978816</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53.55</v>
      </c>
      <c r="G159" s="18" t="n">
        <f aca="false">$G$157+$G$158+$G$90</f>
        <v>69.0986</v>
      </c>
      <c r="H159" s="18" t="n">
        <f aca="false">$H$157+$H$158+$H$90</f>
        <v>56.725948</v>
      </c>
      <c r="I159" s="18" t="n">
        <f aca="false">$I$157+$I$158+$I$90</f>
        <v>67.40167892</v>
      </c>
      <c r="J159" s="18" t="n">
        <f aca="false">$J$157+$J$158+$J$90</f>
        <v>74.29660501</v>
      </c>
      <c r="K159" s="18" t="n">
        <f aca="false">$K$157+$K$158+$K$90</f>
        <v>77.1484692104</v>
      </c>
      <c r="L159" s="18" t="n">
        <f aca="false">$L$157+$L$158+$L$90</f>
        <v>80.114407978816</v>
      </c>
    </row>
    <row r="160" customFormat="false" ht="15" hidden="false" customHeight="false" outlineLevel="0" collapsed="false">
      <c r="B160" s="9" t="s">
        <v>631</v>
      </c>
      <c r="F160" s="19" t="n">
        <f aca="false">$F$124</f>
        <v>254.50625</v>
      </c>
      <c r="G160" s="19" t="n">
        <f aca="false">$G$124</f>
        <v>294.488458125</v>
      </c>
      <c r="H160" s="19" t="n">
        <f aca="false">$H$124</f>
        <v>282.696428139063</v>
      </c>
      <c r="I160" s="19" t="n">
        <f aca="false">$I$124</f>
        <v>266.062658563145</v>
      </c>
      <c r="J160" s="19" t="n">
        <f aca="false">$J$124</f>
        <v>241.98963777361</v>
      </c>
      <c r="K160" s="19" t="n">
        <f aca="false">$K$124</f>
        <v>214.453046364023</v>
      </c>
      <c r="L160" s="19" t="n">
        <f aca="false">$L$124</f>
        <v>184.223918289635</v>
      </c>
    </row>
    <row r="161" customFormat="false" ht="15" hidden="false" customHeight="false" outlineLevel="0" collapsed="false">
      <c r="B161" s="17" t="s">
        <v>632</v>
      </c>
      <c r="F161" s="41" t="n">
        <f aca="false">$F$124/$F$159</f>
        <v>4.75268440709617</v>
      </c>
      <c r="G161" s="41" t="n">
        <f aca="false">$G$124/$G$159</f>
        <v>4.26185853439867</v>
      </c>
      <c r="H161" s="41" t="n">
        <f aca="false">$H$124/$H$159</f>
        <v>4.98354700284714</v>
      </c>
      <c r="I161" s="41" t="n">
        <f aca="false">$I$124/$I$159</f>
        <v>3.9474188599803</v>
      </c>
      <c r="J161" s="41" t="n">
        <f aca="false">$J$124/$J$159</f>
        <v>3.25707530971354</v>
      </c>
      <c r="K161" s="41" t="n">
        <f aca="false">$K$124/$K$159</f>
        <v>2.77974467360026</v>
      </c>
      <c r="L161" s="41" t="n">
        <f aca="false">$L$124/$L$159</f>
        <v>2.29951044933575</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0.997315592903828</v>
      </c>
      <c r="G163" s="24" t="n">
        <f aca="false">$G$162-$G$161</f>
        <v>0.988141465601329</v>
      </c>
      <c r="H163" s="24" t="n">
        <f aca="false">$H$162-$H$161</f>
        <v>-0.233547002847136</v>
      </c>
      <c r="I163" s="24" t="n">
        <f aca="false">$I$162-$I$161</f>
        <v>0.302581140019701</v>
      </c>
      <c r="J163" s="24" t="n">
        <f aca="false">$J$162-$J$161</f>
        <v>0.742924690286464</v>
      </c>
      <c r="K163" s="24" t="n">
        <f aca="false">$K$162-$K$161</f>
        <v>1.22025532639974</v>
      </c>
      <c r="L163" s="24" t="n">
        <f aca="false">$L$162-$L$161</f>
        <v>1.70048955066425</v>
      </c>
    </row>
    <row r="164" customFormat="false" ht="15" hidden="false" customHeight="false" outlineLevel="0" collapsed="false">
      <c r="B164" s="9" t="s">
        <v>635</v>
      </c>
      <c r="F164" s="14" t="n">
        <f aca="false">1-$F$124/($F$162*$F$159)</f>
        <v>0.173446190070231</v>
      </c>
      <c r="G164" s="14" t="n">
        <f aca="false">1-$G$124/($G$162*$G$159)</f>
        <v>0.188217422019301</v>
      </c>
      <c r="H164" s="14" t="n">
        <f aca="false">1-$H$124/($H$162*$H$159)</f>
        <v>-0.0491677900730814</v>
      </c>
      <c r="I164" s="14" t="n">
        <f aca="false">1-$I$124/($I$162*$I$159)</f>
        <v>0.0711955623575767</v>
      </c>
      <c r="J164" s="14" t="n">
        <f aca="false">1-$J$124/($J$162*$J$159)</f>
        <v>0.185731172571616</v>
      </c>
      <c r="K164" s="14" t="n">
        <f aca="false">1-$K$124/($K$162*$K$159)</f>
        <v>0.305063831599936</v>
      </c>
      <c r="L164" s="14" t="n">
        <f aca="false">1-$L$124/($L$162*$L$159)</f>
        <v>0.425122387666062</v>
      </c>
    </row>
    <row r="165" customFormat="false" ht="15" hidden="false" customHeight="false" outlineLevel="0" collapsed="false">
      <c r="B165" s="9" t="s">
        <v>636</v>
      </c>
      <c r="F165" s="19" t="n">
        <f aca="false">$F$164*$F$159</f>
        <v>9.28804347826086</v>
      </c>
      <c r="G165" s="19" t="n">
        <f aca="false">$G$164*$G$159</f>
        <v>13.0055603571429</v>
      </c>
      <c r="H165" s="19" t="n">
        <f aca="false">$H$164*$H$159</f>
        <v>-2.78908950296053</v>
      </c>
      <c r="I165" s="19" t="n">
        <f aca="false">$I$164*$I$159</f>
        <v>4.79870043455423</v>
      </c>
      <c r="J165" s="19" t="n">
        <f aca="false">$J$164*$J$159</f>
        <v>13.7991955665975</v>
      </c>
      <c r="K165" s="19" t="n">
        <f aca="false">$K$164*$K$159</f>
        <v>23.5352076193943</v>
      </c>
      <c r="L165" s="19" t="n">
        <f aca="false">$L$164*$L$159</f>
        <v>34.0584284064072</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2.78908950296053</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-0.997315592903828</v>
      </c>
      <c r="G167" s="24" t="n">
        <f aca="false">$G$125-Assumptions!$G$169</f>
        <v>-0.181229700457498</v>
      </c>
      <c r="H167" s="24" t="n">
        <f aca="false">$H$125-Assumptions!$H$169</f>
        <v>0.415674391589572</v>
      </c>
      <c r="I167" s="24" t="n">
        <f aca="false">$I$125-Assumptions!$I$169</f>
        <v>-0.273079497282898</v>
      </c>
      <c r="J167" s="24" t="n">
        <f aca="false">$J$125-Assumptions!$J$169</f>
        <v>-0.742924690286464</v>
      </c>
      <c r="K167" s="24" t="n">
        <f aca="false">$K$125-Assumptions!$K$169</f>
        <v>-1.22025532639974</v>
      </c>
      <c r="L167" s="24" t="n">
        <f aca="false">$L$125-Assumptions!$L$169</f>
        <v>-1.70048955066425</v>
      </c>
    </row>
    <row r="168" customFormat="false" ht="15" hidden="false" customHeight="false" outlineLevel="0" collapsed="false">
      <c r="B168" s="9" t="s">
        <v>639</v>
      </c>
      <c r="F168" s="24" t="n">
        <f aca="false">$F$161-$F$162</f>
        <v>-0.997315592903828</v>
      </c>
      <c r="G168" s="24" t="n">
        <f aca="false">$G$161-$G$162</f>
        <v>-0.988141465601329</v>
      </c>
      <c r="H168" s="24" t="n">
        <f aca="false">$H$161-$H$162</f>
        <v>0.233547002847136</v>
      </c>
      <c r="I168" s="24" t="n">
        <f aca="false">$I$161-$I$162</f>
        <v>-0.302581140019701</v>
      </c>
      <c r="J168" s="24" t="n">
        <f aca="false">$J$161-$J$162</f>
        <v>-0.742924690286464</v>
      </c>
      <c r="K168" s="24" t="n">
        <f aca="false">$K$161-$K$162</f>
        <v>-1.22025532639974</v>
      </c>
      <c r="L168" s="24" t="n">
        <f aca="false">$L$161-$L$162</f>
        <v>-1.70048955066425</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74.29660501</v>
      </c>
    </row>
    <row r="172" customFormat="false" ht="15" hidden="false" customHeight="false" outlineLevel="0" collapsed="false">
      <c r="B172" s="17" t="s">
        <v>641</v>
      </c>
      <c r="D172" s="18" t="n">
        <f aca="false">$D$7*$D$171</f>
        <v>557.224537575</v>
      </c>
    </row>
    <row r="173" customFormat="false" ht="15" hidden="false" customHeight="false" outlineLevel="0" collapsed="false">
      <c r="B173" s="9" t="s">
        <v>642</v>
      </c>
      <c r="D173" s="19" t="n">
        <f aca="false">INDEX($E$124:$L$124,1,$D$170+1)</f>
        <v>241.98963777361</v>
      </c>
    </row>
    <row r="174" customFormat="false" ht="15" hidden="false" customHeight="false" outlineLevel="0" collapsed="false">
      <c r="B174" s="9" t="s">
        <v>643</v>
      </c>
      <c r="D174" s="19" t="n">
        <f aca="false">INDEX($E$118:$L$118,1,$D$170+1)</f>
        <v>225.192103848625</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33.2024660750147</v>
      </c>
    </row>
    <row r="178" customFormat="false" ht="15" hidden="false" customHeight="false" outlineLevel="0" collapsed="false">
      <c r="B178" s="9" t="s">
        <v>647</v>
      </c>
      <c r="D178" s="19" t="n">
        <f aca="false">$D$20*$D$172</f>
        <v>8.358368063625</v>
      </c>
    </row>
    <row r="179" customFormat="false" ht="15" hidden="false" customHeight="false" outlineLevel="0" collapsed="false">
      <c r="B179" s="17" t="s">
        <v>195</v>
      </c>
      <c r="D179" s="18" t="n">
        <f aca="false">$D$172-$D$173-$D$178</f>
        <v>306.876531737765</v>
      </c>
    </row>
    <row r="180" customFormat="false" ht="15" hidden="false" customHeight="false" outlineLevel="0" collapsed="false">
      <c r="B180" s="9" t="s">
        <v>648</v>
      </c>
      <c r="D180" s="19" t="n">
        <f aca="false">$D$171*(1-$D$20)</f>
        <v>73.18215593485</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1.49163204599372</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1.49163204599372</v>
      </c>
    </row>
    <row r="195" customFormat="false" ht="15" hidden="false" customHeight="false" outlineLevel="0" collapsed="false">
      <c r="B195" s="9" t="s">
        <v>663</v>
      </c>
      <c r="D195" s="34" t="n">
        <f aca="false">IF($D$194&gt;=Assumptions!$D$110,$D$191,$D$191*0.5)</f>
        <v>8.69565217391304</v>
      </c>
    </row>
    <row r="196" customFormat="false" ht="15" hidden="false" customHeight="false" outlineLevel="0" collapsed="false">
      <c r="B196" s="9" t="s">
        <v>664</v>
      </c>
      <c r="D196" s="35" t="n">
        <f aca="false">($D$179+$D$195*Assumptions!$D$108)/($D$189+$D$195)</f>
        <v>1.51211671457679</v>
      </c>
    </row>
    <row r="197" customFormat="false" ht="15" hidden="false" customHeight="false" outlineLevel="0" collapsed="false">
      <c r="B197" s="9" t="s">
        <v>665</v>
      </c>
      <c r="D197" s="34" t="n">
        <f aca="false">IF($D$196&lt;Assumptions!$D$108,0,$D$195)</f>
        <v>8.69565217391304</v>
      </c>
    </row>
    <row r="198" customFormat="false" ht="15" hidden="false" customHeight="false" outlineLevel="0" collapsed="false">
      <c r="B198" s="17" t="s">
        <v>666</v>
      </c>
      <c r="D198" s="43" t="n">
        <f aca="false">IF($D$196&lt;Assumptions!$D$108,$D$179/$D$189,$D$196)</f>
        <v>1.51211671457679</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287.30217576959</v>
      </c>
    </row>
    <row r="201" customFormat="false" ht="15" hidden="false" customHeight="false" outlineLevel="0" collapsed="false">
      <c r="B201" s="9" t="s">
        <v>668</v>
      </c>
      <c r="D201" s="14" t="n">
        <f aca="false">$D$200/$D$179</f>
        <v>0.936214229686024</v>
      </c>
    </row>
    <row r="202" customFormat="false" ht="15" hidden="false" customHeight="false" outlineLevel="0" collapsed="false">
      <c r="B202" s="9" t="s">
        <v>669</v>
      </c>
      <c r="D202" s="19" t="n">
        <f aca="false">$D$185*$D$198</f>
        <v>15.1211671457679</v>
      </c>
    </row>
    <row r="203" customFormat="false" ht="15" hidden="false" customHeight="false" outlineLevel="0" collapsed="false">
      <c r="B203" s="9" t="s">
        <v>670</v>
      </c>
      <c r="D203" s="19" t="n">
        <f aca="false">$D$197*MAX(0,$D$198-Assumptions!$D$108)</f>
        <v>4.45318882240688</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19.5743559681748</v>
      </c>
    </row>
    <row r="206" customFormat="false" ht="15" hidden="false" customHeight="false" outlineLevel="0" collapsed="false">
      <c r="B206" s="9" t="s">
        <v>673</v>
      </c>
      <c r="D206" s="24" t="n">
        <f aca="false">$D$205/$D$47</f>
        <v>1.95743559681748</v>
      </c>
    </row>
    <row r="207" customFormat="false" ht="15" hidden="false" customHeight="false" outlineLevel="0" collapsed="false">
      <c r="B207" s="9" t="s">
        <v>674</v>
      </c>
      <c r="D207" s="19" t="n">
        <f aca="false">$D$187*$D$198</f>
        <v>6.04846685830716</v>
      </c>
    </row>
    <row r="208" customFormat="false" ht="15" hidden="false" customHeight="false" outlineLevel="0" collapsed="false">
      <c r="B208" s="9" t="s">
        <v>675</v>
      </c>
      <c r="D208" s="19" t="n">
        <f aca="false">$D$203*Assumptions!$D$112</f>
        <v>1.55861608784241</v>
      </c>
    </row>
    <row r="209" customFormat="false" ht="15" hidden="false" customHeight="false" outlineLevel="0" collapsed="false">
      <c r="B209" s="9" t="s">
        <v>676</v>
      </c>
      <c r="D209" s="19" t="n">
        <f aca="false">$D$207+$D$208</f>
        <v>7.60708294614957</v>
      </c>
    </row>
    <row r="210" customFormat="false" ht="15" hidden="false" customHeight="false" outlineLevel="0" collapsed="false">
      <c r="B210" s="9" t="s">
        <v>677</v>
      </c>
      <c r="D210" s="24" t="n">
        <f aca="false">$D$209/Assumptions!$D$111</f>
        <v>1.90177073653739</v>
      </c>
    </row>
    <row r="211" customFormat="false" ht="15" hidden="false" customHeight="false" outlineLevel="0" collapsed="false">
      <c r="B211" s="9" t="s">
        <v>678</v>
      </c>
      <c r="D211" s="19" t="n">
        <f aca="false">$D$179*$D$190/$D$189</f>
        <v>291.532705150877</v>
      </c>
    </row>
    <row r="212" customFormat="false" ht="15" hidden="false" customHeight="false" outlineLevel="0" collapsed="false">
      <c r="B212" s="9" t="s">
        <v>679</v>
      </c>
      <c r="D212" s="19" t="n">
        <f aca="false">$D$211-$D$200</f>
        <v>4.23052938128649</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287.30217576959</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306.876531737765</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0.0862181687729054</v>
      </c>
    </row>
    <row r="224" customFormat="false" ht="15" hidden="false" customHeight="false" outlineLevel="0" collapsed="false">
      <c r="B224" s="9" t="s">
        <v>689</v>
      </c>
      <c r="D224" s="25" t="n">
        <f aca="false">XIRR($E$219:$L$219,$E$221:$L$221,0.1)</f>
        <v>0.0861689735471945</v>
      </c>
    </row>
    <row r="225" customFormat="false" ht="15" hidden="false" customHeight="false" outlineLevel="0" collapsed="false">
      <c r="B225" s="17" t="s">
        <v>690</v>
      </c>
      <c r="D225" s="41" t="n">
        <f aca="false">SUMIF($E$219:$L$219,"&gt;0")/-SUMIF($E$219:$L$219,"&lt;0")</f>
        <v>1.51211671457679</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0.08939840807342</v>
      </c>
    </row>
    <row r="228" customFormat="false" ht="15" hidden="false" customHeight="false" outlineLevel="0" collapsed="false">
      <c r="B228" s="9" t="s">
        <v>693</v>
      </c>
      <c r="D228" s="24" t="n">
        <f aca="false">SUMIF($E$220:$L$220,"&gt;0")/-SUMIF($E$220:$L$220,"&lt;0")</f>
        <v>1.53438265868883</v>
      </c>
    </row>
    <row r="229" customFormat="false" ht="15" hidden="false" customHeight="false" outlineLevel="0" collapsed="false">
      <c r="B229" s="9" t="s">
        <v>694</v>
      </c>
      <c r="D229" s="19" t="n">
        <f aca="false">SUM($E$220:$L$220)</f>
        <v>106.876531737765</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75.81036222639</v>
      </c>
    </row>
    <row r="232" customFormat="false" ht="15" hidden="false" customHeight="false" outlineLevel="0" collapsed="false">
      <c r="B232" s="9" t="s">
        <v>697</v>
      </c>
      <c r="D232" s="19" t="n">
        <f aca="false">SUMPRODUCT(($F$64:$L$64&lt;=$D$170)*$F$105:$L$105)</f>
        <v>127.60961571186</v>
      </c>
    </row>
    <row r="233" customFormat="false" ht="15" hidden="false" customHeight="false" outlineLevel="0" collapsed="false">
      <c r="B233" s="9" t="s">
        <v>698</v>
      </c>
      <c r="D233" s="19" t="n">
        <f aca="false">SUMPRODUCT(($F$64:$L$64&lt;=$D$170)*$F$139:$L$139)</f>
        <v>36.33436199175</v>
      </c>
    </row>
    <row r="234" customFormat="false" ht="15" hidden="false" customHeight="false" outlineLevel="0" collapsed="false">
      <c r="B234" s="9" t="s">
        <v>699</v>
      </c>
      <c r="D234" s="38" t="n">
        <f aca="false">SUMPRODUCT(($F$64:$L$64&lt;=$D$170)*$F$109:$L$109)</f>
        <v>12.45</v>
      </c>
    </row>
    <row r="235" customFormat="false" ht="15" hidden="false" customHeight="false" outlineLevel="0" collapsed="false">
      <c r="B235" s="9" t="s">
        <v>700</v>
      </c>
      <c r="D235" s="19" t="n">
        <f aca="false">SUMPRODUCT(($F$64:$L$64&lt;=$D$170)*$F$115:$L$115)</f>
        <v>27.3578961513753</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39.8078961513753</v>
      </c>
    </row>
    <row r="238" customFormat="false" ht="15" hidden="false" customHeight="false" outlineLevel="0" collapsed="false">
      <c r="B238" s="9" t="s">
        <v>703</v>
      </c>
      <c r="D238" s="19" t="n">
        <f aca="false">$D$54-$D$173</f>
        <v>23.01036222639</v>
      </c>
    </row>
    <row r="239" customFormat="false" ht="15" hidden="false" customHeight="false" outlineLevel="0" collapsed="false">
      <c r="B239" s="9" t="s">
        <v>704</v>
      </c>
      <c r="D239" s="25" t="n">
        <f aca="false">($D$171/$D$28)^(1/$D$170)-1</f>
        <v>0.0824299315616826</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107.224537575</v>
      </c>
    </row>
    <row r="242" customFormat="false" ht="15" hidden="false" customHeight="false" outlineLevel="0" collapsed="false">
      <c r="B242" s="9" t="s">
        <v>234</v>
      </c>
      <c r="D242" s="14" t="n">
        <f aca="false">$D$172/$D$29-1</f>
        <v>0.238276750166667</v>
      </c>
    </row>
    <row r="243" customFormat="false" ht="15" hidden="false" customHeight="false" outlineLevel="0" collapsed="false">
      <c r="B243" s="9" t="s">
        <v>235</v>
      </c>
      <c r="D243" s="25" t="n">
        <f aca="false">($D$172/$D$29)^(1/$D$170)-1</f>
        <v>0.0436708261198511</v>
      </c>
    </row>
    <row r="244" customFormat="false" ht="15" hidden="false" customHeight="false" outlineLevel="0" collapsed="false">
      <c r="B244" s="9" t="s">
        <v>236</v>
      </c>
      <c r="D244" s="14" t="n">
        <f aca="false">$D$179/$D$46-1</f>
        <v>0.534382658688825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716</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26" t="n">
        <v>0</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11.36</v>
      </c>
      <c r="G91" s="18" t="n">
        <f aca="false">$G$72-$G$139-$G$105-$G$75-$G$79-$G$83-$G$87-$G$89</f>
        <v>14.58729</v>
      </c>
      <c r="H91" s="18" t="n">
        <f aca="false">$H$72-$H$139-$H$105-$H$75-$H$79-$H$83-$H$87-$H$89</f>
        <v>14.1048034</v>
      </c>
      <c r="I91" s="18" t="n">
        <f aca="false">$I$72-$I$139-$I$105-$I$75-$I$79-$I$83-$I$87-$I$89</f>
        <v>18.846233012</v>
      </c>
      <c r="J91" s="18" t="n">
        <f aca="false">$J$72-$J$139-$J$105-$J$75-$J$79-$J$83-$J$87-$J$89</f>
        <v>25.84988205824</v>
      </c>
      <c r="K91" s="18" t="n">
        <f aca="false">$K$72-$K$139-$K$105-$K$75-$K$79-$K$83-$K$87-$K$89</f>
        <v>28.9626371942048</v>
      </c>
      <c r="L91" s="18" t="n">
        <f aca="false">$L$72-$L$139-$L$105-$L$75-$L$79-$L$83-$L$87-$L$89</f>
        <v>31.8047168590809</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19.11</v>
      </c>
      <c r="H94" s="19" t="n">
        <f aca="false">$G$123</f>
        <v>18.64729</v>
      </c>
      <c r="I94" s="19" t="n">
        <f aca="false">$H$123</f>
        <v>30.1020934</v>
      </c>
      <c r="J94" s="19" t="n">
        <f aca="false">$I$123</f>
        <v>46.298326412</v>
      </c>
      <c r="K94" s="19" t="n">
        <f aca="false">$J$123</f>
        <v>69.49820847024</v>
      </c>
      <c r="L94" s="19" t="n">
        <f aca="false">$K$123</f>
        <v>95.8108456644448</v>
      </c>
    </row>
    <row r="95" customFormat="false" ht="15" hidden="false" customHeight="false" outlineLevel="0" collapsed="false">
      <c r="B95" s="9" t="s">
        <v>576</v>
      </c>
      <c r="F95" s="19" t="n">
        <f aca="false">$E$123+$F$91-$F$109-$F$82-$F$85+$F$84+$F$86-$F$88+$F$90</f>
        <v>19.11</v>
      </c>
      <c r="G95" s="19" t="n">
        <f aca="false">$F$123+$G$91-$G$109-$G$82-$G$85+$G$84+$G$86-$G$88+$G$90</f>
        <v>18.64729</v>
      </c>
      <c r="H95" s="19" t="n">
        <f aca="false">$G$123+$H$91-$H$109-$H$82-$H$85+$H$84+$H$86-$H$88+$H$90</f>
        <v>30.1020934</v>
      </c>
      <c r="I95" s="19" t="n">
        <f aca="false">$H$123+$I$91-$I$109-$I$82-$I$85+$I$84+$I$86-$I$88+$I$90</f>
        <v>46.298326412</v>
      </c>
      <c r="J95" s="19" t="n">
        <f aca="false">$I$123+$J$91-$J$109-$J$82-$J$85+$J$84+$J$86-$J$88+$J$90</f>
        <v>69.49820847024</v>
      </c>
      <c r="K95" s="19" t="n">
        <f aca="false">$J$123+$K$91-$K$109-$K$82-$K$85+$K$84+$K$86-$K$88+$K$90</f>
        <v>95.8108456644448</v>
      </c>
      <c r="L95" s="19" t="n">
        <f aca="false">$K$123+$L$91-$L$109-$L$82-$L$85+$L$84+$L$86-$L$88+$L$90</f>
        <v>124.965562523526</v>
      </c>
    </row>
    <row r="96" customFormat="false" ht="15" hidden="false" customHeight="false" outlineLevel="0" collapsed="false">
      <c r="B96" s="17" t="s">
        <v>577</v>
      </c>
      <c r="F96" s="18" t="n">
        <f aca="false">$F$95+$F$110-$F$111-$F$115</f>
        <v>19.11</v>
      </c>
      <c r="G96" s="18" t="n">
        <f aca="false">$G$95+$G$110-$G$111-$G$115</f>
        <v>18.64729</v>
      </c>
      <c r="H96" s="18" t="n">
        <f aca="false">$H$95+$H$110-$H$111-$H$115</f>
        <v>30.1020934</v>
      </c>
      <c r="I96" s="18" t="n">
        <f aca="false">$I$95+$I$110-$I$111-$I$115</f>
        <v>46.298326412</v>
      </c>
      <c r="J96" s="18" t="n">
        <f aca="false">$J$95+$J$110-$J$111-$J$115</f>
        <v>69.49820847024</v>
      </c>
      <c r="K96" s="18" t="n">
        <f aca="false">$K$95+$K$110-$K$111-$K$115</f>
        <v>95.8108456644448</v>
      </c>
      <c r="L96" s="18" t="n">
        <f aca="false">$L$95+$L$110-$L$111-$L$115</f>
        <v>124.965562523526</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18.93375</v>
      </c>
      <c r="H101" s="38" t="n">
        <f aca="false">$G$118*$H$100</f>
        <v>22.1425</v>
      </c>
      <c r="I101" s="38" t="n">
        <f aca="false">$H$118*$I$100</f>
        <v>21.91725</v>
      </c>
      <c r="J101" s="38" t="n">
        <f aca="false">$I$118*$J$100</f>
        <v>21.692</v>
      </c>
      <c r="K101" s="38" t="n">
        <f aca="false">$J$118*$K$100</f>
        <v>21.46675</v>
      </c>
      <c r="L101" s="38" t="n">
        <f aca="false">$K$118*$L$100</f>
        <v>21.2415</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0.3822</v>
      </c>
      <c r="H104" s="38" t="n">
        <f aca="false">$G$123*Assumptions!$D$9</f>
        <v>0.3729458</v>
      </c>
      <c r="I104" s="38" t="n">
        <f aca="false">$H$123*Assumptions!$D$9</f>
        <v>0.602041868000001</v>
      </c>
      <c r="J104" s="38" t="n">
        <f aca="false">$I$123*Assumptions!$D$9</f>
        <v>0.925966528240001</v>
      </c>
      <c r="K104" s="38" t="n">
        <f aca="false">$J$123*Assumptions!$D$9</f>
        <v>1.3899641694048</v>
      </c>
      <c r="L104" s="38" t="n">
        <f aca="false">$K$123*Assumptions!$D$9</f>
        <v>1.9162169132889</v>
      </c>
    </row>
    <row r="105" customFormat="false" ht="15" hidden="false" customHeight="false" outlineLevel="0" collapsed="false">
      <c r="B105" s="17" t="s">
        <v>585</v>
      </c>
      <c r="F105" s="40" t="n">
        <f aca="false">$F$101+$F$102+$F$103-$F$104</f>
        <v>24.625</v>
      </c>
      <c r="G105" s="40" t="n">
        <f aca="false">$G$101+$G$102+$G$103-$G$104</f>
        <v>24.25155</v>
      </c>
      <c r="H105" s="40" t="n">
        <f aca="false">$H$101+$H$102+$H$103-$H$104</f>
        <v>27.4695542</v>
      </c>
      <c r="I105" s="40" t="n">
        <f aca="false">$I$101+$I$102+$I$103-$I$104</f>
        <v>27.015208132</v>
      </c>
      <c r="J105" s="40" t="n">
        <f aca="false">$J$101+$J$102+$J$103-$J$104</f>
        <v>26.46603347176</v>
      </c>
      <c r="K105" s="40" t="n">
        <f aca="false">$K$101+$K$102+$K$103-$K$104</f>
        <v>25.7767858305952</v>
      </c>
      <c r="L105" s="40" t="n">
        <f aca="false">$L$101+$L$102+$L$103-$L$104</f>
        <v>25.0252830867111</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2.21725888324873</v>
      </c>
      <c r="G107" s="24" t="n">
        <f aca="false">IF($G$105&lt;&gt;0,$G$72/$G$105,0)</f>
        <v>2.49663217402599</v>
      </c>
      <c r="H107" s="24" t="n">
        <f aca="false">IF($H$105&lt;&gt;0,$H$72/$H$105,0)</f>
        <v>2.10649971159707</v>
      </c>
      <c r="I107" s="24" t="n">
        <f aca="false">IF($I$105&lt;&gt;0,$I$72/$I$105,0)</f>
        <v>2.60075897904247</v>
      </c>
      <c r="J107" s="24" t="n">
        <f aca="false">IF($J$105&lt;&gt;0,$J$72/$J$105,0)</f>
        <v>2.94048179161563</v>
      </c>
      <c r="K107" s="24" t="n">
        <f aca="false">IF($K$105&lt;&gt;0,$K$72/$K$105,0)</f>
        <v>3.13521653288819</v>
      </c>
      <c r="L107" s="24" t="n">
        <f aca="false">IF($L$105&lt;&gt;0,$L$72/$L$105,0)</f>
        <v>3.35374577038849</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2.65</v>
      </c>
      <c r="K109" s="38" t="n">
        <f aca="false">IF($D$14=1,0,MIN($J$118,Assumptions!$D$85*$J$119))</f>
        <v>2.65</v>
      </c>
      <c r="L109" s="38" t="n">
        <f aca="false">IF($D$14=1,0,MIN($K$118,Assumptions!$D$85*$K$119))</f>
        <v>2.65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19.11</v>
      </c>
      <c r="G112" s="19" t="n">
        <f aca="false">$G$95+$G$110-$G$111</f>
        <v>18.64729</v>
      </c>
      <c r="H112" s="19" t="n">
        <f aca="false">$H$95+$H$110-$H$111</f>
        <v>30.1020934</v>
      </c>
      <c r="I112" s="19" t="n">
        <f aca="false">$I$95+$I$110-$I$111</f>
        <v>46.298326412</v>
      </c>
      <c r="J112" s="19" t="n">
        <f aca="false">$J$95+$J$110-$J$111</f>
        <v>69.49820847024</v>
      </c>
      <c r="K112" s="19" t="n">
        <f aca="false">$K$95+$K$110-$K$111</f>
        <v>95.8108456644448</v>
      </c>
      <c r="L112" s="19" t="n">
        <f aca="false">$L$95+$L$110-$L$111</f>
        <v>124.965562523526</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9.11</v>
      </c>
      <c r="G114" s="19" t="n">
        <f aca="false">MAX(0,$G$112-Assumptions!$D$79)</f>
        <v>8.64729000000001</v>
      </c>
      <c r="H114" s="19" t="n">
        <f aca="false">MAX(0,$H$112-Assumptions!$D$79)</f>
        <v>20.1020934</v>
      </c>
      <c r="I114" s="19" t="n">
        <f aca="false">MAX(0,$I$112-Assumptions!$D$79)</f>
        <v>36.298326412</v>
      </c>
      <c r="J114" s="19" t="n">
        <f aca="false">MAX(0,$J$112-Assumptions!$D$79)</f>
        <v>59.49820847024</v>
      </c>
      <c r="K114" s="19" t="n">
        <f aca="false">MAX(0,$K$112-Assumptions!$D$79)</f>
        <v>85.8108456644448</v>
      </c>
      <c r="L114" s="19" t="n">
        <f aca="false">MAX(0,$L$112-Assumptions!$D$79)</f>
        <v>114.965562523526</v>
      </c>
    </row>
    <row r="115" customFormat="false" ht="15" hidden="false" customHeight="false" outlineLevel="0" collapsed="false">
      <c r="B115" s="17" t="s">
        <v>595</v>
      </c>
      <c r="F115" s="18" t="n">
        <f aca="false">IF(AND($D$19=1,$D$14=0,$E$121-$F$111+$F$110=0),MIN($E$118-$F$109+$F$84,$F$113*$F$114),0)</f>
        <v>0</v>
      </c>
      <c r="G115" s="18" t="n">
        <f aca="false">IF(AND($D$19=1,$D$14=0,$F$121-$G$111+$G$110=0),MIN($F$118-$G$109+$G$84,$G$113*$G$114),0)</f>
        <v>0</v>
      </c>
      <c r="H115" s="18" t="n">
        <f aca="false">IF(AND($D$19=1,$D$14=0,$G$121-$H$111+$H$110=0),MIN($G$118-$H$109+$H$84,$H$113*$H$114),0)</f>
        <v>0</v>
      </c>
      <c r="I115" s="18" t="n">
        <f aca="false">IF(AND($D$19=1,$D$14=0,$H$121-$I$111+$I$110=0),MIN($H$118-$I$109+$I$84,$I$113*$I$114),0)</f>
        <v>0</v>
      </c>
      <c r="J115" s="18" t="n">
        <f aca="false">IF(AND($D$19=1,$D$14=0,$I$121-$J$111+$J$110=0),MIN($I$118-$J$109+$J$84,$J$113*$J$114),0)</f>
        <v>0</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222.75</v>
      </c>
      <c r="G118" s="19" t="n">
        <f aca="false">$F$118-$G$109-$G$115+$G$84+$G$86</f>
        <v>260.5</v>
      </c>
      <c r="H118" s="19" t="n">
        <f aca="false">$G$118-$H$109-$H$115+$H$84+$H$86</f>
        <v>257.85</v>
      </c>
      <c r="I118" s="19" t="n">
        <f aca="false">$H$118-$I$109-$I$115+$I$84+$I$86</f>
        <v>255.2</v>
      </c>
      <c r="J118" s="19" t="n">
        <f aca="false">$I$118-$J$109-$J$115+$J$84+$J$86</f>
        <v>252.55</v>
      </c>
      <c r="K118" s="19" t="n">
        <f aca="false">$J$118-$K$109-$K$115+$K$84+$K$86</f>
        <v>249.9</v>
      </c>
      <c r="L118" s="19" t="n">
        <f aca="false">$K$118-$L$109-$L$115+$L$84+$L$86</f>
        <v>247.25</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272.75</v>
      </c>
      <c r="G122" s="18" t="n">
        <f aca="false">$G$118+$G$120+$G$121</f>
        <v>310.5</v>
      </c>
      <c r="H122" s="18" t="n">
        <f aca="false">$H$118+$H$120+$H$121</f>
        <v>307.85</v>
      </c>
      <c r="I122" s="18" t="n">
        <f aca="false">$I$118+$I$120+$I$121</f>
        <v>305.2</v>
      </c>
      <c r="J122" s="18" t="n">
        <f aca="false">$J$118+$J$120+$J$121</f>
        <v>302.55</v>
      </c>
      <c r="K122" s="18" t="n">
        <f aca="false">$K$118+$K$120+$K$121</f>
        <v>299.9</v>
      </c>
      <c r="L122" s="18" t="n">
        <f aca="false">$L$118+$L$120+$L$121</f>
        <v>297.25</v>
      </c>
    </row>
    <row r="123" customFormat="false" ht="15" hidden="false" customHeight="false" outlineLevel="0" collapsed="false">
      <c r="B123" s="9" t="s">
        <v>600</v>
      </c>
      <c r="E123" s="19" t="n">
        <f aca="false">Assumptions!$D$78</f>
        <v>10</v>
      </c>
      <c r="F123" s="19" t="n">
        <f aca="false">$F$112-$F$115</f>
        <v>19.11</v>
      </c>
      <c r="G123" s="19" t="n">
        <f aca="false">$G$112-$G$115</f>
        <v>18.64729</v>
      </c>
      <c r="H123" s="19" t="n">
        <f aca="false">$H$112-$H$115</f>
        <v>30.1020934</v>
      </c>
      <c r="I123" s="19" t="n">
        <f aca="false">$I$112-$I$115</f>
        <v>46.298326412</v>
      </c>
      <c r="J123" s="19" t="n">
        <f aca="false">$J$112-$J$115</f>
        <v>69.49820847024</v>
      </c>
      <c r="K123" s="19" t="n">
        <f aca="false">$K$112-$K$115</f>
        <v>95.8108456644448</v>
      </c>
      <c r="L123" s="19" t="n">
        <f aca="false">$L$112-$L$115</f>
        <v>124.965562523526</v>
      </c>
    </row>
    <row r="124" customFormat="false" ht="15" hidden="false" customHeight="false" outlineLevel="0" collapsed="false">
      <c r="B124" s="17" t="s">
        <v>601</v>
      </c>
      <c r="E124" s="18" t="n">
        <f aca="false">$E$122-$E$123</f>
        <v>265</v>
      </c>
      <c r="F124" s="18" t="n">
        <f aca="false">$F$122-$F$123</f>
        <v>253.64</v>
      </c>
      <c r="G124" s="18" t="n">
        <f aca="false">$G$122-$G$123</f>
        <v>291.85271</v>
      </c>
      <c r="H124" s="18" t="n">
        <f aca="false">$H$122-$H$123</f>
        <v>277.7479066</v>
      </c>
      <c r="I124" s="18" t="n">
        <f aca="false">$I$122-$I$123</f>
        <v>258.901673588</v>
      </c>
      <c r="J124" s="18" t="n">
        <f aca="false">$J$122-$J$123</f>
        <v>233.05179152976</v>
      </c>
      <c r="K124" s="18" t="n">
        <f aca="false">$K$122-$K$123</f>
        <v>204.089154335555</v>
      </c>
      <c r="L124" s="18" t="n">
        <f aca="false">$L$122-$L$123</f>
        <v>172.284437476474</v>
      </c>
    </row>
    <row r="125" customFormat="false" ht="15" hidden="false" customHeight="false" outlineLevel="0" collapsed="false">
      <c r="B125" s="9" t="s">
        <v>538</v>
      </c>
      <c r="E125" s="24" t="n">
        <f aca="false">$E$124/$E$72</f>
        <v>5.3</v>
      </c>
      <c r="F125" s="24" t="n">
        <f aca="false">$F$124/$F$72</f>
        <v>4.64542124542125</v>
      </c>
      <c r="G125" s="24" t="n">
        <f aca="false">$G$124/$G$72</f>
        <v>4.82025114290999</v>
      </c>
      <c r="H125" s="24" t="n">
        <f aca="false">$H$124/$H$72</f>
        <v>4.79996177628992</v>
      </c>
      <c r="I125" s="24" t="n">
        <f aca="false">$I$124/$I$72</f>
        <v>3.68490616744995</v>
      </c>
      <c r="J125" s="24" t="n">
        <f aca="false">$J$124/$J$72</f>
        <v>2.99464325942135</v>
      </c>
      <c r="K125" s="24" t="n">
        <f aca="false">$K$124/$K$72</f>
        <v>2.52536189030102</v>
      </c>
      <c r="L125" s="24" t="n">
        <f aca="false">$L$124/$L$72</f>
        <v>2.05275402484535</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25.4107142857143</v>
      </c>
      <c r="G130" s="38" t="n">
        <f aca="false">$G$105+$G$106</f>
        <v>25.0372642857143</v>
      </c>
      <c r="H130" s="38" t="n">
        <f aca="false">$H$105+$H$106</f>
        <v>28.4152684857143</v>
      </c>
      <c r="I130" s="38" t="n">
        <f aca="false">$I$105+$I$106</f>
        <v>27.9609224177143</v>
      </c>
      <c r="J130" s="38" t="n">
        <f aca="false">$J$105+$J$106</f>
        <v>27.4117477574743</v>
      </c>
      <c r="K130" s="38" t="n">
        <f aca="false">$K$105+$K$106</f>
        <v>26.7225001163095</v>
      </c>
      <c r="L130" s="38" t="n">
        <f aca="false">$L$105+$L$106</f>
        <v>25.9709973724254</v>
      </c>
    </row>
    <row r="131" customFormat="false" ht="15" hidden="false" customHeight="false" outlineLevel="0" collapsed="false">
      <c r="B131" s="9" t="s">
        <v>606</v>
      </c>
      <c r="F131" s="38" t="n">
        <f aca="false">$F$129-$F$130-$F$83-$F$87-$F$89</f>
        <v>17.4292857142857</v>
      </c>
      <c r="G131" s="38" t="n">
        <f aca="false">$G$129-$G$130-$G$83-$G$87-$G$89</f>
        <v>21.5443357142857</v>
      </c>
      <c r="H131" s="38" t="n">
        <f aca="false">$H$129-$H$130-$H$83-$H$87-$H$89</f>
        <v>15.5476755142857</v>
      </c>
      <c r="I131" s="38" t="n">
        <f aca="false">$I$129-$I$130-$I$83-$I$87-$I$89</f>
        <v>27.4898622222857</v>
      </c>
      <c r="J131" s="38" t="n">
        <f aca="false">$J$129-$J$130-$J$83-$J$87-$J$89</f>
        <v>34.8841318585257</v>
      </c>
      <c r="K131" s="38" t="n">
        <f aca="false">$K$129-$K$130-$K$83-$K$87-$K$89</f>
        <v>37.9452146843305</v>
      </c>
      <c r="L131" s="38" t="n">
        <f aca="false">$L$129-$L$130-$L$83-$L$87-$L$89</f>
        <v>41.1634260202402</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25.4107142857143</v>
      </c>
      <c r="G133" s="38" t="n">
        <f aca="false">$G$130+$F$135</f>
        <v>34.0679785714286</v>
      </c>
      <c r="H133" s="38" t="n">
        <f aca="false">$H$130+$G$135</f>
        <v>44.3190870571429</v>
      </c>
      <c r="I133" s="38" t="n">
        <f aca="false">$I$130+$H$135</f>
        <v>54.9206270748571</v>
      </c>
      <c r="J133" s="38" t="n">
        <f aca="false">$J$130+$I$135</f>
        <v>61.2543612963314</v>
      </c>
      <c r="K133" s="38" t="n">
        <f aca="false">$K$130+$J$135</f>
        <v>64.6299945566409</v>
      </c>
      <c r="L133" s="38" t="n">
        <f aca="false">$L$130+$K$135</f>
        <v>66.3562503988263</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9.03071428571429</v>
      </c>
      <c r="G135" s="38" t="n">
        <f aca="false">$G$133-$G$134</f>
        <v>15.9038185714286</v>
      </c>
      <c r="H135" s="38" t="n">
        <f aca="false">$H$133-$H$134</f>
        <v>26.9597046571429</v>
      </c>
      <c r="I135" s="38" t="n">
        <f aca="false">$I$133-$I$134</f>
        <v>33.8426135388571</v>
      </c>
      <c r="J135" s="38" t="n">
        <f aca="false">$J$133-$J$134</f>
        <v>37.9074944403314</v>
      </c>
      <c r="K135" s="38" t="n">
        <f aca="false">$K$133-$K$134</f>
        <v>40.3852530264009</v>
      </c>
      <c r="L135" s="38" t="n">
        <f aca="false">$L$133-$L$134</f>
        <v>41.1777192073767</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10.8142857142857</v>
      </c>
      <c r="G140" s="19" t="n">
        <f aca="false">$G$131-$G$139</f>
        <v>14.4399757142857</v>
      </c>
      <c r="H140" s="19" t="n">
        <f aca="false">$H$131-$H$139</f>
        <v>8.89678511428571</v>
      </c>
      <c r="I140" s="19" t="n">
        <f aca="false">$I$131-$I$139</f>
        <v>18.8966694462857</v>
      </c>
      <c r="J140" s="19" t="n">
        <f aca="false">$J$131-$J$139</f>
        <v>25.1468786685257</v>
      </c>
      <c r="K140" s="19" t="n">
        <f aca="false">$K$131-$K$139</f>
        <v>27.8394713667305</v>
      </c>
      <c r="L140" s="19" t="n">
        <f aca="false">$L$131-$L$139</f>
        <v>30.6744529699362</v>
      </c>
    </row>
    <row r="141" customFormat="false" ht="15" hidden="false" customHeight="false" outlineLevel="0" collapsed="false">
      <c r="B141" s="9" t="s">
        <v>616</v>
      </c>
      <c r="F141" s="38" t="n">
        <f aca="false">Assumptions!$D$7*($F$129-$F$130)</f>
        <v>4.35732142857143</v>
      </c>
      <c r="G141" s="38" t="n">
        <f aca="false">Assumptions!$D$7*($G$129-$G$130)</f>
        <v>5.76108392857143</v>
      </c>
      <c r="H141" s="38" t="n">
        <f aca="false">Assumptions!$D$7*($H$129-$H$130)</f>
        <v>3.88691887857143</v>
      </c>
      <c r="I141" s="38" t="n">
        <f aca="false">Assumptions!$D$7*($I$129-$I$130)</f>
        <v>6.87246555557143</v>
      </c>
      <c r="J141" s="38" t="n">
        <f aca="false">Assumptions!$D$7*($J$129-$J$130)</f>
        <v>8.72103296463143</v>
      </c>
      <c r="K141" s="38" t="n">
        <f aca="false">Assumptions!$D$7*($K$129-$K$130)</f>
        <v>9.48630367108263</v>
      </c>
      <c r="L141" s="38" t="n">
        <f aca="false">Assumptions!$D$7*($L$129-$L$130)</f>
        <v>10.29085650506</v>
      </c>
    </row>
    <row r="142" customFormat="false" ht="15" hidden="false" customHeight="false" outlineLevel="0" collapsed="false">
      <c r="B142" s="9" t="s">
        <v>617</v>
      </c>
      <c r="F142" s="38" t="n">
        <f aca="false">$F$139-$F$141</f>
        <v>2.25767857142857</v>
      </c>
      <c r="G142" s="38" t="n">
        <f aca="false">$G$139-$G$141</f>
        <v>1.34327607142857</v>
      </c>
      <c r="H142" s="38" t="n">
        <f aca="false">$H$139-$H$141</f>
        <v>2.76397152142857</v>
      </c>
      <c r="I142" s="38" t="n">
        <f aca="false">$I$139-$I$141</f>
        <v>1.72072722042857</v>
      </c>
      <c r="J142" s="38" t="n">
        <f aca="false">$J$139-$J$141</f>
        <v>1.01622022536857</v>
      </c>
      <c r="K142" s="38" t="n">
        <f aca="false">$K$139-$K$141</f>
        <v>0.619439646517371</v>
      </c>
      <c r="L142" s="38" t="n">
        <f aca="false">$L$139-$L$141</f>
        <v>0.198116545243948</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19.11</v>
      </c>
      <c r="G145" s="19" t="n">
        <f aca="false">$G$123</f>
        <v>18.64729</v>
      </c>
      <c r="H145" s="19" t="n">
        <f aca="false">$H$123</f>
        <v>30.1020934</v>
      </c>
      <c r="I145" s="19" t="n">
        <f aca="false">$I$123</f>
        <v>46.298326412</v>
      </c>
      <c r="J145" s="19" t="n">
        <f aca="false">$J$123</f>
        <v>69.49820847024</v>
      </c>
      <c r="K145" s="19" t="n">
        <f aca="false">$K$123</f>
        <v>95.8108456644448</v>
      </c>
      <c r="L145" s="19" t="n">
        <f aca="false">$L$123</f>
        <v>124.965562523526</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474.064285714286</v>
      </c>
      <c r="G150" s="18" t="n">
        <f aca="false">$G$145+$G$146+$G$147+$G$148+$G$149</f>
        <v>526.254261428572</v>
      </c>
      <c r="H150" s="18" t="n">
        <f aca="false">$H$145+$H$146+$H$147+$H$148+$H$149</f>
        <v>532.501046542857</v>
      </c>
      <c r="I150" s="18" t="n">
        <f aca="false">$I$145+$I$146+$I$147+$I$148+$I$149</f>
        <v>548.747715989143</v>
      </c>
      <c r="J150" s="18" t="n">
        <f aca="false">$J$145+$J$146+$J$147+$J$148+$J$149</f>
        <v>571.244594657669</v>
      </c>
      <c r="K150" s="18" t="n">
        <f aca="false">$K$145+$K$146+$K$147+$K$148+$K$149</f>
        <v>596.434066024399</v>
      </c>
      <c r="L150" s="18" t="n">
        <f aca="false">$L$145+$L$146+$L$147+$L$148+$L$149</f>
        <v>624.458518994335</v>
      </c>
    </row>
    <row r="151" customFormat="false" ht="15" hidden="false" customHeight="false" outlineLevel="0" collapsed="false">
      <c r="B151" s="9" t="s">
        <v>291</v>
      </c>
      <c r="E151" s="19" t="n">
        <f aca="false">$E$122</f>
        <v>275</v>
      </c>
      <c r="F151" s="19" t="n">
        <f aca="false">$F$122</f>
        <v>272.75</v>
      </c>
      <c r="G151" s="19" t="n">
        <f aca="false">$G$122</f>
        <v>310.5</v>
      </c>
      <c r="H151" s="19" t="n">
        <f aca="false">$H$122</f>
        <v>307.85</v>
      </c>
      <c r="I151" s="19" t="n">
        <f aca="false">$I$122</f>
        <v>305.2</v>
      </c>
      <c r="J151" s="19" t="n">
        <f aca="false">$J$122</f>
        <v>302.55</v>
      </c>
      <c r="K151" s="19" t="n">
        <f aca="false">$K$122</f>
        <v>299.9</v>
      </c>
      <c r="L151" s="19" t="n">
        <f aca="false">$L$122</f>
        <v>297.25</v>
      </c>
    </row>
    <row r="152" customFormat="false" ht="15" hidden="false" customHeight="false" outlineLevel="0" collapsed="false">
      <c r="B152" s="9" t="s">
        <v>624</v>
      </c>
      <c r="E152" s="19" t="n">
        <f aca="false">$D$46-Assumptions!$D$76</f>
        <v>190.5</v>
      </c>
      <c r="F152" s="19" t="n">
        <f aca="false">$E$152+$F$140-$F$88+$F$90</f>
        <v>201.314285714286</v>
      </c>
      <c r="G152" s="19" t="n">
        <f aca="false">$F$152+$G$140-$G$88+$G$90</f>
        <v>215.754261428571</v>
      </c>
      <c r="H152" s="19" t="n">
        <f aca="false">$G$152+$H$140-$H$88+$H$90</f>
        <v>224.651046542857</v>
      </c>
      <c r="I152" s="19" t="n">
        <f aca="false">$H$152+$I$140-$I$88+$I$90</f>
        <v>243.547715989143</v>
      </c>
      <c r="J152" s="19" t="n">
        <f aca="false">$I$152+$J$140-$J$88+$J$90</f>
        <v>268.694594657669</v>
      </c>
      <c r="K152" s="19" t="n">
        <f aca="false">$J$152+$K$140-$K$88+$K$90</f>
        <v>296.534066024399</v>
      </c>
      <c r="L152" s="19" t="n">
        <f aca="false">$K$152+$L$140-$L$88+$L$90</f>
        <v>327.208518994335</v>
      </c>
    </row>
    <row r="153" customFormat="false" ht="15" hidden="false" customHeight="false" outlineLevel="0" collapsed="false">
      <c r="B153" s="17" t="s">
        <v>625</v>
      </c>
      <c r="E153" s="18" t="n">
        <f aca="false">$E$151+$E$152</f>
        <v>465.5</v>
      </c>
      <c r="F153" s="18" t="n">
        <f aca="false">$F$151+$F$152</f>
        <v>474.064285714286</v>
      </c>
      <c r="G153" s="18" t="n">
        <f aca="false">$G$151+$G$152</f>
        <v>526.254261428572</v>
      </c>
      <c r="H153" s="18" t="n">
        <f aca="false">$H$151+$H$152</f>
        <v>532.501046542857</v>
      </c>
      <c r="I153" s="18" t="n">
        <f aca="false">$I$151+$I$152</f>
        <v>548.747715989143</v>
      </c>
      <c r="J153" s="18" t="n">
        <f aca="false">$J$151+$J$152</f>
        <v>571.244594657669</v>
      </c>
      <c r="K153" s="18" t="n">
        <f aca="false">$K$151+$K$152</f>
        <v>596.434066024399</v>
      </c>
      <c r="L153" s="18" t="n">
        <f aca="false">$L$151+$L$152</f>
        <v>624.458518994335</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253.64</v>
      </c>
      <c r="G160" s="19" t="n">
        <f aca="false">$G$124</f>
        <v>291.85271</v>
      </c>
      <c r="H160" s="19" t="n">
        <f aca="false">$H$124</f>
        <v>277.7479066</v>
      </c>
      <c r="I160" s="19" t="n">
        <f aca="false">$I$124</f>
        <v>258.901673588</v>
      </c>
      <c r="J160" s="19" t="n">
        <f aca="false">$J$124</f>
        <v>233.05179152976</v>
      </c>
      <c r="K160" s="19" t="n">
        <f aca="false">$K$124</f>
        <v>204.089154335555</v>
      </c>
      <c r="L160" s="19" t="n">
        <f aca="false">$L$124</f>
        <v>172.284437476474</v>
      </c>
    </row>
    <row r="161" customFormat="false" ht="15" hidden="false" customHeight="false" outlineLevel="0" collapsed="false">
      <c r="B161" s="17" t="s">
        <v>632</v>
      </c>
      <c r="F161" s="41" t="n">
        <f aca="false">$F$124/$F$159</f>
        <v>4.64542124542125</v>
      </c>
      <c r="G161" s="41" t="n">
        <f aca="false">$G$124/$G$159</f>
        <v>4.07916326564841</v>
      </c>
      <c r="H161" s="41" t="n">
        <f aca="false">$H$124/$H$159</f>
        <v>4.63960119140845</v>
      </c>
      <c r="I161" s="41" t="n">
        <f aca="false">$I$124/$I$159</f>
        <v>3.65886812464486</v>
      </c>
      <c r="J161" s="41" t="n">
        <f aca="false">$J$124/$J$159</f>
        <v>2.99464325942135</v>
      </c>
      <c r="K161" s="41" t="n">
        <f aca="false">$K$124/$K$159</f>
        <v>2.52536189030102</v>
      </c>
      <c r="L161" s="41" t="n">
        <f aca="false">$L$124/$L$159</f>
        <v>2.05275402484535</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1.10457875457876</v>
      </c>
      <c r="G163" s="24" t="n">
        <f aca="false">$G$162-$G$161</f>
        <v>1.17083673435159</v>
      </c>
      <c r="H163" s="24" t="n">
        <f aca="false">$H$162-$H$161</f>
        <v>0.110398808591547</v>
      </c>
      <c r="I163" s="24" t="n">
        <f aca="false">$I$162-$I$161</f>
        <v>0.591131875355141</v>
      </c>
      <c r="J163" s="24" t="n">
        <f aca="false">$J$162-$J$161</f>
        <v>1.00535674057866</v>
      </c>
      <c r="K163" s="24" t="n">
        <f aca="false">$K$162-$K$161</f>
        <v>1.47463810969898</v>
      </c>
      <c r="L163" s="24" t="n">
        <f aca="false">$L$162-$L$161</f>
        <v>1.94724597515465</v>
      </c>
    </row>
    <row r="164" customFormat="false" ht="15" hidden="false" customHeight="false" outlineLevel="0" collapsed="false">
      <c r="B164" s="9" t="s">
        <v>635</v>
      </c>
      <c r="F164" s="14" t="n">
        <f aca="false">1-$F$124/($F$162*$F$159)</f>
        <v>0.192100652970218</v>
      </c>
      <c r="G164" s="14" t="n">
        <f aca="false">1-$G$124/($G$162*$G$159)</f>
        <v>0.223016520828874</v>
      </c>
      <c r="H164" s="14" t="n">
        <f aca="false">1-$H$124/($H$162*$H$159)</f>
        <v>0.0232418544403256</v>
      </c>
      <c r="I164" s="14" t="n">
        <f aca="false">1-$I$124/($I$162*$I$159)</f>
        <v>0.139089853024739</v>
      </c>
      <c r="J164" s="14" t="n">
        <f aca="false">1-$J$124/($J$162*$J$159)</f>
        <v>0.251339185144664</v>
      </c>
      <c r="K164" s="14" t="n">
        <f aca="false">1-$K$124/($K$162*$K$159)</f>
        <v>0.368659527424745</v>
      </c>
      <c r="L164" s="14" t="n">
        <f aca="false">1-$L$124/($L$162*$L$159)</f>
        <v>0.486811493788663</v>
      </c>
    </row>
    <row r="165" customFormat="false" ht="15" hidden="false" customHeight="false" outlineLevel="0" collapsed="false">
      <c r="B165" s="9" t="s">
        <v>636</v>
      </c>
      <c r="F165" s="19" t="n">
        <f aca="false">$F$164*$F$159</f>
        <v>10.4886956521739</v>
      </c>
      <c r="G165" s="19" t="n">
        <f aca="false">$G$164*$G$159</f>
        <v>15.9562076190476</v>
      </c>
      <c r="H165" s="19" t="n">
        <f aca="false">$H$164*$H$159</f>
        <v>1.39136450526315</v>
      </c>
      <c r="I165" s="19" t="n">
        <f aca="false">$I$164*$I$159</f>
        <v>9.84200427576471</v>
      </c>
      <c r="J165" s="19" t="n">
        <f aca="false">$J$164*$J$159</f>
        <v>19.55994163756</v>
      </c>
      <c r="K165" s="19" t="n">
        <f aca="false">$K$164*$K$159</f>
        <v>29.7935165169112</v>
      </c>
      <c r="L165" s="19" t="n">
        <f aca="false">$L$164*$L$159</f>
        <v>40.8573279357134</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-1.10457875457876</v>
      </c>
      <c r="G167" s="24" t="n">
        <f aca="false">$G$125-Assumptions!$G$169</f>
        <v>-0.429748857090007</v>
      </c>
      <c r="H167" s="24" t="n">
        <f aca="false">$H$125-Assumptions!$H$169</f>
        <v>0.0499617762899218</v>
      </c>
      <c r="I167" s="24" t="n">
        <f aca="false">$I$125-Assumptions!$I$169</f>
        <v>-0.565093832550047</v>
      </c>
      <c r="J167" s="24" t="n">
        <f aca="false">$J$125-Assumptions!$J$169</f>
        <v>-1.00535674057866</v>
      </c>
      <c r="K167" s="24" t="n">
        <f aca="false">$K$125-Assumptions!$K$169</f>
        <v>-1.47463810969898</v>
      </c>
      <c r="L167" s="24" t="n">
        <f aca="false">$L$125-Assumptions!$L$169</f>
        <v>-1.94724597515465</v>
      </c>
    </row>
    <row r="168" customFormat="false" ht="15" hidden="false" customHeight="false" outlineLevel="0" collapsed="false">
      <c r="B168" s="9" t="s">
        <v>639</v>
      </c>
      <c r="F168" s="24" t="n">
        <f aca="false">$F$161-$F$162</f>
        <v>-1.10457875457876</v>
      </c>
      <c r="G168" s="24" t="n">
        <f aca="false">$G$161-$G$162</f>
        <v>-1.17083673435159</v>
      </c>
      <c r="H168" s="24" t="n">
        <f aca="false">$H$161-$H$162</f>
        <v>-0.110398808591547</v>
      </c>
      <c r="I168" s="24" t="n">
        <f aca="false">$I$161-$I$162</f>
        <v>-0.591131875355141</v>
      </c>
      <c r="J168" s="24" t="n">
        <f aca="false">$J$161-$J$162</f>
        <v>-1.00535674057866</v>
      </c>
      <c r="K168" s="24" t="n">
        <f aca="false">$K$161-$K$162</f>
        <v>-1.47463810969898</v>
      </c>
      <c r="L168" s="24" t="n">
        <f aca="false">$L$161-$L$162</f>
        <v>-1.94724597515465</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233.05179152976</v>
      </c>
    </row>
    <row r="174" customFormat="false" ht="15" hidden="false" customHeight="false" outlineLevel="0" collapsed="false">
      <c r="B174" s="9" t="s">
        <v>643</v>
      </c>
      <c r="D174" s="19" t="n">
        <f aca="false">INDEX($E$118:$L$118,1,$D$170+1)</f>
        <v>252.55</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69.49820847024</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456.84812406504</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2.18150137069918</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2.18150137069918</v>
      </c>
    </row>
    <row r="195" customFormat="false" ht="15" hidden="false" customHeight="false" outlineLevel="0" collapsed="false">
      <c r="B195" s="9" t="s">
        <v>663</v>
      </c>
      <c r="D195" s="34" t="n">
        <f aca="false">IF($D$194&gt;=Assumptions!$D$110,$D$191,$D$191*0.5)</f>
        <v>17.3913043478261</v>
      </c>
    </row>
    <row r="196" customFormat="false" ht="15" hidden="false" customHeight="false" outlineLevel="0" collapsed="false">
      <c r="B196" s="9" t="s">
        <v>664</v>
      </c>
      <c r="D196" s="35" t="n">
        <f aca="false">($D$179+$D$195*Assumptions!$D$108)/($D$189+$D$195)</f>
        <v>2.18150137069918</v>
      </c>
    </row>
    <row r="197" customFormat="false" ht="15" hidden="false" customHeight="false" outlineLevel="0" collapsed="false">
      <c r="B197" s="9" t="s">
        <v>665</v>
      </c>
      <c r="D197" s="34" t="n">
        <f aca="false">IF($D$196&lt;Assumptions!$D$108,0,$D$195)</f>
        <v>17.3913043478261</v>
      </c>
    </row>
    <row r="198" customFormat="false" ht="15" hidden="false" customHeight="false" outlineLevel="0" collapsed="false">
      <c r="B198" s="17" t="s">
        <v>666</v>
      </c>
      <c r="D198" s="43" t="n">
        <f aca="false">IF($D$196&lt;Assumptions!$D$108,$D$179/$D$189,$D$196)</f>
        <v>2.18150137069918</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414.485260432845</v>
      </c>
    </row>
    <row r="201" customFormat="false" ht="15" hidden="false" customHeight="false" outlineLevel="0" collapsed="false">
      <c r="B201" s="9" t="s">
        <v>668</v>
      </c>
      <c r="D201" s="14" t="n">
        <f aca="false">$D$200/$D$179</f>
        <v>0.907271451056316</v>
      </c>
    </row>
    <row r="202" customFormat="false" ht="15" hidden="false" customHeight="false" outlineLevel="0" collapsed="false">
      <c r="B202" s="9" t="s">
        <v>669</v>
      </c>
      <c r="D202" s="19" t="n">
        <f aca="false">$D$185*$D$198</f>
        <v>21.8150137069918</v>
      </c>
    </row>
    <row r="203" customFormat="false" ht="15" hidden="false" customHeight="false" outlineLevel="0" collapsed="false">
      <c r="B203" s="9" t="s">
        <v>670</v>
      </c>
      <c r="D203" s="19" t="n">
        <f aca="false">$D$197*MAX(0,$D$198-Assumptions!$D$108)</f>
        <v>20.5478499252032</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42.362863632195</v>
      </c>
    </row>
    <row r="206" customFormat="false" ht="15" hidden="false" customHeight="false" outlineLevel="0" collapsed="false">
      <c r="B206" s="9" t="s">
        <v>673</v>
      </c>
      <c r="D206" s="24" t="n">
        <f aca="false">$D$205/$D$47</f>
        <v>4.2362863632195</v>
      </c>
    </row>
    <row r="207" customFormat="false" ht="15" hidden="false" customHeight="false" outlineLevel="0" collapsed="false">
      <c r="B207" s="9" t="s">
        <v>674</v>
      </c>
      <c r="D207" s="19" t="n">
        <f aca="false">$D$187*$D$198</f>
        <v>8.72600548279674</v>
      </c>
    </row>
    <row r="208" customFormat="false" ht="15" hidden="false" customHeight="false" outlineLevel="0" collapsed="false">
      <c r="B208" s="9" t="s">
        <v>675</v>
      </c>
      <c r="D208" s="19" t="n">
        <f aca="false">$D$203*Assumptions!$D$112</f>
        <v>7.19174747382112</v>
      </c>
    </row>
    <row r="209" customFormat="false" ht="15" hidden="false" customHeight="false" outlineLevel="0" collapsed="false">
      <c r="B209" s="9" t="s">
        <v>676</v>
      </c>
      <c r="D209" s="19" t="n">
        <f aca="false">$D$207+$D$208</f>
        <v>15.9177529566179</v>
      </c>
    </row>
    <row r="210" customFormat="false" ht="15" hidden="false" customHeight="false" outlineLevel="0" collapsed="false">
      <c r="B210" s="9" t="s">
        <v>677</v>
      </c>
      <c r="D210" s="24" t="n">
        <f aca="false">$D$209/Assumptions!$D$111</f>
        <v>3.97943823915446</v>
      </c>
    </row>
    <row r="211" customFormat="false" ht="15" hidden="false" customHeight="false" outlineLevel="0" collapsed="false">
      <c r="B211" s="9" t="s">
        <v>678</v>
      </c>
      <c r="D211" s="19" t="n">
        <f aca="false">$D$179*$D$190/$D$189</f>
        <v>434.005717861788</v>
      </c>
    </row>
    <row r="212" customFormat="false" ht="15" hidden="false" customHeight="false" outlineLevel="0" collapsed="false">
      <c r="B212" s="9" t="s">
        <v>679</v>
      </c>
      <c r="D212" s="19" t="n">
        <f aca="false">$D$211-$D$200</f>
        <v>19.5204574289431</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414.485260432845</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456.84812406504</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0.168829321968852</v>
      </c>
    </row>
    <row r="224" customFormat="false" ht="15" hidden="false" customHeight="false" outlineLevel="0" collapsed="false">
      <c r="B224" s="9" t="s">
        <v>689</v>
      </c>
      <c r="D224" s="25" t="n">
        <f aca="false">XIRR($E$219:$L$219,$E$221:$L$221,0.1)</f>
        <v>0.168729468352048</v>
      </c>
    </row>
    <row r="225" customFormat="false" ht="15" hidden="false" customHeight="false" outlineLevel="0" collapsed="false">
      <c r="B225" s="17" t="s">
        <v>690</v>
      </c>
      <c r="D225" s="41" t="n">
        <f aca="false">SUMIF($E$219:$L$219,"&gt;0")/-SUMIF($E$219:$L$219,"&lt;0")</f>
        <v>2.18150137069918</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0.179636956704934</v>
      </c>
    </row>
    <row r="228" customFormat="false" ht="15" hidden="false" customHeight="false" outlineLevel="0" collapsed="false">
      <c r="B228" s="9" t="s">
        <v>693</v>
      </c>
      <c r="D228" s="24" t="n">
        <f aca="false">SUMIF($E$220:$L$220,"&gt;0")/-SUMIF($E$220:$L$220,"&lt;0")</f>
        <v>2.2842406203252</v>
      </c>
    </row>
    <row r="229" customFormat="false" ht="15" hidden="false" customHeight="false" outlineLevel="0" collapsed="false">
      <c r="B229" s="9" t="s">
        <v>694</v>
      </c>
      <c r="D229" s="19" t="n">
        <f aca="false">SUM($E$220:$L$220)</f>
        <v>256.84812406504</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84.74820847024</v>
      </c>
    </row>
    <row r="232" customFormat="false" ht="15" hidden="false" customHeight="false" outlineLevel="0" collapsed="false">
      <c r="B232" s="9" t="s">
        <v>697</v>
      </c>
      <c r="D232" s="19" t="n">
        <f aca="false">SUMPRODUCT(($F$64:$L$64&lt;=$D$170)*$F$105:$L$105)</f>
        <v>129.82734580376</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12.45</v>
      </c>
    </row>
    <row r="235" customFormat="false" ht="15" hidden="false" customHeight="false" outlineLevel="0" collapsed="false">
      <c r="B235" s="9" t="s">
        <v>700</v>
      </c>
      <c r="D235" s="19" t="n">
        <f aca="false">SUMPRODUCT(($F$64:$L$64&lt;=$D$170)*$F$115:$L$115)</f>
        <v>0</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12.45</v>
      </c>
    </row>
    <row r="238" customFormat="false" ht="15" hidden="false" customHeight="false" outlineLevel="0" collapsed="false">
      <c r="B238" s="9" t="s">
        <v>703</v>
      </c>
      <c r="D238" s="19" t="n">
        <f aca="false">$D$54-$D$173</f>
        <v>31.94820847024</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250.40600568</v>
      </c>
    </row>
    <row r="242" customFormat="false" ht="15" hidden="false" customHeight="false" outlineLevel="0" collapsed="false">
      <c r="B242" s="9" t="s">
        <v>234</v>
      </c>
      <c r="D242" s="14" t="n">
        <f aca="false">$D$172/$D$29-1</f>
        <v>0.5564577904</v>
      </c>
    </row>
    <row r="243" customFormat="false" ht="15" hidden="false" customHeight="false" outlineLevel="0" collapsed="false">
      <c r="B243" s="9" t="s">
        <v>235</v>
      </c>
      <c r="D243" s="25" t="n">
        <f aca="false">($D$172/$D$29)^(1/$D$170)-1</f>
        <v>0.0925151535860498</v>
      </c>
    </row>
    <row r="244" customFormat="false" ht="15" hidden="false" customHeight="false" outlineLevel="0" collapsed="false">
      <c r="B244" s="9" t="s">
        <v>236</v>
      </c>
      <c r="D244" s="14" t="n">
        <f aca="false">$D$179/$D$46-1</f>
        <v>1.2842406203252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717</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26" t="n">
        <v>1</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0</v>
      </c>
    </row>
    <row r="32" customFormat="false" ht="15" hidden="false" customHeight="false" outlineLevel="0" collapsed="false">
      <c r="B32" s="9" t="s">
        <v>521</v>
      </c>
      <c r="D32" s="19" t="n">
        <f aca="false">IF($D$22&gt;0,$D$30-$D$31,IF($D$14=1,0,$D$8*$D$28))</f>
        <v>0</v>
      </c>
    </row>
    <row r="33" customFormat="false" ht="15" hidden="false" customHeight="false" outlineLevel="0" collapsed="false">
      <c r="B33" s="9" t="s">
        <v>522</v>
      </c>
      <c r="D33" s="19" t="n">
        <f aca="false">Assumptions!$D$77*($D$32+$D$31)</f>
        <v>0</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0</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469.5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0</v>
      </c>
    </row>
    <row r="44" customFormat="false" ht="15" hidden="false" customHeight="false" outlineLevel="0" collapsed="false">
      <c r="B44" s="9" t="s">
        <v>520</v>
      </c>
      <c r="D44" s="19" t="n">
        <f aca="false">$D$31</f>
        <v>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469.5</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459.5</v>
      </c>
    </row>
    <row r="49" customFormat="false" ht="15" hidden="false" customHeight="false" outlineLevel="0" collapsed="false">
      <c r="B49" s="17" t="s">
        <v>534</v>
      </c>
      <c r="D49" s="18" t="n">
        <f aca="false">$D$43+$D$44+$D$45+$D$48+$D$47</f>
        <v>469.5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0</v>
      </c>
    </row>
    <row r="53" customFormat="false" ht="15" hidden="false" customHeight="false" outlineLevel="0" collapsed="false">
      <c r="B53" s="9" t="s">
        <v>303</v>
      </c>
      <c r="C53" s="6" t="s">
        <v>79</v>
      </c>
      <c r="D53" s="23" t="n">
        <f aca="false">$D$52/$D$28</f>
        <v>0</v>
      </c>
    </row>
    <row r="54" customFormat="false" ht="15" hidden="false" customHeight="false" outlineLevel="0" collapsed="false">
      <c r="B54" s="9" t="s">
        <v>192</v>
      </c>
      <c r="D54" s="19" t="n">
        <f aca="false">$D$52-$D$40</f>
        <v>-10</v>
      </c>
    </row>
    <row r="55" customFormat="false" ht="15" hidden="false" customHeight="false" outlineLevel="0" collapsed="false">
      <c r="B55" s="9" t="s">
        <v>538</v>
      </c>
      <c r="C55" s="6" t="s">
        <v>79</v>
      </c>
      <c r="D55" s="24" t="n">
        <f aca="false">$D$54/$D$28</f>
        <v>-0.2</v>
      </c>
    </row>
    <row r="56" customFormat="false" ht="15" hidden="false" customHeight="false" outlineLevel="0" collapsed="false">
      <c r="B56" s="9" t="s">
        <v>539</v>
      </c>
      <c r="D56" s="14" t="n">
        <f aca="false">$D$46/$D$41</f>
        <v>1</v>
      </c>
    </row>
    <row r="57" customFormat="false" ht="15" hidden="false" customHeight="false" outlineLevel="0" collapsed="false">
      <c r="B57" s="9" t="s">
        <v>540</v>
      </c>
      <c r="D57" s="14" t="n">
        <f aca="false">$D$52/$D$41</f>
        <v>0</v>
      </c>
    </row>
    <row r="58" customFormat="false" ht="15" hidden="false" customHeight="false" outlineLevel="0" collapsed="false">
      <c r="B58" s="9" t="s">
        <v>541</v>
      </c>
      <c r="D58" s="14" t="n">
        <f aca="false">$D$52/$D$29</f>
        <v>0</v>
      </c>
    </row>
    <row r="59" customFormat="false" ht="15" hidden="false" customHeight="false" outlineLevel="0" collapsed="false">
      <c r="B59" s="9" t="s">
        <v>542</v>
      </c>
      <c r="D59" s="19" t="n">
        <f aca="false">$D$38+$D$39</f>
        <v>9.5</v>
      </c>
    </row>
    <row r="60" customFormat="false" ht="15" hidden="false" customHeight="false" outlineLevel="0" collapsed="false">
      <c r="B60" s="9" t="s">
        <v>543</v>
      </c>
      <c r="D60" s="25" t="n">
        <f aca="false">$D$59/$D$29</f>
        <v>0.0211111111111111</v>
      </c>
    </row>
    <row r="61" customFormat="false" ht="15" hidden="false" customHeight="false" outlineLevel="0" collapsed="false">
      <c r="B61" s="9" t="s">
        <v>544</v>
      </c>
      <c r="D61" s="25" t="n">
        <f aca="false">$D$59/$D$46</f>
        <v>0.020234291799787</v>
      </c>
    </row>
    <row r="62" customFormat="false" ht="15" hidden="false" customHeight="false" outlineLevel="0" collapsed="false">
      <c r="B62" s="9" t="s">
        <v>545</v>
      </c>
      <c r="D62" s="19" t="n">
        <f aca="false">$D$46+(Assumptions!$D$72-$D$6)*$D$28</f>
        <v>519.5</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31.89</v>
      </c>
      <c r="G91" s="18" t="n">
        <f aca="false">$G$72-$G$139-$G$105-$G$75-$G$79-$G$83-$G$87-$G$89</f>
        <v>34.77615</v>
      </c>
      <c r="H91" s="18" t="n">
        <f aca="false">$H$72-$H$139-$H$105-$H$75-$H$79-$H$83-$H$87-$H$89</f>
        <v>37.45450425</v>
      </c>
      <c r="I91" s="18" t="n">
        <f aca="false">$I$72-$I$139-$I$105-$I$75-$I$79-$I$83-$I$87-$I$89</f>
        <v>41.37374757375</v>
      </c>
      <c r="J91" s="18" t="n">
        <f aca="false">$J$72-$J$139-$J$105-$J$75-$J$79-$J$83-$J$87-$J$89</f>
        <v>47.8816148433563</v>
      </c>
      <c r="K91" s="18" t="n">
        <f aca="false">$K$72-$K$139-$K$105-$K$75-$K$79-$K$83-$K$87-$K$89</f>
        <v>50.7988778922466</v>
      </c>
      <c r="L91" s="18" t="n">
        <f aca="false">$L$72-$L$139-$L$105-$L$75-$L$79-$L$83-$L$87-$L$89</f>
        <v>53.4179905663199</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41.89</v>
      </c>
      <c r="H94" s="19" t="n">
        <f aca="false">$G$123</f>
        <v>24.66615</v>
      </c>
      <c r="I94" s="19" t="n">
        <f aca="false">$H$123</f>
        <v>62.12065425</v>
      </c>
      <c r="J94" s="19" t="n">
        <f aca="false">$I$123</f>
        <v>103.49440182375</v>
      </c>
      <c r="K94" s="19" t="n">
        <f aca="false">$J$123</f>
        <v>151.376016667106</v>
      </c>
      <c r="L94" s="19" t="n">
        <f aca="false">$K$123</f>
        <v>202.174894559353</v>
      </c>
    </row>
    <row r="95" customFormat="false" ht="15" hidden="false" customHeight="false" outlineLevel="0" collapsed="false">
      <c r="B95" s="9" t="s">
        <v>576</v>
      </c>
      <c r="F95" s="19" t="n">
        <f aca="false">$E$123+$F$91-$F$109-$F$82-$F$85+$F$84+$F$86-$F$88+$F$90</f>
        <v>41.89</v>
      </c>
      <c r="G95" s="19" t="n">
        <f aca="false">$F$123+$G$91-$G$109-$G$82-$G$85+$G$84+$G$86-$G$88+$G$90</f>
        <v>24.66615</v>
      </c>
      <c r="H95" s="19" t="n">
        <f aca="false">$G$123+$H$91-$H$109-$H$82-$H$85+$H$84+$H$86-$H$88+$H$90</f>
        <v>62.12065425</v>
      </c>
      <c r="I95" s="19" t="n">
        <f aca="false">$H$123+$I$91-$I$109-$I$82-$I$85+$I$84+$I$86-$I$88+$I$90</f>
        <v>103.49440182375</v>
      </c>
      <c r="J95" s="19" t="n">
        <f aca="false">$I$123+$J$91-$J$109-$J$82-$J$85+$J$84+$J$86-$J$88+$J$90</f>
        <v>151.376016667106</v>
      </c>
      <c r="K95" s="19" t="n">
        <f aca="false">$J$123+$K$91-$K$109-$K$82-$K$85+$K$84+$K$86-$K$88+$K$90</f>
        <v>202.174894559353</v>
      </c>
      <c r="L95" s="19" t="n">
        <f aca="false">$K$123+$L$91-$L$109-$L$82-$L$85+$L$84+$L$86-$L$88+$L$90</f>
        <v>255.592885125673</v>
      </c>
    </row>
    <row r="96" customFormat="false" ht="15" hidden="false" customHeight="false" outlineLevel="0" collapsed="false">
      <c r="B96" s="17" t="s">
        <v>577</v>
      </c>
      <c r="F96" s="18" t="n">
        <f aca="false">$F$95+$F$110-$F$111-$F$115</f>
        <v>41.89</v>
      </c>
      <c r="G96" s="18" t="n">
        <f aca="false">$G$95+$G$110-$G$111-$G$115</f>
        <v>24.66615</v>
      </c>
      <c r="H96" s="18" t="n">
        <f aca="false">$H$95+$H$110-$H$111-$H$115</f>
        <v>62.12065425</v>
      </c>
      <c r="I96" s="18" t="n">
        <f aca="false">$I$95+$I$110-$I$111-$I$115</f>
        <v>103.49440182375</v>
      </c>
      <c r="J96" s="18" t="n">
        <f aca="false">$J$95+$J$110-$J$111-$J$115</f>
        <v>151.376016667106</v>
      </c>
      <c r="K96" s="18" t="n">
        <f aca="false">$K$95+$K$110-$K$111-$K$115</f>
        <v>202.174894559353</v>
      </c>
      <c r="L96" s="18" t="n">
        <f aca="false">$L$95+$L$110-$L$111-$L$115</f>
        <v>255.592885125673</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0</v>
      </c>
      <c r="G101" s="38" t="n">
        <f aca="false">$F$118*$G$100</f>
        <v>0</v>
      </c>
      <c r="H101" s="38" t="n">
        <f aca="false">$G$118*$H$100</f>
        <v>0</v>
      </c>
      <c r="I101" s="38" t="n">
        <f aca="false">$H$118*$I$100</f>
        <v>0</v>
      </c>
      <c r="J101" s="38" t="n">
        <f aca="false">$I$118*$J$100</f>
        <v>0</v>
      </c>
      <c r="K101" s="38" t="n">
        <f aca="false">$J$118*$K$100</f>
        <v>0</v>
      </c>
      <c r="L101" s="38" t="n">
        <f aca="false">$K$118*$L$100</f>
        <v>0</v>
      </c>
    </row>
    <row r="102" customFormat="false" ht="15" hidden="false" customHeight="false" outlineLevel="0" collapsed="false">
      <c r="B102" s="9" t="s">
        <v>582</v>
      </c>
      <c r="F102" s="38" t="n">
        <f aca="false">$E$120*Assumptions!$D$88</f>
        <v>0</v>
      </c>
      <c r="G102" s="38" t="n">
        <f aca="false">$F$120*Assumptions!$D$88</f>
        <v>0</v>
      </c>
      <c r="H102" s="38" t="n">
        <f aca="false">$G$120*Assumptions!$D$88</f>
        <v>0</v>
      </c>
      <c r="I102" s="38" t="n">
        <f aca="false">$H$120*Assumptions!$D$88</f>
        <v>0</v>
      </c>
      <c r="J102" s="38" t="n">
        <f aca="false">$I$120*Assumptions!$D$88</f>
        <v>0</v>
      </c>
      <c r="K102" s="38" t="n">
        <f aca="false">$J$120*Assumptions!$D$88</f>
        <v>0</v>
      </c>
      <c r="L102" s="38" t="n">
        <f aca="false">$K$120*Assumptions!$D$88</f>
        <v>0</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0.8378</v>
      </c>
      <c r="H104" s="38" t="n">
        <f aca="false">$G$123*Assumptions!$D$9</f>
        <v>0.493323</v>
      </c>
      <c r="I104" s="38" t="n">
        <f aca="false">$H$123*Assumptions!$D$9</f>
        <v>1.242413085</v>
      </c>
      <c r="J104" s="38" t="n">
        <f aca="false">$I$123*Assumptions!$D$9</f>
        <v>2.069888036475</v>
      </c>
      <c r="K104" s="38" t="n">
        <f aca="false">$J$123*Assumptions!$D$9</f>
        <v>3.02752033334213</v>
      </c>
      <c r="L104" s="38" t="n">
        <f aca="false">$K$123*Assumptions!$D$9</f>
        <v>4.04349789118706</v>
      </c>
    </row>
    <row r="105" customFormat="false" ht="15" hidden="false" customHeight="false" outlineLevel="0" collapsed="false">
      <c r="B105" s="17" t="s">
        <v>585</v>
      </c>
      <c r="F105" s="40" t="n">
        <f aca="false">$F$101+$F$102+$F$103-$F$104</f>
        <v>0</v>
      </c>
      <c r="G105" s="40" t="n">
        <f aca="false">$G$101+$G$102+$G$103-$G$104</f>
        <v>-0.6378</v>
      </c>
      <c r="H105" s="40" t="n">
        <f aca="false">$H$101+$H$102+$H$103-$H$104</f>
        <v>-0.293323</v>
      </c>
      <c r="I105" s="40" t="n">
        <f aca="false">$I$101+$I$102+$I$103-$I$104</f>
        <v>-1.042413085</v>
      </c>
      <c r="J105" s="40" t="n">
        <f aca="false">$J$101+$J$102+$J$103-$J$104</f>
        <v>-1.869888036475</v>
      </c>
      <c r="K105" s="40" t="n">
        <f aca="false">$K$101+$K$102+$K$103-$K$104</f>
        <v>-2.82752033334213</v>
      </c>
      <c r="L105" s="40" t="n">
        <f aca="false">$L$101+$L$102+$L$103-$L$104</f>
        <v>-3.84349789118706</v>
      </c>
    </row>
    <row r="106" customFormat="false" ht="15" hidden="false" customHeight="false" outlineLevel="0" collapsed="false">
      <c r="B106" s="9" t="s">
        <v>586</v>
      </c>
      <c r="F106" s="38" t="n">
        <f aca="false">IF($E$149&gt;0,$E$149/MAX(1,Assumptions!$D$86-($F$64-1)),0)</f>
        <v>0</v>
      </c>
      <c r="G106" s="38" t="n">
        <f aca="false">IF($F$149&gt;0,$F$149/MAX(1,Assumptions!$D$86-($G$64-1)),0)</f>
        <v>0</v>
      </c>
      <c r="H106" s="38" t="n">
        <f aca="false">IF($G$149&gt;0,$G$149/MAX(1,Assumptions!$D$86-($H$64-1)),0)</f>
        <v>0</v>
      </c>
      <c r="I106" s="38" t="n">
        <f aca="false">IF($H$149&gt;0,$H$149/MAX(1,Assumptions!$D$86-($I$64-1)),0)</f>
        <v>0</v>
      </c>
      <c r="J106" s="38" t="n">
        <f aca="false">IF($I$149&gt;0,$I$149/MAX(1,Assumptions!$D$86-($J$64-1)),0)</f>
        <v>0</v>
      </c>
      <c r="K106" s="38" t="n">
        <f aca="false">IF($J$149&gt;0,$J$149/MAX(1,Assumptions!$D$86-($K$64-1)),0)</f>
        <v>0</v>
      </c>
      <c r="L106" s="38" t="n">
        <f aca="false">IF($K$149&gt;0,$K$149/MAX(1,Assumptions!$D$86-($L$64-1)),0)</f>
        <v>0</v>
      </c>
    </row>
    <row r="107" customFormat="false" ht="15" hidden="false" customHeight="false" outlineLevel="0" collapsed="false">
      <c r="B107" s="9" t="s">
        <v>587</v>
      </c>
      <c r="F107" s="24" t="n">
        <f aca="false">IF($F$105&lt;&gt;0,$F$72/$F$105,0)</f>
        <v>0</v>
      </c>
      <c r="G107" s="24" t="n">
        <f aca="false">IF($G$105&lt;&gt;0,$G$72/$G$105,0)</f>
        <v>-94.931326434619</v>
      </c>
      <c r="H107" s="24" t="n">
        <f aca="false">IF($H$105&lt;&gt;0,$H$72/$H$105,0)</f>
        <v>-197.272658468651</v>
      </c>
      <c r="I107" s="24" t="n">
        <f aca="false">IF($I$105&lt;&gt;0,$I$72/$I$105,0)</f>
        <v>-67.4013460987973</v>
      </c>
      <c r="J107" s="24" t="n">
        <f aca="false">IF($J$105&lt;&gt;0,$J$72/$J$105,0)</f>
        <v>-41.619010337489</v>
      </c>
      <c r="K107" s="24" t="n">
        <f aca="false">IF($K$105&lt;&gt;0,$K$72/$K$105,0)</f>
        <v>-28.5818652293389</v>
      </c>
      <c r="L107" s="24" t="n">
        <f aca="false">IF($L$105&lt;&gt;0,$L$72/$L$105,0)</f>
        <v>-21.8364728382642</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0</v>
      </c>
      <c r="G109" s="38" t="n">
        <f aca="false">IF($D$14=1,0,MIN($F$118,Assumptions!$D$85*$F$119))</f>
        <v>0</v>
      </c>
      <c r="H109" s="38" t="n">
        <f aca="false">IF($D$14=1,0,MIN($G$118,Assumptions!$D$85*$G$119))</f>
        <v>0</v>
      </c>
      <c r="I109" s="38" t="n">
        <f aca="false">IF($D$14=1,0,MIN($H$118,Assumptions!$D$85*$H$119))</f>
        <v>0</v>
      </c>
      <c r="J109" s="38" t="n">
        <f aca="false">IF($D$14=1,0,MIN($I$118,Assumptions!$D$85*$I$119))</f>
        <v>0</v>
      </c>
      <c r="K109" s="38" t="n">
        <f aca="false">IF($D$14=1,0,MIN($J$118,Assumptions!$D$85*$J$119))</f>
        <v>0</v>
      </c>
      <c r="L109" s="38" t="n">
        <f aca="false">IF($D$14=1,0,MIN($K$118,Assumptions!$D$85*$K$119))</f>
        <v>0</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41.89</v>
      </c>
      <c r="G112" s="19" t="n">
        <f aca="false">$G$95+$G$110-$G$111</f>
        <v>24.66615</v>
      </c>
      <c r="H112" s="19" t="n">
        <f aca="false">$H$95+$H$110-$H$111</f>
        <v>62.12065425</v>
      </c>
      <c r="I112" s="19" t="n">
        <f aca="false">$I$95+$I$110-$I$111</f>
        <v>103.49440182375</v>
      </c>
      <c r="J112" s="19" t="n">
        <f aca="false">$J$95+$J$110-$J$111</f>
        <v>151.376016667106</v>
      </c>
      <c r="K112" s="19" t="n">
        <f aca="false">$K$95+$K$110-$K$111</f>
        <v>202.174894559353</v>
      </c>
      <c r="L112" s="19" t="n">
        <f aca="false">$L$95+$L$110-$L$111</f>
        <v>255.592885125673</v>
      </c>
    </row>
    <row r="113" customFormat="false" ht="15" hidden="false" customHeight="false" outlineLevel="0" collapsed="false">
      <c r="B113" s="9" t="s">
        <v>593</v>
      </c>
      <c r="F113" s="29" t="n">
        <f aca="false">IF($E$125&gt;Assumptions!$D$100,Assumptions!$E$100,IF($E$125&gt;Assumptions!$D$101,Assumptions!$E$101,IF($E$125&gt;Assumptions!$D$102,Assumptions!$E$102,0)))</f>
        <v>0</v>
      </c>
      <c r="G113" s="29" t="n">
        <f aca="false">IF($F$125&gt;Assumptions!$D$100,Assumptions!$E$100,IF($F$125&gt;Assumptions!$D$101,Assumptions!$E$101,IF($F$125&gt;Assumptions!$D$102,Assumptions!$E$102,0)))</f>
        <v>0</v>
      </c>
      <c r="H113" s="29" t="n">
        <f aca="false">IF($G$125&gt;Assumptions!$D$100,Assumptions!$E$100,IF($G$125&gt;Assumptions!$D$101,Assumptions!$E$101,IF($G$125&gt;Assumptions!$D$102,Assumptions!$E$102,0)))</f>
        <v>0</v>
      </c>
      <c r="I113" s="29" t="n">
        <f aca="false">IF($H$125&gt;Assumptions!$D$100,Assumptions!$E$100,IF($H$125&gt;Assumptions!$D$101,Assumptions!$E$101,IF($H$125&gt;Assumptions!$D$102,Assumptions!$E$102,0)))</f>
        <v>0</v>
      </c>
      <c r="J113" s="29" t="n">
        <f aca="false">IF($I$125&gt;Assumptions!$D$100,Assumptions!$E$100,IF($I$125&gt;Assumptions!$D$101,Assumptions!$E$101,IF($I$125&gt;Assumptions!$D$102,Assumptions!$E$102,0)))</f>
        <v>0</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31.89</v>
      </c>
      <c r="G114" s="19" t="n">
        <f aca="false">MAX(0,$G$112-Assumptions!$D$79)</f>
        <v>14.66615</v>
      </c>
      <c r="H114" s="19" t="n">
        <f aca="false">MAX(0,$H$112-Assumptions!$D$79)</f>
        <v>52.12065425</v>
      </c>
      <c r="I114" s="19" t="n">
        <f aca="false">MAX(0,$I$112-Assumptions!$D$79)</f>
        <v>93.49440182375</v>
      </c>
      <c r="J114" s="19" t="n">
        <f aca="false">MAX(0,$J$112-Assumptions!$D$79)</f>
        <v>141.376016667106</v>
      </c>
      <c r="K114" s="19" t="n">
        <f aca="false">MAX(0,$K$112-Assumptions!$D$79)</f>
        <v>192.174894559353</v>
      </c>
      <c r="L114" s="19" t="n">
        <f aca="false">MAX(0,$L$112-Assumptions!$D$79)</f>
        <v>245.592885125673</v>
      </c>
    </row>
    <row r="115" customFormat="false" ht="15" hidden="false" customHeight="false" outlineLevel="0" collapsed="false">
      <c r="B115" s="17" t="s">
        <v>595</v>
      </c>
      <c r="F115" s="18" t="n">
        <f aca="false">IF(AND($D$19=1,$D$14=0,$E$121-$F$111+$F$110=0),MIN($E$118-$F$109+$F$84,$F$113*$F$114),0)</f>
        <v>0</v>
      </c>
      <c r="G115" s="18" t="n">
        <f aca="false">IF(AND($D$19=1,$D$14=0,$F$121-$G$111+$G$110=0),MIN($F$118-$G$109+$G$84,$G$113*$G$114),0)</f>
        <v>0</v>
      </c>
      <c r="H115" s="18" t="n">
        <f aca="false">IF(AND($D$19=1,$D$14=0,$G$121-$H$111+$H$110=0),MIN($G$118-$H$109+$H$84,$H$113*$H$114),0)</f>
        <v>0</v>
      </c>
      <c r="I115" s="18" t="n">
        <f aca="false">IF(AND($D$19=1,$D$14=0,$H$121-$I$111+$I$110=0),MIN($H$118-$I$109+$I$84,$I$113*$I$114),0)</f>
        <v>0</v>
      </c>
      <c r="J115" s="18" t="n">
        <f aca="false">IF(AND($D$19=1,$D$14=0,$I$121-$J$111+$J$110=0),MIN($I$118-$J$109+$J$84,$J$113*$J$114),0)</f>
        <v>0</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0</v>
      </c>
      <c r="F118" s="19" t="n">
        <f aca="false">$E$118-$F$109-$F$115+$F$84+$F$86</f>
        <v>0</v>
      </c>
      <c r="G118" s="19" t="n">
        <f aca="false">$F$118-$G$109-$G$115+$G$84+$G$86</f>
        <v>0</v>
      </c>
      <c r="H118" s="19" t="n">
        <f aca="false">$G$118-$H$109-$H$115+$H$84+$H$86</f>
        <v>0</v>
      </c>
      <c r="I118" s="19" t="n">
        <f aca="false">$H$118-$I$109-$I$115+$I$84+$I$86</f>
        <v>0</v>
      </c>
      <c r="J118" s="19" t="n">
        <f aca="false">$I$118-$J$109-$J$115+$J$84+$J$86</f>
        <v>0</v>
      </c>
      <c r="K118" s="19" t="n">
        <f aca="false">$J$118-$K$109-$K$115+$K$84+$K$86</f>
        <v>0</v>
      </c>
      <c r="L118" s="19" t="n">
        <f aca="false">$K$118-$L$109-$L$115+$L$84+$L$86</f>
        <v>0</v>
      </c>
    </row>
    <row r="119" customFormat="false" ht="15" hidden="false" customHeight="false" outlineLevel="0" collapsed="false">
      <c r="B119" s="9" t="s">
        <v>598</v>
      </c>
      <c r="E119" s="19" t="n">
        <f aca="false">$D$32</f>
        <v>0</v>
      </c>
      <c r="F119" s="19" t="n">
        <f aca="false">$E$119+$F$84+$F$86</f>
        <v>0</v>
      </c>
      <c r="G119" s="19" t="n">
        <f aca="false">$F$119+$G$84+$G$86</f>
        <v>0</v>
      </c>
      <c r="H119" s="19" t="n">
        <f aca="false">$G$119+$H$84+$H$86</f>
        <v>0</v>
      </c>
      <c r="I119" s="19" t="n">
        <f aca="false">$H$119+$I$84+$I$86</f>
        <v>0</v>
      </c>
      <c r="J119" s="19" t="n">
        <f aca="false">$I$119+$J$84+$J$86</f>
        <v>0</v>
      </c>
      <c r="K119" s="19" t="n">
        <f aca="false">$J$119+$K$84+$K$86</f>
        <v>0</v>
      </c>
      <c r="L119" s="19" t="n">
        <f aca="false">$K$119+$L$84+$L$86</f>
        <v>0</v>
      </c>
    </row>
    <row r="120" customFormat="false" ht="15" hidden="false" customHeight="false" outlineLevel="0" collapsed="false">
      <c r="B120" s="9" t="s">
        <v>520</v>
      </c>
      <c r="E120" s="19" t="n">
        <f aca="false">$D$31</f>
        <v>0</v>
      </c>
      <c r="F120" s="19" t="n">
        <f aca="false">$E$120</f>
        <v>0</v>
      </c>
      <c r="G120" s="19" t="n">
        <f aca="false">$F$120</f>
        <v>0</v>
      </c>
      <c r="H120" s="19" t="n">
        <f aca="false">$G$120</f>
        <v>0</v>
      </c>
      <c r="I120" s="19" t="n">
        <f aca="false">$H$120</f>
        <v>0</v>
      </c>
      <c r="J120" s="19" t="n">
        <f aca="false">$I$120</f>
        <v>0</v>
      </c>
      <c r="K120" s="19" t="n">
        <f aca="false">$J$120</f>
        <v>0</v>
      </c>
      <c r="L120" s="19" t="n">
        <f aca="false">$K$120</f>
        <v>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0</v>
      </c>
      <c r="F122" s="18" t="n">
        <f aca="false">$F$118+$F$120+$F$121</f>
        <v>0</v>
      </c>
      <c r="G122" s="18" t="n">
        <f aca="false">$G$118+$G$120+$G$121</f>
        <v>0</v>
      </c>
      <c r="H122" s="18" t="n">
        <f aca="false">$H$118+$H$120+$H$121</f>
        <v>0</v>
      </c>
      <c r="I122" s="18" t="n">
        <f aca="false">$I$118+$I$120+$I$121</f>
        <v>0</v>
      </c>
      <c r="J122" s="18" t="n">
        <f aca="false">$J$118+$J$120+$J$121</f>
        <v>0</v>
      </c>
      <c r="K122" s="18" t="n">
        <f aca="false">$K$118+$K$120+$K$121</f>
        <v>0</v>
      </c>
      <c r="L122" s="18" t="n">
        <f aca="false">$L$118+$L$120+$L$121</f>
        <v>0</v>
      </c>
    </row>
    <row r="123" customFormat="false" ht="15" hidden="false" customHeight="false" outlineLevel="0" collapsed="false">
      <c r="B123" s="9" t="s">
        <v>600</v>
      </c>
      <c r="E123" s="19" t="n">
        <f aca="false">Assumptions!$D$78</f>
        <v>10</v>
      </c>
      <c r="F123" s="19" t="n">
        <f aca="false">$F$112-$F$115</f>
        <v>41.89</v>
      </c>
      <c r="G123" s="19" t="n">
        <f aca="false">$G$112-$G$115</f>
        <v>24.66615</v>
      </c>
      <c r="H123" s="19" t="n">
        <f aca="false">$H$112-$H$115</f>
        <v>62.12065425</v>
      </c>
      <c r="I123" s="19" t="n">
        <f aca="false">$I$112-$I$115</f>
        <v>103.49440182375</v>
      </c>
      <c r="J123" s="19" t="n">
        <f aca="false">$J$112-$J$115</f>
        <v>151.376016667106</v>
      </c>
      <c r="K123" s="19" t="n">
        <f aca="false">$K$112-$K$115</f>
        <v>202.174894559353</v>
      </c>
      <c r="L123" s="19" t="n">
        <f aca="false">$L$112-$L$115</f>
        <v>255.592885125673</v>
      </c>
    </row>
    <row r="124" customFormat="false" ht="15" hidden="false" customHeight="false" outlineLevel="0" collapsed="false">
      <c r="B124" s="17" t="s">
        <v>601</v>
      </c>
      <c r="E124" s="18" t="n">
        <f aca="false">$E$122-$E$123</f>
        <v>-10</v>
      </c>
      <c r="F124" s="18" t="n">
        <f aca="false">$F$122-$F$123</f>
        <v>-41.89</v>
      </c>
      <c r="G124" s="18" t="n">
        <f aca="false">$G$122-$G$123</f>
        <v>-24.66615</v>
      </c>
      <c r="H124" s="18" t="n">
        <f aca="false">$H$122-$H$123</f>
        <v>-62.12065425</v>
      </c>
      <c r="I124" s="18" t="n">
        <f aca="false">$I$122-$I$123</f>
        <v>-103.49440182375</v>
      </c>
      <c r="J124" s="18" t="n">
        <f aca="false">$J$122-$J$123</f>
        <v>-151.376016667106</v>
      </c>
      <c r="K124" s="18" t="n">
        <f aca="false">$K$122-$K$123</f>
        <v>-202.174894559353</v>
      </c>
      <c r="L124" s="18" t="n">
        <f aca="false">$L$122-$L$123</f>
        <v>-255.592885125673</v>
      </c>
    </row>
    <row r="125" customFormat="false" ht="15" hidden="false" customHeight="false" outlineLevel="0" collapsed="false">
      <c r="B125" s="9" t="s">
        <v>538</v>
      </c>
      <c r="E125" s="24" t="n">
        <f aca="false">$E$124/$E$72</f>
        <v>-0.2</v>
      </c>
      <c r="F125" s="24" t="n">
        <f aca="false">$F$124/$F$72</f>
        <v>-0.767216117216117</v>
      </c>
      <c r="G125" s="24" t="n">
        <f aca="false">$G$124/$G$72</f>
        <v>-0.407387129380054</v>
      </c>
      <c r="H125" s="24" t="n">
        <f aca="false">$H$124/$H$72</f>
        <v>-1.07355180302958</v>
      </c>
      <c r="I125" s="24" t="n">
        <f aca="false">$I$124/$I$72</f>
        <v>-1.47301929065072</v>
      </c>
      <c r="J125" s="24" t="n">
        <f aca="false">$J$124/$J$72</f>
        <v>-1.94513487742194</v>
      </c>
      <c r="K125" s="24" t="n">
        <f aca="false">$K$124/$K$72</f>
        <v>-2.50167518973775</v>
      </c>
      <c r="L125" s="24" t="n">
        <f aca="false">$L$124/$L$72</f>
        <v>-3.04536690224968</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0</v>
      </c>
      <c r="G130" s="38" t="n">
        <f aca="false">$G$105+$G$106</f>
        <v>-0.6378</v>
      </c>
      <c r="H130" s="38" t="n">
        <f aca="false">$H$105+$H$106</f>
        <v>-0.293323</v>
      </c>
      <c r="I130" s="38" t="n">
        <f aca="false">$I$105+$I$106</f>
        <v>-1.042413085</v>
      </c>
      <c r="J130" s="38" t="n">
        <f aca="false">$J$105+$J$106</f>
        <v>-1.869888036475</v>
      </c>
      <c r="K130" s="38" t="n">
        <f aca="false">$K$105+$K$106</f>
        <v>-2.82752033334213</v>
      </c>
      <c r="L130" s="38" t="n">
        <f aca="false">$L$105+$L$106</f>
        <v>-3.84349789118706</v>
      </c>
    </row>
    <row r="131" customFormat="false" ht="15" hidden="false" customHeight="false" outlineLevel="0" collapsed="false">
      <c r="B131" s="9" t="s">
        <v>606</v>
      </c>
      <c r="F131" s="38" t="n">
        <f aca="false">$F$129-$F$130-$F$83-$F$87-$F$89</f>
        <v>42.84</v>
      </c>
      <c r="G131" s="38" t="n">
        <f aca="false">$G$129-$G$130-$G$83-$G$87-$G$89</f>
        <v>47.2194</v>
      </c>
      <c r="H131" s="38" t="n">
        <f aca="false">$H$129-$H$130-$H$83-$H$87-$H$89</f>
        <v>44.256267</v>
      </c>
      <c r="I131" s="38" t="n">
        <f aca="false">$I$129-$I$130-$I$83-$I$87-$I$89</f>
        <v>56.493197725</v>
      </c>
      <c r="J131" s="38" t="n">
        <f aca="false">$J$129-$J$130-$J$83-$J$87-$J$89</f>
        <v>64.165767652475</v>
      </c>
      <c r="K131" s="38" t="n">
        <f aca="false">$K$129-$K$130-$K$83-$K$87-$K$89</f>
        <v>67.4952351339821</v>
      </c>
      <c r="L131" s="38" t="n">
        <f aca="false">$L$129-$L$130-$L$83-$L$87-$L$89</f>
        <v>70.9779212838526</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0</v>
      </c>
      <c r="G133" s="38" t="n">
        <f aca="false">$G$130+$F$135</f>
        <v>-0.6378</v>
      </c>
      <c r="H133" s="38" t="n">
        <f aca="false">$H$130+$G$135</f>
        <v>-0.293323</v>
      </c>
      <c r="I133" s="38" t="n">
        <f aca="false">$I$130+$H$135</f>
        <v>-1.042413085</v>
      </c>
      <c r="J133" s="38" t="n">
        <f aca="false">$J$130+$I$135</f>
        <v>-1.869888036475</v>
      </c>
      <c r="K133" s="38" t="n">
        <f aca="false">$K$130+$J$135</f>
        <v>-2.82752033334213</v>
      </c>
      <c r="L133" s="38" t="n">
        <f aca="false">$L$130+$K$135</f>
        <v>-3.84349789118706</v>
      </c>
    </row>
    <row r="134" customFormat="false" ht="15" hidden="false" customHeight="false" outlineLevel="0" collapsed="false">
      <c r="B134" s="9" t="s">
        <v>609</v>
      </c>
      <c r="F134" s="38" t="n">
        <f aca="false">MIN($F$133,$F$132)</f>
        <v>0</v>
      </c>
      <c r="G134" s="38" t="n">
        <f aca="false">MIN($G$133,$G$132)</f>
        <v>-0.6378</v>
      </c>
      <c r="H134" s="38" t="n">
        <f aca="false">MIN($H$133,$H$132)</f>
        <v>-0.293323</v>
      </c>
      <c r="I134" s="38" t="n">
        <f aca="false">MIN($I$133,$I$132)</f>
        <v>-1.042413085</v>
      </c>
      <c r="J134" s="38" t="n">
        <f aca="false">MIN($J$133,$J$132)</f>
        <v>-1.869888036475</v>
      </c>
      <c r="K134" s="38" t="n">
        <f aca="false">MIN($K$133,$K$132)</f>
        <v>-2.82752033334213</v>
      </c>
      <c r="L134" s="38" t="n">
        <f aca="false">MIN($L$133,$L$132)</f>
        <v>-3.84349789118706</v>
      </c>
    </row>
    <row r="135" customFormat="false" ht="15" hidden="false" customHeight="false" outlineLevel="0" collapsed="false">
      <c r="B135" s="9" t="s">
        <v>610</v>
      </c>
      <c r="E135" s="38" t="n">
        <f aca="false">0</f>
        <v>0</v>
      </c>
      <c r="F135" s="38" t="n">
        <f aca="false">$F$133-$F$134</f>
        <v>0</v>
      </c>
      <c r="G135" s="38" t="n">
        <f aca="false">$G$133-$G$134</f>
        <v>0</v>
      </c>
      <c r="H135" s="38" t="n">
        <f aca="false">$H$133-$H$134</f>
        <v>0</v>
      </c>
      <c r="I135" s="38" t="n">
        <f aca="false">$I$133-$I$134</f>
        <v>0</v>
      </c>
      <c r="J135" s="38" t="n">
        <f aca="false">$J$133-$J$134</f>
        <v>0</v>
      </c>
      <c r="K135" s="38" t="n">
        <f aca="false">$K$133-$K$134</f>
        <v>0</v>
      </c>
      <c r="L135" s="38" t="n">
        <f aca="false">$L$133-$L$134</f>
        <v>0</v>
      </c>
    </row>
    <row r="136" customFormat="false" ht="15" hidden="false" customHeight="false" outlineLevel="0" collapsed="false">
      <c r="B136" s="9" t="s">
        <v>611</v>
      </c>
      <c r="F136" s="38" t="n">
        <f aca="false">$F$129-$F$134-$F$83-$F$87-$F$89</f>
        <v>42.84</v>
      </c>
      <c r="G136" s="38" t="n">
        <f aca="false">$G$129-$G$134-$G$83-$G$87-$G$89</f>
        <v>47.2194</v>
      </c>
      <c r="H136" s="38" t="n">
        <f aca="false">$H$129-$H$134-$H$83-$H$87-$H$89</f>
        <v>44.256267</v>
      </c>
      <c r="I136" s="38" t="n">
        <f aca="false">$I$129-$I$134-$I$83-$I$87-$I$89</f>
        <v>56.493197725</v>
      </c>
      <c r="J136" s="38" t="n">
        <f aca="false">$J$129-$J$134-$J$83-$J$87-$J$89</f>
        <v>64.165767652475</v>
      </c>
      <c r="K136" s="38" t="n">
        <f aca="false">$K$129-$K$134-$K$83-$K$87-$K$89</f>
        <v>67.4952351339821</v>
      </c>
      <c r="L136" s="38" t="n">
        <f aca="false">$L$129-$L$134-$L$83-$L$87-$L$89</f>
        <v>70.9779212838526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10.71</v>
      </c>
      <c r="G139" s="40" t="n">
        <f aca="false">IF($G$136&lt;0,0,Assumptions!$D$7*($G$136-$G$137))</f>
        <v>11.80485</v>
      </c>
      <c r="H139" s="40" t="n">
        <f aca="false">IF($H$136&lt;0,0,Assumptions!$D$7*($H$136-$H$137))</f>
        <v>11.06406675</v>
      </c>
      <c r="I139" s="40" t="n">
        <f aca="false">IF($I$136&lt;0,0,Assumptions!$D$7*($I$136-$I$137))</f>
        <v>14.12329943125</v>
      </c>
      <c r="J139" s="40" t="n">
        <f aca="false">IF($J$136&lt;0,0,Assumptions!$D$7*($J$136-$J$137))</f>
        <v>16.0414419131188</v>
      </c>
      <c r="K139" s="40" t="n">
        <f aca="false">IF($K$136&lt;0,0,Assumptions!$D$7*($K$136-$K$137))</f>
        <v>16.8738087834955</v>
      </c>
      <c r="L139" s="40" t="n">
        <f aca="false">IF($L$136&lt;0,0,Assumptions!$D$7*($L$136-$L$137))</f>
        <v>17.7444803209632</v>
      </c>
    </row>
    <row r="140" customFormat="false" ht="15" hidden="false" customHeight="false" outlineLevel="0" collapsed="false">
      <c r="B140" s="9" t="s">
        <v>615</v>
      </c>
      <c r="F140" s="19" t="n">
        <f aca="false">$F$131-$F$139</f>
        <v>32.13</v>
      </c>
      <c r="G140" s="19" t="n">
        <f aca="false">$G$131-$G$139</f>
        <v>35.41455</v>
      </c>
      <c r="H140" s="19" t="n">
        <f aca="false">$H$131-$H$139</f>
        <v>33.19220025</v>
      </c>
      <c r="I140" s="19" t="n">
        <f aca="false">$I$131-$I$139</f>
        <v>42.36989829375</v>
      </c>
      <c r="J140" s="19" t="n">
        <f aca="false">$J$131-$J$139</f>
        <v>48.1243257393563</v>
      </c>
      <c r="K140" s="19" t="n">
        <f aca="false">$K$131-$K$139</f>
        <v>50.6214263504866</v>
      </c>
      <c r="L140" s="19" t="n">
        <f aca="false">$L$131-$L$139</f>
        <v>53.2334409628895</v>
      </c>
    </row>
    <row r="141" customFormat="false" ht="15" hidden="false" customHeight="false" outlineLevel="0" collapsed="false">
      <c r="B141" s="9" t="s">
        <v>616</v>
      </c>
      <c r="F141" s="38" t="n">
        <f aca="false">Assumptions!$D$7*($F$129-$F$130)</f>
        <v>10.71</v>
      </c>
      <c r="G141" s="38" t="n">
        <f aca="false">Assumptions!$D$7*($G$129-$G$130)</f>
        <v>12.17985</v>
      </c>
      <c r="H141" s="38" t="n">
        <f aca="false">Assumptions!$D$7*($H$129-$H$130)</f>
        <v>11.06406675</v>
      </c>
      <c r="I141" s="38" t="n">
        <f aca="false">Assumptions!$D$7*($I$129-$I$130)</f>
        <v>14.12329943125</v>
      </c>
      <c r="J141" s="38" t="n">
        <f aca="false">Assumptions!$D$7*($J$129-$J$130)</f>
        <v>16.0414419131188</v>
      </c>
      <c r="K141" s="38" t="n">
        <f aca="false">Assumptions!$D$7*($K$129-$K$130)</f>
        <v>16.8738087834955</v>
      </c>
      <c r="L141" s="38" t="n">
        <f aca="false">Assumptions!$D$7*($L$129-$L$130)</f>
        <v>17.7444803209632</v>
      </c>
    </row>
    <row r="142" customFormat="false" ht="15" hidden="false" customHeight="false" outlineLevel="0" collapsed="false">
      <c r="B142" s="9" t="s">
        <v>617</v>
      </c>
      <c r="F142" s="38" t="n">
        <f aca="false">$F$139-$F$141</f>
        <v>0</v>
      </c>
      <c r="G142" s="38" t="n">
        <f aca="false">$G$139-$G$141</f>
        <v>-0.375</v>
      </c>
      <c r="H142" s="38" t="n">
        <f aca="false">$H$139-$H$141</f>
        <v>0</v>
      </c>
      <c r="I142" s="38" t="n">
        <f aca="false">$I$139-$I$141</f>
        <v>0</v>
      </c>
      <c r="J142" s="38" t="n">
        <f aca="false">$J$139-$J$141</f>
        <v>0</v>
      </c>
      <c r="K142" s="38" t="n">
        <f aca="false">$K$139-$K$141</f>
        <v>0</v>
      </c>
      <c r="L142" s="38" t="n">
        <f aca="false">$L$139-$L$141</f>
        <v>0</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41.89</v>
      </c>
      <c r="G145" s="19" t="n">
        <f aca="false">$G$123</f>
        <v>24.66615</v>
      </c>
      <c r="H145" s="19" t="n">
        <f aca="false">$H$123</f>
        <v>62.12065425</v>
      </c>
      <c r="I145" s="19" t="n">
        <f aca="false">$I$123</f>
        <v>103.49440182375</v>
      </c>
      <c r="J145" s="19" t="n">
        <f aca="false">$J$123</f>
        <v>151.376016667106</v>
      </c>
      <c r="K145" s="19" t="n">
        <f aca="false">$K$123</f>
        <v>202.174894559353</v>
      </c>
      <c r="L145" s="19" t="n">
        <f aca="false">$L$123</f>
        <v>255.592885125673</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0</v>
      </c>
      <c r="F149" s="19" t="n">
        <f aca="false">$E$149-$F$106+$F$85</f>
        <v>0</v>
      </c>
      <c r="G149" s="19" t="n">
        <f aca="false">$F$149-$G$106+$G$85</f>
        <v>0</v>
      </c>
      <c r="H149" s="19" t="n">
        <f aca="false">$G$149-$H$106+$H$85</f>
        <v>0</v>
      </c>
      <c r="I149" s="19" t="n">
        <f aca="false">$H$149-$I$106+$I$85</f>
        <v>0</v>
      </c>
      <c r="J149" s="19" t="n">
        <f aca="false">$I$149-$J$106+$J$85</f>
        <v>0</v>
      </c>
      <c r="K149" s="19" t="n">
        <f aca="false">$J$149-$K$106+$K$85</f>
        <v>0</v>
      </c>
      <c r="L149" s="19" t="n">
        <f aca="false">$K$149-$L$106+$L$85</f>
        <v>0</v>
      </c>
    </row>
    <row r="150" customFormat="false" ht="15" hidden="false" customHeight="false" outlineLevel="0" collapsed="false">
      <c r="B150" s="17" t="s">
        <v>623</v>
      </c>
      <c r="E150" s="18" t="n">
        <f aca="false">$E$145+$E$146+$E$147+$E$148+$E$149</f>
        <v>460</v>
      </c>
      <c r="F150" s="18" t="n">
        <f aca="false">$F$145+$F$146+$F$147+$F$148+$F$149</f>
        <v>492.13</v>
      </c>
      <c r="G150" s="18" t="n">
        <f aca="false">$G$145+$G$146+$G$147+$G$148+$G$149</f>
        <v>527.54455</v>
      </c>
      <c r="H150" s="18" t="n">
        <f aca="false">$H$145+$H$146+$H$147+$H$148+$H$149</f>
        <v>560.73675025</v>
      </c>
      <c r="I150" s="18" t="n">
        <f aca="false">$I$145+$I$146+$I$147+$I$148+$I$149</f>
        <v>603.10664854375</v>
      </c>
      <c r="J150" s="18" t="n">
        <f aca="false">$J$145+$J$146+$J$147+$J$148+$J$149</f>
        <v>651.230974283106</v>
      </c>
      <c r="K150" s="18" t="n">
        <f aca="false">$K$145+$K$146+$K$147+$K$148+$K$149</f>
        <v>701.852400633593</v>
      </c>
      <c r="L150" s="18" t="n">
        <f aca="false">$L$145+$L$146+$L$147+$L$148+$L$149</f>
        <v>755.085841596482</v>
      </c>
    </row>
    <row r="151" customFormat="false" ht="15" hidden="false" customHeight="false" outlineLevel="0" collapsed="false">
      <c r="B151" s="9" t="s">
        <v>291</v>
      </c>
      <c r="E151" s="19" t="n">
        <f aca="false">$E$122</f>
        <v>0</v>
      </c>
      <c r="F151" s="19" t="n">
        <f aca="false">$F$122</f>
        <v>0</v>
      </c>
      <c r="G151" s="19" t="n">
        <f aca="false">$G$122</f>
        <v>0</v>
      </c>
      <c r="H151" s="19" t="n">
        <f aca="false">$H$122</f>
        <v>0</v>
      </c>
      <c r="I151" s="19" t="n">
        <f aca="false">$I$122</f>
        <v>0</v>
      </c>
      <c r="J151" s="19" t="n">
        <f aca="false">$J$122</f>
        <v>0</v>
      </c>
      <c r="K151" s="19" t="n">
        <f aca="false">$K$122</f>
        <v>0</v>
      </c>
      <c r="L151" s="19" t="n">
        <f aca="false">$L$122</f>
        <v>0</v>
      </c>
    </row>
    <row r="152" customFormat="false" ht="15" hidden="false" customHeight="false" outlineLevel="0" collapsed="false">
      <c r="B152" s="9" t="s">
        <v>624</v>
      </c>
      <c r="E152" s="19" t="n">
        <f aca="false">$D$46-Assumptions!$D$76</f>
        <v>460</v>
      </c>
      <c r="F152" s="19" t="n">
        <f aca="false">$E$152+$F$140-$F$88+$F$90</f>
        <v>492.13</v>
      </c>
      <c r="G152" s="19" t="n">
        <f aca="false">$F$152+$G$140-$G$88+$G$90</f>
        <v>527.54455</v>
      </c>
      <c r="H152" s="19" t="n">
        <f aca="false">$G$152+$H$140-$H$88+$H$90</f>
        <v>560.73675025</v>
      </c>
      <c r="I152" s="19" t="n">
        <f aca="false">$H$152+$I$140-$I$88+$I$90</f>
        <v>603.10664854375</v>
      </c>
      <c r="J152" s="19" t="n">
        <f aca="false">$I$152+$J$140-$J$88+$J$90</f>
        <v>651.230974283106</v>
      </c>
      <c r="K152" s="19" t="n">
        <f aca="false">$J$152+$K$140-$K$88+$K$90</f>
        <v>701.852400633593</v>
      </c>
      <c r="L152" s="19" t="n">
        <f aca="false">$K$152+$L$140-$L$88+$L$90</f>
        <v>755.085841596482</v>
      </c>
    </row>
    <row r="153" customFormat="false" ht="15" hidden="false" customHeight="false" outlineLevel="0" collapsed="false">
      <c r="B153" s="17" t="s">
        <v>625</v>
      </c>
      <c r="E153" s="18" t="n">
        <f aca="false">$E$151+$E$152</f>
        <v>460</v>
      </c>
      <c r="F153" s="18" t="n">
        <f aca="false">$F$151+$F$152</f>
        <v>492.13</v>
      </c>
      <c r="G153" s="18" t="n">
        <f aca="false">$G$151+$G$152</f>
        <v>527.54455</v>
      </c>
      <c r="H153" s="18" t="n">
        <f aca="false">$H$151+$H$152</f>
        <v>560.73675025</v>
      </c>
      <c r="I153" s="18" t="n">
        <f aca="false">$I$151+$I$152</f>
        <v>603.10664854375</v>
      </c>
      <c r="J153" s="18" t="n">
        <f aca="false">$J$151+$J$152</f>
        <v>651.230974283106</v>
      </c>
      <c r="K153" s="18" t="n">
        <f aca="false">$K$151+$K$152</f>
        <v>701.852400633593</v>
      </c>
      <c r="L153" s="18" t="n">
        <f aca="false">$L$151+$L$152</f>
        <v>755.085841596482</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-41.89</v>
      </c>
      <c r="G160" s="19" t="n">
        <f aca="false">$G$124</f>
        <v>-24.66615</v>
      </c>
      <c r="H160" s="19" t="n">
        <f aca="false">$H$124</f>
        <v>-62.12065425</v>
      </c>
      <c r="I160" s="19" t="n">
        <f aca="false">$I$124</f>
        <v>-103.49440182375</v>
      </c>
      <c r="J160" s="19" t="n">
        <f aca="false">$J$124</f>
        <v>-151.376016667106</v>
      </c>
      <c r="K160" s="19" t="n">
        <f aca="false">$K$124</f>
        <v>-202.174894559353</v>
      </c>
      <c r="L160" s="19" t="n">
        <f aca="false">$L$124</f>
        <v>-255.592885125673</v>
      </c>
    </row>
    <row r="161" customFormat="false" ht="15" hidden="false" customHeight="false" outlineLevel="0" collapsed="false">
      <c r="B161" s="17" t="s">
        <v>632</v>
      </c>
      <c r="F161" s="41" t="n">
        <f aca="false">$F$124/$F$159</f>
        <v>-0.767216117216117</v>
      </c>
      <c r="G161" s="41" t="n">
        <f aca="false">$G$124/$G$159</f>
        <v>-0.344753533331843</v>
      </c>
      <c r="H161" s="41" t="n">
        <f aca="false">$H$124/$H$159</f>
        <v>-1.03768581012006</v>
      </c>
      <c r="I161" s="41" t="n">
        <f aca="false">$I$124/$I$159</f>
        <v>-1.46261073813954</v>
      </c>
      <c r="J161" s="41" t="n">
        <f aca="false">$J$124/$J$159</f>
        <v>-1.94513487742194</v>
      </c>
      <c r="K161" s="41" t="n">
        <f aca="false">$K$124/$K$159</f>
        <v>-2.50167518973775</v>
      </c>
      <c r="L161" s="41" t="n">
        <f aca="false">$L$124/$L$159</f>
        <v>-3.04536690224968</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6.51721611721612</v>
      </c>
      <c r="G163" s="24" t="n">
        <f aca="false">$G$162-$G$161</f>
        <v>5.59475353333184</v>
      </c>
      <c r="H163" s="24" t="n">
        <f aca="false">$H$162-$H$161</f>
        <v>5.78768581012006</v>
      </c>
      <c r="I163" s="24" t="n">
        <f aca="false">$I$162-$I$161</f>
        <v>5.71261073813954</v>
      </c>
      <c r="J163" s="24" t="n">
        <f aca="false">$J$162-$J$161</f>
        <v>5.94513487742194</v>
      </c>
      <c r="K163" s="24" t="n">
        <f aca="false">$K$162-$K$161</f>
        <v>6.50167518973775</v>
      </c>
      <c r="L163" s="24" t="n">
        <f aca="false">$L$162-$L$161</f>
        <v>7.04536690224968</v>
      </c>
    </row>
    <row r="164" customFormat="false" ht="15" hidden="false" customHeight="false" outlineLevel="0" collapsed="false">
      <c r="B164" s="9" t="s">
        <v>635</v>
      </c>
      <c r="F164" s="14" t="n">
        <f aca="false">1-$F$124/($F$162*$F$159)</f>
        <v>1.13342888995063</v>
      </c>
      <c r="G164" s="14" t="n">
        <f aca="false">1-$G$124/($G$162*$G$159)</f>
        <v>1.06566733968226</v>
      </c>
      <c r="H164" s="14" t="n">
        <f aca="false">1-$H$124/($H$162*$H$159)</f>
        <v>1.21846017055159</v>
      </c>
      <c r="I164" s="14" t="n">
        <f aca="false">1-$I$124/($I$162*$I$159)</f>
        <v>1.34414370309166</v>
      </c>
      <c r="J164" s="14" t="n">
        <f aca="false">1-$J$124/($J$162*$J$159)</f>
        <v>1.48628371935548</v>
      </c>
      <c r="K164" s="14" t="n">
        <f aca="false">1-$K$124/($K$162*$K$159)</f>
        <v>1.62541879743444</v>
      </c>
      <c r="L164" s="14" t="n">
        <f aca="false">1-$L$124/($L$162*$L$159)</f>
        <v>1.76134172556242</v>
      </c>
    </row>
    <row r="165" customFormat="false" ht="15" hidden="false" customHeight="false" outlineLevel="0" collapsed="false">
      <c r="B165" s="9" t="s">
        <v>636</v>
      </c>
      <c r="F165" s="19" t="n">
        <f aca="false">$F$164*$F$159</f>
        <v>61.8852173913044</v>
      </c>
      <c r="G165" s="19" t="n">
        <f aca="false">$G$164*$G$159</f>
        <v>76.2455142857143</v>
      </c>
      <c r="H165" s="19" t="n">
        <f aca="false">$H$164*$H$159</f>
        <v>72.9426404736842</v>
      </c>
      <c r="I165" s="19" t="n">
        <f aca="false">$I$164*$I$159</f>
        <v>95.1116690785294</v>
      </c>
      <c r="J165" s="19" t="n">
        <f aca="false">$J$164*$J$159</f>
        <v>115.666893686777</v>
      </c>
      <c r="K165" s="19" t="n">
        <f aca="false">$K$164*$K$159</f>
        <v>131.359528740638</v>
      </c>
      <c r="L165" s="19" t="n">
        <f aca="false">$L$164*$L$159</f>
        <v>147.82665858625</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-6.51721611721612</v>
      </c>
      <c r="G167" s="24" t="n">
        <f aca="false">$G$125-Assumptions!$G$169</f>
        <v>-5.65738712938005</v>
      </c>
      <c r="H167" s="24" t="n">
        <f aca="false">$H$125-Assumptions!$H$169</f>
        <v>-5.82355180302958</v>
      </c>
      <c r="I167" s="24" t="n">
        <f aca="false">$I$125-Assumptions!$I$169</f>
        <v>-5.72301929065072</v>
      </c>
      <c r="J167" s="24" t="n">
        <f aca="false">$J$125-Assumptions!$J$169</f>
        <v>-5.94513487742194</v>
      </c>
      <c r="K167" s="24" t="n">
        <f aca="false">$K$125-Assumptions!$K$169</f>
        <v>-6.50167518973775</v>
      </c>
      <c r="L167" s="24" t="n">
        <f aca="false">$L$125-Assumptions!$L$169</f>
        <v>-7.04536690224968</v>
      </c>
    </row>
    <row r="168" customFormat="false" ht="15" hidden="false" customHeight="false" outlineLevel="0" collapsed="false">
      <c r="B168" s="9" t="s">
        <v>639</v>
      </c>
      <c r="F168" s="24" t="n">
        <f aca="false">$F$161-$F$162</f>
        <v>-6.51721611721612</v>
      </c>
      <c r="G168" s="24" t="n">
        <f aca="false">$G$161-$G$162</f>
        <v>-5.59475353333184</v>
      </c>
      <c r="H168" s="24" t="n">
        <f aca="false">$H$161-$H$162</f>
        <v>-5.78768581012006</v>
      </c>
      <c r="I168" s="24" t="n">
        <f aca="false">$I$161-$I$162</f>
        <v>-5.71261073813954</v>
      </c>
      <c r="J168" s="24" t="n">
        <f aca="false">$J$161-$J$162</f>
        <v>-5.94513487742194</v>
      </c>
      <c r="K168" s="24" t="n">
        <f aca="false">$K$161-$K$162</f>
        <v>-6.50167518973775</v>
      </c>
      <c r="L168" s="24" t="n">
        <f aca="false">$L$161-$L$162</f>
        <v>-7.04536690224968</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-151.376016667106</v>
      </c>
    </row>
    <row r="174" customFormat="false" ht="15" hidden="false" customHeight="false" outlineLevel="0" collapsed="false">
      <c r="B174" s="9" t="s">
        <v>643</v>
      </c>
      <c r="D174" s="19" t="n">
        <f aca="false">INDEX($E$118:$L$118,1,$D$170+1)</f>
        <v>0</v>
      </c>
    </row>
    <row r="175" customFormat="false" ht="15" hidden="false" customHeight="false" outlineLevel="0" collapsed="false">
      <c r="B175" s="9" t="s">
        <v>644</v>
      </c>
      <c r="D175" s="19" t="n">
        <f aca="false">INDEX($E$120:$L$120,1,$D$170+1)</f>
        <v>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151.376016667106</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841.275932261906</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469.5</v>
      </c>
    </row>
    <row r="183" customFormat="false" ht="15" hidden="false" customHeight="false" outlineLevel="0" collapsed="false">
      <c r="B183" s="9" t="s">
        <v>651</v>
      </c>
      <c r="D183" s="42" t="n">
        <f aca="false">$D$48/Assumptions!$D$108</f>
        <v>459.5</v>
      </c>
    </row>
    <row r="184" customFormat="false" ht="15" hidden="false" customHeight="false" outlineLevel="0" collapsed="false">
      <c r="B184" s="9" t="s">
        <v>652</v>
      </c>
      <c r="D184" s="14" t="n">
        <f aca="false">$D$48/$D$46</f>
        <v>0.978700745473908</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0.0212992545260916</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469.5</v>
      </c>
    </row>
    <row r="190" customFormat="false" ht="15" hidden="false" customHeight="false" outlineLevel="0" collapsed="false">
      <c r="B190" s="9" t="s">
        <v>658</v>
      </c>
      <c r="D190" s="34" t="n">
        <f aca="false">$D$183+$D$188/Assumptions!$D$108</f>
        <v>459.5</v>
      </c>
    </row>
    <row r="191" customFormat="false" ht="15" hidden="false" customHeight="false" outlineLevel="0" collapsed="false">
      <c r="B191" s="9" t="s">
        <v>659</v>
      </c>
      <c r="D191" s="34" t="n">
        <f aca="false">$D$182*Assumptions!$D$109/(1-Assumptions!$D$109)</f>
        <v>40.8260869565217</v>
      </c>
    </row>
    <row r="192" customFormat="false" ht="15" hidden="false" customHeight="false" outlineLevel="0" collapsed="false">
      <c r="B192" s="9" t="s">
        <v>660</v>
      </c>
      <c r="D192" s="35" t="n">
        <f aca="false">($D$179+$D$191*Assumptions!$D$108)/($D$189+$D$191)</f>
        <v>1.72850661912876</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1.72850661912876</v>
      </c>
    </row>
    <row r="195" customFormat="false" ht="15" hidden="false" customHeight="false" outlineLevel="0" collapsed="false">
      <c r="B195" s="9" t="s">
        <v>663</v>
      </c>
      <c r="D195" s="34" t="n">
        <f aca="false">IF($D$194&gt;=Assumptions!$D$110,$D$191,$D$191*0.5)</f>
        <v>20.4130434782609</v>
      </c>
    </row>
    <row r="196" customFormat="false" ht="15" hidden="false" customHeight="false" outlineLevel="0" collapsed="false">
      <c r="B196" s="9" t="s">
        <v>664</v>
      </c>
      <c r="D196" s="35" t="n">
        <f aca="false">($D$179+$D$195*Assumptions!$D$108)/($D$189+$D$195)</f>
        <v>1.75886106159246</v>
      </c>
    </row>
    <row r="197" customFormat="false" ht="15" hidden="false" customHeight="false" outlineLevel="0" collapsed="false">
      <c r="B197" s="9" t="s">
        <v>665</v>
      </c>
      <c r="D197" s="34" t="n">
        <f aca="false">IF($D$196&lt;Assumptions!$D$108,0,$D$195)</f>
        <v>20.4130434782609</v>
      </c>
    </row>
    <row r="198" customFormat="false" ht="15" hidden="false" customHeight="false" outlineLevel="0" collapsed="false">
      <c r="B198" s="17" t="s">
        <v>666</v>
      </c>
      <c r="D198" s="43" t="n">
        <f aca="false">IF($D$196&lt;Assumptions!$D$108,$D$179/$D$189,$D$196)</f>
        <v>1.75886106159246</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808.196657801736</v>
      </c>
    </row>
    <row r="201" customFormat="false" ht="15" hidden="false" customHeight="false" outlineLevel="0" collapsed="false">
      <c r="B201" s="9" t="s">
        <v>668</v>
      </c>
      <c r="D201" s="14" t="n">
        <f aca="false">$D$200/$D$179</f>
        <v>0.960679637688871</v>
      </c>
    </row>
    <row r="202" customFormat="false" ht="15" hidden="false" customHeight="false" outlineLevel="0" collapsed="false">
      <c r="B202" s="9" t="s">
        <v>669</v>
      </c>
      <c r="D202" s="19" t="n">
        <f aca="false">$D$185*$D$198</f>
        <v>17.5886106159246</v>
      </c>
    </row>
    <row r="203" customFormat="false" ht="15" hidden="false" customHeight="false" outlineLevel="0" collapsed="false">
      <c r="B203" s="9" t="s">
        <v>670</v>
      </c>
      <c r="D203" s="19" t="n">
        <f aca="false">$D$197*MAX(0,$D$198-Assumptions!$D$108)</f>
        <v>15.4906638442461</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33.0792744601707</v>
      </c>
    </row>
    <row r="206" customFormat="false" ht="15" hidden="false" customHeight="false" outlineLevel="0" collapsed="false">
      <c r="B206" s="9" t="s">
        <v>673</v>
      </c>
      <c r="D206" s="24" t="n">
        <f aca="false">$D$205/$D$47</f>
        <v>3.30792744601707</v>
      </c>
    </row>
    <row r="207" customFormat="false" ht="15" hidden="false" customHeight="false" outlineLevel="0" collapsed="false">
      <c r="B207" s="9" t="s">
        <v>674</v>
      </c>
      <c r="D207" s="19" t="n">
        <f aca="false">$D$187*$D$198</f>
        <v>7.03544424636984</v>
      </c>
    </row>
    <row r="208" customFormat="false" ht="15" hidden="false" customHeight="false" outlineLevel="0" collapsed="false">
      <c r="B208" s="9" t="s">
        <v>675</v>
      </c>
      <c r="D208" s="19" t="n">
        <f aca="false">$D$203*Assumptions!$D$112</f>
        <v>5.42173234548613</v>
      </c>
    </row>
    <row r="209" customFormat="false" ht="15" hidden="false" customHeight="false" outlineLevel="0" collapsed="false">
      <c r="B209" s="9" t="s">
        <v>676</v>
      </c>
      <c r="D209" s="19" t="n">
        <f aca="false">$D$207+$D$208</f>
        <v>12.457176591856</v>
      </c>
    </row>
    <row r="210" customFormat="false" ht="15" hidden="false" customHeight="false" outlineLevel="0" collapsed="false">
      <c r="B210" s="9" t="s">
        <v>677</v>
      </c>
      <c r="D210" s="24" t="n">
        <f aca="false">$D$209/Assumptions!$D$111</f>
        <v>3.11429414796399</v>
      </c>
    </row>
    <row r="211" customFormat="false" ht="15" hidden="false" customHeight="false" outlineLevel="0" collapsed="false">
      <c r="B211" s="9" t="s">
        <v>678</v>
      </c>
      <c r="D211" s="19" t="n">
        <f aca="false">$D$179*$D$190/$D$189</f>
        <v>823.357382053985</v>
      </c>
    </row>
    <row r="212" customFormat="false" ht="15" hidden="false" customHeight="false" outlineLevel="0" collapsed="false">
      <c r="B212" s="9" t="s">
        <v>679</v>
      </c>
      <c r="D212" s="19" t="n">
        <f aca="false">$D$211-$D$200</f>
        <v>15.1607242522493</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459.5</v>
      </c>
      <c r="F216" s="34" t="n">
        <f aca="false">$D$183+$F$215/Assumptions!$D$108</f>
        <v>459.5</v>
      </c>
      <c r="G216" s="34" t="n">
        <f aca="false">$D$183+$G$215/Assumptions!$D$108</f>
        <v>459.5</v>
      </c>
      <c r="H216" s="34" t="n">
        <f aca="false">$D$183+$H$215/Assumptions!$D$108</f>
        <v>459.5</v>
      </c>
      <c r="I216" s="34" t="n">
        <f aca="false">$D$183+$I$215/Assumptions!$D$108</f>
        <v>459.5</v>
      </c>
      <c r="J216" s="34" t="n">
        <f aca="false">$D$183+$J$215/Assumptions!$D$108</f>
        <v>459.5</v>
      </c>
      <c r="K216" s="34" t="n">
        <f aca="false">$D$183+$K$215/Assumptions!$D$108</f>
        <v>459.5</v>
      </c>
      <c r="L216" s="34" t="n">
        <f aca="false">$D$183+$L$215/Assumptions!$D$108</f>
        <v>459.5</v>
      </c>
    </row>
    <row r="217" customFormat="false" ht="15" hidden="false" customHeight="false" outlineLevel="0" collapsed="false">
      <c r="B217" s="9" t="s">
        <v>683</v>
      </c>
      <c r="E217" s="34" t="n">
        <f aca="false">$D$182+$E$215/Assumptions!$D$108</f>
        <v>469.5</v>
      </c>
      <c r="F217" s="34" t="n">
        <f aca="false">$D$182+$F$215/Assumptions!$D$108</f>
        <v>469.5</v>
      </c>
      <c r="G217" s="34" t="n">
        <f aca="false">$D$182+$G$215/Assumptions!$D$108</f>
        <v>469.5</v>
      </c>
      <c r="H217" s="34" t="n">
        <f aca="false">$D$182+$H$215/Assumptions!$D$108</f>
        <v>469.5</v>
      </c>
      <c r="I217" s="34" t="n">
        <f aca="false">$D$182+$I$215/Assumptions!$D$108</f>
        <v>469.5</v>
      </c>
      <c r="J217" s="34" t="n">
        <f aca="false">$D$182+$J$215/Assumptions!$D$108</f>
        <v>469.5</v>
      </c>
      <c r="K217" s="34" t="n">
        <f aca="false">$D$182+$K$215/Assumptions!$D$108</f>
        <v>469.5</v>
      </c>
      <c r="L217" s="34" t="n">
        <f aca="false">$D$182+$L$215/Assumptions!$D$108</f>
        <v>469.5</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-459.5</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808.196657801736</v>
      </c>
      <c r="K219" s="18" t="n">
        <f aca="false">IF($K$64&lt;=$D$170,$K$218+IF($K$64=$D$170,$D$200,0),0)</f>
        <v>0</v>
      </c>
      <c r="L219" s="18" t="n">
        <f aca="false">IF($L$64&lt;=$D$170,$L$218+IF($L$64=$D$170,$D$200,0),0)</f>
        <v>0</v>
      </c>
    </row>
    <row r="220" customFormat="false" ht="15" hidden="false" customHeight="false" outlineLevel="0" collapsed="false">
      <c r="B220" s="9" t="s">
        <v>686</v>
      </c>
      <c r="E220" s="19" t="n">
        <f aca="false">-$D$46</f>
        <v>-469.5</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841.275932261906</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0.119557250498785</v>
      </c>
    </row>
    <row r="224" customFormat="false" ht="15" hidden="false" customHeight="false" outlineLevel="0" collapsed="false">
      <c r="B224" s="9" t="s">
        <v>689</v>
      </c>
      <c r="D224" s="25" t="n">
        <f aca="false">XIRR($E$219:$L$219,$E$221:$L$221,0.1)</f>
        <v>0.119488010969989</v>
      </c>
    </row>
    <row r="225" customFormat="false" ht="15" hidden="false" customHeight="false" outlineLevel="0" collapsed="false">
      <c r="B225" s="17" t="s">
        <v>690</v>
      </c>
      <c r="D225" s="41" t="n">
        <f aca="false">SUMIF($E$219:$L$219,"&gt;0")/-SUMIF($E$219:$L$219,"&lt;0")</f>
        <v>1.75886106159246</v>
      </c>
    </row>
    <row r="226" customFormat="false" ht="15" hidden="false" customHeight="false" outlineLevel="0" collapsed="false">
      <c r="B226" s="9" t="s">
        <v>691</v>
      </c>
      <c r="D226" s="19" t="n">
        <f aca="false">-SUMIF($E$219:$L$219,"&lt;0")</f>
        <v>459.5</v>
      </c>
    </row>
    <row r="227" customFormat="false" ht="15" hidden="false" customHeight="false" outlineLevel="0" collapsed="false">
      <c r="B227" s="9" t="s">
        <v>692</v>
      </c>
      <c r="D227" s="25" t="n">
        <f aca="false">IRR($E$220:$L$220,0.1)</f>
        <v>0.123726373109217</v>
      </c>
    </row>
    <row r="228" customFormat="false" ht="15" hidden="false" customHeight="false" outlineLevel="0" collapsed="false">
      <c r="B228" s="9" t="s">
        <v>693</v>
      </c>
      <c r="D228" s="24" t="n">
        <f aca="false">SUMIF($E$220:$L$220,"&gt;0")/-SUMIF($E$220:$L$220,"&lt;0")</f>
        <v>1.79185502079213</v>
      </c>
    </row>
    <row r="229" customFormat="false" ht="15" hidden="false" customHeight="false" outlineLevel="0" collapsed="false">
      <c r="B229" s="9" t="s">
        <v>694</v>
      </c>
      <c r="D229" s="19" t="n">
        <f aca="false">SUM($E$220:$L$220)</f>
        <v>371.775932261906</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193.376016667106</v>
      </c>
    </row>
    <row r="232" customFormat="false" ht="15" hidden="false" customHeight="false" outlineLevel="0" collapsed="false">
      <c r="B232" s="9" t="s">
        <v>697</v>
      </c>
      <c r="D232" s="19" t="n">
        <f aca="false">SUMPRODUCT(($F$64:$L$64&lt;=$D$170)*$F$105:$L$105)</f>
        <v>-3.843424121475</v>
      </c>
    </row>
    <row r="233" customFormat="false" ht="15" hidden="false" customHeight="false" outlineLevel="0" collapsed="false">
      <c r="B233" s="9" t="s">
        <v>698</v>
      </c>
      <c r="D233" s="19" t="n">
        <f aca="false">SUMPRODUCT(($F$64:$L$64&lt;=$D$170)*$F$139:$L$139)</f>
        <v>63.7436580943688</v>
      </c>
    </row>
    <row r="234" customFormat="false" ht="15" hidden="false" customHeight="false" outlineLevel="0" collapsed="false">
      <c r="B234" s="9" t="s">
        <v>699</v>
      </c>
      <c r="D234" s="38" t="n">
        <f aca="false">SUMPRODUCT(($F$64:$L$64&lt;=$D$170)*$F$109:$L$109)</f>
        <v>0</v>
      </c>
    </row>
    <row r="235" customFormat="false" ht="15" hidden="false" customHeight="false" outlineLevel="0" collapsed="false">
      <c r="B235" s="9" t="s">
        <v>700</v>
      </c>
      <c r="D235" s="19" t="n">
        <f aca="false">SUMPRODUCT(($F$64:$L$64&lt;=$D$170)*$F$115:$L$115)</f>
        <v>0</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0</v>
      </c>
    </row>
    <row r="238" customFormat="false" ht="15" hidden="false" customHeight="false" outlineLevel="0" collapsed="false">
      <c r="B238" s="9" t="s">
        <v>703</v>
      </c>
      <c r="D238" s="19" t="n">
        <f aca="false">$D$54-$D$173</f>
        <v>141.376016667106</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250.40600568</v>
      </c>
    </row>
    <row r="242" customFormat="false" ht="15" hidden="false" customHeight="false" outlineLevel="0" collapsed="false">
      <c r="B242" s="9" t="s">
        <v>234</v>
      </c>
      <c r="D242" s="14" t="n">
        <f aca="false">$D$172/$D$29-1</f>
        <v>0.5564577904</v>
      </c>
    </row>
    <row r="243" customFormat="false" ht="15" hidden="false" customHeight="false" outlineLevel="0" collapsed="false">
      <c r="B243" s="9" t="s">
        <v>235</v>
      </c>
      <c r="D243" s="25" t="n">
        <f aca="false">($D$172/$D$29)^(1/$D$170)-1</f>
        <v>0.0925151535860498</v>
      </c>
    </row>
    <row r="244" customFormat="false" ht="15" hidden="false" customHeight="false" outlineLevel="0" collapsed="false">
      <c r="B244" s="9" t="s">
        <v>236</v>
      </c>
      <c r="D244" s="14" t="n">
        <f aca="false">$D$179/$D$46-1</f>
        <v>0.791855020792133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718</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2" t="n">
        <v>8</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Case_Base!$D$57</f>
        <v>0.578947368421053</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400</v>
      </c>
    </row>
    <row r="30" customFormat="false" ht="15" hidden="false" customHeight="false" outlineLevel="0" collapsed="false">
      <c r="B30" s="9" t="s">
        <v>519</v>
      </c>
      <c r="D30" s="19" t="n">
        <f aca="false">IF($D$22&gt;0,$D$22*($D$29+Assumptions!$D$76+Assumptions!$D$78)/(1-Assumptions!$D$77*$D$22),0)</f>
        <v>245.713525026624</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195.713525026624</v>
      </c>
    </row>
    <row r="33" customFormat="false" ht="15" hidden="false" customHeight="false" outlineLevel="0" collapsed="false">
      <c r="B33" s="9" t="s">
        <v>522</v>
      </c>
      <c r="D33" s="19" t="n">
        <f aca="false">Assumptions!$D$77*($D$32+$D$31)</f>
        <v>4.91427050053248</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365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4.91427050053248</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424.414270500533</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195.713525026624</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178.700745473908</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168.700745473908</v>
      </c>
    </row>
    <row r="49" customFormat="false" ht="15" hidden="false" customHeight="false" outlineLevel="0" collapsed="false">
      <c r="B49" s="17" t="s">
        <v>534</v>
      </c>
      <c r="D49" s="18" t="n">
        <f aca="false">$D$43+$D$44+$D$45+$D$48+$D$47</f>
        <v>424.414270500533</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245.713525026624</v>
      </c>
    </row>
    <row r="53" customFormat="false" ht="15" hidden="false" customHeight="false" outlineLevel="0" collapsed="false">
      <c r="B53" s="9" t="s">
        <v>303</v>
      </c>
      <c r="C53" s="6" t="s">
        <v>79</v>
      </c>
      <c r="D53" s="23" t="n">
        <f aca="false">$D$52/$D$28</f>
        <v>4.91427050053248</v>
      </c>
    </row>
    <row r="54" customFormat="false" ht="15" hidden="false" customHeight="false" outlineLevel="0" collapsed="false">
      <c r="B54" s="9" t="s">
        <v>192</v>
      </c>
      <c r="D54" s="19" t="n">
        <f aca="false">$D$52-$D$40</f>
        <v>235.713525026624</v>
      </c>
    </row>
    <row r="55" customFormat="false" ht="15" hidden="false" customHeight="false" outlineLevel="0" collapsed="false">
      <c r="B55" s="9" t="s">
        <v>538</v>
      </c>
      <c r="C55" s="6" t="s">
        <v>79</v>
      </c>
      <c r="D55" s="24" t="n">
        <f aca="false">$D$54/$D$28</f>
        <v>4.71427050053248</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0.61428381256656</v>
      </c>
    </row>
    <row r="59" customFormat="false" ht="15" hidden="false" customHeight="false" outlineLevel="0" collapsed="false">
      <c r="B59" s="9" t="s">
        <v>542</v>
      </c>
      <c r="D59" s="19" t="n">
        <f aca="false">$D$38+$D$39</f>
        <v>14.4142705005325</v>
      </c>
    </row>
    <row r="60" customFormat="false" ht="15" hidden="false" customHeight="false" outlineLevel="0" collapsed="false">
      <c r="B60" s="9" t="s">
        <v>543</v>
      </c>
      <c r="D60" s="25" t="n">
        <f aca="false">$D$59/$D$29</f>
        <v>0.0360356762513312</v>
      </c>
    </row>
    <row r="61" customFormat="false" ht="15" hidden="false" customHeight="false" outlineLevel="0" collapsed="false">
      <c r="B61" s="9" t="s">
        <v>544</v>
      </c>
      <c r="D61" s="25" t="n">
        <f aca="false">$D$59/$D$46</f>
        <v>0.0806615017878427</v>
      </c>
    </row>
    <row r="62" customFormat="false" ht="15" hidden="false" customHeight="false" outlineLevel="0" collapsed="false">
      <c r="B62" s="9" t="s">
        <v>545</v>
      </c>
      <c r="D62" s="19" t="n">
        <f aca="false">$D$46+(Assumptions!$D$72-$D$6)*$D$28</f>
        <v>278.700745473908</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13.849350372737</v>
      </c>
      <c r="G91" s="18" t="n">
        <f aca="false">$G$72-$G$139-$G$105-$G$75-$G$79-$G$83-$G$87-$G$89</f>
        <v>17.4938881629393</v>
      </c>
      <c r="H91" s="18" t="n">
        <f aca="false">$H$72-$H$139-$H$105-$H$75-$H$79-$H$83-$H$87-$H$89</f>
        <v>17.1915938001664</v>
      </c>
      <c r="I91" s="18" t="n">
        <f aca="false">$I$72-$I$139-$I$105-$I$75-$I$79-$I$83-$I$87-$I$89</f>
        <v>22.3226053248987</v>
      </c>
      <c r="J91" s="18" t="n">
        <f aca="false">$J$72-$J$139-$J$105-$J$75-$J$79-$J$83-$J$87-$J$89</f>
        <v>29.961346232473</v>
      </c>
      <c r="K91" s="18" t="n">
        <f aca="false">$K$72-$K$139-$K$105-$K$75-$K$79-$K$83-$K$87-$K$89</f>
        <v>33.1372944431897</v>
      </c>
      <c r="L91" s="18" t="n">
        <f aca="false">$L$72-$L$139-$L$105-$L$75-$L$79-$L$83-$L$87-$L$89</f>
        <v>36.0438310443128</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15.9461075612354</v>
      </c>
      <c r="H94" s="19" t="n">
        <f aca="false">$G$123</f>
        <v>16.5121453554313</v>
      </c>
      <c r="I94" s="19" t="n">
        <f aca="false">$H$123</f>
        <v>26.0099529289986</v>
      </c>
      <c r="J94" s="19" t="n">
        <f aca="false">$I$123</f>
        <v>36.9815672527233</v>
      </c>
      <c r="K94" s="19" t="n">
        <f aca="false">$J$123</f>
        <v>64.58577823493</v>
      </c>
      <c r="L94" s="19" t="n">
        <f aca="false">$K$123</f>
        <v>95.3659374278535</v>
      </c>
    </row>
    <row r="95" customFormat="false" ht="15" hidden="false" customHeight="false" outlineLevel="0" collapsed="false">
      <c r="B95" s="9" t="s">
        <v>576</v>
      </c>
      <c r="F95" s="19" t="n">
        <f aca="false">$E$123+$F$91-$F$109-$F$82-$F$85+$F$84+$F$86-$F$88+$F$90</f>
        <v>21.8922151224707</v>
      </c>
      <c r="G95" s="19" t="n">
        <f aca="false">$F$123+$G$91-$G$109-$G$82-$G$85+$G$84+$G$86-$G$88+$G$90</f>
        <v>18.6828604739084</v>
      </c>
      <c r="H95" s="19" t="n">
        <f aca="false">$G$123+$H$91-$H$109-$H$82-$H$85+$H$84+$H$86-$H$88+$H$90</f>
        <v>31.3466039053315</v>
      </c>
      <c r="I95" s="19" t="n">
        <f aca="false">$H$123+$I$91-$I$109-$I$82-$I$85+$I$84+$I$86-$I$88+$I$90</f>
        <v>45.9754230036311</v>
      </c>
      <c r="J95" s="19" t="n">
        <f aca="false">$I$123+$J$91-$J$109-$J$82-$J$85+$J$84+$J$86-$J$88+$J$90</f>
        <v>64.58577823493</v>
      </c>
      <c r="K95" s="19" t="n">
        <f aca="false">$J$123+$K$91-$K$109-$K$82-$K$85+$K$84+$K$86-$K$88+$K$90</f>
        <v>95.3659374278535</v>
      </c>
      <c r="L95" s="19" t="n">
        <f aca="false">$K$123+$L$91-$L$109-$L$82-$L$85+$L$84+$L$86-$L$88+$L$90</f>
        <v>129.0526332219</v>
      </c>
    </row>
    <row r="96" customFormat="false" ht="15" hidden="false" customHeight="false" outlineLevel="0" collapsed="false">
      <c r="B96" s="17" t="s">
        <v>577</v>
      </c>
      <c r="F96" s="18" t="n">
        <f aca="false">$F$95+$F$110-$F$111-$F$115</f>
        <v>15.9461075612354</v>
      </c>
      <c r="G96" s="18" t="n">
        <f aca="false">$G$95+$G$110-$G$111-$G$115</f>
        <v>16.5121453554313</v>
      </c>
      <c r="H96" s="18" t="n">
        <f aca="false">$H$95+$H$110-$H$111-$H$115</f>
        <v>26.0099529289986</v>
      </c>
      <c r="I96" s="18" t="n">
        <f aca="false">$I$95+$I$110-$I$111-$I$115</f>
        <v>36.9815672527233</v>
      </c>
      <c r="J96" s="18" t="n">
        <f aca="false">$J$95+$J$110-$J$111-$J$115</f>
        <v>64.58577823493</v>
      </c>
      <c r="K96" s="18" t="n">
        <f aca="false">$K$95+$K$110-$K$111-$K$115</f>
        <v>95.3659374278535</v>
      </c>
      <c r="L96" s="18" t="n">
        <f aca="false">$L$95+$L$110-$L$111-$L$115</f>
        <v>129.0526332219</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16.635649627263</v>
      </c>
      <c r="G101" s="38" t="n">
        <f aca="false">$F$118*$G$100</f>
        <v>15.9638739882854</v>
      </c>
      <c r="H101" s="38" t="n">
        <f aca="false">$G$118*$H$100</f>
        <v>19.0130067069422</v>
      </c>
      <c r="I101" s="38" t="n">
        <f aca="false">$H$118*$I$100</f>
        <v>18.3590348776813</v>
      </c>
      <c r="J101" s="38" t="n">
        <f aca="false">$I$118*$J$100</f>
        <v>17.3942006425815</v>
      </c>
      <c r="K101" s="38" t="n">
        <f aca="false">$J$118*$K$100</f>
        <v>17.1938441463089</v>
      </c>
      <c r="L101" s="38" t="n">
        <f aca="false">$K$118*$L$100</f>
        <v>16.9934876500362</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0.318922151224707</v>
      </c>
      <c r="H104" s="38" t="n">
        <f aca="false">$G$123*Assumptions!$D$9</f>
        <v>0.330242907108626</v>
      </c>
      <c r="I104" s="38" t="n">
        <f aca="false">$H$123*Assumptions!$D$9</f>
        <v>0.520199058579972</v>
      </c>
      <c r="J104" s="38" t="n">
        <f aca="false">$I$123*Assumptions!$D$9</f>
        <v>0.739631345054466</v>
      </c>
      <c r="K104" s="38" t="n">
        <f aca="false">$J$123*Assumptions!$D$9</f>
        <v>1.2917155646986</v>
      </c>
      <c r="L104" s="38" t="n">
        <f aca="false">$K$123*Assumptions!$D$9</f>
        <v>1.90731874855707</v>
      </c>
    </row>
    <row r="105" customFormat="false" ht="15" hidden="false" customHeight="false" outlineLevel="0" collapsed="false">
      <c r="B105" s="17" t="s">
        <v>585</v>
      </c>
      <c r="F105" s="40" t="n">
        <f aca="false">$F$101+$F$102+$F$103-$F$104</f>
        <v>22.135649627263</v>
      </c>
      <c r="G105" s="40" t="n">
        <f aca="false">$G$101+$G$102+$G$103-$G$104</f>
        <v>21.3449518370607</v>
      </c>
      <c r="H105" s="40" t="n">
        <f aca="false">$H$101+$H$102+$H$103-$H$104</f>
        <v>24.3827637998336</v>
      </c>
      <c r="I105" s="40" t="n">
        <f aca="false">$I$101+$I$102+$I$103-$I$104</f>
        <v>23.5388358191013</v>
      </c>
      <c r="J105" s="40" t="n">
        <f aca="false">$J$101+$J$102+$J$103-$J$104</f>
        <v>22.354569297527</v>
      </c>
      <c r="K105" s="40" t="n">
        <f aca="false">$K$101+$K$102+$K$103-$K$104</f>
        <v>21.6021285816103</v>
      </c>
      <c r="L105" s="40" t="n">
        <f aca="false">$L$101+$L$102+$L$103-$L$104</f>
        <v>20.7861689014792</v>
      </c>
    </row>
    <row r="106" customFormat="false" ht="15" hidden="false" customHeight="false" outlineLevel="0" collapsed="false">
      <c r="B106" s="9" t="s">
        <v>586</v>
      </c>
      <c r="F106" s="38" t="n">
        <f aca="false">IF($E$149&gt;0,$E$149/MAX(1,Assumptions!$D$86-($F$64-1)),0)</f>
        <v>0.702038642933212</v>
      </c>
      <c r="G106" s="38" t="n">
        <f aca="false">IF($F$149&gt;0,$F$149/MAX(1,Assumptions!$D$86-($G$64-1)),0)</f>
        <v>0.702038642933212</v>
      </c>
      <c r="H106" s="38" t="n">
        <f aca="false">IF($G$149&gt;0,$G$149/MAX(1,Assumptions!$D$86-($H$64-1)),0)</f>
        <v>0.862038642933212</v>
      </c>
      <c r="I106" s="38" t="n">
        <f aca="false">IF($H$149&gt;0,$H$149/MAX(1,Assumptions!$D$86-($I$64-1)),0)</f>
        <v>0.862038642933212</v>
      </c>
      <c r="J106" s="38" t="n">
        <f aca="false">IF($I$149&gt;0,$I$149/MAX(1,Assumptions!$D$86-($J$64-1)),0)</f>
        <v>0.862038642933212</v>
      </c>
      <c r="K106" s="38" t="n">
        <f aca="false">IF($J$149&gt;0,$J$149/MAX(1,Assumptions!$D$86-($K$64-1)),0)</f>
        <v>0.862038642933212</v>
      </c>
      <c r="L106" s="38" t="n">
        <f aca="false">IF($K$149&gt;0,$K$149/MAX(1,Assumptions!$D$86-($L$64-1)),0)</f>
        <v>0.862038642933212</v>
      </c>
    </row>
    <row r="107" customFormat="false" ht="15" hidden="false" customHeight="false" outlineLevel="0" collapsed="false">
      <c r="B107" s="9" t="s">
        <v>587</v>
      </c>
      <c r="F107" s="24" t="n">
        <f aca="false">IF($F$105&lt;&gt;0,$F$72/$F$105,0)</f>
        <v>2.46660933468845</v>
      </c>
      <c r="G107" s="24" t="n">
        <f aca="false">IF($G$105&lt;&gt;0,$G$72/$G$105,0)</f>
        <v>2.83660513559339</v>
      </c>
      <c r="H107" s="24" t="n">
        <f aca="false">IF($H$105&lt;&gt;0,$H$72/$H$105,0)</f>
        <v>2.37317674382733</v>
      </c>
      <c r="I107" s="24" t="n">
        <f aca="false">IF($I$105&lt;&gt;0,$I$72/$I$105,0)</f>
        <v>2.98485641600785</v>
      </c>
      <c r="J107" s="24" t="n">
        <f aca="false">IF($J$105&lt;&gt;0,$J$72/$J$105,0)</f>
        <v>3.48129675343864</v>
      </c>
      <c r="K107" s="24" t="n">
        <f aca="false">IF($K$105&lt;&gt;0,$K$72/$K$105,0)</f>
        <v>3.74110378963293</v>
      </c>
      <c r="L107" s="24" t="n">
        <f aca="false">IF($L$105&lt;&gt;0,$L$72/$L$105,0)</f>
        <v>4.03770592371447</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1.95713525026624</v>
      </c>
      <c r="G109" s="38" t="n">
        <f aca="false">IF($D$14=1,0,MIN($F$118,Assumptions!$D$85*$F$119))</f>
        <v>1.95713525026624</v>
      </c>
      <c r="H109" s="38" t="n">
        <f aca="false">IF($D$14=1,0,MIN($G$118,Assumptions!$D$85*$G$119))</f>
        <v>2.35713525026624</v>
      </c>
      <c r="I109" s="38" t="n">
        <f aca="false">IF($D$14=1,0,MIN($H$118,Assumptions!$D$85*$H$119))</f>
        <v>2.35713525026624</v>
      </c>
      <c r="J109" s="38" t="n">
        <f aca="false">IF($D$14=1,0,MIN($I$118,Assumptions!$D$85*$I$119))</f>
        <v>2.35713525026624</v>
      </c>
      <c r="K109" s="38" t="n">
        <f aca="false">IF($D$14=1,0,MIN($J$118,Assumptions!$D$85*$J$119))</f>
        <v>2.35713525026624</v>
      </c>
      <c r="L109" s="38" t="n">
        <f aca="false">IF($D$14=1,0,MIN($K$118,Assumptions!$D$85*$K$119))</f>
        <v>2.35713525026624</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21.8922151224707</v>
      </c>
      <c r="G112" s="19" t="n">
        <f aca="false">$G$95+$G$110-$G$111</f>
        <v>18.6828604739084</v>
      </c>
      <c r="H112" s="19" t="n">
        <f aca="false">$H$95+$H$110-$H$111</f>
        <v>31.3466039053315</v>
      </c>
      <c r="I112" s="19" t="n">
        <f aca="false">$I$95+$I$110-$I$111</f>
        <v>45.9754230036311</v>
      </c>
      <c r="J112" s="19" t="n">
        <f aca="false">$J$95+$J$110-$J$111</f>
        <v>64.58577823493</v>
      </c>
      <c r="K112" s="19" t="n">
        <f aca="false">$K$95+$K$110-$K$111</f>
        <v>95.3659374278535</v>
      </c>
      <c r="L112" s="19" t="n">
        <f aca="false">$L$95+$L$110-$L$111</f>
        <v>129.0526332219</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0.25</v>
      </c>
      <c r="H113" s="29" t="n">
        <f aca="false">IF($G$125&gt;Assumptions!$D$100,Assumptions!$E$100,IF($G$125&gt;Assumptions!$D$101,Assumptions!$E$101,IF($G$125&gt;Assumptions!$D$102,Assumptions!$E$102,0)))</f>
        <v>0.25</v>
      </c>
      <c r="I113" s="29" t="n">
        <f aca="false">IF($H$125&gt;Assumptions!$D$100,Assumptions!$E$100,IF($H$125&gt;Assumptions!$D$101,Assumptions!$E$101,IF($H$125&gt;Assumptions!$D$102,Assumptions!$E$102,0)))</f>
        <v>0.25</v>
      </c>
      <c r="J113" s="29" t="n">
        <f aca="false">IF($I$125&gt;Assumptions!$D$100,Assumptions!$E$100,IF($I$125&gt;Assumptions!$D$101,Assumptions!$E$101,IF($I$125&gt;Assumptions!$D$102,Assumptions!$E$102,0)))</f>
        <v>0</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11.8922151224707</v>
      </c>
      <c r="G114" s="19" t="n">
        <f aca="false">MAX(0,$G$112-Assumptions!$D$79)</f>
        <v>8.68286047390842</v>
      </c>
      <c r="H114" s="19" t="n">
        <f aca="false">MAX(0,$H$112-Assumptions!$D$79)</f>
        <v>21.3466039053315</v>
      </c>
      <c r="I114" s="19" t="n">
        <f aca="false">MAX(0,$I$112-Assumptions!$D$79)</f>
        <v>35.9754230036311</v>
      </c>
      <c r="J114" s="19" t="n">
        <f aca="false">MAX(0,$J$112-Assumptions!$D$79)</f>
        <v>54.58577823493</v>
      </c>
      <c r="K114" s="19" t="n">
        <f aca="false">MAX(0,$K$112-Assumptions!$D$79)</f>
        <v>85.3659374278535</v>
      </c>
      <c r="L114" s="19" t="n">
        <f aca="false">MAX(0,$L$112-Assumptions!$D$79)</f>
        <v>119.0526332219</v>
      </c>
    </row>
    <row r="115" customFormat="false" ht="15" hidden="false" customHeight="false" outlineLevel="0" collapsed="false">
      <c r="B115" s="17" t="s">
        <v>595</v>
      </c>
      <c r="F115" s="18" t="n">
        <f aca="false">IF(AND($D$19=1,$D$14=0,$E$121-$F$111+$F$110=0),MIN($E$118-$F$109+$F$84,$F$113*$F$114),0)</f>
        <v>5.94610756123536</v>
      </c>
      <c r="G115" s="18" t="n">
        <f aca="false">IF(AND($D$19=1,$D$14=0,$F$121-$G$111+$G$110=0),MIN($F$118-$G$109+$G$84,$G$113*$G$114),0)</f>
        <v>2.17071511847711</v>
      </c>
      <c r="H115" s="18" t="n">
        <f aca="false">IF(AND($D$19=1,$D$14=0,$G$121-$H$111+$H$110=0),MIN($G$118-$H$109+$H$84,$H$113*$H$114),0)</f>
        <v>5.33665097633287</v>
      </c>
      <c r="I115" s="18" t="n">
        <f aca="false">IF(AND($D$19=1,$D$14=0,$H$121-$I$111+$I$110=0),MIN($H$118-$I$109+$I$84,$I$113*$I$114),0)</f>
        <v>8.99385575090776</v>
      </c>
      <c r="J115" s="18" t="n">
        <f aca="false">IF(AND($D$19=1,$D$14=0,$I$121-$J$111+$J$110=0),MIN($I$118-$J$109+$J$84,$J$113*$J$114),0)</f>
        <v>0</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195.713525026624</v>
      </c>
      <c r="F118" s="19" t="n">
        <f aca="false">$E$118-$F$109-$F$115+$F$84+$F$86</f>
        <v>187.810282215122</v>
      </c>
      <c r="G118" s="19" t="n">
        <f aca="false">$F$118-$G$109-$G$115+$G$84+$G$86</f>
        <v>223.682431846379</v>
      </c>
      <c r="H118" s="19" t="n">
        <f aca="false">$G$118-$H$109-$H$115+$H$84+$H$86</f>
        <v>215.98864561978</v>
      </c>
      <c r="I118" s="19" t="n">
        <f aca="false">$H$118-$I$109-$I$115+$I$84+$I$86</f>
        <v>204.637654618606</v>
      </c>
      <c r="J118" s="19" t="n">
        <f aca="false">$I$118-$J$109-$J$115+$J$84+$J$86</f>
        <v>202.28051936834</v>
      </c>
      <c r="K118" s="19" t="n">
        <f aca="false">$J$118-$K$109-$K$115+$K$84+$K$86</f>
        <v>199.923384118073</v>
      </c>
      <c r="L118" s="19" t="n">
        <f aca="false">$K$118-$L$109-$L$115+$L$84+$L$86</f>
        <v>197.566248867807</v>
      </c>
    </row>
    <row r="119" customFormat="false" ht="15" hidden="false" customHeight="false" outlineLevel="0" collapsed="false">
      <c r="B119" s="9" t="s">
        <v>598</v>
      </c>
      <c r="E119" s="19" t="n">
        <f aca="false">$D$32</f>
        <v>195.713525026624</v>
      </c>
      <c r="F119" s="19" t="n">
        <f aca="false">$E$119+$F$84+$F$86</f>
        <v>195.713525026624</v>
      </c>
      <c r="G119" s="19" t="n">
        <f aca="false">$F$119+$G$84+$G$86</f>
        <v>235.713525026624</v>
      </c>
      <c r="H119" s="19" t="n">
        <f aca="false">$G$119+$H$84+$H$86</f>
        <v>235.713525026624</v>
      </c>
      <c r="I119" s="19" t="n">
        <f aca="false">$H$119+$I$84+$I$86</f>
        <v>235.713525026624</v>
      </c>
      <c r="J119" s="19" t="n">
        <f aca="false">$I$119+$J$84+$J$86</f>
        <v>235.713525026624</v>
      </c>
      <c r="K119" s="19" t="n">
        <f aca="false">$J$119+$K$84+$K$86</f>
        <v>235.713525026624</v>
      </c>
      <c r="L119" s="19" t="n">
        <f aca="false">$K$119+$L$84+$L$86</f>
        <v>235.713525026624</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245.713525026624</v>
      </c>
      <c r="F122" s="18" t="n">
        <f aca="false">$F$118+$F$120+$F$121</f>
        <v>237.810282215122</v>
      </c>
      <c r="G122" s="18" t="n">
        <f aca="false">$G$118+$G$120+$G$121</f>
        <v>273.682431846379</v>
      </c>
      <c r="H122" s="18" t="n">
        <f aca="false">$H$118+$H$120+$H$121</f>
        <v>265.98864561978</v>
      </c>
      <c r="I122" s="18" t="n">
        <f aca="false">$I$118+$I$120+$I$121</f>
        <v>254.637654618606</v>
      </c>
      <c r="J122" s="18" t="n">
        <f aca="false">$J$118+$J$120+$J$121</f>
        <v>252.28051936834</v>
      </c>
      <c r="K122" s="18" t="n">
        <f aca="false">$K$118+$K$120+$K$121</f>
        <v>249.923384118073</v>
      </c>
      <c r="L122" s="18" t="n">
        <f aca="false">$L$118+$L$120+$L$121</f>
        <v>247.566248867807</v>
      </c>
    </row>
    <row r="123" customFormat="false" ht="15" hidden="false" customHeight="false" outlineLevel="0" collapsed="false">
      <c r="B123" s="9" t="s">
        <v>600</v>
      </c>
      <c r="E123" s="19" t="n">
        <f aca="false">Assumptions!$D$78</f>
        <v>10</v>
      </c>
      <c r="F123" s="19" t="n">
        <f aca="false">$F$112-$F$115</f>
        <v>15.9461075612354</v>
      </c>
      <c r="G123" s="19" t="n">
        <f aca="false">$G$112-$G$115</f>
        <v>16.5121453554313</v>
      </c>
      <c r="H123" s="19" t="n">
        <f aca="false">$H$112-$H$115</f>
        <v>26.0099529289986</v>
      </c>
      <c r="I123" s="19" t="n">
        <f aca="false">$I$112-$I$115</f>
        <v>36.9815672527233</v>
      </c>
      <c r="J123" s="19" t="n">
        <f aca="false">$J$112-$J$115</f>
        <v>64.58577823493</v>
      </c>
      <c r="K123" s="19" t="n">
        <f aca="false">$K$112-$K$115</f>
        <v>95.3659374278535</v>
      </c>
      <c r="L123" s="19" t="n">
        <f aca="false">$L$112-$L$115</f>
        <v>129.0526332219</v>
      </c>
    </row>
    <row r="124" customFormat="false" ht="15" hidden="false" customHeight="false" outlineLevel="0" collapsed="false">
      <c r="B124" s="17" t="s">
        <v>601</v>
      </c>
      <c r="E124" s="18" t="n">
        <f aca="false">$E$122-$E$123</f>
        <v>235.713525026624</v>
      </c>
      <c r="F124" s="18" t="n">
        <f aca="false">$F$122-$F$123</f>
        <v>221.864174653887</v>
      </c>
      <c r="G124" s="18" t="n">
        <f aca="false">$G$122-$G$123</f>
        <v>257.170286490948</v>
      </c>
      <c r="H124" s="18" t="n">
        <f aca="false">$H$122-$H$123</f>
        <v>239.978692690781</v>
      </c>
      <c r="I124" s="18" t="n">
        <f aca="false">$I$122-$I$123</f>
        <v>217.656087365883</v>
      </c>
      <c r="J124" s="18" t="n">
        <f aca="false">$J$122-$J$123</f>
        <v>187.69474113341</v>
      </c>
      <c r="K124" s="18" t="n">
        <f aca="false">$K$122-$K$123</f>
        <v>154.55744669022</v>
      </c>
      <c r="L124" s="18" t="n">
        <f aca="false">$L$122-$L$123</f>
        <v>118.513615645907</v>
      </c>
    </row>
    <row r="125" customFormat="false" ht="15" hidden="false" customHeight="false" outlineLevel="0" collapsed="false">
      <c r="B125" s="9" t="s">
        <v>538</v>
      </c>
      <c r="E125" s="24" t="n">
        <f aca="false">$E$124/$E$72</f>
        <v>4.71427050053248</v>
      </c>
      <c r="F125" s="24" t="n">
        <f aca="false">$F$124/$F$72</f>
        <v>4.06344642223236</v>
      </c>
      <c r="G125" s="24" t="n">
        <f aca="false">$G$124/$G$72</f>
        <v>4.24743483581318</v>
      </c>
      <c r="H125" s="24" t="n">
        <f aca="false">$H$124/$H$72</f>
        <v>4.14724476645174</v>
      </c>
      <c r="I125" s="24" t="n">
        <f aca="false">$I$124/$I$72</f>
        <v>3.09786432664737</v>
      </c>
      <c r="J125" s="24" t="n">
        <f aca="false">$J$124/$J$72</f>
        <v>2.41181922556568</v>
      </c>
      <c r="K125" s="24" t="n">
        <f aca="false">$K$124/$K$72</f>
        <v>1.91246559379621</v>
      </c>
      <c r="L125" s="24" t="n">
        <f aca="false">$L$124/$L$72</f>
        <v>1.41207937919135</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22.8376882701963</v>
      </c>
      <c r="G130" s="38" t="n">
        <f aca="false">$G$105+$G$106</f>
        <v>22.0469904799939</v>
      </c>
      <c r="H130" s="38" t="n">
        <f aca="false">$H$105+$H$106</f>
        <v>25.2448024427668</v>
      </c>
      <c r="I130" s="38" t="n">
        <f aca="false">$I$105+$I$106</f>
        <v>24.4008744620345</v>
      </c>
      <c r="J130" s="38" t="n">
        <f aca="false">$J$105+$J$106</f>
        <v>23.2166079404603</v>
      </c>
      <c r="K130" s="38" t="n">
        <f aca="false">$K$105+$K$106</f>
        <v>22.4641672245435</v>
      </c>
      <c r="L130" s="38" t="n">
        <f aca="false">$L$105+$L$106</f>
        <v>21.6482075444124</v>
      </c>
    </row>
    <row r="131" customFormat="false" ht="15" hidden="false" customHeight="false" outlineLevel="0" collapsed="false">
      <c r="B131" s="9" t="s">
        <v>606</v>
      </c>
      <c r="F131" s="38" t="n">
        <f aca="false">$F$129-$F$130-$F$83-$F$87-$F$89</f>
        <v>20.0023117298037</v>
      </c>
      <c r="G131" s="38" t="n">
        <f aca="false">$G$129-$G$130-$G$83-$G$87-$G$89</f>
        <v>24.5346095200061</v>
      </c>
      <c r="H131" s="38" t="n">
        <f aca="false">$H$129-$H$130-$H$83-$H$87-$H$89</f>
        <v>18.7181415572332</v>
      </c>
      <c r="I131" s="38" t="n">
        <f aca="false">$I$129-$I$130-$I$83-$I$87-$I$89</f>
        <v>31.0499101779655</v>
      </c>
      <c r="J131" s="38" t="n">
        <f aca="false">$J$129-$J$130-$J$83-$J$87-$J$89</f>
        <v>39.0792716755398</v>
      </c>
      <c r="K131" s="38" t="n">
        <f aca="false">$K$129-$K$130-$K$83-$K$87-$K$89</f>
        <v>42.2035475760965</v>
      </c>
      <c r="L131" s="38" t="n">
        <f aca="false">$L$129-$L$130-$L$83-$L$87-$L$89</f>
        <v>45.4862158482532</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22.8376882701963</v>
      </c>
      <c r="G133" s="38" t="n">
        <f aca="false">$G$130+$F$135</f>
        <v>28.5046787501902</v>
      </c>
      <c r="H133" s="38" t="n">
        <f aca="false">$H$130+$G$135</f>
        <v>35.585321192957</v>
      </c>
      <c r="I133" s="38" t="n">
        <f aca="false">$I$130+$H$135</f>
        <v>42.6268132549915</v>
      </c>
      <c r="J133" s="38" t="n">
        <f aca="false">$J$130+$I$135</f>
        <v>44.7654076594518</v>
      </c>
      <c r="K133" s="38" t="n">
        <f aca="false">$K$130+$J$135</f>
        <v>43.8827080279952</v>
      </c>
      <c r="L133" s="38" t="n">
        <f aca="false">$L$130+$K$135</f>
        <v>41.2861740421676</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6.45768827019626</v>
      </c>
      <c r="G135" s="38" t="n">
        <f aca="false">$G$133-$G$134</f>
        <v>10.3405187501902</v>
      </c>
      <c r="H135" s="38" t="n">
        <f aca="false">$H$133-$H$134</f>
        <v>18.225938792957</v>
      </c>
      <c r="I135" s="38" t="n">
        <f aca="false">$I$133-$I$134</f>
        <v>21.5487997189915</v>
      </c>
      <c r="J135" s="38" t="n">
        <f aca="false">$J$133-$J$134</f>
        <v>21.4185408034518</v>
      </c>
      <c r="K135" s="38" t="n">
        <f aca="false">$K$133-$K$134</f>
        <v>19.6379664977552</v>
      </c>
      <c r="L135" s="38" t="n">
        <f aca="false">$L$133-$L$134</f>
        <v>16.107642850718</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13.3873117298037</v>
      </c>
      <c r="G140" s="19" t="n">
        <f aca="false">$G$131-$G$139</f>
        <v>17.4302495200061</v>
      </c>
      <c r="H140" s="19" t="n">
        <f aca="false">$H$131-$H$139</f>
        <v>12.0672511572332</v>
      </c>
      <c r="I140" s="19" t="n">
        <f aca="false">$I$131-$I$139</f>
        <v>22.4567174019655</v>
      </c>
      <c r="J140" s="19" t="n">
        <f aca="false">$J$131-$J$139</f>
        <v>29.3420184855398</v>
      </c>
      <c r="K140" s="19" t="n">
        <f aca="false">$K$131-$K$139</f>
        <v>32.0978042584965</v>
      </c>
      <c r="L140" s="19" t="n">
        <f aca="false">$L$131-$L$139</f>
        <v>34.9972427979492</v>
      </c>
    </row>
    <row r="141" customFormat="false" ht="15" hidden="false" customHeight="false" outlineLevel="0" collapsed="false">
      <c r="B141" s="9" t="s">
        <v>616</v>
      </c>
      <c r="F141" s="38" t="n">
        <f aca="false">Assumptions!$D$7*($F$129-$F$130)</f>
        <v>5.00057793245094</v>
      </c>
      <c r="G141" s="38" t="n">
        <f aca="false">Assumptions!$D$7*($G$129-$G$130)</f>
        <v>6.50865238000153</v>
      </c>
      <c r="H141" s="38" t="n">
        <f aca="false">Assumptions!$D$7*($H$129-$H$130)</f>
        <v>4.6795353893083</v>
      </c>
      <c r="I141" s="38" t="n">
        <f aca="false">Assumptions!$D$7*($I$129-$I$130)</f>
        <v>7.76247754449137</v>
      </c>
      <c r="J141" s="38" t="n">
        <f aca="false">Assumptions!$D$7*($J$129-$J$130)</f>
        <v>9.76981791888494</v>
      </c>
      <c r="K141" s="38" t="n">
        <f aca="false">Assumptions!$D$7*($K$129-$K$130)</f>
        <v>10.5508868940241</v>
      </c>
      <c r="L141" s="38" t="n">
        <f aca="false">Assumptions!$D$7*($L$129-$L$130)</f>
        <v>11.3715539620633</v>
      </c>
    </row>
    <row r="142" customFormat="false" ht="15" hidden="false" customHeight="false" outlineLevel="0" collapsed="false">
      <c r="B142" s="9" t="s">
        <v>617</v>
      </c>
      <c r="F142" s="38" t="n">
        <f aca="false">$F$139-$F$141</f>
        <v>1.61442206754906</v>
      </c>
      <c r="G142" s="38" t="n">
        <f aca="false">$G$139-$G$141</f>
        <v>0.595707619998477</v>
      </c>
      <c r="H142" s="38" t="n">
        <f aca="false">$H$139-$H$141</f>
        <v>1.9713550106917</v>
      </c>
      <c r="I142" s="38" t="n">
        <f aca="false">$I$139-$I$141</f>
        <v>0.830715231508633</v>
      </c>
      <c r="J142" s="38" t="n">
        <f aca="false">$J$139-$J$141</f>
        <v>-0.0325647288849371</v>
      </c>
      <c r="K142" s="38" t="n">
        <f aca="false">$K$139-$K$141</f>
        <v>-0.445143576424126</v>
      </c>
      <c r="L142" s="38" t="n">
        <f aca="false">$L$139-$L$141</f>
        <v>-0.882580911759302</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15.9461075612354</v>
      </c>
      <c r="G145" s="19" t="n">
        <f aca="false">$G$123</f>
        <v>16.5121453554313</v>
      </c>
      <c r="H145" s="19" t="n">
        <f aca="false">$H$123</f>
        <v>26.0099529289986</v>
      </c>
      <c r="I145" s="19" t="n">
        <f aca="false">$I$123</f>
        <v>36.9815672527233</v>
      </c>
      <c r="J145" s="19" t="n">
        <f aca="false">$J$123</f>
        <v>64.58577823493</v>
      </c>
      <c r="K145" s="19" t="n">
        <f aca="false">$K$123</f>
        <v>95.3659374278535</v>
      </c>
      <c r="L145" s="19" t="n">
        <f aca="false">$L$123</f>
        <v>129.0526332219</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313.6</v>
      </c>
      <c r="F148" s="19" t="n">
        <f aca="false">$E$148+IF($F$82&gt;0,$F$82-Assumptions!$D$117*Assumptions!$D$27-Assumptions!$D$124*Assumptions!$D$117,0)</f>
        <v>313.6</v>
      </c>
      <c r="G148" s="19" t="n">
        <f aca="false">$F$148+IF($G$82&gt;0,$G$82-Assumptions!$D$117*Assumptions!$D$27-Assumptions!$D$124*Assumptions!$D$117,0)</f>
        <v>352.4</v>
      </c>
      <c r="H148" s="19" t="n">
        <f aca="false">$G$148+IF($H$82&gt;0,$H$82-Assumptions!$D$117*Assumptions!$D$27-Assumptions!$D$124*Assumptions!$D$117,0)</f>
        <v>352.4</v>
      </c>
      <c r="I148" s="19" t="n">
        <f aca="false">$H$148+IF($I$82&gt;0,$I$82-Assumptions!$D$117*Assumptions!$D$27-Assumptions!$D$124*Assumptions!$D$117,0)</f>
        <v>352.4</v>
      </c>
      <c r="J148" s="19" t="n">
        <f aca="false">$I$148+IF($J$82&gt;0,$J$82-Assumptions!$D$117*Assumptions!$D$27-Assumptions!$D$124*Assumptions!$D$117,0)</f>
        <v>352.4</v>
      </c>
      <c r="K148" s="19" t="n">
        <f aca="false">$J$148+IF($K$82&gt;0,$K$82-Assumptions!$D$117*Assumptions!$D$27-Assumptions!$D$124*Assumptions!$D$117,0)</f>
        <v>352.4</v>
      </c>
      <c r="L148" s="19" t="n">
        <f aca="false">$K$148+IF($L$82&gt;0,$L$82-Assumptions!$D$117*Assumptions!$D$27-Assumptions!$D$124*Assumptions!$D$117,0)</f>
        <v>352.4</v>
      </c>
    </row>
    <row r="149" customFormat="false" ht="15" hidden="false" customHeight="false" outlineLevel="0" collapsed="false">
      <c r="B149" s="9" t="s">
        <v>622</v>
      </c>
      <c r="E149" s="19" t="n">
        <f aca="false">$D$33</f>
        <v>4.91427050053248</v>
      </c>
      <c r="F149" s="19" t="n">
        <f aca="false">$E$149-$F$106+$F$85</f>
        <v>4.21223185759927</v>
      </c>
      <c r="G149" s="19" t="n">
        <f aca="false">$F$149-$G$106+$G$85</f>
        <v>4.31019321466606</v>
      </c>
      <c r="H149" s="19" t="n">
        <f aca="false">$G$149-$H$106+$H$85</f>
        <v>3.44815457173285</v>
      </c>
      <c r="I149" s="19" t="n">
        <f aca="false">$H$149-$I$106+$I$85</f>
        <v>2.58611592879964</v>
      </c>
      <c r="J149" s="19" t="n">
        <f aca="false">$I$149-$J$106+$J$85</f>
        <v>1.72407728586642</v>
      </c>
      <c r="K149" s="19" t="n">
        <f aca="false">$J$149-$K$106+$K$85</f>
        <v>0.862038642933212</v>
      </c>
      <c r="L149" s="19" t="n">
        <f aca="false">$K$149-$L$106+$L$85</f>
        <v>0</v>
      </c>
    </row>
    <row r="150" customFormat="false" ht="15" hidden="false" customHeight="false" outlineLevel="0" collapsed="false">
      <c r="B150" s="17" t="s">
        <v>623</v>
      </c>
      <c r="E150" s="18" t="n">
        <f aca="false">$E$145+$E$146+$E$147+$E$148+$E$149</f>
        <v>414.914270500533</v>
      </c>
      <c r="F150" s="18" t="n">
        <f aca="false">$F$145+$F$146+$F$147+$F$148+$F$149</f>
        <v>420.398339418835</v>
      </c>
      <c r="G150" s="18" t="n">
        <f aca="false">$G$145+$G$146+$G$147+$G$148+$G$149</f>
        <v>473.700738570097</v>
      </c>
      <c r="H150" s="18" t="n">
        <f aca="false">$H$145+$H$146+$H$147+$H$148+$H$149</f>
        <v>478.074203500732</v>
      </c>
      <c r="I150" s="18" t="n">
        <f aca="false">$I$145+$I$146+$I$147+$I$148+$I$149</f>
        <v>489.179929901523</v>
      </c>
      <c r="J150" s="18" t="n">
        <f aca="false">$J$145+$J$146+$J$147+$J$148+$J$149</f>
        <v>516.164813136796</v>
      </c>
      <c r="K150" s="18" t="n">
        <f aca="false">$K$145+$K$146+$K$147+$K$148+$K$149</f>
        <v>545.905482145027</v>
      </c>
      <c r="L150" s="18" t="n">
        <f aca="false">$L$145+$L$146+$L$147+$L$148+$L$149</f>
        <v>578.54558969271</v>
      </c>
    </row>
    <row r="151" customFormat="false" ht="15" hidden="false" customHeight="false" outlineLevel="0" collapsed="false">
      <c r="B151" s="9" t="s">
        <v>291</v>
      </c>
      <c r="E151" s="19" t="n">
        <f aca="false">$E$122</f>
        <v>245.713525026624</v>
      </c>
      <c r="F151" s="19" t="n">
        <f aca="false">$F$122</f>
        <v>237.810282215122</v>
      </c>
      <c r="G151" s="19" t="n">
        <f aca="false">$G$122</f>
        <v>273.682431846379</v>
      </c>
      <c r="H151" s="19" t="n">
        <f aca="false">$H$122</f>
        <v>265.98864561978</v>
      </c>
      <c r="I151" s="19" t="n">
        <f aca="false">$I$122</f>
        <v>254.637654618606</v>
      </c>
      <c r="J151" s="19" t="n">
        <f aca="false">$J$122</f>
        <v>252.28051936834</v>
      </c>
      <c r="K151" s="19" t="n">
        <f aca="false">$K$122</f>
        <v>249.923384118073</v>
      </c>
      <c r="L151" s="19" t="n">
        <f aca="false">$L$122</f>
        <v>247.566248867807</v>
      </c>
    </row>
    <row r="152" customFormat="false" ht="15" hidden="false" customHeight="false" outlineLevel="0" collapsed="false">
      <c r="B152" s="9" t="s">
        <v>624</v>
      </c>
      <c r="E152" s="19" t="n">
        <f aca="false">$D$46-Assumptions!$D$76</f>
        <v>169.200745473908</v>
      </c>
      <c r="F152" s="19" t="n">
        <f aca="false">$E$152+$F$140-$F$88+$F$90</f>
        <v>182.588057203712</v>
      </c>
      <c r="G152" s="19" t="n">
        <f aca="false">$F$152+$G$140-$G$88+$G$90</f>
        <v>200.018306723718</v>
      </c>
      <c r="H152" s="19" t="n">
        <f aca="false">$G$152+$H$140-$H$88+$H$90</f>
        <v>212.085557880951</v>
      </c>
      <c r="I152" s="19" t="n">
        <f aca="false">$H$152+$I$140-$I$88+$I$90</f>
        <v>234.542275282917</v>
      </c>
      <c r="J152" s="19" t="n">
        <f aca="false">$I$152+$J$140-$J$88+$J$90</f>
        <v>263.884293768457</v>
      </c>
      <c r="K152" s="19" t="n">
        <f aca="false">$J$152+$K$140-$K$88+$K$90</f>
        <v>295.982098026953</v>
      </c>
      <c r="L152" s="19" t="n">
        <f aca="false">$K$152+$L$140-$L$88+$L$90</f>
        <v>330.979340824902</v>
      </c>
    </row>
    <row r="153" customFormat="false" ht="15" hidden="false" customHeight="false" outlineLevel="0" collapsed="false">
      <c r="B153" s="17" t="s">
        <v>625</v>
      </c>
      <c r="E153" s="18" t="n">
        <f aca="false">$E$151+$E$152</f>
        <v>414.914270500533</v>
      </c>
      <c r="F153" s="18" t="n">
        <f aca="false">$F$151+$F$152</f>
        <v>420.398339418835</v>
      </c>
      <c r="G153" s="18" t="n">
        <f aca="false">$G$151+$G$152</f>
        <v>473.700738570097</v>
      </c>
      <c r="H153" s="18" t="n">
        <f aca="false">$H$151+$H$152</f>
        <v>478.074203500731</v>
      </c>
      <c r="I153" s="18" t="n">
        <f aca="false">$I$151+$I$152</f>
        <v>489.179929901523</v>
      </c>
      <c r="J153" s="18" t="n">
        <f aca="false">$J$151+$J$152</f>
        <v>516.164813136796</v>
      </c>
      <c r="K153" s="18" t="n">
        <f aca="false">$K$151+$K$152</f>
        <v>545.905482145027</v>
      </c>
      <c r="L153" s="18" t="n">
        <f aca="false">$L$151+$L$152</f>
        <v>578.54558969271</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221.864174653887</v>
      </c>
      <c r="G160" s="19" t="n">
        <f aca="false">$G$124</f>
        <v>257.170286490948</v>
      </c>
      <c r="H160" s="19" t="n">
        <f aca="false">$H$124</f>
        <v>239.978692690781</v>
      </c>
      <c r="I160" s="19" t="n">
        <f aca="false">$I$124</f>
        <v>217.656087365883</v>
      </c>
      <c r="J160" s="19" t="n">
        <f aca="false">$J$124</f>
        <v>187.69474113341</v>
      </c>
      <c r="K160" s="19" t="n">
        <f aca="false">$K$124</f>
        <v>154.55744669022</v>
      </c>
      <c r="L160" s="19" t="n">
        <f aca="false">$L$124</f>
        <v>118.513615645907</v>
      </c>
    </row>
    <row r="161" customFormat="false" ht="15" hidden="false" customHeight="false" outlineLevel="0" collapsed="false">
      <c r="B161" s="17" t="s">
        <v>632</v>
      </c>
      <c r="F161" s="41" t="n">
        <f aca="false">$F$124/$F$159</f>
        <v>4.06344642223236</v>
      </c>
      <c r="G161" s="41" t="n">
        <f aca="false">$G$124/$G$159</f>
        <v>3.59441440742542</v>
      </c>
      <c r="H161" s="41" t="n">
        <f aca="false">$H$124/$H$159</f>
        <v>4.00869062219169</v>
      </c>
      <c r="I161" s="41" t="n">
        <f aca="false">$I$124/$I$159</f>
        <v>3.07597440047934</v>
      </c>
      <c r="J161" s="41" t="n">
        <f aca="false">$J$124/$J$159</f>
        <v>2.41181922556568</v>
      </c>
      <c r="K161" s="41" t="n">
        <f aca="false">$K$124/$K$159</f>
        <v>1.91246559379621</v>
      </c>
      <c r="L161" s="41" t="n">
        <f aca="false">$L$124/$L$159</f>
        <v>1.41207937919135</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1.68655357776764</v>
      </c>
      <c r="G163" s="24" t="n">
        <f aca="false">$G$162-$G$161</f>
        <v>1.65558559257458</v>
      </c>
      <c r="H163" s="24" t="n">
        <f aca="false">$H$162-$H$161</f>
        <v>0.741309377808315</v>
      </c>
      <c r="I163" s="24" t="n">
        <f aca="false">$I$162-$I$161</f>
        <v>1.17402559952067</v>
      </c>
      <c r="J163" s="24" t="n">
        <f aca="false">$J$162-$J$161</f>
        <v>1.58818077443432</v>
      </c>
      <c r="K163" s="24" t="n">
        <f aca="false">$K$162-$K$161</f>
        <v>2.08753440620379</v>
      </c>
      <c r="L163" s="24" t="n">
        <f aca="false">$L$162-$L$161</f>
        <v>2.58792062080865</v>
      </c>
    </row>
    <row r="164" customFormat="false" ht="15" hidden="false" customHeight="false" outlineLevel="0" collapsed="false">
      <c r="B164" s="9" t="s">
        <v>635</v>
      </c>
      <c r="F164" s="14" t="n">
        <f aca="false">1-$F$124/($F$162*$F$159)</f>
        <v>0.293313665698719</v>
      </c>
      <c r="G164" s="14" t="n">
        <f aca="false">1-$G$124/($G$162*$G$159)</f>
        <v>0.315349636680873</v>
      </c>
      <c r="H164" s="14" t="n">
        <f aca="false">1-$H$124/($H$162*$H$159)</f>
        <v>0.156065132170171</v>
      </c>
      <c r="I164" s="14" t="n">
        <f aca="false">1-$I$124/($I$162*$I$159)</f>
        <v>0.276241317534274</v>
      </c>
      <c r="J164" s="14" t="n">
        <f aca="false">1-$J$124/($J$162*$J$159)</f>
        <v>0.397045193608581</v>
      </c>
      <c r="K164" s="14" t="n">
        <f aca="false">1-$K$124/($K$162*$K$159)</f>
        <v>0.521883601550948</v>
      </c>
      <c r="L164" s="14" t="n">
        <f aca="false">1-$L$124/($L$162*$L$159)</f>
        <v>0.646980155202163</v>
      </c>
    </row>
    <row r="165" customFormat="false" ht="15" hidden="false" customHeight="false" outlineLevel="0" collapsed="false">
      <c r="B165" s="9" t="s">
        <v>636</v>
      </c>
      <c r="F165" s="19" t="n">
        <f aca="false">$F$164*$F$159</f>
        <v>16.0149261471501</v>
      </c>
      <c r="G165" s="19" t="n">
        <f aca="false">$G$164*$G$159</f>
        <v>22.5623835255338</v>
      </c>
      <c r="H165" s="19" t="n">
        <f aca="false">$H$164*$H$159</f>
        <v>9.3427779598355</v>
      </c>
      <c r="I165" s="19" t="n">
        <f aca="false">$I$164*$I$159</f>
        <v>19.5468480927335</v>
      </c>
      <c r="J165" s="19" t="n">
        <f aca="false">$J$164*$J$159</f>
        <v>30.8992042366476</v>
      </c>
      <c r="K165" s="19" t="n">
        <f aca="false">$K$164*$K$159</f>
        <v>42.176443428245</v>
      </c>
      <c r="L165" s="19" t="n">
        <f aca="false">$L$164*$L$159</f>
        <v>54.3000333933552</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-1.68655357776764</v>
      </c>
      <c r="G167" s="24" t="n">
        <f aca="false">$G$125-Assumptions!$G$169</f>
        <v>-1.00256516418682</v>
      </c>
      <c r="H167" s="24" t="n">
        <f aca="false">$H$125-Assumptions!$H$169</f>
        <v>-0.602755233548263</v>
      </c>
      <c r="I167" s="24" t="n">
        <f aca="false">$I$125-Assumptions!$I$169</f>
        <v>-1.15213567335263</v>
      </c>
      <c r="J167" s="24" t="n">
        <f aca="false">$J$125-Assumptions!$J$169</f>
        <v>-1.58818077443432</v>
      </c>
      <c r="K167" s="24" t="n">
        <f aca="false">$K$125-Assumptions!$K$169</f>
        <v>-2.08753440620379</v>
      </c>
      <c r="L167" s="24" t="n">
        <f aca="false">$L$125-Assumptions!$L$169</f>
        <v>-2.58792062080865</v>
      </c>
    </row>
    <row r="168" customFormat="false" ht="15" hidden="false" customHeight="false" outlineLevel="0" collapsed="false">
      <c r="B168" s="9" t="s">
        <v>639</v>
      </c>
      <c r="F168" s="24" t="n">
        <f aca="false">$F$161-$F$162</f>
        <v>-1.68655357776764</v>
      </c>
      <c r="G168" s="24" t="n">
        <f aca="false">$G$161-$G$162</f>
        <v>-1.65558559257458</v>
      </c>
      <c r="H168" s="24" t="n">
        <f aca="false">$H$161-$H$162</f>
        <v>-0.741309377808315</v>
      </c>
      <c r="I168" s="24" t="n">
        <f aca="false">$I$161-$I$162</f>
        <v>-1.17402559952067</v>
      </c>
      <c r="J168" s="24" t="n">
        <f aca="false">$J$161-$J$162</f>
        <v>-1.58818077443432</v>
      </c>
      <c r="K168" s="24" t="n">
        <f aca="false">$K$161-$K$162</f>
        <v>-2.08753440620379</v>
      </c>
      <c r="L168" s="24" t="n">
        <f aca="false">$L$161-$L$162</f>
        <v>-2.58792062080865</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187.69474113341</v>
      </c>
    </row>
    <row r="174" customFormat="false" ht="15" hidden="false" customHeight="false" outlineLevel="0" collapsed="false">
      <c r="B174" s="9" t="s">
        <v>643</v>
      </c>
      <c r="D174" s="19" t="n">
        <f aca="false">INDEX($E$118:$L$118,1,$D$170+1)</f>
        <v>202.28051936834</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64.58577823493</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502.20517446139</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178.700745473908</v>
      </c>
    </row>
    <row r="183" customFormat="false" ht="15" hidden="false" customHeight="false" outlineLevel="0" collapsed="false">
      <c r="B183" s="9" t="s">
        <v>651</v>
      </c>
      <c r="D183" s="42" t="n">
        <f aca="false">$D$48/Assumptions!$D$108</f>
        <v>168.700745473908</v>
      </c>
    </row>
    <row r="184" customFormat="false" ht="15" hidden="false" customHeight="false" outlineLevel="0" collapsed="false">
      <c r="B184" s="9" t="s">
        <v>652</v>
      </c>
      <c r="D184" s="14" t="n">
        <f aca="false">$D$48/$D$46</f>
        <v>0.94404052443385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0.0559594755661502</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178.700745473908</v>
      </c>
    </row>
    <row r="190" customFormat="false" ht="15" hidden="false" customHeight="false" outlineLevel="0" collapsed="false">
      <c r="B190" s="9" t="s">
        <v>658</v>
      </c>
      <c r="D190" s="34" t="n">
        <f aca="false">$D$183+$D$188/Assumptions!$D$108</f>
        <v>168.700745473908</v>
      </c>
    </row>
    <row r="191" customFormat="false" ht="15" hidden="false" customHeight="false" outlineLevel="0" collapsed="false">
      <c r="B191" s="9" t="s">
        <v>659</v>
      </c>
      <c r="D191" s="34" t="n">
        <f aca="false">$D$182*Assumptions!$D$109/(1-Assumptions!$D$109)</f>
        <v>15.5391952586007</v>
      </c>
    </row>
    <row r="192" customFormat="false" ht="15" hidden="false" customHeight="false" outlineLevel="0" collapsed="false">
      <c r="B192" s="9" t="s">
        <v>660</v>
      </c>
      <c r="D192" s="35" t="n">
        <f aca="false">($D$179+$D$191*Assumptions!$D$108)/($D$189+$D$191)</f>
        <v>2.66548871343091</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2.66548871343091</v>
      </c>
    </row>
    <row r="195" customFormat="false" ht="15" hidden="false" customHeight="false" outlineLevel="0" collapsed="false">
      <c r="B195" s="9" t="s">
        <v>663</v>
      </c>
      <c r="D195" s="34" t="n">
        <f aca="false">IF($D$194&gt;=Assumptions!$D$110,$D$191,$D$191*0.5)</f>
        <v>15.5391952586007</v>
      </c>
    </row>
    <row r="196" customFormat="false" ht="15" hidden="false" customHeight="false" outlineLevel="0" collapsed="false">
      <c r="B196" s="9" t="s">
        <v>664</v>
      </c>
      <c r="D196" s="35" t="n">
        <f aca="false">($D$179+$D$195*Assumptions!$D$108)/($D$189+$D$195)</f>
        <v>2.66548871343091</v>
      </c>
    </row>
    <row r="197" customFormat="false" ht="15" hidden="false" customHeight="false" outlineLevel="0" collapsed="false">
      <c r="B197" s="9" t="s">
        <v>665</v>
      </c>
      <c r="D197" s="34" t="n">
        <f aca="false">IF($D$196&lt;Assumptions!$D$108,0,$D$195)</f>
        <v>15.5391952586007</v>
      </c>
    </row>
    <row r="198" customFormat="false" ht="15" hidden="false" customHeight="false" outlineLevel="0" collapsed="false">
      <c r="B198" s="17" t="s">
        <v>666</v>
      </c>
      <c r="D198" s="43" t="n">
        <f aca="false">IF($D$196&lt;Assumptions!$D$108,$D$179/$D$189,$D$196)</f>
        <v>2.66548871343091</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449.669933008083</v>
      </c>
    </row>
    <row r="201" customFormat="false" ht="15" hidden="false" customHeight="false" outlineLevel="0" collapsed="false">
      <c r="B201" s="9" t="s">
        <v>668</v>
      </c>
      <c r="D201" s="14" t="n">
        <f aca="false">$D$200/$D$179</f>
        <v>0.895390879813911</v>
      </c>
    </row>
    <row r="202" customFormat="false" ht="15" hidden="false" customHeight="false" outlineLevel="0" collapsed="false">
      <c r="B202" s="9" t="s">
        <v>669</v>
      </c>
      <c r="D202" s="19" t="n">
        <f aca="false">$D$185*$D$198</f>
        <v>26.6548871343091</v>
      </c>
    </row>
    <row r="203" customFormat="false" ht="15" hidden="false" customHeight="false" outlineLevel="0" collapsed="false">
      <c r="B203" s="9" t="s">
        <v>670</v>
      </c>
      <c r="D203" s="19" t="n">
        <f aca="false">$D$197*MAX(0,$D$198-Assumptions!$D$108)</f>
        <v>25.8803543189986</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52.5352414533076</v>
      </c>
    </row>
    <row r="206" customFormat="false" ht="15" hidden="false" customHeight="false" outlineLevel="0" collapsed="false">
      <c r="B206" s="9" t="s">
        <v>673</v>
      </c>
      <c r="D206" s="24" t="n">
        <f aca="false">$D$205/$D$47</f>
        <v>5.25352414533076</v>
      </c>
    </row>
    <row r="207" customFormat="false" ht="15" hidden="false" customHeight="false" outlineLevel="0" collapsed="false">
      <c r="B207" s="9" t="s">
        <v>674</v>
      </c>
      <c r="D207" s="19" t="n">
        <f aca="false">$D$187*$D$198</f>
        <v>10.6619548537236</v>
      </c>
    </row>
    <row r="208" customFormat="false" ht="15" hidden="false" customHeight="false" outlineLevel="0" collapsed="false">
      <c r="B208" s="9" t="s">
        <v>675</v>
      </c>
      <c r="D208" s="19" t="n">
        <f aca="false">$D$203*Assumptions!$D$112</f>
        <v>9.05812401164949</v>
      </c>
    </row>
    <row r="209" customFormat="false" ht="15" hidden="false" customHeight="false" outlineLevel="0" collapsed="false">
      <c r="B209" s="9" t="s">
        <v>676</v>
      </c>
      <c r="D209" s="19" t="n">
        <f aca="false">$D$207+$D$208</f>
        <v>19.7200788653731</v>
      </c>
    </row>
    <row r="210" customFormat="false" ht="15" hidden="false" customHeight="false" outlineLevel="0" collapsed="false">
      <c r="B210" s="9" t="s">
        <v>677</v>
      </c>
      <c r="D210" s="24" t="n">
        <f aca="false">$D$209/Assumptions!$D$111</f>
        <v>4.93001971634328</v>
      </c>
    </row>
    <row r="211" customFormat="false" ht="15" hidden="false" customHeight="false" outlineLevel="0" collapsed="false">
      <c r="B211" s="9" t="s">
        <v>678</v>
      </c>
      <c r="D211" s="19" t="n">
        <f aca="false">$D$179*$D$190/$D$189</f>
        <v>474.102036271924</v>
      </c>
    </row>
    <row r="212" customFormat="false" ht="15" hidden="false" customHeight="false" outlineLevel="0" collapsed="false">
      <c r="B212" s="9" t="s">
        <v>679</v>
      </c>
      <c r="D212" s="19" t="n">
        <f aca="false">$D$211-$D$200</f>
        <v>24.4321032638413</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168.700745473908</v>
      </c>
      <c r="F216" s="34" t="n">
        <f aca="false">$D$183+$F$215/Assumptions!$D$108</f>
        <v>168.700745473908</v>
      </c>
      <c r="G216" s="34" t="n">
        <f aca="false">$D$183+$G$215/Assumptions!$D$108</f>
        <v>168.700745473908</v>
      </c>
      <c r="H216" s="34" t="n">
        <f aca="false">$D$183+$H$215/Assumptions!$D$108</f>
        <v>168.700745473908</v>
      </c>
      <c r="I216" s="34" t="n">
        <f aca="false">$D$183+$I$215/Assumptions!$D$108</f>
        <v>168.700745473908</v>
      </c>
      <c r="J216" s="34" t="n">
        <f aca="false">$D$183+$J$215/Assumptions!$D$108</f>
        <v>168.700745473908</v>
      </c>
      <c r="K216" s="34" t="n">
        <f aca="false">$D$183+$K$215/Assumptions!$D$108</f>
        <v>168.700745473908</v>
      </c>
      <c r="L216" s="34" t="n">
        <f aca="false">$D$183+$L$215/Assumptions!$D$108</f>
        <v>168.700745473908</v>
      </c>
    </row>
    <row r="217" customFormat="false" ht="15" hidden="false" customHeight="false" outlineLevel="0" collapsed="false">
      <c r="B217" s="9" t="s">
        <v>683</v>
      </c>
      <c r="E217" s="34" t="n">
        <f aca="false">$D$182+$E$215/Assumptions!$D$108</f>
        <v>178.700745473908</v>
      </c>
      <c r="F217" s="34" t="n">
        <f aca="false">$D$182+$F$215/Assumptions!$D$108</f>
        <v>178.700745473908</v>
      </c>
      <c r="G217" s="34" t="n">
        <f aca="false">$D$182+$G$215/Assumptions!$D$108</f>
        <v>178.700745473908</v>
      </c>
      <c r="H217" s="34" t="n">
        <f aca="false">$D$182+$H$215/Assumptions!$D$108</f>
        <v>178.700745473908</v>
      </c>
      <c r="I217" s="34" t="n">
        <f aca="false">$D$182+$I$215/Assumptions!$D$108</f>
        <v>178.700745473908</v>
      </c>
      <c r="J217" s="34" t="n">
        <f aca="false">$D$182+$J$215/Assumptions!$D$108</f>
        <v>178.700745473908</v>
      </c>
      <c r="K217" s="34" t="n">
        <f aca="false">$D$182+$K$215/Assumptions!$D$108</f>
        <v>178.700745473908</v>
      </c>
      <c r="L217" s="34" t="n">
        <f aca="false">$D$182+$L$215/Assumptions!$D$108</f>
        <v>178.700745473908</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-168.700745473908</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449.669933008083</v>
      </c>
      <c r="K219" s="18" t="n">
        <f aca="false">IF($K$64&lt;=$D$170,$K$218+IF($K$64=$D$170,$D$200,0),0)</f>
        <v>0</v>
      </c>
      <c r="L219" s="18" t="n">
        <f aca="false">IF($L$64&lt;=$D$170,$L$218+IF($L$64=$D$170,$D$200,0),0)</f>
        <v>0</v>
      </c>
    </row>
    <row r="220" customFormat="false" ht="15" hidden="false" customHeight="false" outlineLevel="0" collapsed="false">
      <c r="B220" s="9" t="s">
        <v>686</v>
      </c>
      <c r="E220" s="19" t="n">
        <f aca="false">-$D$46</f>
        <v>-178.700745473908</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502.20517446139</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0.216621171076233</v>
      </c>
    </row>
    <row r="224" customFormat="false" ht="15" hidden="false" customHeight="false" outlineLevel="0" collapsed="false">
      <c r="B224" s="9" t="s">
        <v>689</v>
      </c>
      <c r="D224" s="25" t="n">
        <f aca="false">XIRR($E$219:$L$219,$E$221:$L$221,0.1)</f>
        <v>0.216490536239748</v>
      </c>
    </row>
    <row r="225" customFormat="false" ht="15" hidden="false" customHeight="false" outlineLevel="0" collapsed="false">
      <c r="B225" s="17" t="s">
        <v>690</v>
      </c>
      <c r="D225" s="41" t="n">
        <f aca="false">SUMIF($E$219:$L$219,"&gt;0")/-SUMIF($E$219:$L$219,"&lt;0")</f>
        <v>2.66548871343091</v>
      </c>
    </row>
    <row r="226" customFormat="false" ht="15" hidden="false" customHeight="false" outlineLevel="0" collapsed="false">
      <c r="B226" s="9" t="s">
        <v>691</v>
      </c>
      <c r="D226" s="19" t="n">
        <f aca="false">-SUMIF($E$219:$L$219,"&lt;0")</f>
        <v>168.700745473908</v>
      </c>
    </row>
    <row r="227" customFormat="false" ht="15" hidden="false" customHeight="false" outlineLevel="0" collapsed="false">
      <c r="B227" s="9" t="s">
        <v>692</v>
      </c>
      <c r="D227" s="25" t="n">
        <f aca="false">IRR($E$220:$L$220,0.1)</f>
        <v>0.229563503613263</v>
      </c>
    </row>
    <row r="228" customFormat="false" ht="15" hidden="false" customHeight="false" outlineLevel="0" collapsed="false">
      <c r="B228" s="9" t="s">
        <v>693</v>
      </c>
      <c r="D228" s="24" t="n">
        <f aca="false">SUMIF($E$220:$L$220,"&gt;0")/-SUMIF($E$220:$L$220,"&lt;0")</f>
        <v>2.81031381894664</v>
      </c>
    </row>
    <row r="229" customFormat="false" ht="15" hidden="false" customHeight="false" outlineLevel="0" collapsed="false">
      <c r="B229" s="9" t="s">
        <v>694</v>
      </c>
      <c r="D229" s="19" t="n">
        <f aca="false">SUM($E$220:$L$220)</f>
        <v>323.504428987482</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100.818783893214</v>
      </c>
    </row>
    <row r="232" customFormat="false" ht="15" hidden="false" customHeight="false" outlineLevel="0" collapsed="false">
      <c r="B232" s="9" t="s">
        <v>697</v>
      </c>
      <c r="D232" s="19" t="n">
        <f aca="false">SUMPRODUCT(($F$64:$L$64&lt;=$D$170)*$F$105:$L$105)</f>
        <v>113.756770380786</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10.9856762513312</v>
      </c>
    </row>
    <row r="235" customFormat="false" ht="15" hidden="false" customHeight="false" outlineLevel="0" collapsed="false">
      <c r="B235" s="9" t="s">
        <v>700</v>
      </c>
      <c r="D235" s="19" t="n">
        <f aca="false">SUMPRODUCT(($F$64:$L$64&lt;=$D$170)*$F$115:$L$115)</f>
        <v>22.4473294069531</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33.4330056582843</v>
      </c>
    </row>
    <row r="238" customFormat="false" ht="15" hidden="false" customHeight="false" outlineLevel="0" collapsed="false">
      <c r="B238" s="9" t="s">
        <v>703</v>
      </c>
      <c r="D238" s="19" t="n">
        <f aca="false">$D$54-$D$173</f>
        <v>48.0187838932144</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300.40600568</v>
      </c>
    </row>
    <row r="242" customFormat="false" ht="15" hidden="false" customHeight="false" outlineLevel="0" collapsed="false">
      <c r="B242" s="9" t="s">
        <v>234</v>
      </c>
      <c r="D242" s="14" t="n">
        <f aca="false">$D$172/$D$29-1</f>
        <v>0.7510150142</v>
      </c>
    </row>
    <row r="243" customFormat="false" ht="15" hidden="false" customHeight="false" outlineLevel="0" collapsed="false">
      <c r="B243" s="9" t="s">
        <v>235</v>
      </c>
      <c r="D243" s="25" t="n">
        <f aca="false">($D$172/$D$29)^(1/$D$170)-1</f>
        <v>0.118556623967823</v>
      </c>
    </row>
    <row r="244" customFormat="false" ht="15" hidden="false" customHeight="false" outlineLevel="0" collapsed="false">
      <c r="B244" s="9" t="s">
        <v>236</v>
      </c>
      <c r="D244" s="14" t="n">
        <f aca="false">$D$179/$D$46-1</f>
        <v>1.81031381894664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719</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2" t="n">
        <v>8.5</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Case_Base!$D$57</f>
        <v>0.578947368421053</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425</v>
      </c>
    </row>
    <row r="30" customFormat="false" ht="15" hidden="false" customHeight="false" outlineLevel="0" collapsed="false">
      <c r="B30" s="9" t="s">
        <v>519</v>
      </c>
      <c r="D30" s="19" t="n">
        <f aca="false">IF($D$22&gt;0,$D$22*($D$29+Assumptions!$D$76+Assumptions!$D$78)/(1-Assumptions!$D$77*$D$22),0)</f>
        <v>260.356762513312</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210.356762513312</v>
      </c>
    </row>
    <row r="33" customFormat="false" ht="15" hidden="false" customHeight="false" outlineLevel="0" collapsed="false">
      <c r="B33" s="9" t="s">
        <v>522</v>
      </c>
      <c r="D33" s="19" t="n">
        <f aca="false">Assumptions!$D$77*($D$32+$D$31)</f>
        <v>5.20713525026624</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390</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5.20713525026624</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449.707135250266</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210.356762513312</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189.350372736954</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179.350372736954</v>
      </c>
    </row>
    <row r="49" customFormat="false" ht="15" hidden="false" customHeight="false" outlineLevel="0" collapsed="false">
      <c r="B49" s="17" t="s">
        <v>534</v>
      </c>
      <c r="D49" s="18" t="n">
        <f aca="false">$D$43+$D$44+$D$45+$D$48+$D$47</f>
        <v>449.707135250266</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260.356762513312</v>
      </c>
    </row>
    <row r="53" customFormat="false" ht="15" hidden="false" customHeight="false" outlineLevel="0" collapsed="false">
      <c r="B53" s="9" t="s">
        <v>303</v>
      </c>
      <c r="C53" s="6" t="s">
        <v>79</v>
      </c>
      <c r="D53" s="23" t="n">
        <f aca="false">$D$52/$D$28</f>
        <v>5.20713525026624</v>
      </c>
    </row>
    <row r="54" customFormat="false" ht="15" hidden="false" customHeight="false" outlineLevel="0" collapsed="false">
      <c r="B54" s="9" t="s">
        <v>192</v>
      </c>
      <c r="D54" s="19" t="n">
        <f aca="false">$D$52-$D$40</f>
        <v>250.356762513312</v>
      </c>
    </row>
    <row r="55" customFormat="false" ht="15" hidden="false" customHeight="false" outlineLevel="0" collapsed="false">
      <c r="B55" s="9" t="s">
        <v>538</v>
      </c>
      <c r="C55" s="6" t="s">
        <v>79</v>
      </c>
      <c r="D55" s="24" t="n">
        <f aca="false">$D$54/$D$28</f>
        <v>5.00713525026624</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0.612604147090146</v>
      </c>
    </row>
    <row r="59" customFormat="false" ht="15" hidden="false" customHeight="false" outlineLevel="0" collapsed="false">
      <c r="B59" s="9" t="s">
        <v>542</v>
      </c>
      <c r="D59" s="19" t="n">
        <f aca="false">$D$38+$D$39</f>
        <v>14.7071352502662</v>
      </c>
    </row>
    <row r="60" customFormat="false" ht="15" hidden="false" customHeight="false" outlineLevel="0" collapsed="false">
      <c r="B60" s="9" t="s">
        <v>543</v>
      </c>
      <c r="D60" s="25" t="n">
        <f aca="false">$D$59/$D$29</f>
        <v>0.0346050241182735</v>
      </c>
    </row>
    <row r="61" customFormat="false" ht="15" hidden="false" customHeight="false" outlineLevel="0" collapsed="false">
      <c r="B61" s="9" t="s">
        <v>544</v>
      </c>
      <c r="D61" s="25" t="n">
        <f aca="false">$D$59/$D$46</f>
        <v>0.0776715410573678</v>
      </c>
    </row>
    <row r="62" customFormat="false" ht="15" hidden="false" customHeight="false" outlineLevel="0" collapsed="false">
      <c r="B62" s="9" t="s">
        <v>545</v>
      </c>
      <c r="D62" s="19" t="n">
        <f aca="false">$D$46+(Assumptions!$D$72-$D$6)*$D$28</f>
        <v>264.350372736954</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12.6046751863685</v>
      </c>
      <c r="G91" s="18" t="n">
        <f aca="false">$G$72-$G$139-$G$105-$G$75-$G$79-$G$83-$G$87-$G$89</f>
        <v>16.1886265814697</v>
      </c>
      <c r="H91" s="18" t="n">
        <f aca="false">$H$72-$H$139-$H$105-$H$75-$H$79-$H$83-$H$87-$H$89</f>
        <v>15.8348523157082</v>
      </c>
      <c r="I91" s="18" t="n">
        <f aca="false">$I$72-$I$139-$I$105-$I$75-$I$79-$I$83-$I$87-$I$89</f>
        <v>21.193937114563</v>
      </c>
      <c r="J91" s="18" t="n">
        <f aca="false">$J$72-$J$139-$J$105-$J$75-$J$79-$J$83-$J$87-$J$89</f>
        <v>28.6868837209178</v>
      </c>
      <c r="K91" s="18" t="n">
        <f aca="false">$K$72-$K$139-$K$105-$K$75-$K$79-$K$83-$K$87-$K$89</f>
        <v>31.8468607857699</v>
      </c>
      <c r="L91" s="18" t="n">
        <f aca="false">$L$72-$L$139-$L$105-$L$75-$L$79-$L$83-$L$87-$L$89</f>
        <v>34.7371068181109</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15.2505537806177</v>
      </c>
      <c r="H94" s="19" t="n">
        <f aca="false">$G$123</f>
        <v>14.9017095527157</v>
      </c>
      <c r="I94" s="19" t="n">
        <f aca="false">$H$123</f>
        <v>19.1164971216454</v>
      </c>
      <c r="J94" s="19" t="n">
        <f aca="false">$I$123</f>
        <v>30.8551499583064</v>
      </c>
      <c r="K94" s="19" t="n">
        <f aca="false">$J$123</f>
        <v>57.0384660540911</v>
      </c>
      <c r="L94" s="19" t="n">
        <f aca="false">$K$123</f>
        <v>86.3817592147279</v>
      </c>
    </row>
    <row r="95" customFormat="false" ht="15" hidden="false" customHeight="false" outlineLevel="0" collapsed="false">
      <c r="B95" s="9" t="s">
        <v>576</v>
      </c>
      <c r="F95" s="19" t="n">
        <f aca="false">$E$123+$F$91-$F$109-$F$82-$F$85+$F$84+$F$86-$F$88+$F$90</f>
        <v>20.5011075612354</v>
      </c>
      <c r="G95" s="19" t="n">
        <f aca="false">$F$123+$G$91-$G$109-$G$82-$G$85+$G$84+$G$86-$G$88+$G$90</f>
        <v>16.5356127369542</v>
      </c>
      <c r="H95" s="19" t="n">
        <f aca="false">$G$123+$H$91-$H$109-$H$82-$H$85+$H$84+$H$86-$H$88+$H$90</f>
        <v>28.2329942432907</v>
      </c>
      <c r="I95" s="19" t="n">
        <f aca="false">$H$123+$I$91-$I$109-$I$82-$I$85+$I$84+$I$86-$I$88+$I$90</f>
        <v>37.8068666110752</v>
      </c>
      <c r="J95" s="19" t="n">
        <f aca="false">$I$123+$J$91-$J$109-$J$82-$J$85+$J$84+$J$86-$J$88+$J$90</f>
        <v>57.0384660540911</v>
      </c>
      <c r="K95" s="19" t="n">
        <f aca="false">$J$123+$K$91-$K$109-$K$82-$K$85+$K$84+$K$86-$K$88+$K$90</f>
        <v>86.3817592147279</v>
      </c>
      <c r="L95" s="19" t="n">
        <f aca="false">$K$123+$L$91-$L$109-$L$82-$L$85+$L$84+$L$86-$L$88+$L$90</f>
        <v>118.615298407706</v>
      </c>
    </row>
    <row r="96" customFormat="false" ht="15" hidden="false" customHeight="false" outlineLevel="0" collapsed="false">
      <c r="B96" s="17" t="s">
        <v>577</v>
      </c>
      <c r="F96" s="18" t="n">
        <f aca="false">$F$95+$F$110-$F$111-$F$115</f>
        <v>15.2505537806177</v>
      </c>
      <c r="G96" s="18" t="n">
        <f aca="false">$G$95+$G$110-$G$111-$G$115</f>
        <v>14.9017095527157</v>
      </c>
      <c r="H96" s="18" t="n">
        <f aca="false">$H$95+$H$110-$H$111-$H$115</f>
        <v>19.1164971216454</v>
      </c>
      <c r="I96" s="18" t="n">
        <f aca="false">$I$95+$I$110-$I$111-$I$115</f>
        <v>30.8551499583064</v>
      </c>
      <c r="J96" s="18" t="n">
        <f aca="false">$J$95+$J$110-$J$111-$J$115</f>
        <v>57.0384660540911</v>
      </c>
      <c r="K96" s="18" t="n">
        <f aca="false">$K$95+$K$110-$K$111-$K$115</f>
        <v>86.3817592147279</v>
      </c>
      <c r="L96" s="18" t="n">
        <f aca="false">$L$95+$L$110-$L$111-$L$115</f>
        <v>118.615298407706</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17.8803248136315</v>
      </c>
      <c r="G101" s="38" t="n">
        <f aca="false">$F$118*$G$100</f>
        <v>17.2552244941427</v>
      </c>
      <c r="H101" s="38" t="n">
        <f aca="false">$G$118*$H$100</f>
        <v>20.3375394753461</v>
      </c>
      <c r="I101" s="38" t="n">
        <f aca="false">$H$118*$I$100</f>
        <v>19.3498339718699</v>
      </c>
      <c r="J101" s="38" t="n">
        <f aca="false">$I$118*$J$100</f>
        <v>18.5461348082483</v>
      </c>
      <c r="K101" s="38" t="n">
        <f aca="false">$J$118*$K$100</f>
        <v>18.333331560112</v>
      </c>
      <c r="L101" s="38" t="n">
        <f aca="false">$K$118*$L$100</f>
        <v>18.1205283119757</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0.305011075612354</v>
      </c>
      <c r="H104" s="38" t="n">
        <f aca="false">$G$123*Assumptions!$D$9</f>
        <v>0.298034191054313</v>
      </c>
      <c r="I104" s="38" t="n">
        <f aca="false">$H$123*Assumptions!$D$9</f>
        <v>0.382329942432907</v>
      </c>
      <c r="J104" s="38" t="n">
        <f aca="false">$I$123*Assumptions!$D$9</f>
        <v>0.617102999166128</v>
      </c>
      <c r="K104" s="38" t="n">
        <f aca="false">$J$123*Assumptions!$D$9</f>
        <v>1.14076932108182</v>
      </c>
      <c r="L104" s="38" t="n">
        <f aca="false">$K$123*Assumptions!$D$9</f>
        <v>1.72763518429456</v>
      </c>
    </row>
    <row r="105" customFormat="false" ht="15" hidden="false" customHeight="false" outlineLevel="0" collapsed="false">
      <c r="B105" s="17" t="s">
        <v>585</v>
      </c>
      <c r="F105" s="40" t="n">
        <f aca="false">$F$101+$F$102+$F$103-$F$104</f>
        <v>23.3803248136315</v>
      </c>
      <c r="G105" s="40" t="n">
        <f aca="false">$G$101+$G$102+$G$103-$G$104</f>
        <v>22.6502134185304</v>
      </c>
      <c r="H105" s="40" t="n">
        <f aca="false">$H$101+$H$102+$H$103-$H$104</f>
        <v>25.7395052842918</v>
      </c>
      <c r="I105" s="40" t="n">
        <f aca="false">$I$101+$I$102+$I$103-$I$104</f>
        <v>24.667504029437</v>
      </c>
      <c r="J105" s="40" t="n">
        <f aca="false">$J$101+$J$102+$J$103-$J$104</f>
        <v>23.6290318090822</v>
      </c>
      <c r="K105" s="40" t="n">
        <f aca="false">$K$101+$K$102+$K$103-$K$104</f>
        <v>22.8925622390301</v>
      </c>
      <c r="L105" s="40" t="n">
        <f aca="false">$L$101+$L$102+$L$103-$L$104</f>
        <v>22.0928931276811</v>
      </c>
    </row>
    <row r="106" customFormat="false" ht="15" hidden="false" customHeight="false" outlineLevel="0" collapsed="false">
      <c r="B106" s="9" t="s">
        <v>586</v>
      </c>
      <c r="F106" s="38" t="n">
        <f aca="false">IF($E$149&gt;0,$E$149/MAX(1,Assumptions!$D$86-($F$64-1)),0)</f>
        <v>0.743876464323749</v>
      </c>
      <c r="G106" s="38" t="n">
        <f aca="false">IF($F$149&gt;0,$F$149/MAX(1,Assumptions!$D$86-($G$64-1)),0)</f>
        <v>0.743876464323749</v>
      </c>
      <c r="H106" s="38" t="n">
        <f aca="false">IF($G$149&gt;0,$G$149/MAX(1,Assumptions!$D$86-($H$64-1)),0)</f>
        <v>0.903876464323749</v>
      </c>
      <c r="I106" s="38" t="n">
        <f aca="false">IF($H$149&gt;0,$H$149/MAX(1,Assumptions!$D$86-($I$64-1)),0)</f>
        <v>0.903876464323749</v>
      </c>
      <c r="J106" s="38" t="n">
        <f aca="false">IF($I$149&gt;0,$I$149/MAX(1,Assumptions!$D$86-($J$64-1)),0)</f>
        <v>0.903876464323749</v>
      </c>
      <c r="K106" s="38" t="n">
        <f aca="false">IF($J$149&gt;0,$J$149/MAX(1,Assumptions!$D$86-($K$64-1)),0)</f>
        <v>0.903876464323749</v>
      </c>
      <c r="L106" s="38" t="n">
        <f aca="false">IF($K$149&gt;0,$K$149/MAX(1,Assumptions!$D$86-($L$64-1)),0)</f>
        <v>0.903876464323749</v>
      </c>
    </row>
    <row r="107" customFormat="false" ht="15" hidden="false" customHeight="false" outlineLevel="0" collapsed="false">
      <c r="B107" s="9" t="s">
        <v>587</v>
      </c>
      <c r="F107" s="24" t="n">
        <f aca="false">IF($F$105&lt;&gt;0,$F$72/$F$105,0)</f>
        <v>2.33529689750787</v>
      </c>
      <c r="G107" s="24" t="n">
        <f aca="false">IF($G$105&lt;&gt;0,$G$72/$G$105,0)</f>
        <v>2.67314037537791</v>
      </c>
      <c r="H107" s="24" t="n">
        <f aca="false">IF($H$105&lt;&gt;0,$H$72/$H$105,0)</f>
        <v>2.24808547642574</v>
      </c>
      <c r="I107" s="24" t="n">
        <f aca="false">IF($I$105&lt;&gt;0,$I$72/$I$105,0)</f>
        <v>2.84828351649016</v>
      </c>
      <c r="J107" s="24" t="n">
        <f aca="false">IF($J$105&lt;&gt;0,$J$72/$J$105,0)</f>
        <v>3.29352849277928</v>
      </c>
      <c r="K107" s="24" t="n">
        <f aca="false">IF($K$105&lt;&gt;0,$K$72/$K$105,0)</f>
        <v>3.53022104983142</v>
      </c>
      <c r="L107" s="24" t="n">
        <f aca="false">IF($L$105&lt;&gt;0,$L$72/$L$105,0)</f>
        <v>3.79888848507915</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2.10356762513312</v>
      </c>
      <c r="G109" s="38" t="n">
        <f aca="false">IF($D$14=1,0,MIN($F$118,Assumptions!$D$85*$F$119))</f>
        <v>2.10356762513312</v>
      </c>
      <c r="H109" s="38" t="n">
        <f aca="false">IF($D$14=1,0,MIN($G$118,Assumptions!$D$85*$G$119))</f>
        <v>2.50356762513312</v>
      </c>
      <c r="I109" s="38" t="n">
        <f aca="false">IF($D$14=1,0,MIN($H$118,Assumptions!$D$85*$H$119))</f>
        <v>2.50356762513312</v>
      </c>
      <c r="J109" s="38" t="n">
        <f aca="false">IF($D$14=1,0,MIN($I$118,Assumptions!$D$85*$I$119))</f>
        <v>2.50356762513312</v>
      </c>
      <c r="K109" s="38" t="n">
        <f aca="false">IF($D$14=1,0,MIN($J$118,Assumptions!$D$85*$J$119))</f>
        <v>2.50356762513312</v>
      </c>
      <c r="L109" s="38" t="n">
        <f aca="false">IF($D$14=1,0,MIN($K$118,Assumptions!$D$85*$K$119))</f>
        <v>2.50356762513312</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20.5011075612354</v>
      </c>
      <c r="G112" s="19" t="n">
        <f aca="false">$G$95+$G$110-$G$111</f>
        <v>16.5356127369542</v>
      </c>
      <c r="H112" s="19" t="n">
        <f aca="false">$H$95+$H$110-$H$111</f>
        <v>28.2329942432907</v>
      </c>
      <c r="I112" s="19" t="n">
        <f aca="false">$I$95+$I$110-$I$111</f>
        <v>37.8068666110752</v>
      </c>
      <c r="J112" s="19" t="n">
        <f aca="false">$J$95+$J$110-$J$111</f>
        <v>57.0384660540911</v>
      </c>
      <c r="K112" s="19" t="n">
        <f aca="false">$K$95+$K$110-$K$111</f>
        <v>86.3817592147279</v>
      </c>
      <c r="L112" s="19" t="n">
        <f aca="false">$L$95+$L$110-$L$111</f>
        <v>118.615298407706</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0.25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0.25</v>
      </c>
      <c r="J113" s="29" t="n">
        <f aca="false">IF($I$125&gt;Assumptions!$D$100,Assumptions!$E$100,IF($I$125&gt;Assumptions!$D$101,Assumptions!$E$101,IF($I$125&gt;Assumptions!$D$102,Assumptions!$E$102,0)))</f>
        <v>0</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10.5011075612354</v>
      </c>
      <c r="G114" s="19" t="n">
        <f aca="false">MAX(0,$G$112-Assumptions!$D$79)</f>
        <v>6.53561273695421</v>
      </c>
      <c r="H114" s="19" t="n">
        <f aca="false">MAX(0,$H$112-Assumptions!$D$79)</f>
        <v>18.2329942432907</v>
      </c>
      <c r="I114" s="19" t="n">
        <f aca="false">MAX(0,$I$112-Assumptions!$D$79)</f>
        <v>27.8068666110752</v>
      </c>
      <c r="J114" s="19" t="n">
        <f aca="false">MAX(0,$J$112-Assumptions!$D$79)</f>
        <v>47.0384660540911</v>
      </c>
      <c r="K114" s="19" t="n">
        <f aca="false">MAX(0,$K$112-Assumptions!$D$79)</f>
        <v>76.3817592147279</v>
      </c>
      <c r="L114" s="19" t="n">
        <f aca="false">MAX(0,$L$112-Assumptions!$D$79)</f>
        <v>108.615298407706</v>
      </c>
    </row>
    <row r="115" customFormat="false" ht="15" hidden="false" customHeight="false" outlineLevel="0" collapsed="false">
      <c r="B115" s="17" t="s">
        <v>595</v>
      </c>
      <c r="F115" s="18" t="n">
        <f aca="false">IF(AND($D$19=1,$D$14=0,$E$121-$F$111+$F$110=0),MIN($E$118-$F$109+$F$84,$F$113*$F$114),0)</f>
        <v>5.25055378061768</v>
      </c>
      <c r="G115" s="18" t="n">
        <f aca="false">IF(AND($D$19=1,$D$14=0,$F$121-$G$111+$G$110=0),MIN($F$118-$G$109+$G$84,$G$113*$G$114),0)</f>
        <v>1.63390318423855</v>
      </c>
      <c r="H115" s="18" t="n">
        <f aca="false">IF(AND($D$19=1,$D$14=0,$G$121-$H$111+$H$110=0),MIN($G$118-$H$109+$H$84,$H$113*$H$114),0)</f>
        <v>9.11649712164537</v>
      </c>
      <c r="I115" s="18" t="n">
        <f aca="false">IF(AND($D$19=1,$D$14=0,$H$121-$I$111+$I$110=0),MIN($H$118-$I$109+$I$84,$I$113*$I$114),0)</f>
        <v>6.9517166527688</v>
      </c>
      <c r="J115" s="18" t="n">
        <f aca="false">IF(AND($D$19=1,$D$14=0,$I$121-$J$111+$J$110=0),MIN($I$118-$J$109+$J$84,$J$113*$J$114),0)</f>
        <v>0</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210.356762513312</v>
      </c>
      <c r="F118" s="19" t="n">
        <f aca="false">$E$118-$F$109-$F$115+$F$84+$F$86</f>
        <v>203.002641107561</v>
      </c>
      <c r="G118" s="19" t="n">
        <f aca="false">$F$118-$G$109-$G$115+$G$84+$G$86</f>
        <v>239.26517029819</v>
      </c>
      <c r="H118" s="19" t="n">
        <f aca="false">$G$118-$H$109-$H$115+$H$84+$H$86</f>
        <v>227.645105551411</v>
      </c>
      <c r="I118" s="19" t="n">
        <f aca="false">$H$118-$I$109-$I$115+$I$84+$I$86</f>
        <v>218.189821273509</v>
      </c>
      <c r="J118" s="19" t="n">
        <f aca="false">$I$118-$J$109-$J$115+$J$84+$J$86</f>
        <v>215.686253648376</v>
      </c>
      <c r="K118" s="19" t="n">
        <f aca="false">$J$118-$K$109-$K$115+$K$84+$K$86</f>
        <v>213.182686023243</v>
      </c>
      <c r="L118" s="19" t="n">
        <f aca="false">$K$118-$L$109-$L$115+$L$84+$L$86</f>
        <v>210.67911839811</v>
      </c>
    </row>
    <row r="119" customFormat="false" ht="15" hidden="false" customHeight="false" outlineLevel="0" collapsed="false">
      <c r="B119" s="9" t="s">
        <v>598</v>
      </c>
      <c r="E119" s="19" t="n">
        <f aca="false">$D$32</f>
        <v>210.356762513312</v>
      </c>
      <c r="F119" s="19" t="n">
        <f aca="false">$E$119+$F$84+$F$86</f>
        <v>210.356762513312</v>
      </c>
      <c r="G119" s="19" t="n">
        <f aca="false">$F$119+$G$84+$G$86</f>
        <v>250.356762513312</v>
      </c>
      <c r="H119" s="19" t="n">
        <f aca="false">$G$119+$H$84+$H$86</f>
        <v>250.356762513312</v>
      </c>
      <c r="I119" s="19" t="n">
        <f aca="false">$H$119+$I$84+$I$86</f>
        <v>250.356762513312</v>
      </c>
      <c r="J119" s="19" t="n">
        <f aca="false">$I$119+$J$84+$J$86</f>
        <v>250.356762513312</v>
      </c>
      <c r="K119" s="19" t="n">
        <f aca="false">$J$119+$K$84+$K$86</f>
        <v>250.356762513312</v>
      </c>
      <c r="L119" s="19" t="n">
        <f aca="false">$K$119+$L$84+$L$86</f>
        <v>250.356762513312</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260.356762513312</v>
      </c>
      <c r="F122" s="18" t="n">
        <f aca="false">$F$118+$F$120+$F$121</f>
        <v>253.002641107561</v>
      </c>
      <c r="G122" s="18" t="n">
        <f aca="false">$G$118+$G$120+$G$121</f>
        <v>289.26517029819</v>
      </c>
      <c r="H122" s="18" t="n">
        <f aca="false">$H$118+$H$120+$H$121</f>
        <v>277.645105551411</v>
      </c>
      <c r="I122" s="18" t="n">
        <f aca="false">$I$118+$I$120+$I$121</f>
        <v>268.189821273509</v>
      </c>
      <c r="J122" s="18" t="n">
        <f aca="false">$J$118+$J$120+$J$121</f>
        <v>265.686253648376</v>
      </c>
      <c r="K122" s="18" t="n">
        <f aca="false">$K$118+$K$120+$K$121</f>
        <v>263.182686023243</v>
      </c>
      <c r="L122" s="18" t="n">
        <f aca="false">$L$118+$L$120+$L$121</f>
        <v>260.67911839811</v>
      </c>
    </row>
    <row r="123" customFormat="false" ht="15" hidden="false" customHeight="false" outlineLevel="0" collapsed="false">
      <c r="B123" s="9" t="s">
        <v>600</v>
      </c>
      <c r="E123" s="19" t="n">
        <f aca="false">Assumptions!$D$78</f>
        <v>10</v>
      </c>
      <c r="F123" s="19" t="n">
        <f aca="false">$F$112-$F$115</f>
        <v>15.2505537806177</v>
      </c>
      <c r="G123" s="19" t="n">
        <f aca="false">$G$112-$G$115</f>
        <v>14.9017095527157</v>
      </c>
      <c r="H123" s="19" t="n">
        <f aca="false">$H$112-$H$115</f>
        <v>19.1164971216454</v>
      </c>
      <c r="I123" s="19" t="n">
        <f aca="false">$I$112-$I$115</f>
        <v>30.8551499583064</v>
      </c>
      <c r="J123" s="19" t="n">
        <f aca="false">$J$112-$J$115</f>
        <v>57.0384660540911</v>
      </c>
      <c r="K123" s="19" t="n">
        <f aca="false">$K$112-$K$115</f>
        <v>86.3817592147279</v>
      </c>
      <c r="L123" s="19" t="n">
        <f aca="false">$L$112-$L$115</f>
        <v>118.615298407706</v>
      </c>
    </row>
    <row r="124" customFormat="false" ht="15" hidden="false" customHeight="false" outlineLevel="0" collapsed="false">
      <c r="B124" s="17" t="s">
        <v>601</v>
      </c>
      <c r="E124" s="18" t="n">
        <f aca="false">$E$122-$E$123</f>
        <v>250.356762513312</v>
      </c>
      <c r="F124" s="18" t="n">
        <f aca="false">$F$122-$F$123</f>
        <v>237.752087326944</v>
      </c>
      <c r="G124" s="18" t="n">
        <f aca="false">$G$122-$G$123</f>
        <v>274.363460745474</v>
      </c>
      <c r="H124" s="18" t="n">
        <f aca="false">$H$122-$H$123</f>
        <v>258.528608429766</v>
      </c>
      <c r="I124" s="18" t="n">
        <f aca="false">$I$122-$I$123</f>
        <v>237.334671315203</v>
      </c>
      <c r="J124" s="18" t="n">
        <f aca="false">$J$122-$J$123</f>
        <v>208.647787594285</v>
      </c>
      <c r="K124" s="18" t="n">
        <f aca="false">$K$122-$K$123</f>
        <v>176.800926808515</v>
      </c>
      <c r="L124" s="18" t="n">
        <f aca="false">$L$122-$L$123</f>
        <v>142.063819990404</v>
      </c>
    </row>
    <row r="125" customFormat="false" ht="15" hidden="false" customHeight="false" outlineLevel="0" collapsed="false">
      <c r="B125" s="9" t="s">
        <v>538</v>
      </c>
      <c r="E125" s="24" t="n">
        <f aca="false">$E$124/$E$72</f>
        <v>5.00713525026624</v>
      </c>
      <c r="F125" s="24" t="n">
        <f aca="false">$F$124/$F$72</f>
        <v>4.35443383382681</v>
      </c>
      <c r="G125" s="24" t="n">
        <f aca="false">$G$124/$G$72</f>
        <v>4.53139799603407</v>
      </c>
      <c r="H125" s="24" t="n">
        <f aca="false">$H$124/$H$72</f>
        <v>4.46781923122621</v>
      </c>
      <c r="I125" s="24" t="n">
        <f aca="false">$I$124/$I$72</f>
        <v>3.3779464688622</v>
      </c>
      <c r="J125" s="24" t="n">
        <f aca="false">$J$124/$J$72</f>
        <v>2.68105937573371</v>
      </c>
      <c r="K125" s="24" t="n">
        <f aca="false">$K$124/$K$72</f>
        <v>2.18770235089528</v>
      </c>
      <c r="L125" s="24" t="n">
        <f aca="false">$L$124/$L$72</f>
        <v>1.69267800703142</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24.1242012779553</v>
      </c>
      <c r="G130" s="38" t="n">
        <f aca="false">$G$105+$G$106</f>
        <v>23.3940898828541</v>
      </c>
      <c r="H130" s="38" t="n">
        <f aca="false">$H$105+$H$106</f>
        <v>26.6433817486155</v>
      </c>
      <c r="I130" s="38" t="n">
        <f aca="false">$I$105+$I$106</f>
        <v>25.5713804937608</v>
      </c>
      <c r="J130" s="38" t="n">
        <f aca="false">$J$105+$J$106</f>
        <v>24.5329082734059</v>
      </c>
      <c r="K130" s="38" t="n">
        <f aca="false">$K$105+$K$106</f>
        <v>23.7964387033539</v>
      </c>
      <c r="L130" s="38" t="n">
        <f aca="false">$L$105+$L$106</f>
        <v>22.9967695920048</v>
      </c>
    </row>
    <row r="131" customFormat="false" ht="15" hidden="false" customHeight="false" outlineLevel="0" collapsed="false">
      <c r="B131" s="9" t="s">
        <v>606</v>
      </c>
      <c r="F131" s="38" t="n">
        <f aca="false">$F$129-$F$130-$F$83-$F$87-$F$89</f>
        <v>18.7157987220447</v>
      </c>
      <c r="G131" s="38" t="n">
        <f aca="false">$G$129-$G$130-$G$83-$G$87-$G$89</f>
        <v>23.1875101171459</v>
      </c>
      <c r="H131" s="38" t="n">
        <f aca="false">$H$129-$H$130-$H$83-$H$87-$H$89</f>
        <v>17.3195622513844</v>
      </c>
      <c r="I131" s="38" t="n">
        <f aca="false">$I$129-$I$130-$I$83-$I$87-$I$89</f>
        <v>29.8794041462392</v>
      </c>
      <c r="J131" s="38" t="n">
        <f aca="false">$J$129-$J$130-$J$83-$J$87-$J$89</f>
        <v>37.7629713425941</v>
      </c>
      <c r="K131" s="38" t="n">
        <f aca="false">$K$129-$K$130-$K$83-$K$87-$K$89</f>
        <v>40.8712760972861</v>
      </c>
      <c r="L131" s="38" t="n">
        <f aca="false">$L$129-$L$130-$L$83-$L$87-$L$89</f>
        <v>44.1376538006607</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24.1242012779553</v>
      </c>
      <c r="G133" s="38" t="n">
        <f aca="false">$G$130+$F$135</f>
        <v>31.1382911608094</v>
      </c>
      <c r="H133" s="38" t="n">
        <f aca="false">$H$130+$G$135</f>
        <v>39.6175129094249</v>
      </c>
      <c r="I133" s="38" t="n">
        <f aca="false">$I$130+$H$135</f>
        <v>47.8295110031857</v>
      </c>
      <c r="J133" s="38" t="n">
        <f aca="false">$J$130+$I$135</f>
        <v>51.2844057405916</v>
      </c>
      <c r="K133" s="38" t="n">
        <f aca="false">$K$130+$J$135</f>
        <v>51.7339775879455</v>
      </c>
      <c r="L133" s="38" t="n">
        <f aca="false">$L$130+$K$135</f>
        <v>50.4860056497103</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7.74420127795527</v>
      </c>
      <c r="G135" s="38" t="n">
        <f aca="false">$G$133-$G$134</f>
        <v>12.9741311608094</v>
      </c>
      <c r="H135" s="38" t="n">
        <f aca="false">$H$133-$H$134</f>
        <v>22.2581305094249</v>
      </c>
      <c r="I135" s="38" t="n">
        <f aca="false">$I$133-$I$134</f>
        <v>26.7514974671857</v>
      </c>
      <c r="J135" s="38" t="n">
        <f aca="false">$J$133-$J$134</f>
        <v>27.9375388845916</v>
      </c>
      <c r="K135" s="38" t="n">
        <f aca="false">$K$133-$K$134</f>
        <v>27.4892360577055</v>
      </c>
      <c r="L135" s="38" t="n">
        <f aca="false">$L$133-$L$134</f>
        <v>25.3074744582607</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12.1007987220447</v>
      </c>
      <c r="G140" s="19" t="n">
        <f aca="false">$G$131-$G$139</f>
        <v>16.0831501171459</v>
      </c>
      <c r="H140" s="19" t="n">
        <f aca="false">$H$131-$H$139</f>
        <v>10.6686718513844</v>
      </c>
      <c r="I140" s="19" t="n">
        <f aca="false">$I$131-$I$139</f>
        <v>21.2862113702392</v>
      </c>
      <c r="J140" s="19" t="n">
        <f aca="false">$J$131-$J$139</f>
        <v>28.0257181525941</v>
      </c>
      <c r="K140" s="19" t="n">
        <f aca="false">$K$131-$K$139</f>
        <v>30.7655327796861</v>
      </c>
      <c r="L140" s="19" t="n">
        <f aca="false">$L$131-$L$139</f>
        <v>33.6486807503567</v>
      </c>
    </row>
    <row r="141" customFormat="false" ht="15" hidden="false" customHeight="false" outlineLevel="0" collapsed="false">
      <c r="B141" s="9" t="s">
        <v>616</v>
      </c>
      <c r="F141" s="38" t="n">
        <f aca="false">Assumptions!$D$7*($F$129-$F$130)</f>
        <v>4.67894968051118</v>
      </c>
      <c r="G141" s="38" t="n">
        <f aca="false">Assumptions!$D$7*($G$129-$G$130)</f>
        <v>6.17187752928648</v>
      </c>
      <c r="H141" s="38" t="n">
        <f aca="false">Assumptions!$D$7*($H$129-$H$130)</f>
        <v>4.32989056284611</v>
      </c>
      <c r="I141" s="38" t="n">
        <f aca="false">Assumptions!$D$7*($I$129-$I$130)</f>
        <v>7.4698510365598</v>
      </c>
      <c r="J141" s="38" t="n">
        <f aca="false">Assumptions!$D$7*($J$129-$J$130)</f>
        <v>9.44074283564853</v>
      </c>
      <c r="K141" s="38" t="n">
        <f aca="false">Assumptions!$D$7*($K$129-$K$130)</f>
        <v>10.2178190243215</v>
      </c>
      <c r="L141" s="38" t="n">
        <f aca="false">Assumptions!$D$7*($L$129-$L$130)</f>
        <v>11.0344134501652</v>
      </c>
    </row>
    <row r="142" customFormat="false" ht="15" hidden="false" customHeight="false" outlineLevel="0" collapsed="false">
      <c r="B142" s="9" t="s">
        <v>617</v>
      </c>
      <c r="F142" s="38" t="n">
        <f aca="false">$F$139-$F$141</f>
        <v>1.93605031948882</v>
      </c>
      <c r="G142" s="38" t="n">
        <f aca="false">$G$139-$G$141</f>
        <v>0.932482470713524</v>
      </c>
      <c r="H142" s="38" t="n">
        <f aca="false">$H$139-$H$141</f>
        <v>2.32099983715389</v>
      </c>
      <c r="I142" s="38" t="n">
        <f aca="false">$I$139-$I$141</f>
        <v>1.1233417394402</v>
      </c>
      <c r="J142" s="38" t="n">
        <f aca="false">$J$139-$J$141</f>
        <v>0.296510354351476</v>
      </c>
      <c r="K142" s="38" t="n">
        <f aca="false">$K$139-$K$141</f>
        <v>-0.112075706721527</v>
      </c>
      <c r="L142" s="38" t="n">
        <f aca="false">$L$139-$L$141</f>
        <v>-0.545440399861189</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15.2505537806177</v>
      </c>
      <c r="G145" s="19" t="n">
        <f aca="false">$G$123</f>
        <v>14.9017095527157</v>
      </c>
      <c r="H145" s="19" t="n">
        <f aca="false">$H$123</f>
        <v>19.1164971216454</v>
      </c>
      <c r="I145" s="19" t="n">
        <f aca="false">$I$123</f>
        <v>30.8551499583064</v>
      </c>
      <c r="J145" s="19" t="n">
        <f aca="false">$J$123</f>
        <v>57.0384660540911</v>
      </c>
      <c r="K145" s="19" t="n">
        <f aca="false">$K$123</f>
        <v>86.3817592147279</v>
      </c>
      <c r="L145" s="19" t="n">
        <f aca="false">$L$123</f>
        <v>118.615298407706</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338.6</v>
      </c>
      <c r="F148" s="19" t="n">
        <f aca="false">$E$148+IF($F$82&gt;0,$F$82-Assumptions!$D$117*Assumptions!$D$27-Assumptions!$D$124*Assumptions!$D$117,0)</f>
        <v>338.6</v>
      </c>
      <c r="G148" s="19" t="n">
        <f aca="false">$F$148+IF($G$82&gt;0,$G$82-Assumptions!$D$117*Assumptions!$D$27-Assumptions!$D$124*Assumptions!$D$117,0)</f>
        <v>377.4</v>
      </c>
      <c r="H148" s="19" t="n">
        <f aca="false">$G$148+IF($H$82&gt;0,$H$82-Assumptions!$D$117*Assumptions!$D$27-Assumptions!$D$124*Assumptions!$D$117,0)</f>
        <v>377.4</v>
      </c>
      <c r="I148" s="19" t="n">
        <f aca="false">$H$148+IF($I$82&gt;0,$I$82-Assumptions!$D$117*Assumptions!$D$27-Assumptions!$D$124*Assumptions!$D$117,0)</f>
        <v>377.4</v>
      </c>
      <c r="J148" s="19" t="n">
        <f aca="false">$I$148+IF($J$82&gt;0,$J$82-Assumptions!$D$117*Assumptions!$D$27-Assumptions!$D$124*Assumptions!$D$117,0)</f>
        <v>377.4</v>
      </c>
      <c r="K148" s="19" t="n">
        <f aca="false">$J$148+IF($K$82&gt;0,$K$82-Assumptions!$D$117*Assumptions!$D$27-Assumptions!$D$124*Assumptions!$D$117,0)</f>
        <v>377.4</v>
      </c>
      <c r="L148" s="19" t="n">
        <f aca="false">$K$148+IF($L$82&gt;0,$L$82-Assumptions!$D$117*Assumptions!$D$27-Assumptions!$D$124*Assumptions!$D$117,0)</f>
        <v>377.4</v>
      </c>
    </row>
    <row r="149" customFormat="false" ht="15" hidden="false" customHeight="false" outlineLevel="0" collapsed="false">
      <c r="B149" s="9" t="s">
        <v>622</v>
      </c>
      <c r="E149" s="19" t="n">
        <f aca="false">$D$33</f>
        <v>5.20713525026624</v>
      </c>
      <c r="F149" s="19" t="n">
        <f aca="false">$E$149-$F$106+$F$85</f>
        <v>4.46325878594249</v>
      </c>
      <c r="G149" s="19" t="n">
        <f aca="false">$F$149-$G$106+$G$85</f>
        <v>4.51938232161874</v>
      </c>
      <c r="H149" s="19" t="n">
        <f aca="false">$G$149-$H$106+$H$85</f>
        <v>3.61550585729499</v>
      </c>
      <c r="I149" s="19" t="n">
        <f aca="false">$H$149-$I$106+$I$85</f>
        <v>2.71162939297125</v>
      </c>
      <c r="J149" s="19" t="n">
        <f aca="false">$I$149-$J$106+$J$85</f>
        <v>1.8077529286475</v>
      </c>
      <c r="K149" s="19" t="n">
        <f aca="false">$J$149-$K$106+$K$85</f>
        <v>0.903876464323749</v>
      </c>
      <c r="L149" s="19" t="n">
        <f aca="false">$K$149-$L$106+$L$85</f>
        <v>0</v>
      </c>
    </row>
    <row r="150" customFormat="false" ht="15" hidden="false" customHeight="false" outlineLevel="0" collapsed="false">
      <c r="B150" s="17" t="s">
        <v>623</v>
      </c>
      <c r="E150" s="18" t="n">
        <f aca="false">$E$145+$E$146+$E$147+$E$148+$E$149</f>
        <v>440.207135250266</v>
      </c>
      <c r="F150" s="18" t="n">
        <f aca="false">$F$145+$F$146+$F$147+$F$148+$F$149</f>
        <v>444.95381256656</v>
      </c>
      <c r="G150" s="18" t="n">
        <f aca="false">$G$145+$G$146+$G$147+$G$148+$G$149</f>
        <v>497.299491874334</v>
      </c>
      <c r="H150" s="18" t="n">
        <f aca="false">$H$145+$H$146+$H$147+$H$148+$H$149</f>
        <v>496.34809897894</v>
      </c>
      <c r="I150" s="18" t="n">
        <f aca="false">$I$145+$I$146+$I$147+$I$148+$I$149</f>
        <v>508.179026071278</v>
      </c>
      <c r="J150" s="18" t="n">
        <f aca="false">$J$145+$J$146+$J$147+$J$148+$J$149</f>
        <v>533.701176598739</v>
      </c>
      <c r="K150" s="18" t="n">
        <f aca="false">$K$145+$K$146+$K$147+$K$148+$K$149</f>
        <v>561.963141753292</v>
      </c>
      <c r="L150" s="18" t="n">
        <f aca="false">$L$145+$L$146+$L$147+$L$148+$L$149</f>
        <v>593.108254878515</v>
      </c>
    </row>
    <row r="151" customFormat="false" ht="15" hidden="false" customHeight="false" outlineLevel="0" collapsed="false">
      <c r="B151" s="9" t="s">
        <v>291</v>
      </c>
      <c r="E151" s="19" t="n">
        <f aca="false">$E$122</f>
        <v>260.356762513312</v>
      </c>
      <c r="F151" s="19" t="n">
        <f aca="false">$F$122</f>
        <v>253.002641107561</v>
      </c>
      <c r="G151" s="19" t="n">
        <f aca="false">$G$122</f>
        <v>289.26517029819</v>
      </c>
      <c r="H151" s="19" t="n">
        <f aca="false">$H$122</f>
        <v>277.645105551411</v>
      </c>
      <c r="I151" s="19" t="n">
        <f aca="false">$I$122</f>
        <v>268.189821273509</v>
      </c>
      <c r="J151" s="19" t="n">
        <f aca="false">$J$122</f>
        <v>265.686253648376</v>
      </c>
      <c r="K151" s="19" t="n">
        <f aca="false">$K$122</f>
        <v>263.182686023243</v>
      </c>
      <c r="L151" s="19" t="n">
        <f aca="false">$L$122</f>
        <v>260.67911839811</v>
      </c>
    </row>
    <row r="152" customFormat="false" ht="15" hidden="false" customHeight="false" outlineLevel="0" collapsed="false">
      <c r="B152" s="9" t="s">
        <v>624</v>
      </c>
      <c r="E152" s="19" t="n">
        <f aca="false">$D$46-Assumptions!$D$76</f>
        <v>179.850372736954</v>
      </c>
      <c r="F152" s="19" t="n">
        <f aca="false">$E$152+$F$140-$F$88+$F$90</f>
        <v>191.951171458999</v>
      </c>
      <c r="G152" s="19" t="n">
        <f aca="false">$F$152+$G$140-$G$88+$G$90</f>
        <v>208.034321576145</v>
      </c>
      <c r="H152" s="19" t="n">
        <f aca="false">$G$152+$H$140-$H$88+$H$90</f>
        <v>218.702993427529</v>
      </c>
      <c r="I152" s="19" t="n">
        <f aca="false">$H$152+$I$140-$I$88+$I$90</f>
        <v>239.989204797768</v>
      </c>
      <c r="J152" s="19" t="n">
        <f aca="false">$I$152+$J$140-$J$88+$J$90</f>
        <v>268.014922950363</v>
      </c>
      <c r="K152" s="19" t="n">
        <f aca="false">$J$152+$K$140-$K$88+$K$90</f>
        <v>298.780455730049</v>
      </c>
      <c r="L152" s="19" t="n">
        <f aca="false">$K$152+$L$140-$L$88+$L$90</f>
        <v>332.429136480405</v>
      </c>
    </row>
    <row r="153" customFormat="false" ht="15" hidden="false" customHeight="false" outlineLevel="0" collapsed="false">
      <c r="B153" s="17" t="s">
        <v>625</v>
      </c>
      <c r="E153" s="18" t="n">
        <f aca="false">$E$151+$E$152</f>
        <v>440.207135250266</v>
      </c>
      <c r="F153" s="18" t="n">
        <f aca="false">$F$151+$F$152</f>
        <v>444.95381256656</v>
      </c>
      <c r="G153" s="18" t="n">
        <f aca="false">$G$151+$G$152</f>
        <v>497.299491874334</v>
      </c>
      <c r="H153" s="18" t="n">
        <f aca="false">$H$151+$H$152</f>
        <v>496.34809897894</v>
      </c>
      <c r="I153" s="18" t="n">
        <f aca="false">$I$151+$I$152</f>
        <v>508.179026071278</v>
      </c>
      <c r="J153" s="18" t="n">
        <f aca="false">$J$151+$J$152</f>
        <v>533.701176598739</v>
      </c>
      <c r="K153" s="18" t="n">
        <f aca="false">$K$151+$K$152</f>
        <v>561.963141753292</v>
      </c>
      <c r="L153" s="18" t="n">
        <f aca="false">$L$151+$L$152</f>
        <v>593.108254878515</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237.752087326944</v>
      </c>
      <c r="G160" s="19" t="n">
        <f aca="false">$G$124</f>
        <v>274.363460745474</v>
      </c>
      <c r="H160" s="19" t="n">
        <f aca="false">$H$124</f>
        <v>258.528608429766</v>
      </c>
      <c r="I160" s="19" t="n">
        <f aca="false">$I$124</f>
        <v>237.334671315203</v>
      </c>
      <c r="J160" s="19" t="n">
        <f aca="false">$J$124</f>
        <v>208.647787594285</v>
      </c>
      <c r="K160" s="19" t="n">
        <f aca="false">$K$124</f>
        <v>176.800926808515</v>
      </c>
      <c r="L160" s="19" t="n">
        <f aca="false">$L$124</f>
        <v>142.063819990404</v>
      </c>
    </row>
    <row r="161" customFormat="false" ht="15" hidden="false" customHeight="false" outlineLevel="0" collapsed="false">
      <c r="B161" s="17" t="s">
        <v>632</v>
      </c>
      <c r="F161" s="41" t="n">
        <f aca="false">$F$124/$F$159</f>
        <v>4.35443383382681</v>
      </c>
      <c r="G161" s="41" t="n">
        <f aca="false">$G$124/$G$159</f>
        <v>3.83471974787936</v>
      </c>
      <c r="H161" s="41" t="n">
        <f aca="false">$H$124/$H$159</f>
        <v>4.3185551040402</v>
      </c>
      <c r="I161" s="41" t="n">
        <f aca="false">$I$124/$I$159</f>
        <v>3.35407744459057</v>
      </c>
      <c r="J161" s="41" t="n">
        <f aca="false">$J$124/$J$159</f>
        <v>2.68105937573371</v>
      </c>
      <c r="K161" s="41" t="n">
        <f aca="false">$K$124/$K$159</f>
        <v>2.18770235089528</v>
      </c>
      <c r="L161" s="41" t="n">
        <f aca="false">$L$124/$L$159</f>
        <v>1.69267800703142</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1.39556616617319</v>
      </c>
      <c r="G163" s="24" t="n">
        <f aca="false">$G$162-$G$161</f>
        <v>1.41528025212064</v>
      </c>
      <c r="H163" s="24" t="n">
        <f aca="false">$H$162-$H$161</f>
        <v>0.431444895959801</v>
      </c>
      <c r="I163" s="24" t="n">
        <f aca="false">$I$162-$I$161</f>
        <v>0.895922555409433</v>
      </c>
      <c r="J163" s="24" t="n">
        <f aca="false">$J$162-$J$161</f>
        <v>1.31894062426629</v>
      </c>
      <c r="K163" s="24" t="n">
        <f aca="false">$K$162-$K$161</f>
        <v>1.81229764910472</v>
      </c>
      <c r="L163" s="24" t="n">
        <f aca="false">$L$162-$L$161</f>
        <v>2.30732199296858</v>
      </c>
    </row>
    <row r="164" customFormat="false" ht="15" hidden="false" customHeight="false" outlineLevel="0" collapsed="false">
      <c r="B164" s="9" t="s">
        <v>635</v>
      </c>
      <c r="F164" s="14" t="n">
        <f aca="false">1-$F$124/($F$162*$F$159)</f>
        <v>0.242707159334469</v>
      </c>
      <c r="G164" s="14" t="n">
        <f aca="false">1-$G$124/($G$162*$G$159)</f>
        <v>0.269577190880123</v>
      </c>
      <c r="H164" s="14" t="n">
        <f aca="false">1-$H$124/($H$162*$H$159)</f>
        <v>0.0908305044125894</v>
      </c>
      <c r="I164" s="14" t="n">
        <f aca="false">1-$I$124/($I$162*$I$159)</f>
        <v>0.210805307155161</v>
      </c>
      <c r="J164" s="14" t="n">
        <f aca="false">1-$J$124/($J$162*$J$159)</f>
        <v>0.329735156066572</v>
      </c>
      <c r="K164" s="14" t="n">
        <f aca="false">1-$K$124/($K$162*$K$159)</f>
        <v>0.45307441227618</v>
      </c>
      <c r="L164" s="14" t="n">
        <f aca="false">1-$L$124/($L$162*$L$159)</f>
        <v>0.576830498242146</v>
      </c>
    </row>
    <row r="165" customFormat="false" ht="15" hidden="false" customHeight="false" outlineLevel="0" collapsed="false">
      <c r="B165" s="9" t="s">
        <v>636</v>
      </c>
      <c r="F165" s="19" t="n">
        <f aca="false">$F$164*$F$159</f>
        <v>13.251810899662</v>
      </c>
      <c r="G165" s="19" t="n">
        <f aca="false">$G$164*$G$159</f>
        <v>19.2874931913383</v>
      </c>
      <c r="H165" s="19" t="n">
        <f aca="false">$H$164*$H$159</f>
        <v>5.43753254110194</v>
      </c>
      <c r="I165" s="19" t="n">
        <f aca="false">$I$164*$I$159</f>
        <v>14.9165930458346</v>
      </c>
      <c r="J165" s="19" t="n">
        <f aca="false">$J$164*$J$159</f>
        <v>25.6609426214288</v>
      </c>
      <c r="K165" s="19" t="n">
        <f aca="false">$K$164*$K$159</f>
        <v>36.6155733986712</v>
      </c>
      <c r="L165" s="19" t="n">
        <f aca="false">$L$164*$L$159</f>
        <v>48.4124823072309</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-1.39556616617319</v>
      </c>
      <c r="G167" s="24" t="n">
        <f aca="false">$G$125-Assumptions!$G$169</f>
        <v>-0.718602003965933</v>
      </c>
      <c r="H167" s="24" t="n">
        <f aca="false">$H$125-Assumptions!$H$169</f>
        <v>-0.282180768773793</v>
      </c>
      <c r="I167" s="24" t="n">
        <f aca="false">$I$125-Assumptions!$I$169</f>
        <v>-0.872053531137801</v>
      </c>
      <c r="J167" s="24" t="n">
        <f aca="false">$J$125-Assumptions!$J$169</f>
        <v>-1.31894062426629</v>
      </c>
      <c r="K167" s="24" t="n">
        <f aca="false">$K$125-Assumptions!$K$169</f>
        <v>-1.81229764910472</v>
      </c>
      <c r="L167" s="24" t="n">
        <f aca="false">$L$125-Assumptions!$L$169</f>
        <v>-2.30732199296858</v>
      </c>
    </row>
    <row r="168" customFormat="false" ht="15" hidden="false" customHeight="false" outlineLevel="0" collapsed="false">
      <c r="B168" s="9" t="s">
        <v>639</v>
      </c>
      <c r="F168" s="24" t="n">
        <f aca="false">$F$161-$F$162</f>
        <v>-1.39556616617319</v>
      </c>
      <c r="G168" s="24" t="n">
        <f aca="false">$G$161-$G$162</f>
        <v>-1.41528025212064</v>
      </c>
      <c r="H168" s="24" t="n">
        <f aca="false">$H$161-$H$162</f>
        <v>-0.431444895959801</v>
      </c>
      <c r="I168" s="24" t="n">
        <f aca="false">$I$161-$I$162</f>
        <v>-0.895922555409433</v>
      </c>
      <c r="J168" s="24" t="n">
        <f aca="false">$J$161-$J$162</f>
        <v>-1.31894062426629</v>
      </c>
      <c r="K168" s="24" t="n">
        <f aca="false">$K$161-$K$162</f>
        <v>-1.81229764910472</v>
      </c>
      <c r="L168" s="24" t="n">
        <f aca="false">$L$161-$L$162</f>
        <v>-2.30732199296858</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208.647787594285</v>
      </c>
    </row>
    <row r="174" customFormat="false" ht="15" hidden="false" customHeight="false" outlineLevel="0" collapsed="false">
      <c r="B174" s="9" t="s">
        <v>643</v>
      </c>
      <c r="D174" s="19" t="n">
        <f aca="false">INDEX($E$118:$L$118,1,$D$170+1)</f>
        <v>215.686253648376</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57.0384660540911</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481.252128000515</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189.350372736954</v>
      </c>
    </row>
    <row r="183" customFormat="false" ht="15" hidden="false" customHeight="false" outlineLevel="0" collapsed="false">
      <c r="B183" s="9" t="s">
        <v>651</v>
      </c>
      <c r="D183" s="42" t="n">
        <f aca="false">$D$48/Assumptions!$D$108</f>
        <v>179.350372736954</v>
      </c>
    </row>
    <row r="184" customFormat="false" ht="15" hidden="false" customHeight="false" outlineLevel="0" collapsed="false">
      <c r="B184" s="9" t="s">
        <v>652</v>
      </c>
      <c r="D184" s="14" t="n">
        <f aca="false">$D$48/$D$46</f>
        <v>0.94718785151856</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0.0528121484814398</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189.350372736954</v>
      </c>
    </row>
    <row r="190" customFormat="false" ht="15" hidden="false" customHeight="false" outlineLevel="0" collapsed="false">
      <c r="B190" s="9" t="s">
        <v>658</v>
      </c>
      <c r="D190" s="34" t="n">
        <f aca="false">$D$183+$D$188/Assumptions!$D$108</f>
        <v>179.350372736954</v>
      </c>
    </row>
    <row r="191" customFormat="false" ht="15" hidden="false" customHeight="false" outlineLevel="0" collapsed="false">
      <c r="B191" s="9" t="s">
        <v>659</v>
      </c>
      <c r="D191" s="34" t="n">
        <f aca="false">$D$182*Assumptions!$D$109/(1-Assumptions!$D$109)</f>
        <v>16.4652498032134</v>
      </c>
    </row>
    <row r="192" customFormat="false" ht="15" hidden="false" customHeight="false" outlineLevel="0" collapsed="false">
      <c r="B192" s="9" t="s">
        <v>660</v>
      </c>
      <c r="D192" s="35" t="n">
        <f aca="false">($D$179+$D$191*Assumptions!$D$108)/($D$189+$D$191)</f>
        <v>2.41826821336943</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2.41826821336943</v>
      </c>
    </row>
    <row r="195" customFormat="false" ht="15" hidden="false" customHeight="false" outlineLevel="0" collapsed="false">
      <c r="B195" s="9" t="s">
        <v>663</v>
      </c>
      <c r="D195" s="34" t="n">
        <f aca="false">IF($D$194&gt;=Assumptions!$D$110,$D$191,$D$191*0.5)</f>
        <v>16.4652498032134</v>
      </c>
    </row>
    <row r="196" customFormat="false" ht="15" hidden="false" customHeight="false" outlineLevel="0" collapsed="false">
      <c r="B196" s="9" t="s">
        <v>664</v>
      </c>
      <c r="D196" s="35" t="n">
        <f aca="false">($D$179+$D$195*Assumptions!$D$108)/($D$189+$D$195)</f>
        <v>2.41826821336943</v>
      </c>
    </row>
    <row r="197" customFormat="false" ht="15" hidden="false" customHeight="false" outlineLevel="0" collapsed="false">
      <c r="B197" s="9" t="s">
        <v>665</v>
      </c>
      <c r="D197" s="34" t="n">
        <f aca="false">IF($D$196&lt;Assumptions!$D$108,0,$D$195)</f>
        <v>16.4652498032134</v>
      </c>
    </row>
    <row r="198" customFormat="false" ht="15" hidden="false" customHeight="false" outlineLevel="0" collapsed="false">
      <c r="B198" s="17" t="s">
        <v>666</v>
      </c>
      <c r="D198" s="43" t="n">
        <f aca="false">IF($D$196&lt;Assumptions!$D$108,$D$179/$D$189,$D$196)</f>
        <v>2.41826821336943</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433.717305445736</v>
      </c>
    </row>
    <row r="201" customFormat="false" ht="15" hidden="false" customHeight="false" outlineLevel="0" collapsed="false">
      <c r="B201" s="9" t="s">
        <v>668</v>
      </c>
      <c r="D201" s="14" t="n">
        <f aca="false">$D$200/$D$179</f>
        <v>0.901226779500644</v>
      </c>
    </row>
    <row r="202" customFormat="false" ht="15" hidden="false" customHeight="false" outlineLevel="0" collapsed="false">
      <c r="B202" s="9" t="s">
        <v>669</v>
      </c>
      <c r="D202" s="19" t="n">
        <f aca="false">$D$185*$D$198</f>
        <v>24.1826821336943</v>
      </c>
    </row>
    <row r="203" customFormat="false" ht="15" hidden="false" customHeight="false" outlineLevel="0" collapsed="false">
      <c r="B203" s="9" t="s">
        <v>670</v>
      </c>
      <c r="D203" s="19" t="n">
        <f aca="false">$D$197*MAX(0,$D$198-Assumptions!$D$108)</f>
        <v>23.3521404210849</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47.5348225547792</v>
      </c>
    </row>
    <row r="206" customFormat="false" ht="15" hidden="false" customHeight="false" outlineLevel="0" collapsed="false">
      <c r="B206" s="9" t="s">
        <v>673</v>
      </c>
      <c r="D206" s="24" t="n">
        <f aca="false">$D$205/$D$47</f>
        <v>4.75348225547792</v>
      </c>
    </row>
    <row r="207" customFormat="false" ht="15" hidden="false" customHeight="false" outlineLevel="0" collapsed="false">
      <c r="B207" s="9" t="s">
        <v>674</v>
      </c>
      <c r="D207" s="19" t="n">
        <f aca="false">$D$187*$D$198</f>
        <v>9.67307285347773</v>
      </c>
    </row>
    <row r="208" customFormat="false" ht="15" hidden="false" customHeight="false" outlineLevel="0" collapsed="false">
      <c r="B208" s="9" t="s">
        <v>675</v>
      </c>
      <c r="D208" s="19" t="n">
        <f aca="false">$D$203*Assumptions!$D$112</f>
        <v>8.1732491473797</v>
      </c>
    </row>
    <row r="209" customFormat="false" ht="15" hidden="false" customHeight="false" outlineLevel="0" collapsed="false">
      <c r="B209" s="9" t="s">
        <v>676</v>
      </c>
      <c r="D209" s="19" t="n">
        <f aca="false">$D$207+$D$208</f>
        <v>17.8463220008574</v>
      </c>
    </row>
    <row r="210" customFormat="false" ht="15" hidden="false" customHeight="false" outlineLevel="0" collapsed="false">
      <c r="B210" s="9" t="s">
        <v>677</v>
      </c>
      <c r="D210" s="24" t="n">
        <f aca="false">$D$209/Assumptions!$D$111</f>
        <v>4.46158050021436</v>
      </c>
    </row>
    <row r="211" customFormat="false" ht="15" hidden="false" customHeight="false" outlineLevel="0" collapsed="false">
      <c r="B211" s="9" t="s">
        <v>678</v>
      </c>
      <c r="D211" s="19" t="n">
        <f aca="false">$D$179*$D$190/$D$189</f>
        <v>455.836169159543</v>
      </c>
    </row>
    <row r="212" customFormat="false" ht="15" hidden="false" customHeight="false" outlineLevel="0" collapsed="false">
      <c r="B212" s="9" t="s">
        <v>679</v>
      </c>
      <c r="D212" s="19" t="n">
        <f aca="false">$D$211-$D$200</f>
        <v>22.1188637138071</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179.350372736954</v>
      </c>
      <c r="F216" s="34" t="n">
        <f aca="false">$D$183+$F$215/Assumptions!$D$108</f>
        <v>179.350372736954</v>
      </c>
      <c r="G216" s="34" t="n">
        <f aca="false">$D$183+$G$215/Assumptions!$D$108</f>
        <v>179.350372736954</v>
      </c>
      <c r="H216" s="34" t="n">
        <f aca="false">$D$183+$H$215/Assumptions!$D$108</f>
        <v>179.350372736954</v>
      </c>
      <c r="I216" s="34" t="n">
        <f aca="false">$D$183+$I$215/Assumptions!$D$108</f>
        <v>179.350372736954</v>
      </c>
      <c r="J216" s="34" t="n">
        <f aca="false">$D$183+$J$215/Assumptions!$D$108</f>
        <v>179.350372736954</v>
      </c>
      <c r="K216" s="34" t="n">
        <f aca="false">$D$183+$K$215/Assumptions!$D$108</f>
        <v>179.350372736954</v>
      </c>
      <c r="L216" s="34" t="n">
        <f aca="false">$D$183+$L$215/Assumptions!$D$108</f>
        <v>179.350372736954</v>
      </c>
    </row>
    <row r="217" customFormat="false" ht="15" hidden="false" customHeight="false" outlineLevel="0" collapsed="false">
      <c r="B217" s="9" t="s">
        <v>683</v>
      </c>
      <c r="E217" s="34" t="n">
        <f aca="false">$D$182+$E$215/Assumptions!$D$108</f>
        <v>189.350372736954</v>
      </c>
      <c r="F217" s="34" t="n">
        <f aca="false">$D$182+$F$215/Assumptions!$D$108</f>
        <v>189.350372736954</v>
      </c>
      <c r="G217" s="34" t="n">
        <f aca="false">$D$182+$G$215/Assumptions!$D$108</f>
        <v>189.350372736954</v>
      </c>
      <c r="H217" s="34" t="n">
        <f aca="false">$D$182+$H$215/Assumptions!$D$108</f>
        <v>189.350372736954</v>
      </c>
      <c r="I217" s="34" t="n">
        <f aca="false">$D$182+$I$215/Assumptions!$D$108</f>
        <v>189.350372736954</v>
      </c>
      <c r="J217" s="34" t="n">
        <f aca="false">$D$182+$J$215/Assumptions!$D$108</f>
        <v>189.350372736954</v>
      </c>
      <c r="K217" s="34" t="n">
        <f aca="false">$D$182+$K$215/Assumptions!$D$108</f>
        <v>189.350372736954</v>
      </c>
      <c r="L217" s="34" t="n">
        <f aca="false">$D$182+$L$215/Assumptions!$D$108</f>
        <v>189.350372736954</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-179.350372736954</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433.717305445736</v>
      </c>
      <c r="K219" s="18" t="n">
        <f aca="false">IF($K$64&lt;=$D$170,$K$218+IF($K$64=$D$170,$D$200,0),0)</f>
        <v>0</v>
      </c>
      <c r="L219" s="18" t="n">
        <f aca="false">IF($L$64&lt;=$D$170,$L$218+IF($L$64=$D$170,$D$200,0),0)</f>
        <v>0</v>
      </c>
    </row>
    <row r="220" customFormat="false" ht="15" hidden="false" customHeight="false" outlineLevel="0" collapsed="false">
      <c r="B220" s="9" t="s">
        <v>686</v>
      </c>
      <c r="E220" s="19" t="n">
        <f aca="false">-$D$46</f>
        <v>-189.350372736954</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481.252128000515</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0.193166066206727</v>
      </c>
    </row>
    <row r="224" customFormat="false" ht="15" hidden="false" customHeight="false" outlineLevel="0" collapsed="false">
      <c r="B224" s="9" t="s">
        <v>689</v>
      </c>
      <c r="D224" s="25" t="n">
        <f aca="false">XIRR($E$219:$L$219,$E$221:$L$221,0.1)</f>
        <v>0.193050669017756</v>
      </c>
    </row>
    <row r="225" customFormat="false" ht="15" hidden="false" customHeight="false" outlineLevel="0" collapsed="false">
      <c r="B225" s="17" t="s">
        <v>690</v>
      </c>
      <c r="D225" s="41" t="n">
        <f aca="false">SUMIF($E$219:$L$219,"&gt;0")/-SUMIF($E$219:$L$219,"&lt;0")</f>
        <v>2.41826821336943</v>
      </c>
    </row>
    <row r="226" customFormat="false" ht="15" hidden="false" customHeight="false" outlineLevel="0" collapsed="false">
      <c r="B226" s="9" t="s">
        <v>691</v>
      </c>
      <c r="D226" s="19" t="n">
        <f aca="false">-SUMIF($E$219:$L$219,"&lt;0")</f>
        <v>179.350372736954</v>
      </c>
    </row>
    <row r="227" customFormat="false" ht="15" hidden="false" customHeight="false" outlineLevel="0" collapsed="false">
      <c r="B227" s="9" t="s">
        <v>692</v>
      </c>
      <c r="D227" s="25" t="n">
        <f aca="false">IRR($E$220:$L$220,0.1)</f>
        <v>0.205095042060506</v>
      </c>
    </row>
    <row r="228" customFormat="false" ht="15" hidden="false" customHeight="false" outlineLevel="0" collapsed="false">
      <c r="B228" s="9" t="s">
        <v>693</v>
      </c>
      <c r="D228" s="24" t="n">
        <f aca="false">SUMIF($E$220:$L$220,"&gt;0")/-SUMIF($E$220:$L$220,"&lt;0")</f>
        <v>2.54159588409721</v>
      </c>
    </row>
    <row r="229" customFormat="false" ht="15" hidden="false" customHeight="false" outlineLevel="0" collapsed="false">
      <c r="B229" s="9" t="s">
        <v>694</v>
      </c>
      <c r="D229" s="19" t="n">
        <f aca="false">SUM($E$220:$L$220)</f>
        <v>291.901755263561</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94.5089749190272</v>
      </c>
    </row>
    <row r="232" customFormat="false" ht="15" hidden="false" customHeight="false" outlineLevel="0" collapsed="false">
      <c r="B232" s="9" t="s">
        <v>697</v>
      </c>
      <c r="D232" s="19" t="n">
        <f aca="false">SUMPRODUCT(($F$64:$L$64&lt;=$D$170)*$F$105:$L$105)</f>
        <v>120.066579354973</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11.7178381256656</v>
      </c>
    </row>
    <row r="235" customFormat="false" ht="15" hidden="false" customHeight="false" outlineLevel="0" collapsed="false">
      <c r="B235" s="9" t="s">
        <v>700</v>
      </c>
      <c r="D235" s="19" t="n">
        <f aca="false">SUMPRODUCT(($F$64:$L$64&lt;=$D$170)*$F$115:$L$115)</f>
        <v>22.9526707392704</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34.670508864936</v>
      </c>
    </row>
    <row r="238" customFormat="false" ht="15" hidden="false" customHeight="false" outlineLevel="0" collapsed="false">
      <c r="B238" s="9" t="s">
        <v>703</v>
      </c>
      <c r="D238" s="19" t="n">
        <f aca="false">$D$54-$D$173</f>
        <v>41.7089749190271</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275.40600568</v>
      </c>
    </row>
    <row r="242" customFormat="false" ht="15" hidden="false" customHeight="false" outlineLevel="0" collapsed="false">
      <c r="B242" s="9" t="s">
        <v>234</v>
      </c>
      <c r="D242" s="14" t="n">
        <f aca="false">$D$172/$D$29-1</f>
        <v>0.648014131011765</v>
      </c>
    </row>
    <row r="243" customFormat="false" ht="15" hidden="false" customHeight="false" outlineLevel="0" collapsed="false">
      <c r="B243" s="9" t="s">
        <v>235</v>
      </c>
      <c r="D243" s="25" t="n">
        <f aca="false">($D$172/$D$29)^(1/$D$170)-1</f>
        <v>0.105076099825469</v>
      </c>
    </row>
    <row r="244" customFormat="false" ht="15" hidden="false" customHeight="false" outlineLevel="0" collapsed="false">
      <c r="B244" s="9" t="s">
        <v>236</v>
      </c>
      <c r="D244" s="14" t="n">
        <f aca="false">$D$179/$D$46-1</f>
        <v>1.54159588409721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720</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Case_Base!$D$57</f>
        <v>0.578947368421053</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275</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11.36</v>
      </c>
      <c r="G91" s="18" t="n">
        <f aca="false">$G$72-$G$139-$G$105-$G$75-$G$79-$G$83-$G$87-$G$89</f>
        <v>14.883365</v>
      </c>
      <c r="H91" s="18" t="n">
        <f aca="false">$H$72-$H$139-$H$105-$H$75-$H$79-$H$83-$H$87-$H$89</f>
        <v>14.5494217625</v>
      </c>
      <c r="I91" s="18" t="n">
        <f aca="false">$I$72-$I$139-$I$105-$I$75-$I$79-$I$83-$I$87-$I$89</f>
        <v>19.7577858802813</v>
      </c>
      <c r="J91" s="18" t="n">
        <f aca="false">$J$72-$J$139-$J$105-$J$75-$J$79-$J$83-$J$87-$J$89</f>
        <v>27.5646900942617</v>
      </c>
      <c r="K91" s="18" t="n">
        <f aca="false">$K$72-$K$139-$K$105-$K$75-$K$79-$K$83-$K$87-$K$89</f>
        <v>31.3128611325723</v>
      </c>
      <c r="L91" s="18" t="n">
        <f aca="false">$L$72-$L$139-$L$105-$L$75-$L$79-$L$83-$L$87-$L$89</f>
        <v>34.2019452762158</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14.555</v>
      </c>
      <c r="H94" s="19" t="n">
        <f aca="false">$G$123</f>
        <v>12.1941825</v>
      </c>
      <c r="I94" s="19" t="n">
        <f aca="false">$H$123</f>
        <v>17.04680213125</v>
      </c>
      <c r="J94" s="19" t="n">
        <f aca="false">$I$123</f>
        <v>22.0772940057656</v>
      </c>
      <c r="K94" s="19" t="n">
        <f aca="false">$J$123</f>
        <v>37.7439880750205</v>
      </c>
      <c r="L94" s="19" t="n">
        <f aca="false">$K$123</f>
        <v>66.4068492075928</v>
      </c>
    </row>
    <row r="95" customFormat="false" ht="15" hidden="false" customHeight="false" outlineLevel="0" collapsed="false">
      <c r="B95" s="9" t="s">
        <v>576</v>
      </c>
      <c r="F95" s="19" t="n">
        <f aca="false">$E$123+$F$91-$F$109-$F$82-$F$85+$F$84+$F$86-$F$88+$F$90</f>
        <v>19.11</v>
      </c>
      <c r="G95" s="19" t="n">
        <f aca="false">$F$123+$G$91-$G$109-$G$82-$G$85+$G$84+$G$86-$G$88+$G$90</f>
        <v>14.388365</v>
      </c>
      <c r="H95" s="19" t="n">
        <f aca="false">$G$123+$H$91-$H$109-$H$82-$H$85+$H$84+$H$86-$H$88+$H$90</f>
        <v>24.0936042625</v>
      </c>
      <c r="I95" s="19" t="n">
        <f aca="false">$H$123+$I$91-$I$109-$I$82-$I$85+$I$84+$I$86-$I$88+$I$90</f>
        <v>34.1545880115313</v>
      </c>
      <c r="J95" s="19" t="n">
        <f aca="false">$I$123+$J$91-$J$109-$J$82-$J$85+$J$84+$J$86-$J$88+$J$90</f>
        <v>46.9919841000273</v>
      </c>
      <c r="K95" s="19" t="n">
        <f aca="false">$J$123+$K$91-$K$109-$K$82-$K$85+$K$84+$K$86-$K$88+$K$90</f>
        <v>66.4068492075928</v>
      </c>
      <c r="L95" s="19" t="n">
        <f aca="false">$K$123+$L$91-$L$109-$L$82-$L$85+$L$84+$L$86-$L$88+$L$90</f>
        <v>97.9587944838085</v>
      </c>
    </row>
    <row r="96" customFormat="false" ht="15" hidden="false" customHeight="false" outlineLevel="0" collapsed="false">
      <c r="B96" s="17" t="s">
        <v>577</v>
      </c>
      <c r="F96" s="18" t="n">
        <f aca="false">$F$95+$F$110-$F$111-$F$115</f>
        <v>14.555</v>
      </c>
      <c r="G96" s="18" t="n">
        <f aca="false">$G$95+$G$110-$G$111-$G$115</f>
        <v>12.1941825</v>
      </c>
      <c r="H96" s="18" t="n">
        <f aca="false">$H$95+$H$110-$H$111-$H$115</f>
        <v>17.04680213125</v>
      </c>
      <c r="I96" s="18" t="n">
        <f aca="false">$I$95+$I$110-$I$111-$I$115</f>
        <v>22.0772940057656</v>
      </c>
      <c r="J96" s="18" t="n">
        <f aca="false">$J$95+$J$110-$J$111-$J$115</f>
        <v>37.7439880750205</v>
      </c>
      <c r="K96" s="18" t="n">
        <f aca="false">$K$95+$K$110-$K$111-$K$115</f>
        <v>66.4068492075928</v>
      </c>
      <c r="L96" s="18" t="n">
        <f aca="false">$L$95+$L$110-$L$111-$L$115</f>
        <v>97.9587944838085</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18.546575</v>
      </c>
      <c r="H101" s="38" t="n">
        <f aca="false">$G$118*$H$100</f>
        <v>21.5688194875</v>
      </c>
      <c r="I101" s="38" t="n">
        <f aca="false">$H$118*$I$100</f>
        <v>20.7445913063437</v>
      </c>
      <c r="J101" s="38" t="n">
        <f aca="false">$I$118*$J$100</f>
        <v>19.4927713158537</v>
      </c>
      <c r="K101" s="38" t="n">
        <f aca="false">$J$118*$K$100</f>
        <v>18.4814416537281</v>
      </c>
      <c r="L101" s="38" t="n">
        <f aca="false">$K$118*$L$100</f>
        <v>18.2561916537281</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0.2911</v>
      </c>
      <c r="H104" s="38" t="n">
        <f aca="false">$G$123*Assumptions!$D$9</f>
        <v>0.24388365</v>
      </c>
      <c r="I104" s="38" t="n">
        <f aca="false">$H$123*Assumptions!$D$9</f>
        <v>0.340936042625</v>
      </c>
      <c r="J104" s="38" t="n">
        <f aca="false">$I$123*Assumptions!$D$9</f>
        <v>0.441545880115313</v>
      </c>
      <c r="K104" s="38" t="n">
        <f aca="false">$J$123*Assumptions!$D$9</f>
        <v>0.754879761500409</v>
      </c>
      <c r="L104" s="38" t="n">
        <f aca="false">$K$123*Assumptions!$D$9</f>
        <v>1.32813698415186</v>
      </c>
    </row>
    <row r="105" customFormat="false" ht="15" hidden="false" customHeight="false" outlineLevel="0" collapsed="false">
      <c r="B105" s="17" t="s">
        <v>585</v>
      </c>
      <c r="F105" s="40" t="n">
        <f aca="false">$F$101+$F$102+$F$103-$F$104</f>
        <v>24.625</v>
      </c>
      <c r="G105" s="40" t="n">
        <f aca="false">$G$101+$G$102+$G$103-$G$104</f>
        <v>23.955475</v>
      </c>
      <c r="H105" s="40" t="n">
        <f aca="false">$H$101+$H$102+$H$103-$H$104</f>
        <v>27.0249358375</v>
      </c>
      <c r="I105" s="40" t="n">
        <f aca="false">$I$101+$I$102+$I$103-$I$104</f>
        <v>26.1036552637187</v>
      </c>
      <c r="J105" s="40" t="n">
        <f aca="false">$J$101+$J$102+$J$103-$J$104</f>
        <v>24.7512254357384</v>
      </c>
      <c r="K105" s="40" t="n">
        <f aca="false">$K$101+$K$102+$K$103-$K$104</f>
        <v>23.4265618922277</v>
      </c>
      <c r="L105" s="40" t="n">
        <f aca="false">$L$101+$L$102+$L$103-$L$104</f>
        <v>22.6280546695762</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2.21725888324873</v>
      </c>
      <c r="G107" s="24" t="n">
        <f aca="false">IF($G$105&lt;&gt;0,$G$72/$G$105,0)</f>
        <v>2.52748901868988</v>
      </c>
      <c r="H107" s="24" t="n">
        <f aca="false">IF($H$105&lt;&gt;0,$H$72/$H$105,0)</f>
        <v>2.14115616584394</v>
      </c>
      <c r="I107" s="24" t="n">
        <f aca="false">IF($I$105&lt;&gt;0,$I$72/$I$105,0)</f>
        <v>2.6915788003703</v>
      </c>
      <c r="J107" s="24" t="n">
        <f aca="false">IF($J$105&lt;&gt;0,$J$72/$J$105,0)</f>
        <v>3.14420349497651</v>
      </c>
      <c r="K107" s="24" t="n">
        <f aca="false">IF($K$105&lt;&gt;0,$K$72/$K$105,0)</f>
        <v>3.44975099088751</v>
      </c>
      <c r="L107" s="24" t="n">
        <f aca="false">IF($L$105&lt;&gt;0,$L$72/$L$105,0)</f>
        <v>3.70904342111543</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2.65</v>
      </c>
      <c r="K109" s="38" t="n">
        <f aca="false">IF($D$14=1,0,MIN($J$118,Assumptions!$D$85*$J$119))</f>
        <v>2.65</v>
      </c>
      <c r="L109" s="38" t="n">
        <f aca="false">IF($D$14=1,0,MIN($K$118,Assumptions!$D$85*$K$119))</f>
        <v>2.65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19.11</v>
      </c>
      <c r="G112" s="19" t="n">
        <f aca="false">$G$95+$G$110-$G$111</f>
        <v>14.388365</v>
      </c>
      <c r="H112" s="19" t="n">
        <f aca="false">$H$95+$H$110-$H$111</f>
        <v>24.0936042625</v>
      </c>
      <c r="I112" s="19" t="n">
        <f aca="false">$I$95+$I$110-$I$111</f>
        <v>34.1545880115313</v>
      </c>
      <c r="J112" s="19" t="n">
        <f aca="false">$J$95+$J$110-$J$111</f>
        <v>46.9919841000273</v>
      </c>
      <c r="K112" s="19" t="n">
        <f aca="false">$K$95+$K$110-$K$111</f>
        <v>66.4068492075928</v>
      </c>
      <c r="L112" s="19" t="n">
        <f aca="false">$L$95+$L$110-$L$111</f>
        <v>97.9587944838085</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9.11</v>
      </c>
      <c r="G114" s="19" t="n">
        <f aca="false">MAX(0,$G$112-Assumptions!$D$79)</f>
        <v>4.38836500000001</v>
      </c>
      <c r="H114" s="19" t="n">
        <f aca="false">MAX(0,$H$112-Assumptions!$D$79)</f>
        <v>14.0936042625</v>
      </c>
      <c r="I114" s="19" t="n">
        <f aca="false">MAX(0,$I$112-Assumptions!$D$79)</f>
        <v>24.1545880115313</v>
      </c>
      <c r="J114" s="19" t="n">
        <f aca="false">MAX(0,$J$112-Assumptions!$D$79)</f>
        <v>36.9919841000273</v>
      </c>
      <c r="K114" s="19" t="n">
        <f aca="false">MAX(0,$K$112-Assumptions!$D$79)</f>
        <v>56.4068492075928</v>
      </c>
      <c r="L114" s="19" t="n">
        <f aca="false">MAX(0,$L$112-Assumptions!$D$79)</f>
        <v>87.9587944838085</v>
      </c>
    </row>
    <row r="115" customFormat="false" ht="15" hidden="false" customHeight="false" outlineLevel="0" collapsed="false">
      <c r="B115" s="17" t="s">
        <v>595</v>
      </c>
      <c r="F115" s="18" t="n">
        <f aca="false">IF(AND($D$19=1,$D$14=0,$E$121-$F$111+$F$110=0),MIN($E$118-$F$109+$F$84,$F$113*$F$114),0)</f>
        <v>4.555</v>
      </c>
      <c r="G115" s="18" t="n">
        <f aca="false">IF(AND($D$19=1,$D$14=0,$F$121-$G$111+$G$110=0),MIN($F$118-$G$109+$G$84,$G$113*$G$114),0)</f>
        <v>2.19418250000001</v>
      </c>
      <c r="H115" s="18" t="n">
        <f aca="false">IF(AND($D$19=1,$D$14=0,$G$121-$H$111+$H$110=0),MIN($G$118-$H$109+$H$84,$H$113*$H$114),0)</f>
        <v>7.04680213125001</v>
      </c>
      <c r="I115" s="18" t="n">
        <f aca="false">IF(AND($D$19=1,$D$14=0,$H$121-$I$111+$I$110=0),MIN($H$118-$I$109+$I$84,$I$113*$I$114),0)</f>
        <v>12.0772940057656</v>
      </c>
      <c r="J115" s="18" t="n">
        <f aca="false">IF(AND($D$19=1,$D$14=0,$I$121-$J$111+$J$110=0),MIN($I$118-$J$109+$J$84,$J$113*$J$114),0)</f>
        <v>9.24799602500682</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218.195</v>
      </c>
      <c r="G118" s="19" t="n">
        <f aca="false">$F$118-$G$109-$G$115+$G$84+$G$86</f>
        <v>253.7508175</v>
      </c>
      <c r="H118" s="19" t="n">
        <f aca="false">$G$118-$H$109-$H$115+$H$84+$H$86</f>
        <v>244.05401536875</v>
      </c>
      <c r="I118" s="19" t="n">
        <f aca="false">$H$118-$I$109-$I$115+$I$84+$I$86</f>
        <v>229.326721362984</v>
      </c>
      <c r="J118" s="19" t="n">
        <f aca="false">$I$118-$J$109-$J$115+$J$84+$J$86</f>
        <v>217.428725337978</v>
      </c>
      <c r="K118" s="19" t="n">
        <f aca="false">$J$118-$K$109-$K$115+$K$84+$K$86</f>
        <v>214.778725337978</v>
      </c>
      <c r="L118" s="19" t="n">
        <f aca="false">$K$118-$L$109-$L$115+$L$84+$L$86</f>
        <v>212.128725337978</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268.195</v>
      </c>
      <c r="G122" s="18" t="n">
        <f aca="false">$G$118+$G$120+$G$121</f>
        <v>303.7508175</v>
      </c>
      <c r="H122" s="18" t="n">
        <f aca="false">$H$118+$H$120+$H$121</f>
        <v>294.05401536875</v>
      </c>
      <c r="I122" s="18" t="n">
        <f aca="false">$I$118+$I$120+$I$121</f>
        <v>279.326721362984</v>
      </c>
      <c r="J122" s="18" t="n">
        <f aca="false">$J$118+$J$120+$J$121</f>
        <v>267.428725337978</v>
      </c>
      <c r="K122" s="18" t="n">
        <f aca="false">$K$118+$K$120+$K$121</f>
        <v>264.778725337978</v>
      </c>
      <c r="L122" s="18" t="n">
        <f aca="false">$L$118+$L$120+$L$121</f>
        <v>262.128725337977</v>
      </c>
    </row>
    <row r="123" customFormat="false" ht="15" hidden="false" customHeight="false" outlineLevel="0" collapsed="false">
      <c r="B123" s="9" t="s">
        <v>600</v>
      </c>
      <c r="E123" s="19" t="n">
        <f aca="false">Assumptions!$D$78</f>
        <v>10</v>
      </c>
      <c r="F123" s="19" t="n">
        <f aca="false">$F$112-$F$115</f>
        <v>14.555</v>
      </c>
      <c r="G123" s="19" t="n">
        <f aca="false">$G$112-$G$115</f>
        <v>12.1941825</v>
      </c>
      <c r="H123" s="19" t="n">
        <f aca="false">$H$112-$H$115</f>
        <v>17.04680213125</v>
      </c>
      <c r="I123" s="19" t="n">
        <f aca="false">$I$112-$I$115</f>
        <v>22.0772940057656</v>
      </c>
      <c r="J123" s="19" t="n">
        <f aca="false">$J$112-$J$115</f>
        <v>37.7439880750205</v>
      </c>
      <c r="K123" s="19" t="n">
        <f aca="false">$K$112-$K$115</f>
        <v>66.4068492075928</v>
      </c>
      <c r="L123" s="19" t="n">
        <f aca="false">$L$112-$L$115</f>
        <v>97.9587944838085</v>
      </c>
    </row>
    <row r="124" customFormat="false" ht="15" hidden="false" customHeight="false" outlineLevel="0" collapsed="false">
      <c r="B124" s="17" t="s">
        <v>601</v>
      </c>
      <c r="E124" s="18" t="n">
        <f aca="false">$E$122-$E$123</f>
        <v>265</v>
      </c>
      <c r="F124" s="18" t="n">
        <f aca="false">$F$122-$F$123</f>
        <v>253.64</v>
      </c>
      <c r="G124" s="18" t="n">
        <f aca="false">$G$122-$G$123</f>
        <v>291.556635</v>
      </c>
      <c r="H124" s="18" t="n">
        <f aca="false">$H$122-$H$123</f>
        <v>277.0072132375</v>
      </c>
      <c r="I124" s="18" t="n">
        <f aca="false">$I$122-$I$123</f>
        <v>257.249427357219</v>
      </c>
      <c r="J124" s="18" t="n">
        <f aca="false">$J$122-$J$123</f>
        <v>229.684737262957</v>
      </c>
      <c r="K124" s="18" t="n">
        <f aca="false">$K$122-$K$123</f>
        <v>198.371876130385</v>
      </c>
      <c r="L124" s="18" t="n">
        <f aca="false">$L$122-$L$123</f>
        <v>164.169930854169</v>
      </c>
    </row>
    <row r="125" customFormat="false" ht="15" hidden="false" customHeight="false" outlineLevel="0" collapsed="false">
      <c r="B125" s="9" t="s">
        <v>538</v>
      </c>
      <c r="E125" s="24" t="n">
        <f aca="false">$E$124/$E$72</f>
        <v>5.3</v>
      </c>
      <c r="F125" s="24" t="n">
        <f aca="false">$F$124/$F$72</f>
        <v>4.64542124542125</v>
      </c>
      <c r="G125" s="24" t="n">
        <f aca="false">$G$124/$G$72</f>
        <v>4.81536115625495</v>
      </c>
      <c r="H125" s="24" t="n">
        <f aca="false">$H$124/$H$72</f>
        <v>4.7871613203964</v>
      </c>
      <c r="I125" s="24" t="n">
        <f aca="false">$I$124/$I$72</f>
        <v>3.66139001075009</v>
      </c>
      <c r="J125" s="24" t="n">
        <f aca="false">$J$124/$J$72</f>
        <v>2.9513776561063</v>
      </c>
      <c r="K125" s="24" t="n">
        <f aca="false">$K$124/$K$72</f>
        <v>2.45461733485126</v>
      </c>
      <c r="L125" s="24" t="n">
        <f aca="false">$L$124/$L$72</f>
        <v>1.95607038717874</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25.4107142857143</v>
      </c>
      <c r="G130" s="38" t="n">
        <f aca="false">$G$105+$G$106</f>
        <v>24.7411892857143</v>
      </c>
      <c r="H130" s="38" t="n">
        <f aca="false">$H$105+$H$106</f>
        <v>27.9706501232143</v>
      </c>
      <c r="I130" s="38" t="n">
        <f aca="false">$I$105+$I$106</f>
        <v>27.049369549433</v>
      </c>
      <c r="J130" s="38" t="n">
        <f aca="false">$J$105+$J$106</f>
        <v>25.6969397214526</v>
      </c>
      <c r="K130" s="38" t="n">
        <f aca="false">$K$105+$K$106</f>
        <v>24.372276177942</v>
      </c>
      <c r="L130" s="38" t="n">
        <f aca="false">$L$105+$L$106</f>
        <v>23.5737689552905</v>
      </c>
    </row>
    <row r="131" customFormat="false" ht="15" hidden="false" customHeight="false" outlineLevel="0" collapsed="false">
      <c r="B131" s="9" t="s">
        <v>606</v>
      </c>
      <c r="F131" s="38" t="n">
        <f aca="false">$F$129-$F$130-$F$83-$F$87-$F$89</f>
        <v>17.4292857142857</v>
      </c>
      <c r="G131" s="38" t="n">
        <f aca="false">$G$129-$G$130-$G$83-$G$87-$G$89</f>
        <v>21.8404107142857</v>
      </c>
      <c r="H131" s="38" t="n">
        <f aca="false">$H$129-$H$130-$H$83-$H$87-$H$89</f>
        <v>15.9922938767857</v>
      </c>
      <c r="I131" s="38" t="n">
        <f aca="false">$I$129-$I$130-$I$83-$I$87-$I$89</f>
        <v>28.401415090567</v>
      </c>
      <c r="J131" s="38" t="n">
        <f aca="false">$J$129-$J$130-$J$83-$J$87-$J$89</f>
        <v>36.5989398945474</v>
      </c>
      <c r="K131" s="38" t="n">
        <f aca="false">$K$129-$K$130-$K$83-$K$87-$K$89</f>
        <v>40.295438622698</v>
      </c>
      <c r="L131" s="38" t="n">
        <f aca="false">$L$129-$L$130-$L$83-$L$87-$L$89</f>
        <v>43.5606544373751</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25.4107142857143</v>
      </c>
      <c r="G133" s="38" t="n">
        <f aca="false">$G$130+$F$135</f>
        <v>33.7719035714286</v>
      </c>
      <c r="H133" s="38" t="n">
        <f aca="false">$H$130+$G$135</f>
        <v>43.5783936946428</v>
      </c>
      <c r="I133" s="38" t="n">
        <f aca="false">$I$130+$H$135</f>
        <v>53.2683808440759</v>
      </c>
      <c r="J133" s="38" t="n">
        <f aca="false">$J$130+$I$135</f>
        <v>57.8873070295285</v>
      </c>
      <c r="K133" s="38" t="n">
        <f aca="false">$K$130+$J$135</f>
        <v>58.9127163514705</v>
      </c>
      <c r="L133" s="38" t="n">
        <f aca="false">$L$130+$K$135</f>
        <v>58.241743776521</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9.03071428571429</v>
      </c>
      <c r="G135" s="38" t="n">
        <f aca="false">$G$133-$G$134</f>
        <v>15.6077435714286</v>
      </c>
      <c r="H135" s="38" t="n">
        <f aca="false">$H$133-$H$134</f>
        <v>26.2190112946428</v>
      </c>
      <c r="I135" s="38" t="n">
        <f aca="false">$I$133-$I$134</f>
        <v>32.1903673080759</v>
      </c>
      <c r="J135" s="38" t="n">
        <f aca="false">$J$133-$J$134</f>
        <v>34.5404401735285</v>
      </c>
      <c r="K135" s="38" t="n">
        <f aca="false">$K$133-$K$134</f>
        <v>34.6679748212305</v>
      </c>
      <c r="L135" s="38" t="n">
        <f aca="false">$L$133-$L$134</f>
        <v>33.0632125850714</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10.8142857142857</v>
      </c>
      <c r="G140" s="19" t="n">
        <f aca="false">$G$131-$G$139</f>
        <v>14.7360507142857</v>
      </c>
      <c r="H140" s="19" t="n">
        <f aca="false">$H$131-$H$139</f>
        <v>9.34140347678572</v>
      </c>
      <c r="I140" s="19" t="n">
        <f aca="false">$I$131-$I$139</f>
        <v>19.808222314567</v>
      </c>
      <c r="J140" s="19" t="n">
        <f aca="false">$J$131-$J$139</f>
        <v>26.8616867045474</v>
      </c>
      <c r="K140" s="19" t="n">
        <f aca="false">$K$131-$K$139</f>
        <v>30.189695305098</v>
      </c>
      <c r="L140" s="19" t="n">
        <f aca="false">$L$131-$L$139</f>
        <v>33.0716813870711</v>
      </c>
    </row>
    <row r="141" customFormat="false" ht="15" hidden="false" customHeight="false" outlineLevel="0" collapsed="false">
      <c r="B141" s="9" t="s">
        <v>616</v>
      </c>
      <c r="F141" s="38" t="n">
        <f aca="false">Assumptions!$D$7*($F$129-$F$130)</f>
        <v>4.35732142857143</v>
      </c>
      <c r="G141" s="38" t="n">
        <f aca="false">Assumptions!$D$7*($G$129-$G$130)</f>
        <v>5.83510267857143</v>
      </c>
      <c r="H141" s="38" t="n">
        <f aca="false">Assumptions!$D$7*($H$129-$H$130)</f>
        <v>3.99807346919643</v>
      </c>
      <c r="I141" s="38" t="n">
        <f aca="false">Assumptions!$D$7*($I$129-$I$130)</f>
        <v>7.10035377264174</v>
      </c>
      <c r="J141" s="38" t="n">
        <f aca="false">Assumptions!$D$7*($J$129-$J$130)</f>
        <v>9.14973497363684</v>
      </c>
      <c r="K141" s="38" t="n">
        <f aca="false">Assumptions!$D$7*($K$129-$K$130)</f>
        <v>10.0738596556745</v>
      </c>
      <c r="L141" s="38" t="n">
        <f aca="false">Assumptions!$D$7*($L$129-$L$130)</f>
        <v>10.8901636093438</v>
      </c>
    </row>
    <row r="142" customFormat="false" ht="15" hidden="false" customHeight="false" outlineLevel="0" collapsed="false">
      <c r="B142" s="9" t="s">
        <v>617</v>
      </c>
      <c r="F142" s="38" t="n">
        <f aca="false">$F$139-$F$141</f>
        <v>2.25767857142857</v>
      </c>
      <c r="G142" s="38" t="n">
        <f aca="false">$G$139-$G$141</f>
        <v>1.26925732142857</v>
      </c>
      <c r="H142" s="38" t="n">
        <f aca="false">$H$139-$H$141</f>
        <v>2.65281693080357</v>
      </c>
      <c r="I142" s="38" t="n">
        <f aca="false">$I$139-$I$141</f>
        <v>1.49283900335826</v>
      </c>
      <c r="J142" s="38" t="n">
        <f aca="false">$J$139-$J$141</f>
        <v>0.58751821636316</v>
      </c>
      <c r="K142" s="38" t="n">
        <f aca="false">$K$139-$K$141</f>
        <v>0.0318836619254927</v>
      </c>
      <c r="L142" s="38" t="n">
        <f aca="false">$L$139-$L$141</f>
        <v>-0.401190559039769</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14.555</v>
      </c>
      <c r="G145" s="19" t="n">
        <f aca="false">$G$123</f>
        <v>12.1941825</v>
      </c>
      <c r="H145" s="19" t="n">
        <f aca="false">$H$123</f>
        <v>17.04680213125</v>
      </c>
      <c r="I145" s="19" t="n">
        <f aca="false">$I$123</f>
        <v>22.0772940057656</v>
      </c>
      <c r="J145" s="19" t="n">
        <f aca="false">$J$123</f>
        <v>37.7439880750205</v>
      </c>
      <c r="K145" s="19" t="n">
        <f aca="false">$K$123</f>
        <v>66.4068492075928</v>
      </c>
      <c r="L145" s="19" t="n">
        <f aca="false">$L$123</f>
        <v>97.9587944838085</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469.509285714286</v>
      </c>
      <c r="G150" s="18" t="n">
        <f aca="false">$G$145+$G$146+$G$147+$G$148+$G$149</f>
        <v>519.801153928572</v>
      </c>
      <c r="H150" s="18" t="n">
        <f aca="false">$H$145+$H$146+$H$147+$H$148+$H$149</f>
        <v>519.445755274107</v>
      </c>
      <c r="I150" s="18" t="n">
        <f aca="false">$I$145+$I$146+$I$147+$I$148+$I$149</f>
        <v>524.526683582909</v>
      </c>
      <c r="J150" s="18" t="n">
        <f aca="false">$J$145+$J$146+$J$147+$J$148+$J$149</f>
        <v>539.490374262449</v>
      </c>
      <c r="K150" s="18" t="n">
        <f aca="false">$K$145+$K$146+$K$147+$K$148+$K$149</f>
        <v>567.030069567547</v>
      </c>
      <c r="L150" s="18" t="n">
        <f aca="false">$L$145+$L$146+$L$147+$L$148+$L$149</f>
        <v>597.451750954618</v>
      </c>
    </row>
    <row r="151" customFormat="false" ht="15" hidden="false" customHeight="false" outlineLevel="0" collapsed="false">
      <c r="B151" s="9" t="s">
        <v>291</v>
      </c>
      <c r="E151" s="19" t="n">
        <f aca="false">$E$122</f>
        <v>275</v>
      </c>
      <c r="F151" s="19" t="n">
        <f aca="false">$F$122</f>
        <v>268.195</v>
      </c>
      <c r="G151" s="19" t="n">
        <f aca="false">$G$122</f>
        <v>303.7508175</v>
      </c>
      <c r="H151" s="19" t="n">
        <f aca="false">$H$122</f>
        <v>294.05401536875</v>
      </c>
      <c r="I151" s="19" t="n">
        <f aca="false">$I$122</f>
        <v>279.326721362984</v>
      </c>
      <c r="J151" s="19" t="n">
        <f aca="false">$J$122</f>
        <v>267.428725337978</v>
      </c>
      <c r="K151" s="19" t="n">
        <f aca="false">$K$122</f>
        <v>264.778725337978</v>
      </c>
      <c r="L151" s="19" t="n">
        <f aca="false">$L$122</f>
        <v>262.128725337977</v>
      </c>
    </row>
    <row r="152" customFormat="false" ht="15" hidden="false" customHeight="false" outlineLevel="0" collapsed="false">
      <c r="B152" s="9" t="s">
        <v>624</v>
      </c>
      <c r="E152" s="19" t="n">
        <f aca="false">$D$46-Assumptions!$D$76</f>
        <v>190.5</v>
      </c>
      <c r="F152" s="19" t="n">
        <f aca="false">$E$152+$F$140-$F$88+$F$90</f>
        <v>201.314285714286</v>
      </c>
      <c r="G152" s="19" t="n">
        <f aca="false">$F$152+$G$140-$G$88+$G$90</f>
        <v>216.050336428571</v>
      </c>
      <c r="H152" s="19" t="n">
        <f aca="false">$G$152+$H$140-$H$88+$H$90</f>
        <v>225.391739905357</v>
      </c>
      <c r="I152" s="19" t="n">
        <f aca="false">$H$152+$I$140-$I$88+$I$90</f>
        <v>245.199962219924</v>
      </c>
      <c r="J152" s="19" t="n">
        <f aca="false">$I$152+$J$140-$J$88+$J$90</f>
        <v>272.061648924471</v>
      </c>
      <c r="K152" s="19" t="n">
        <f aca="false">$J$152+$K$140-$K$88+$K$90</f>
        <v>302.25134422957</v>
      </c>
      <c r="L152" s="19" t="n">
        <f aca="false">$K$152+$L$140-$L$88+$L$90</f>
        <v>335.323025616641</v>
      </c>
    </row>
    <row r="153" customFormat="false" ht="15" hidden="false" customHeight="false" outlineLevel="0" collapsed="false">
      <c r="B153" s="17" t="s">
        <v>625</v>
      </c>
      <c r="E153" s="18" t="n">
        <f aca="false">$E$151+$E$152</f>
        <v>465.5</v>
      </c>
      <c r="F153" s="18" t="n">
        <f aca="false">$F$151+$F$152</f>
        <v>469.509285714286</v>
      </c>
      <c r="G153" s="18" t="n">
        <f aca="false">$G$151+$G$152</f>
        <v>519.801153928572</v>
      </c>
      <c r="H153" s="18" t="n">
        <f aca="false">$H$151+$H$152</f>
        <v>519.445755274107</v>
      </c>
      <c r="I153" s="18" t="n">
        <f aca="false">$I$151+$I$152</f>
        <v>524.526683582909</v>
      </c>
      <c r="J153" s="18" t="n">
        <f aca="false">$J$151+$J$152</f>
        <v>539.490374262449</v>
      </c>
      <c r="K153" s="18" t="n">
        <f aca="false">$K$151+$K$152</f>
        <v>567.030069567547</v>
      </c>
      <c r="L153" s="18" t="n">
        <f aca="false">$L$151+$L$152</f>
        <v>597.451750954618</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253.64</v>
      </c>
      <c r="G160" s="19" t="n">
        <f aca="false">$G$124</f>
        <v>291.556635</v>
      </c>
      <c r="H160" s="19" t="n">
        <f aca="false">$H$124</f>
        <v>277.0072132375</v>
      </c>
      <c r="I160" s="19" t="n">
        <f aca="false">$I$124</f>
        <v>257.249427357219</v>
      </c>
      <c r="J160" s="19" t="n">
        <f aca="false">$J$124</f>
        <v>229.684737262957</v>
      </c>
      <c r="K160" s="19" t="n">
        <f aca="false">$K$124</f>
        <v>198.371876130385</v>
      </c>
      <c r="L160" s="19" t="n">
        <f aca="false">$L$124</f>
        <v>164.169930854169</v>
      </c>
    </row>
    <row r="161" customFormat="false" ht="15" hidden="false" customHeight="false" outlineLevel="0" collapsed="false">
      <c r="B161" s="17" t="s">
        <v>632</v>
      </c>
      <c r="F161" s="41" t="n">
        <f aca="false">$F$124/$F$159</f>
        <v>4.64542124542125</v>
      </c>
      <c r="G161" s="41" t="n">
        <f aca="false">$G$124/$G$159</f>
        <v>4.0750250883333</v>
      </c>
      <c r="H161" s="41" t="n">
        <f aca="false">$H$124/$H$159</f>
        <v>4.62722838237745</v>
      </c>
      <c r="I161" s="41" t="n">
        <f aca="false">$I$124/$I$159</f>
        <v>3.63551813627248</v>
      </c>
      <c r="J161" s="41" t="n">
        <f aca="false">$J$124/$J$159</f>
        <v>2.9513776561063</v>
      </c>
      <c r="K161" s="41" t="n">
        <f aca="false">$K$124/$K$159</f>
        <v>2.45461733485126</v>
      </c>
      <c r="L161" s="41" t="n">
        <f aca="false">$L$124/$L$159</f>
        <v>1.95607038717874</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1.10457875457876</v>
      </c>
      <c r="G163" s="24" t="n">
        <f aca="false">$G$162-$G$161</f>
        <v>1.1749749116667</v>
      </c>
      <c r="H163" s="24" t="n">
        <f aca="false">$H$162-$H$161</f>
        <v>0.122771617622552</v>
      </c>
      <c r="I163" s="24" t="n">
        <f aca="false">$I$162-$I$161</f>
        <v>0.614481863727524</v>
      </c>
      <c r="J163" s="24" t="n">
        <f aca="false">$J$162-$J$161</f>
        <v>1.0486223438937</v>
      </c>
      <c r="K163" s="24" t="n">
        <f aca="false">$K$162-$K$161</f>
        <v>1.54538266514874</v>
      </c>
      <c r="L163" s="24" t="n">
        <f aca="false">$L$162-$L$161</f>
        <v>2.04392961282126</v>
      </c>
    </row>
    <row r="164" customFormat="false" ht="15" hidden="false" customHeight="false" outlineLevel="0" collapsed="false">
      <c r="B164" s="9" t="s">
        <v>635</v>
      </c>
      <c r="F164" s="14" t="n">
        <f aca="false">1-$F$124/($F$162*$F$159)</f>
        <v>0.192100652970218</v>
      </c>
      <c r="G164" s="14" t="n">
        <f aca="false">1-$G$124/($G$162*$G$159)</f>
        <v>0.223804745079372</v>
      </c>
      <c r="H164" s="14" t="n">
        <f aca="false">1-$H$124/($H$162*$H$159)</f>
        <v>0.02584665634159</v>
      </c>
      <c r="I164" s="14" t="n">
        <f aca="false">1-$I$124/($I$162*$I$159)</f>
        <v>0.144583967935888</v>
      </c>
      <c r="J164" s="14" t="n">
        <f aca="false">1-$J$124/($J$162*$J$159)</f>
        <v>0.262155585973425</v>
      </c>
      <c r="K164" s="14" t="n">
        <f aca="false">1-$K$124/($K$162*$K$159)</f>
        <v>0.386345666287184</v>
      </c>
      <c r="L164" s="14" t="n">
        <f aca="false">1-$L$124/($L$162*$L$159)</f>
        <v>0.510982403205316</v>
      </c>
    </row>
    <row r="165" customFormat="false" ht="15" hidden="false" customHeight="false" outlineLevel="0" collapsed="false">
      <c r="B165" s="9" t="s">
        <v>636</v>
      </c>
      <c r="F165" s="19" t="n">
        <f aca="false">$F$164*$F$159</f>
        <v>10.4886956521739</v>
      </c>
      <c r="G165" s="19" t="n">
        <f aca="false">$G$164*$G$159</f>
        <v>16.0126028571429</v>
      </c>
      <c r="H165" s="19" t="n">
        <f aca="false">$H$164*$H$159</f>
        <v>1.54729995</v>
      </c>
      <c r="I165" s="19" t="n">
        <f aca="false">$I$164*$I$159</f>
        <v>10.2307680947721</v>
      </c>
      <c r="J165" s="19" t="n">
        <f aca="false">$J$164*$J$159</f>
        <v>20.4017052042607</v>
      </c>
      <c r="K165" s="19" t="n">
        <f aca="false">$K$164*$K$159</f>
        <v>31.2228360682038</v>
      </c>
      <c r="L165" s="19" t="n">
        <f aca="false">$L$164*$L$159</f>
        <v>42.8859545912898</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-1.10457875457876</v>
      </c>
      <c r="G167" s="24" t="n">
        <f aca="false">$G$125-Assumptions!$G$169</f>
        <v>-0.434638843745047</v>
      </c>
      <c r="H167" s="24" t="n">
        <f aca="false">$H$125-Assumptions!$H$169</f>
        <v>0.0371613203963985</v>
      </c>
      <c r="I167" s="24" t="n">
        <f aca="false">$I$125-Assumptions!$I$169</f>
        <v>-0.588609989249908</v>
      </c>
      <c r="J167" s="24" t="n">
        <f aca="false">$J$125-Assumptions!$J$169</f>
        <v>-1.0486223438937</v>
      </c>
      <c r="K167" s="24" t="n">
        <f aca="false">$K$125-Assumptions!$K$169</f>
        <v>-1.54538266514874</v>
      </c>
      <c r="L167" s="24" t="n">
        <f aca="false">$L$125-Assumptions!$L$169</f>
        <v>-2.04392961282126</v>
      </c>
    </row>
    <row r="168" customFormat="false" ht="15" hidden="false" customHeight="false" outlineLevel="0" collapsed="false">
      <c r="B168" s="9" t="s">
        <v>639</v>
      </c>
      <c r="F168" s="24" t="n">
        <f aca="false">$F$161-$F$162</f>
        <v>-1.10457875457876</v>
      </c>
      <c r="G168" s="24" t="n">
        <f aca="false">$G$161-$G$162</f>
        <v>-1.1749749116667</v>
      </c>
      <c r="H168" s="24" t="n">
        <f aca="false">$H$161-$H$162</f>
        <v>-0.122771617622552</v>
      </c>
      <c r="I168" s="24" t="n">
        <f aca="false">$I$161-$I$162</f>
        <v>-0.614481863727524</v>
      </c>
      <c r="J168" s="24" t="n">
        <f aca="false">$J$161-$J$162</f>
        <v>-1.0486223438937</v>
      </c>
      <c r="K168" s="24" t="n">
        <f aca="false">$K$161-$K$162</f>
        <v>-1.54538266514874</v>
      </c>
      <c r="L168" s="24" t="n">
        <f aca="false">$L$161-$L$162</f>
        <v>-2.04392961282126</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229.684737262957</v>
      </c>
    </row>
    <row r="174" customFormat="false" ht="15" hidden="false" customHeight="false" outlineLevel="0" collapsed="false">
      <c r="B174" s="9" t="s">
        <v>643</v>
      </c>
      <c r="D174" s="19" t="n">
        <f aca="false">INDEX($E$118:$L$118,1,$D$170+1)</f>
        <v>217.428725337978</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37.7439880750205</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460.215178331843</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2.19698982032648</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2.19698982032648</v>
      </c>
    </row>
    <row r="195" customFormat="false" ht="15" hidden="false" customHeight="false" outlineLevel="0" collapsed="false">
      <c r="B195" s="9" t="s">
        <v>663</v>
      </c>
      <c r="D195" s="34" t="n">
        <f aca="false">IF($D$194&gt;=Assumptions!$D$110,$D$191,$D$191*0.5)</f>
        <v>17.3913043478261</v>
      </c>
    </row>
    <row r="196" customFormat="false" ht="15" hidden="false" customHeight="false" outlineLevel="0" collapsed="false">
      <c r="B196" s="9" t="s">
        <v>664</v>
      </c>
      <c r="D196" s="35" t="n">
        <f aca="false">($D$179+$D$195*Assumptions!$D$108)/($D$189+$D$195)</f>
        <v>2.19698982032648</v>
      </c>
    </row>
    <row r="197" customFormat="false" ht="15" hidden="false" customHeight="false" outlineLevel="0" collapsed="false">
      <c r="B197" s="9" t="s">
        <v>665</v>
      </c>
      <c r="D197" s="34" t="n">
        <f aca="false">IF($D$196&lt;Assumptions!$D$108,0,$D$195)</f>
        <v>17.3913043478261</v>
      </c>
    </row>
    <row r="198" customFormat="false" ht="15" hidden="false" customHeight="false" outlineLevel="0" collapsed="false">
      <c r="B198" s="17" t="s">
        <v>666</v>
      </c>
      <c r="D198" s="43" t="n">
        <f aca="false">IF($D$196&lt;Assumptions!$D$108,$D$179/$D$189,$D$196)</f>
        <v>2.19698982032648</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417.428065862031</v>
      </c>
    </row>
    <row r="201" customFormat="false" ht="15" hidden="false" customHeight="false" outlineLevel="0" collapsed="false">
      <c r="B201" s="9" t="s">
        <v>668</v>
      </c>
      <c r="D201" s="14" t="n">
        <f aca="false">$D$200/$D$179</f>
        <v>0.907028028443338</v>
      </c>
    </row>
    <row r="202" customFormat="false" ht="15" hidden="false" customHeight="false" outlineLevel="0" collapsed="false">
      <c r="B202" s="9" t="s">
        <v>669</v>
      </c>
      <c r="D202" s="19" t="n">
        <f aca="false">$D$185*$D$198</f>
        <v>21.9698982032648</v>
      </c>
    </row>
    <row r="203" customFormat="false" ht="15" hidden="false" customHeight="false" outlineLevel="0" collapsed="false">
      <c r="B203" s="9" t="s">
        <v>670</v>
      </c>
      <c r="D203" s="19" t="n">
        <f aca="false">$D$197*MAX(0,$D$198-Assumptions!$D$108)</f>
        <v>20.8172142665474</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42.7871124698122</v>
      </c>
    </row>
    <row r="206" customFormat="false" ht="15" hidden="false" customHeight="false" outlineLevel="0" collapsed="false">
      <c r="B206" s="9" t="s">
        <v>673</v>
      </c>
      <c r="D206" s="24" t="n">
        <f aca="false">$D$205/$D$47</f>
        <v>4.27871124698122</v>
      </c>
    </row>
    <row r="207" customFormat="false" ht="15" hidden="false" customHeight="false" outlineLevel="0" collapsed="false">
      <c r="B207" s="9" t="s">
        <v>674</v>
      </c>
      <c r="D207" s="19" t="n">
        <f aca="false">$D$187*$D$198</f>
        <v>8.78795928130591</v>
      </c>
    </row>
    <row r="208" customFormat="false" ht="15" hidden="false" customHeight="false" outlineLevel="0" collapsed="false">
      <c r="B208" s="9" t="s">
        <v>675</v>
      </c>
      <c r="D208" s="19" t="n">
        <f aca="false">$D$203*Assumptions!$D$112</f>
        <v>7.2860249932916</v>
      </c>
    </row>
    <row r="209" customFormat="false" ht="15" hidden="false" customHeight="false" outlineLevel="0" collapsed="false">
      <c r="B209" s="9" t="s">
        <v>676</v>
      </c>
      <c r="D209" s="19" t="n">
        <f aca="false">$D$207+$D$208</f>
        <v>16.0739842745975</v>
      </c>
    </row>
    <row r="210" customFormat="false" ht="15" hidden="false" customHeight="false" outlineLevel="0" collapsed="false">
      <c r="B210" s="9" t="s">
        <v>677</v>
      </c>
      <c r="D210" s="24" t="n">
        <f aca="false">$D$209/Assumptions!$D$111</f>
        <v>4.01849606864938</v>
      </c>
    </row>
    <row r="211" customFormat="false" ht="15" hidden="false" customHeight="false" outlineLevel="0" collapsed="false">
      <c r="B211" s="9" t="s">
        <v>678</v>
      </c>
      <c r="D211" s="19" t="n">
        <f aca="false">$D$179*$D$190/$D$189</f>
        <v>437.204419415251</v>
      </c>
    </row>
    <row r="212" customFormat="false" ht="15" hidden="false" customHeight="false" outlineLevel="0" collapsed="false">
      <c r="B212" s="9" t="s">
        <v>679</v>
      </c>
      <c r="D212" s="19" t="n">
        <f aca="false">$D$211-$D$200</f>
        <v>19.7763535532201</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417.428065862031</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460.215178331843</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0.170484343544686</v>
      </c>
    </row>
    <row r="224" customFormat="false" ht="15" hidden="false" customHeight="false" outlineLevel="0" collapsed="false">
      <c r="B224" s="9" t="s">
        <v>689</v>
      </c>
      <c r="D224" s="25" t="n">
        <f aca="false">XIRR($E$219:$L$219,$E$221:$L$221,0.1)</f>
        <v>0.170383441610592</v>
      </c>
    </row>
    <row r="225" customFormat="false" ht="15" hidden="false" customHeight="false" outlineLevel="0" collapsed="false">
      <c r="B225" s="17" t="s">
        <v>690</v>
      </c>
      <c r="D225" s="41" t="n">
        <f aca="false">SUMIF($E$219:$L$219,"&gt;0")/-SUMIF($E$219:$L$219,"&lt;0")</f>
        <v>2.19698982032648</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0.18137068110822</v>
      </c>
    </row>
    <row r="228" customFormat="false" ht="15" hidden="false" customHeight="false" outlineLevel="0" collapsed="false">
      <c r="B228" s="9" t="s">
        <v>693</v>
      </c>
      <c r="D228" s="24" t="n">
        <f aca="false">SUMIF($E$220:$L$220,"&gt;0")/-SUMIF($E$220:$L$220,"&lt;0")</f>
        <v>2.30107589165922</v>
      </c>
    </row>
    <row r="229" customFormat="false" ht="15" hidden="false" customHeight="false" outlineLevel="0" collapsed="false">
      <c r="B229" s="9" t="s">
        <v>694</v>
      </c>
      <c r="D229" s="19" t="n">
        <f aca="false">SUM($E$220:$L$220)</f>
        <v>260.215178331843</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88.1152627370429</v>
      </c>
    </row>
    <row r="232" customFormat="false" ht="15" hidden="false" customHeight="false" outlineLevel="0" collapsed="false">
      <c r="B232" s="9" t="s">
        <v>697</v>
      </c>
      <c r="D232" s="19" t="n">
        <f aca="false">SUMPRODUCT(($F$64:$L$64&lt;=$D$170)*$F$105:$L$105)</f>
        <v>126.460291536957</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12.45</v>
      </c>
    </row>
    <row r="235" customFormat="false" ht="15" hidden="false" customHeight="false" outlineLevel="0" collapsed="false">
      <c r="B235" s="9" t="s">
        <v>700</v>
      </c>
      <c r="D235" s="19" t="n">
        <f aca="false">SUMPRODUCT(($F$64:$L$64&lt;=$D$170)*$F$115:$L$115)</f>
        <v>35.1212746620225</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47.5712746620225</v>
      </c>
    </row>
    <row r="238" customFormat="false" ht="15" hidden="false" customHeight="false" outlineLevel="0" collapsed="false">
      <c r="B238" s="9" t="s">
        <v>703</v>
      </c>
      <c r="D238" s="19" t="n">
        <f aca="false">$D$54-$D$173</f>
        <v>35.3152627370429</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250.40600568</v>
      </c>
    </row>
    <row r="242" customFormat="false" ht="15" hidden="false" customHeight="false" outlineLevel="0" collapsed="false">
      <c r="B242" s="9" t="s">
        <v>234</v>
      </c>
      <c r="D242" s="14" t="n">
        <f aca="false">$D$172/$D$29-1</f>
        <v>0.5564577904</v>
      </c>
    </row>
    <row r="243" customFormat="false" ht="15" hidden="false" customHeight="false" outlineLevel="0" collapsed="false">
      <c r="B243" s="9" t="s">
        <v>235</v>
      </c>
      <c r="D243" s="25" t="n">
        <f aca="false">($D$172/$D$29)^(1/$D$170)-1</f>
        <v>0.0925151535860498</v>
      </c>
    </row>
    <row r="244" customFormat="false" ht="15" hidden="false" customHeight="false" outlineLevel="0" collapsed="false">
      <c r="B244" s="9" t="s">
        <v>236</v>
      </c>
      <c r="D244" s="14" t="n">
        <f aca="false">$D$179/$D$46-1</f>
        <v>1.30107589165922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721</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2" t="n">
        <v>9.5</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Case_Base!$D$57</f>
        <v>0.578947368421053</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475</v>
      </c>
    </row>
    <row r="30" customFormat="false" ht="15" hidden="false" customHeight="false" outlineLevel="0" collapsed="false">
      <c r="B30" s="9" t="s">
        <v>519</v>
      </c>
      <c r="D30" s="19" t="n">
        <f aca="false">IF($D$22&gt;0,$D$22*($D$29+Assumptions!$D$76+Assumptions!$D$78)/(1-Assumptions!$D$77*$D$22),0)</f>
        <v>289.643237486688</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239.643237486688</v>
      </c>
    </row>
    <row r="33" customFormat="false" ht="15" hidden="false" customHeight="false" outlineLevel="0" collapsed="false">
      <c r="B33" s="9" t="s">
        <v>522</v>
      </c>
      <c r="D33" s="19" t="n">
        <f aca="false">Assumptions!$D$77*($D$32+$D$31)</f>
        <v>5.79286474973376</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440</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5.79286474973376</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500.292864749734</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239.643237486688</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210.649627263046</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200.649627263046</v>
      </c>
    </row>
    <row r="49" customFormat="false" ht="15" hidden="false" customHeight="false" outlineLevel="0" collapsed="false">
      <c r="B49" s="17" t="s">
        <v>534</v>
      </c>
      <c r="D49" s="18" t="n">
        <f aca="false">$D$43+$D$44+$D$45+$D$48+$D$47</f>
        <v>500.292864749734</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289.643237486688</v>
      </c>
    </row>
    <row r="53" customFormat="false" ht="15" hidden="false" customHeight="false" outlineLevel="0" collapsed="false">
      <c r="B53" s="9" t="s">
        <v>303</v>
      </c>
      <c r="C53" s="6" t="s">
        <v>79</v>
      </c>
      <c r="D53" s="23" t="n">
        <f aca="false">$D$52/$D$28</f>
        <v>5.79286474973376</v>
      </c>
    </row>
    <row r="54" customFormat="false" ht="15" hidden="false" customHeight="false" outlineLevel="0" collapsed="false">
      <c r="B54" s="9" t="s">
        <v>192</v>
      </c>
      <c r="D54" s="19" t="n">
        <f aca="false">$D$52-$D$40</f>
        <v>279.643237486688</v>
      </c>
    </row>
    <row r="55" customFormat="false" ht="15" hidden="false" customHeight="false" outlineLevel="0" collapsed="false">
      <c r="B55" s="9" t="s">
        <v>538</v>
      </c>
      <c r="C55" s="6" t="s">
        <v>79</v>
      </c>
      <c r="D55" s="24" t="n">
        <f aca="false">$D$54/$D$28</f>
        <v>5.59286474973376</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0.60977523681408</v>
      </c>
    </row>
    <row r="59" customFormat="false" ht="15" hidden="false" customHeight="false" outlineLevel="0" collapsed="false">
      <c r="B59" s="9" t="s">
        <v>542</v>
      </c>
      <c r="D59" s="19" t="n">
        <f aca="false">$D$38+$D$39</f>
        <v>15.2928647497338</v>
      </c>
    </row>
    <row r="60" customFormat="false" ht="15" hidden="false" customHeight="false" outlineLevel="0" collapsed="false">
      <c r="B60" s="9" t="s">
        <v>543</v>
      </c>
      <c r="D60" s="25" t="n">
        <f aca="false">$D$59/$D$29</f>
        <v>0.0321955047362816</v>
      </c>
    </row>
    <row r="61" customFormat="false" ht="15" hidden="false" customHeight="false" outlineLevel="0" collapsed="false">
      <c r="B61" s="9" t="s">
        <v>544</v>
      </c>
      <c r="D61" s="25" t="n">
        <f aca="false">$D$59/$D$46</f>
        <v>0.0725985844287159</v>
      </c>
    </row>
    <row r="62" customFormat="false" ht="15" hidden="false" customHeight="false" outlineLevel="0" collapsed="false">
      <c r="B62" s="9" t="s">
        <v>545</v>
      </c>
      <c r="D62" s="19" t="n">
        <f aca="false">$D$46+(Assumptions!$D$72-$D$6)*$D$28</f>
        <v>235.649627263046</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10.1153248136315</v>
      </c>
      <c r="G91" s="18" t="n">
        <f aca="false">$G$72-$G$139-$G$105-$G$75-$G$79-$G$83-$G$87-$G$89</f>
        <v>13.5781034185304</v>
      </c>
      <c r="H91" s="18" t="n">
        <f aca="false">$H$72-$H$139-$H$105-$H$75-$H$79-$H$83-$H$87-$H$89</f>
        <v>13.1577875023163</v>
      </c>
      <c r="I91" s="18" t="n">
        <f aca="false">$I$72-$I$139-$I$105-$I$75-$I$79-$I$83-$I$87-$I$89</f>
        <v>18.2629570978956</v>
      </c>
      <c r="J91" s="18" t="n">
        <f aca="false">$J$72-$J$139-$J$105-$J$75-$J$79-$J$83-$J$87-$J$89</f>
        <v>25.9537018823016</v>
      </c>
      <c r="K91" s="18" t="n">
        <f aca="false">$K$72-$K$139-$K$105-$K$75-$K$79-$K$83-$K$87-$K$89</f>
        <v>29.6266679366302</v>
      </c>
      <c r="L91" s="18" t="n">
        <f aca="false">$L$72-$L$139-$L$105-$L$75-$L$79-$L$83-$L$87-$L$89</f>
        <v>32.4915463207211</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13.8594462193823</v>
      </c>
      <c r="H94" s="19" t="n">
        <f aca="false">$G$123</f>
        <v>11.1205586315229</v>
      </c>
      <c r="I94" s="19" t="n">
        <f aca="false">$H$123</f>
        <v>15.7409568794862</v>
      </c>
      <c r="J94" s="19" t="n">
        <f aca="false">$I$123</f>
        <v>20.6037408012574</v>
      </c>
      <c r="K94" s="19" t="n">
        <f aca="false">$J$123</f>
        <v>35.3207577315191</v>
      </c>
      <c r="L94" s="19" t="n">
        <f aca="false">$K$123</f>
        <v>62.1509932932824</v>
      </c>
    </row>
    <row r="95" customFormat="false" ht="15" hidden="false" customHeight="false" outlineLevel="0" collapsed="false">
      <c r="B95" s="9" t="s">
        <v>576</v>
      </c>
      <c r="F95" s="19" t="n">
        <f aca="false">$E$123+$F$91-$F$109-$F$82-$F$85+$F$84+$F$86-$F$88+$F$90</f>
        <v>17.7188924387646</v>
      </c>
      <c r="G95" s="19" t="n">
        <f aca="false">$F$123+$G$91-$G$109-$G$82-$G$85+$G$84+$G$86-$G$88+$G$90</f>
        <v>12.2411172630458</v>
      </c>
      <c r="H95" s="19" t="n">
        <f aca="false">$G$123+$H$91-$H$109-$H$82-$H$85+$H$84+$H$86-$H$88+$H$90</f>
        <v>21.4819137589723</v>
      </c>
      <c r="I95" s="19" t="n">
        <f aca="false">$H$123+$I$91-$I$109-$I$82-$I$85+$I$84+$I$86-$I$88+$I$90</f>
        <v>31.2074816025149</v>
      </c>
      <c r="J95" s="19" t="n">
        <f aca="false">$I$123+$J$91-$J$109-$J$82-$J$85+$J$84+$J$86-$J$88+$J$90</f>
        <v>43.7610103086921</v>
      </c>
      <c r="K95" s="19" t="n">
        <f aca="false">$J$123+$K$91-$K$109-$K$82-$K$85+$K$84+$K$86-$K$88+$K$90</f>
        <v>62.1509932932824</v>
      </c>
      <c r="L95" s="19" t="n">
        <f aca="false">$K$123+$L$91-$L$109-$L$82-$L$85+$L$84+$L$86-$L$88+$L$90</f>
        <v>91.8461072391366</v>
      </c>
    </row>
    <row r="96" customFormat="false" ht="15" hidden="false" customHeight="false" outlineLevel="0" collapsed="false">
      <c r="B96" s="17" t="s">
        <v>577</v>
      </c>
      <c r="F96" s="18" t="n">
        <f aca="false">$F$95+$F$110-$F$111-$F$115</f>
        <v>13.8594462193823</v>
      </c>
      <c r="G96" s="18" t="n">
        <f aca="false">$G$95+$G$110-$G$111-$G$115</f>
        <v>11.1205586315229</v>
      </c>
      <c r="H96" s="18" t="n">
        <f aca="false">$H$95+$H$110-$H$111-$H$115</f>
        <v>15.7409568794862</v>
      </c>
      <c r="I96" s="18" t="n">
        <f aca="false">$I$95+$I$110-$I$111-$I$115</f>
        <v>20.6037408012574</v>
      </c>
      <c r="J96" s="18" t="n">
        <f aca="false">$J$95+$J$110-$J$111-$J$115</f>
        <v>35.3207577315191</v>
      </c>
      <c r="K96" s="18" t="n">
        <f aca="false">$K$95+$K$110-$K$111-$K$115</f>
        <v>62.1509932932824</v>
      </c>
      <c r="L96" s="18" t="n">
        <f aca="false">$L$95+$L$110-$L$111-$L$115</f>
        <v>91.8461072391366</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20.3696751863685</v>
      </c>
      <c r="G101" s="38" t="n">
        <f aca="false">$F$118*$G$100</f>
        <v>19.8379255058573</v>
      </c>
      <c r="H101" s="38" t="n">
        <f aca="false">$G$118*$H$100</f>
        <v>22.9389812703142</v>
      </c>
      <c r="I101" s="38" t="n">
        <f aca="false">$H$118*$I$100</f>
        <v>22.2133031836941</v>
      </c>
      <c r="J101" s="38" t="n">
        <f aca="false">$I$118*$J$100</f>
        <v>21.0742884637236</v>
      </c>
      <c r="K101" s="38" t="n">
        <f aca="false">$J$118*$K$100</f>
        <v>20.1191702428002</v>
      </c>
      <c r="L101" s="38" t="n">
        <f aca="false">$K$118*$L$100</f>
        <v>19.8814734909365</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0.277188924387647</v>
      </c>
      <c r="H104" s="38" t="n">
        <f aca="false">$G$123*Assumptions!$D$9</f>
        <v>0.222411172630458</v>
      </c>
      <c r="I104" s="38" t="n">
        <f aca="false">$H$123*Assumptions!$D$9</f>
        <v>0.314819137589723</v>
      </c>
      <c r="J104" s="38" t="n">
        <f aca="false">$I$123*Assumptions!$D$9</f>
        <v>0.412074816025149</v>
      </c>
      <c r="K104" s="38" t="n">
        <f aca="false">$J$123*Assumptions!$D$9</f>
        <v>0.706415154630382</v>
      </c>
      <c r="L104" s="38" t="n">
        <f aca="false">$K$123*Assumptions!$D$9</f>
        <v>1.24301986586565</v>
      </c>
    </row>
    <row r="105" customFormat="false" ht="15" hidden="false" customHeight="false" outlineLevel="0" collapsed="false">
      <c r="B105" s="17" t="s">
        <v>585</v>
      </c>
      <c r="F105" s="40" t="n">
        <f aca="false">$F$101+$F$102+$F$103-$F$104</f>
        <v>25.8696751863685</v>
      </c>
      <c r="G105" s="40" t="n">
        <f aca="false">$G$101+$G$102+$G$103-$G$104</f>
        <v>25.2607365814696</v>
      </c>
      <c r="H105" s="40" t="n">
        <f aca="false">$H$101+$H$102+$H$103-$H$104</f>
        <v>28.4165700976837</v>
      </c>
      <c r="I105" s="40" t="n">
        <f aca="false">$I$101+$I$102+$I$103-$I$104</f>
        <v>27.5984840461044</v>
      </c>
      <c r="J105" s="40" t="n">
        <f aca="false">$J$101+$J$102+$J$103-$J$104</f>
        <v>26.3622136476984</v>
      </c>
      <c r="K105" s="40" t="n">
        <f aca="false">$K$101+$K$102+$K$103-$K$104</f>
        <v>25.1127550881698</v>
      </c>
      <c r="L105" s="40" t="n">
        <f aca="false">$L$101+$L$102+$L$103-$L$104</f>
        <v>24.3384536250709</v>
      </c>
    </row>
    <row r="106" customFormat="false" ht="15" hidden="false" customHeight="false" outlineLevel="0" collapsed="false">
      <c r="B106" s="9" t="s">
        <v>586</v>
      </c>
      <c r="F106" s="38" t="n">
        <f aca="false">IF($E$149&gt;0,$E$149/MAX(1,Assumptions!$D$86-($F$64-1)),0)</f>
        <v>0.827552107104823</v>
      </c>
      <c r="G106" s="38" t="n">
        <f aca="false">IF($F$149&gt;0,$F$149/MAX(1,Assumptions!$D$86-($G$64-1)),0)</f>
        <v>0.827552107104823</v>
      </c>
      <c r="H106" s="38" t="n">
        <f aca="false">IF($G$149&gt;0,$G$149/MAX(1,Assumptions!$D$86-($H$64-1)),0)</f>
        <v>0.987552107104823</v>
      </c>
      <c r="I106" s="38" t="n">
        <f aca="false">IF($H$149&gt;0,$H$149/MAX(1,Assumptions!$D$86-($I$64-1)),0)</f>
        <v>0.987552107104823</v>
      </c>
      <c r="J106" s="38" t="n">
        <f aca="false">IF($I$149&gt;0,$I$149/MAX(1,Assumptions!$D$86-($J$64-1)),0)</f>
        <v>0.987552107104823</v>
      </c>
      <c r="K106" s="38" t="n">
        <f aca="false">IF($J$149&gt;0,$J$149/MAX(1,Assumptions!$D$86-($K$64-1)),0)</f>
        <v>0.987552107104823</v>
      </c>
      <c r="L106" s="38" t="n">
        <f aca="false">IF($K$149&gt;0,$K$149/MAX(1,Assumptions!$D$86-($L$64-1)),0)</f>
        <v>0.987552107104823</v>
      </c>
    </row>
    <row r="107" customFormat="false" ht="15" hidden="false" customHeight="false" outlineLevel="0" collapsed="false">
      <c r="B107" s="9" t="s">
        <v>587</v>
      </c>
      <c r="F107" s="24" t="n">
        <f aca="false">IF($F$105&lt;&gt;0,$F$72/$F$105,0)</f>
        <v>2.11057926342927</v>
      </c>
      <c r="G107" s="24" t="n">
        <f aca="false">IF($G$105&lt;&gt;0,$G$72/$G$105,0)</f>
        <v>2.39688972666043</v>
      </c>
      <c r="H107" s="24" t="n">
        <f aca="false">IF($H$105&lt;&gt;0,$H$72/$H$105,0)</f>
        <v>2.03629811061247</v>
      </c>
      <c r="I107" s="24" t="n">
        <f aca="false">IF($I$105&lt;&gt;0,$I$72/$I$105,0)</f>
        <v>2.54579363861535</v>
      </c>
      <c r="J107" s="24" t="n">
        <f aca="false">IF($J$105&lt;&gt;0,$J$72/$J$105,0)</f>
        <v>2.95206201421535</v>
      </c>
      <c r="K107" s="24" t="n">
        <f aca="false">IF($K$105&lt;&gt;0,$K$72/$K$105,0)</f>
        <v>3.21811783761117</v>
      </c>
      <c r="L107" s="24" t="n">
        <f aca="false">IF($L$105&lt;&gt;0,$L$72/$L$105,0)</f>
        <v>3.44838824182231</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2.39643237486688</v>
      </c>
      <c r="G109" s="38" t="n">
        <f aca="false">IF($D$14=1,0,MIN($F$118,Assumptions!$D$85*$F$119))</f>
        <v>2.39643237486688</v>
      </c>
      <c r="H109" s="38" t="n">
        <f aca="false">IF($D$14=1,0,MIN($G$118,Assumptions!$D$85*$G$119))</f>
        <v>2.79643237486688</v>
      </c>
      <c r="I109" s="38" t="n">
        <f aca="false">IF($D$14=1,0,MIN($H$118,Assumptions!$D$85*$H$119))</f>
        <v>2.79643237486688</v>
      </c>
      <c r="J109" s="38" t="n">
        <f aca="false">IF($D$14=1,0,MIN($I$118,Assumptions!$D$85*$I$119))</f>
        <v>2.79643237486688</v>
      </c>
      <c r="K109" s="38" t="n">
        <f aca="false">IF($D$14=1,0,MIN($J$118,Assumptions!$D$85*$J$119))</f>
        <v>2.79643237486688</v>
      </c>
      <c r="L109" s="38" t="n">
        <f aca="false">IF($D$14=1,0,MIN($K$118,Assumptions!$D$85*$K$119))</f>
        <v>2.79643237486688</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17.7188924387646</v>
      </c>
      <c r="G112" s="19" t="n">
        <f aca="false">$G$95+$G$110-$G$111</f>
        <v>12.2411172630458</v>
      </c>
      <c r="H112" s="19" t="n">
        <f aca="false">$H$95+$H$110-$H$111</f>
        <v>21.4819137589723</v>
      </c>
      <c r="I112" s="19" t="n">
        <f aca="false">$I$95+$I$110-$I$111</f>
        <v>31.2074816025149</v>
      </c>
      <c r="J112" s="19" t="n">
        <f aca="false">$J$95+$J$110-$J$111</f>
        <v>43.7610103086921</v>
      </c>
      <c r="K112" s="19" t="n">
        <f aca="false">$K$95+$K$110-$K$111</f>
        <v>62.1509932932824</v>
      </c>
      <c r="L112" s="19" t="n">
        <f aca="false">$L$95+$L$110-$L$111</f>
        <v>91.8461072391366</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7.71889243876464</v>
      </c>
      <c r="G114" s="19" t="n">
        <f aca="false">MAX(0,$G$112-Assumptions!$D$79)</f>
        <v>2.24111726304582</v>
      </c>
      <c r="H114" s="19" t="n">
        <f aca="false">MAX(0,$H$112-Assumptions!$D$79)</f>
        <v>11.4819137589723</v>
      </c>
      <c r="I114" s="19" t="n">
        <f aca="false">MAX(0,$I$112-Assumptions!$D$79)</f>
        <v>21.2074816025149</v>
      </c>
      <c r="J114" s="19" t="n">
        <f aca="false">MAX(0,$J$112-Assumptions!$D$79)</f>
        <v>33.7610103086921</v>
      </c>
      <c r="K114" s="19" t="n">
        <f aca="false">MAX(0,$K$112-Assumptions!$D$79)</f>
        <v>52.1509932932824</v>
      </c>
      <c r="L114" s="19" t="n">
        <f aca="false">MAX(0,$L$112-Assumptions!$D$79)</f>
        <v>81.8461072391366</v>
      </c>
    </row>
    <row r="115" customFormat="false" ht="15" hidden="false" customHeight="false" outlineLevel="0" collapsed="false">
      <c r="B115" s="17" t="s">
        <v>595</v>
      </c>
      <c r="F115" s="18" t="n">
        <f aca="false">IF(AND($D$19=1,$D$14=0,$E$121-$F$111+$F$110=0),MIN($E$118-$F$109+$F$84,$F$113*$F$114),0)</f>
        <v>3.85944621938232</v>
      </c>
      <c r="G115" s="18" t="n">
        <f aca="false">IF(AND($D$19=1,$D$14=0,$F$121-$G$111+$G$110=0),MIN($F$118-$G$109+$G$84,$G$113*$G$114),0)</f>
        <v>1.12055863152291</v>
      </c>
      <c r="H115" s="18" t="n">
        <f aca="false">IF(AND($D$19=1,$D$14=0,$G$121-$H$111+$H$110=0),MIN($G$118-$H$109+$H$84,$H$113*$H$114),0)</f>
        <v>5.74095687948617</v>
      </c>
      <c r="I115" s="18" t="n">
        <f aca="false">IF(AND($D$19=1,$D$14=0,$H$121-$I$111+$I$110=0),MIN($H$118-$I$109+$I$84,$I$113*$I$114),0)</f>
        <v>10.6037408012574</v>
      </c>
      <c r="J115" s="18" t="n">
        <f aca="false">IF(AND($D$19=1,$D$14=0,$I$121-$J$111+$J$110=0),MIN($I$118-$J$109+$J$84,$J$113*$J$114),0)</f>
        <v>8.44025257717303</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239.643237486688</v>
      </c>
      <c r="F118" s="19" t="n">
        <f aca="false">$E$118-$F$109-$F$115+$F$84+$F$86</f>
        <v>233.387358892439</v>
      </c>
      <c r="G118" s="19" t="n">
        <f aca="false">$F$118-$G$109-$G$115+$G$84+$G$86</f>
        <v>269.870367886049</v>
      </c>
      <c r="H118" s="19" t="n">
        <f aca="false">$G$118-$H$109-$H$115+$H$84+$H$86</f>
        <v>261.332978631696</v>
      </c>
      <c r="I118" s="19" t="n">
        <f aca="false">$H$118-$I$109-$I$115+$I$84+$I$86</f>
        <v>247.932805455572</v>
      </c>
      <c r="J118" s="19" t="n">
        <f aca="false">$I$118-$J$109-$J$115+$J$84+$J$86</f>
        <v>236.696120503532</v>
      </c>
      <c r="K118" s="19" t="n">
        <f aca="false">$J$118-$K$109-$K$115+$K$84+$K$86</f>
        <v>233.899688128665</v>
      </c>
      <c r="L118" s="19" t="n">
        <f aca="false">$K$118-$L$109-$L$115+$L$84+$L$86</f>
        <v>231.103255753798</v>
      </c>
    </row>
    <row r="119" customFormat="false" ht="15" hidden="false" customHeight="false" outlineLevel="0" collapsed="false">
      <c r="B119" s="9" t="s">
        <v>598</v>
      </c>
      <c r="E119" s="19" t="n">
        <f aca="false">$D$32</f>
        <v>239.643237486688</v>
      </c>
      <c r="F119" s="19" t="n">
        <f aca="false">$E$119+$F$84+$F$86</f>
        <v>239.643237486688</v>
      </c>
      <c r="G119" s="19" t="n">
        <f aca="false">$F$119+$G$84+$G$86</f>
        <v>279.643237486688</v>
      </c>
      <c r="H119" s="19" t="n">
        <f aca="false">$G$119+$H$84+$H$86</f>
        <v>279.643237486688</v>
      </c>
      <c r="I119" s="19" t="n">
        <f aca="false">$H$119+$I$84+$I$86</f>
        <v>279.643237486688</v>
      </c>
      <c r="J119" s="19" t="n">
        <f aca="false">$I$119+$J$84+$J$86</f>
        <v>279.643237486688</v>
      </c>
      <c r="K119" s="19" t="n">
        <f aca="false">$J$119+$K$84+$K$86</f>
        <v>279.643237486688</v>
      </c>
      <c r="L119" s="19" t="n">
        <f aca="false">$K$119+$L$84+$L$86</f>
        <v>279.643237486688</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289.643237486688</v>
      </c>
      <c r="F122" s="18" t="n">
        <f aca="false">$F$118+$F$120+$F$121</f>
        <v>283.387358892439</v>
      </c>
      <c r="G122" s="18" t="n">
        <f aca="false">$G$118+$G$120+$G$121</f>
        <v>319.870367886049</v>
      </c>
      <c r="H122" s="18" t="n">
        <f aca="false">$H$118+$H$120+$H$121</f>
        <v>311.332978631696</v>
      </c>
      <c r="I122" s="18" t="n">
        <f aca="false">$I$118+$I$120+$I$121</f>
        <v>297.932805455572</v>
      </c>
      <c r="J122" s="18" t="n">
        <f aca="false">$J$118+$J$120+$J$121</f>
        <v>286.696120503532</v>
      </c>
      <c r="K122" s="18" t="n">
        <f aca="false">$K$118+$K$120+$K$121</f>
        <v>283.899688128665</v>
      </c>
      <c r="L122" s="18" t="n">
        <f aca="false">$L$118+$L$120+$L$121</f>
        <v>281.103255753798</v>
      </c>
    </row>
    <row r="123" customFormat="false" ht="15" hidden="false" customHeight="false" outlineLevel="0" collapsed="false">
      <c r="B123" s="9" t="s">
        <v>600</v>
      </c>
      <c r="E123" s="19" t="n">
        <f aca="false">Assumptions!$D$78</f>
        <v>10</v>
      </c>
      <c r="F123" s="19" t="n">
        <f aca="false">$F$112-$F$115</f>
        <v>13.8594462193823</v>
      </c>
      <c r="G123" s="19" t="n">
        <f aca="false">$G$112-$G$115</f>
        <v>11.1205586315229</v>
      </c>
      <c r="H123" s="19" t="n">
        <f aca="false">$H$112-$H$115</f>
        <v>15.7409568794862</v>
      </c>
      <c r="I123" s="19" t="n">
        <f aca="false">$I$112-$I$115</f>
        <v>20.6037408012574</v>
      </c>
      <c r="J123" s="19" t="n">
        <f aca="false">$J$112-$J$115</f>
        <v>35.3207577315191</v>
      </c>
      <c r="K123" s="19" t="n">
        <f aca="false">$K$112-$K$115</f>
        <v>62.1509932932824</v>
      </c>
      <c r="L123" s="19" t="n">
        <f aca="false">$L$112-$L$115</f>
        <v>91.8461072391366</v>
      </c>
    </row>
    <row r="124" customFormat="false" ht="15" hidden="false" customHeight="false" outlineLevel="0" collapsed="false">
      <c r="B124" s="17" t="s">
        <v>601</v>
      </c>
      <c r="E124" s="18" t="n">
        <f aca="false">$E$122-$E$123</f>
        <v>279.643237486688</v>
      </c>
      <c r="F124" s="18" t="n">
        <f aca="false">$F$122-$F$123</f>
        <v>269.527912673056</v>
      </c>
      <c r="G124" s="18" t="n">
        <f aca="false">$G$122-$G$123</f>
        <v>308.749809254526</v>
      </c>
      <c r="H124" s="18" t="n">
        <f aca="false">$H$122-$H$123</f>
        <v>295.59202175221</v>
      </c>
      <c r="I124" s="18" t="n">
        <f aca="false">$I$122-$I$123</f>
        <v>277.329064654314</v>
      </c>
      <c r="J124" s="18" t="n">
        <f aca="false">$J$122-$J$123</f>
        <v>251.375362772013</v>
      </c>
      <c r="K124" s="18" t="n">
        <f aca="false">$K$122-$K$123</f>
        <v>221.748694835382</v>
      </c>
      <c r="L124" s="18" t="n">
        <f aca="false">$L$122-$L$123</f>
        <v>189.257148514661</v>
      </c>
    </row>
    <row r="125" customFormat="false" ht="15" hidden="false" customHeight="false" outlineLevel="0" collapsed="false">
      <c r="B125" s="9" t="s">
        <v>538</v>
      </c>
      <c r="E125" s="24" t="n">
        <f aca="false">$E$124/$E$72</f>
        <v>5.59286474973376</v>
      </c>
      <c r="F125" s="24" t="n">
        <f aca="false">$F$124/$F$72</f>
        <v>4.93640865701569</v>
      </c>
      <c r="G125" s="24" t="n">
        <f aca="false">$G$124/$G$72</f>
        <v>5.09932431647584</v>
      </c>
      <c r="H125" s="24" t="n">
        <f aca="false">$H$124/$H$72</f>
        <v>5.1083387923791</v>
      </c>
      <c r="I125" s="24" t="n">
        <f aca="false">$I$124/$I$72</f>
        <v>3.94718028120609</v>
      </c>
      <c r="J125" s="24" t="n">
        <f aca="false">$J$124/$J$72</f>
        <v>3.23009546834432</v>
      </c>
      <c r="K125" s="24" t="n">
        <f aca="false">$K$124/$K$72</f>
        <v>2.74387781645929</v>
      </c>
      <c r="L125" s="24" t="n">
        <f aca="false">$L$124/$L$72</f>
        <v>2.2549823944329</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26.6972272934733</v>
      </c>
      <c r="G130" s="38" t="n">
        <f aca="false">$G$105+$G$106</f>
        <v>26.0882886885745</v>
      </c>
      <c r="H130" s="38" t="n">
        <f aca="false">$H$105+$H$106</f>
        <v>29.4041222047885</v>
      </c>
      <c r="I130" s="38" t="n">
        <f aca="false">$I$105+$I$106</f>
        <v>28.5860361532092</v>
      </c>
      <c r="J130" s="38" t="n">
        <f aca="false">$J$105+$J$106</f>
        <v>27.3497657548033</v>
      </c>
      <c r="K130" s="38" t="n">
        <f aca="false">$K$105+$K$106</f>
        <v>26.1003071952746</v>
      </c>
      <c r="L130" s="38" t="n">
        <f aca="false">$L$105+$L$106</f>
        <v>25.3260057321757</v>
      </c>
    </row>
    <row r="131" customFormat="false" ht="15" hidden="false" customHeight="false" outlineLevel="0" collapsed="false">
      <c r="B131" s="9" t="s">
        <v>606</v>
      </c>
      <c r="F131" s="38" t="n">
        <f aca="false">$F$129-$F$130-$F$83-$F$87-$F$89</f>
        <v>16.1427727065267</v>
      </c>
      <c r="G131" s="38" t="n">
        <f aca="false">$G$129-$G$130-$G$83-$G$87-$G$89</f>
        <v>20.4933113114255</v>
      </c>
      <c r="H131" s="38" t="n">
        <f aca="false">$H$129-$H$130-$H$83-$H$87-$H$89</f>
        <v>14.5588217952115</v>
      </c>
      <c r="I131" s="38" t="n">
        <f aca="false">$I$129-$I$130-$I$83-$I$87-$I$89</f>
        <v>26.8647484867908</v>
      </c>
      <c r="J131" s="38" t="n">
        <f aca="false">$J$129-$J$130-$J$83-$J$87-$J$89</f>
        <v>34.9461138611968</v>
      </c>
      <c r="K131" s="38" t="n">
        <f aca="false">$K$129-$K$130-$K$83-$K$87-$K$89</f>
        <v>38.5674076053654</v>
      </c>
      <c r="L131" s="38" t="n">
        <f aca="false">$L$129-$L$130-$L$83-$L$87-$L$89</f>
        <v>41.8084176604899</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26.6972272934733</v>
      </c>
      <c r="G133" s="38" t="n">
        <f aca="false">$G$130+$F$135</f>
        <v>36.4055159820478</v>
      </c>
      <c r="H133" s="38" t="n">
        <f aca="false">$H$130+$G$135</f>
        <v>47.6454781868363</v>
      </c>
      <c r="I133" s="38" t="n">
        <f aca="false">$I$130+$H$135</f>
        <v>58.8721319400455</v>
      </c>
      <c r="J133" s="38" t="n">
        <f aca="false">$J$130+$I$135</f>
        <v>65.1438841588488</v>
      </c>
      <c r="K133" s="38" t="n">
        <f aca="false">$K$130+$J$135</f>
        <v>67.8973244981234</v>
      </c>
      <c r="L133" s="38" t="n">
        <f aca="false">$L$130+$K$135</f>
        <v>68.9785887000591</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10.3172272934733</v>
      </c>
      <c r="G135" s="38" t="n">
        <f aca="false">$G$133-$G$134</f>
        <v>18.2413559820478</v>
      </c>
      <c r="H135" s="38" t="n">
        <f aca="false">$H$133-$H$134</f>
        <v>30.2860957868363</v>
      </c>
      <c r="I135" s="38" t="n">
        <f aca="false">$I$133-$I$134</f>
        <v>37.7941184040455</v>
      </c>
      <c r="J135" s="38" t="n">
        <f aca="false">$J$133-$J$134</f>
        <v>41.7970173028488</v>
      </c>
      <c r="K135" s="38" t="n">
        <f aca="false">$K$133-$K$134</f>
        <v>43.6525829678834</v>
      </c>
      <c r="L135" s="38" t="n">
        <f aca="false">$L$133-$L$134</f>
        <v>43.8000575086095</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9.5277727065267</v>
      </c>
      <c r="G140" s="19" t="n">
        <f aca="false">$G$131-$G$139</f>
        <v>13.3889513114255</v>
      </c>
      <c r="H140" s="19" t="n">
        <f aca="false">$H$131-$H$139</f>
        <v>7.90793139521147</v>
      </c>
      <c r="I140" s="19" t="n">
        <f aca="false">$I$131-$I$139</f>
        <v>18.2715557107908</v>
      </c>
      <c r="J140" s="19" t="n">
        <f aca="false">$J$131-$J$139</f>
        <v>25.2088606711968</v>
      </c>
      <c r="K140" s="19" t="n">
        <f aca="false">$K$131-$K$139</f>
        <v>28.4616642877654</v>
      </c>
      <c r="L140" s="19" t="n">
        <f aca="false">$L$131-$L$139</f>
        <v>31.3194446101859</v>
      </c>
    </row>
    <row r="141" customFormat="false" ht="15" hidden="false" customHeight="false" outlineLevel="0" collapsed="false">
      <c r="B141" s="9" t="s">
        <v>616</v>
      </c>
      <c r="F141" s="38" t="n">
        <f aca="false">Assumptions!$D$7*($F$129-$F$130)</f>
        <v>4.03569317663168</v>
      </c>
      <c r="G141" s="38" t="n">
        <f aca="false">Assumptions!$D$7*($G$129-$G$130)</f>
        <v>5.49832782785639</v>
      </c>
      <c r="H141" s="38" t="n">
        <f aca="false">Assumptions!$D$7*($H$129-$H$130)</f>
        <v>3.63970544880287</v>
      </c>
      <c r="I141" s="38" t="n">
        <f aca="false">Assumptions!$D$7*($I$129-$I$130)</f>
        <v>6.71618712169769</v>
      </c>
      <c r="J141" s="38" t="n">
        <f aca="false">Assumptions!$D$7*($J$129-$J$130)</f>
        <v>8.73652846529919</v>
      </c>
      <c r="K141" s="38" t="n">
        <f aca="false">Assumptions!$D$7*($K$129-$K$130)</f>
        <v>9.64185190134134</v>
      </c>
      <c r="L141" s="38" t="n">
        <f aca="false">Assumptions!$D$7*($L$129-$L$130)</f>
        <v>10.4521044151225</v>
      </c>
    </row>
    <row r="142" customFormat="false" ht="15" hidden="false" customHeight="false" outlineLevel="0" collapsed="false">
      <c r="B142" s="9" t="s">
        <v>617</v>
      </c>
      <c r="F142" s="38" t="n">
        <f aca="false">$F$139-$F$141</f>
        <v>2.57930682336832</v>
      </c>
      <c r="G142" s="38" t="n">
        <f aca="false">$G$139-$G$141</f>
        <v>1.60603217214361</v>
      </c>
      <c r="H142" s="38" t="n">
        <f aca="false">$H$139-$H$141</f>
        <v>3.01118495119713</v>
      </c>
      <c r="I142" s="38" t="n">
        <f aca="false">$I$139-$I$141</f>
        <v>1.87700565430231</v>
      </c>
      <c r="J142" s="38" t="n">
        <f aca="false">$J$139-$J$141</f>
        <v>1.00072472470081</v>
      </c>
      <c r="K142" s="38" t="n">
        <f aca="false">$K$139-$K$141</f>
        <v>0.46389141625866</v>
      </c>
      <c r="L142" s="38" t="n">
        <f aca="false">$L$139-$L$141</f>
        <v>0.0368686351815217</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13.8594462193823</v>
      </c>
      <c r="G145" s="19" t="n">
        <f aca="false">$G$123</f>
        <v>11.1205586315229</v>
      </c>
      <c r="H145" s="19" t="n">
        <f aca="false">$H$123</f>
        <v>15.7409568794862</v>
      </c>
      <c r="I145" s="19" t="n">
        <f aca="false">$I$123</f>
        <v>20.6037408012574</v>
      </c>
      <c r="J145" s="19" t="n">
        <f aca="false">$J$123</f>
        <v>35.3207577315191</v>
      </c>
      <c r="K145" s="19" t="n">
        <f aca="false">$K$123</f>
        <v>62.1509932932824</v>
      </c>
      <c r="L145" s="19" t="n">
        <f aca="false">$L$123</f>
        <v>91.8461072391366</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388.6</v>
      </c>
      <c r="F148" s="19" t="n">
        <f aca="false">$E$148+IF($F$82&gt;0,$F$82-Assumptions!$D$117*Assumptions!$D$27-Assumptions!$D$124*Assumptions!$D$117,0)</f>
        <v>388.6</v>
      </c>
      <c r="G148" s="19" t="n">
        <f aca="false">$F$148+IF($G$82&gt;0,$G$82-Assumptions!$D$117*Assumptions!$D$27-Assumptions!$D$124*Assumptions!$D$117,0)</f>
        <v>427.4</v>
      </c>
      <c r="H148" s="19" t="n">
        <f aca="false">$G$148+IF($H$82&gt;0,$H$82-Assumptions!$D$117*Assumptions!$D$27-Assumptions!$D$124*Assumptions!$D$117,0)</f>
        <v>427.4</v>
      </c>
      <c r="I148" s="19" t="n">
        <f aca="false">$H$148+IF($I$82&gt;0,$I$82-Assumptions!$D$117*Assumptions!$D$27-Assumptions!$D$124*Assumptions!$D$117,0)</f>
        <v>427.4</v>
      </c>
      <c r="J148" s="19" t="n">
        <f aca="false">$I$148+IF($J$82&gt;0,$J$82-Assumptions!$D$117*Assumptions!$D$27-Assumptions!$D$124*Assumptions!$D$117,0)</f>
        <v>427.4</v>
      </c>
      <c r="K148" s="19" t="n">
        <f aca="false">$J$148+IF($K$82&gt;0,$K$82-Assumptions!$D$117*Assumptions!$D$27-Assumptions!$D$124*Assumptions!$D$117,0)</f>
        <v>427.4</v>
      </c>
      <c r="L148" s="19" t="n">
        <f aca="false">$K$148+IF($L$82&gt;0,$L$82-Assumptions!$D$117*Assumptions!$D$27-Assumptions!$D$124*Assumptions!$D$117,0)</f>
        <v>427.4</v>
      </c>
    </row>
    <row r="149" customFormat="false" ht="15" hidden="false" customHeight="false" outlineLevel="0" collapsed="false">
      <c r="B149" s="9" t="s">
        <v>622</v>
      </c>
      <c r="E149" s="19" t="n">
        <f aca="false">$D$33</f>
        <v>5.79286474973376</v>
      </c>
      <c r="F149" s="19" t="n">
        <f aca="false">$E$149-$F$106+$F$85</f>
        <v>4.96531264262894</v>
      </c>
      <c r="G149" s="19" t="n">
        <f aca="false">$F$149-$G$106+$G$85</f>
        <v>4.93776053552411</v>
      </c>
      <c r="H149" s="19" t="n">
        <f aca="false">$G$149-$H$106+$H$85</f>
        <v>3.95020842841929</v>
      </c>
      <c r="I149" s="19" t="n">
        <f aca="false">$H$149-$I$106+$I$85</f>
        <v>2.96265632131447</v>
      </c>
      <c r="J149" s="19" t="n">
        <f aca="false">$I$149-$J$106+$J$85</f>
        <v>1.97510421420965</v>
      </c>
      <c r="K149" s="19" t="n">
        <f aca="false">$J$149-$K$106+$K$85</f>
        <v>0.987552107104823</v>
      </c>
      <c r="L149" s="19" t="n">
        <f aca="false">$K$149-$L$106+$L$85</f>
        <v>0</v>
      </c>
    </row>
    <row r="150" customFormat="false" ht="15" hidden="false" customHeight="false" outlineLevel="0" collapsed="false">
      <c r="B150" s="17" t="s">
        <v>623</v>
      </c>
      <c r="E150" s="18" t="n">
        <f aca="false">$E$145+$E$146+$E$147+$E$148+$E$149</f>
        <v>490.792864749734</v>
      </c>
      <c r="F150" s="18" t="n">
        <f aca="false">$F$145+$F$146+$F$147+$F$148+$F$149</f>
        <v>494.064758862011</v>
      </c>
      <c r="G150" s="18" t="n">
        <f aca="false">$G$145+$G$146+$G$147+$G$148+$G$149</f>
        <v>543.936719167047</v>
      </c>
      <c r="H150" s="18" t="n">
        <f aca="false">$H$145+$H$146+$H$147+$H$148+$H$149</f>
        <v>543.307261307906</v>
      </c>
      <c r="I150" s="18" t="n">
        <f aca="false">$I$145+$I$146+$I$147+$I$148+$I$149</f>
        <v>548.178643842572</v>
      </c>
      <c r="J150" s="18" t="n">
        <f aca="false">$J$145+$J$146+$J$147+$J$148+$J$149</f>
        <v>562.150819561729</v>
      </c>
      <c r="K150" s="18" t="n">
        <f aca="false">$K$145+$K$146+$K$147+$K$148+$K$149</f>
        <v>587.816051474627</v>
      </c>
      <c r="L150" s="18" t="n">
        <f aca="false">$L$145+$L$146+$L$147+$L$148+$L$149</f>
        <v>616.339063709946</v>
      </c>
    </row>
    <row r="151" customFormat="false" ht="15" hidden="false" customHeight="false" outlineLevel="0" collapsed="false">
      <c r="B151" s="9" t="s">
        <v>291</v>
      </c>
      <c r="E151" s="19" t="n">
        <f aca="false">$E$122</f>
        <v>289.643237486688</v>
      </c>
      <c r="F151" s="19" t="n">
        <f aca="false">$F$122</f>
        <v>283.387358892439</v>
      </c>
      <c r="G151" s="19" t="n">
        <f aca="false">$G$122</f>
        <v>319.870367886049</v>
      </c>
      <c r="H151" s="19" t="n">
        <f aca="false">$H$122</f>
        <v>311.332978631696</v>
      </c>
      <c r="I151" s="19" t="n">
        <f aca="false">$I$122</f>
        <v>297.932805455572</v>
      </c>
      <c r="J151" s="19" t="n">
        <f aca="false">$J$122</f>
        <v>286.696120503532</v>
      </c>
      <c r="K151" s="19" t="n">
        <f aca="false">$K$122</f>
        <v>283.899688128665</v>
      </c>
      <c r="L151" s="19" t="n">
        <f aca="false">$L$122</f>
        <v>281.103255753798</v>
      </c>
    </row>
    <row r="152" customFormat="false" ht="15" hidden="false" customHeight="false" outlineLevel="0" collapsed="false">
      <c r="B152" s="9" t="s">
        <v>624</v>
      </c>
      <c r="E152" s="19" t="n">
        <f aca="false">$D$46-Assumptions!$D$76</f>
        <v>201.149627263046</v>
      </c>
      <c r="F152" s="19" t="n">
        <f aca="false">$E$152+$F$140-$F$88+$F$90</f>
        <v>210.677399969573</v>
      </c>
      <c r="G152" s="19" t="n">
        <f aca="false">$F$152+$G$140-$G$88+$G$90</f>
        <v>224.066351280998</v>
      </c>
      <c r="H152" s="19" t="n">
        <f aca="false">$G$152+$H$140-$H$88+$H$90</f>
        <v>231.97428267621</v>
      </c>
      <c r="I152" s="19" t="n">
        <f aca="false">$H$152+$I$140-$I$88+$I$90</f>
        <v>250.245838387</v>
      </c>
      <c r="J152" s="19" t="n">
        <f aca="false">$I$152+$J$140-$J$88+$J$90</f>
        <v>275.454699058197</v>
      </c>
      <c r="K152" s="19" t="n">
        <f aca="false">$J$152+$K$140-$K$88+$K$90</f>
        <v>303.916363345962</v>
      </c>
      <c r="L152" s="19" t="n">
        <f aca="false">$K$152+$L$140-$L$88+$L$90</f>
        <v>335.235807956148</v>
      </c>
    </row>
    <row r="153" customFormat="false" ht="15" hidden="false" customHeight="false" outlineLevel="0" collapsed="false">
      <c r="B153" s="17" t="s">
        <v>625</v>
      </c>
      <c r="E153" s="18" t="n">
        <f aca="false">$E$151+$E$152</f>
        <v>490.792864749734</v>
      </c>
      <c r="F153" s="18" t="n">
        <f aca="false">$F$151+$F$152</f>
        <v>494.064758862011</v>
      </c>
      <c r="G153" s="18" t="n">
        <f aca="false">$G$151+$G$152</f>
        <v>543.936719167047</v>
      </c>
      <c r="H153" s="18" t="n">
        <f aca="false">$H$151+$H$152</f>
        <v>543.307261307906</v>
      </c>
      <c r="I153" s="18" t="n">
        <f aca="false">$I$151+$I$152</f>
        <v>548.178643842572</v>
      </c>
      <c r="J153" s="18" t="n">
        <f aca="false">$J$151+$J$152</f>
        <v>562.150819561729</v>
      </c>
      <c r="K153" s="18" t="n">
        <f aca="false">$K$151+$K$152</f>
        <v>587.816051474627</v>
      </c>
      <c r="L153" s="18" t="n">
        <f aca="false">$L$151+$L$152</f>
        <v>616.339063709946</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269.527912673056</v>
      </c>
      <c r="G160" s="19" t="n">
        <f aca="false">$G$124</f>
        <v>308.749809254526</v>
      </c>
      <c r="H160" s="19" t="n">
        <f aca="false">$H$124</f>
        <v>295.59202175221</v>
      </c>
      <c r="I160" s="19" t="n">
        <f aca="false">$I$124</f>
        <v>277.329064654314</v>
      </c>
      <c r="J160" s="19" t="n">
        <f aca="false">$J$124</f>
        <v>251.375362772013</v>
      </c>
      <c r="K160" s="19" t="n">
        <f aca="false">$K$124</f>
        <v>221.748694835382</v>
      </c>
      <c r="L160" s="19" t="n">
        <f aca="false">$L$124</f>
        <v>189.257148514661</v>
      </c>
    </row>
    <row r="161" customFormat="false" ht="15" hidden="false" customHeight="false" outlineLevel="0" collapsed="false">
      <c r="B161" s="17" t="s">
        <v>632</v>
      </c>
      <c r="F161" s="41" t="n">
        <f aca="false">$F$124/$F$159</f>
        <v>4.93640865701569</v>
      </c>
      <c r="G161" s="41" t="n">
        <f aca="false">$G$124/$G$159</f>
        <v>4.31533042878723</v>
      </c>
      <c r="H161" s="41" t="n">
        <f aca="false">$H$124/$H$159</f>
        <v>4.93767572573447</v>
      </c>
      <c r="I161" s="41" t="n">
        <f aca="false">$I$124/$I$159</f>
        <v>3.91928897422266</v>
      </c>
      <c r="J161" s="41" t="n">
        <f aca="false">$J$124/$J$159</f>
        <v>3.23009546834432</v>
      </c>
      <c r="K161" s="41" t="n">
        <f aca="false">$K$124/$K$159</f>
        <v>2.74387781645929</v>
      </c>
      <c r="L161" s="41" t="n">
        <f aca="false">$L$124/$L$159</f>
        <v>2.2549823944329</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0.813591342984315</v>
      </c>
      <c r="G163" s="24" t="n">
        <f aca="false">$G$162-$G$161</f>
        <v>0.934669571212766</v>
      </c>
      <c r="H163" s="24" t="n">
        <f aca="false">$H$162-$H$161</f>
        <v>-0.187675725734472</v>
      </c>
      <c r="I163" s="24" t="n">
        <f aca="false">$I$162-$I$161</f>
        <v>0.330711025777337</v>
      </c>
      <c r="J163" s="24" t="n">
        <f aca="false">$J$162-$J$161</f>
        <v>0.769904531655681</v>
      </c>
      <c r="K163" s="24" t="n">
        <f aca="false">$K$162-$K$161</f>
        <v>1.25612218354071</v>
      </c>
      <c r="L163" s="24" t="n">
        <f aca="false">$L$162-$L$161</f>
        <v>1.7450176055671</v>
      </c>
    </row>
    <row r="164" customFormat="false" ht="15" hidden="false" customHeight="false" outlineLevel="0" collapsed="false">
      <c r="B164" s="9" t="s">
        <v>635</v>
      </c>
      <c r="F164" s="14" t="n">
        <f aca="false">1-$F$124/($F$162*$F$159)</f>
        <v>0.141494146605968</v>
      </c>
      <c r="G164" s="14" t="n">
        <f aca="false">1-$G$124/($G$162*$G$159)</f>
        <v>0.178032299278622</v>
      </c>
      <c r="H164" s="14" t="n">
        <f aca="false">1-$H$124/($H$162*$H$159)</f>
        <v>-0.0395106791019944</v>
      </c>
      <c r="I164" s="14" t="n">
        <f aca="false">1-$I$124/($I$162*$I$159)</f>
        <v>0.0778143590064323</v>
      </c>
      <c r="J164" s="14" t="n">
        <f aca="false">1-$J$124/($J$162*$J$159)</f>
        <v>0.19247613291392</v>
      </c>
      <c r="K164" s="14" t="n">
        <f aca="false">1-$K$124/($K$162*$K$159)</f>
        <v>0.314030545885178</v>
      </c>
      <c r="L164" s="14" t="n">
        <f aca="false">1-$L$124/($L$162*$L$159)</f>
        <v>0.436254401391776</v>
      </c>
    </row>
    <row r="165" customFormat="false" ht="15" hidden="false" customHeight="false" outlineLevel="0" collapsed="false">
      <c r="B165" s="9" t="s">
        <v>636</v>
      </c>
      <c r="F165" s="19" t="n">
        <f aca="false">$F$164*$F$159</f>
        <v>7.72558040468584</v>
      </c>
      <c r="G165" s="19" t="n">
        <f aca="false">$G$164*$G$159</f>
        <v>12.7377125229474</v>
      </c>
      <c r="H165" s="19" t="n">
        <f aca="false">$H$164*$H$159</f>
        <v>-2.36529131625468</v>
      </c>
      <c r="I165" s="19" t="n">
        <f aca="false">$I$164*$I$159</f>
        <v>5.50614755427903</v>
      </c>
      <c r="J165" s="19" t="n">
        <f aca="false">$J$164*$J$159</f>
        <v>14.9790488269969</v>
      </c>
      <c r="K165" s="19" t="n">
        <f aca="false">$K$164*$K$159</f>
        <v>25.3786313919544</v>
      </c>
      <c r="L165" s="19" t="n">
        <f aca="false">$L$164*$L$159</f>
        <v>36.6141501761667</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2.36529131625468</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-0.813591342984315</v>
      </c>
      <c r="G167" s="24" t="n">
        <f aca="false">$G$125-Assumptions!$G$169</f>
        <v>-0.15067568352416</v>
      </c>
      <c r="H167" s="24" t="n">
        <f aca="false">$H$125-Assumptions!$H$169</f>
        <v>0.358338792379095</v>
      </c>
      <c r="I167" s="24" t="n">
        <f aca="false">$I$125-Assumptions!$I$169</f>
        <v>-0.30281971879391</v>
      </c>
      <c r="J167" s="24" t="n">
        <f aca="false">$J$125-Assumptions!$J$169</f>
        <v>-0.769904531655681</v>
      </c>
      <c r="K167" s="24" t="n">
        <f aca="false">$K$125-Assumptions!$K$169</f>
        <v>-1.25612218354071</v>
      </c>
      <c r="L167" s="24" t="n">
        <f aca="false">$L$125-Assumptions!$L$169</f>
        <v>-1.7450176055671</v>
      </c>
    </row>
    <row r="168" customFormat="false" ht="15" hidden="false" customHeight="false" outlineLevel="0" collapsed="false">
      <c r="B168" s="9" t="s">
        <v>639</v>
      </c>
      <c r="F168" s="24" t="n">
        <f aca="false">$F$161-$F$162</f>
        <v>-0.813591342984315</v>
      </c>
      <c r="G168" s="24" t="n">
        <f aca="false">$G$161-$G$162</f>
        <v>-0.934669571212766</v>
      </c>
      <c r="H168" s="24" t="n">
        <f aca="false">$H$161-$H$162</f>
        <v>0.187675725734472</v>
      </c>
      <c r="I168" s="24" t="n">
        <f aca="false">$I$161-$I$162</f>
        <v>-0.330711025777337</v>
      </c>
      <c r="J168" s="24" t="n">
        <f aca="false">$J$161-$J$162</f>
        <v>-0.769904531655681</v>
      </c>
      <c r="K168" s="24" t="n">
        <f aca="false">$K$161-$K$162</f>
        <v>-1.25612218354071</v>
      </c>
      <c r="L168" s="24" t="n">
        <f aca="false">$L$161-$L$162</f>
        <v>-1.7450176055671</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251.375362772013</v>
      </c>
    </row>
    <row r="174" customFormat="false" ht="15" hidden="false" customHeight="false" outlineLevel="0" collapsed="false">
      <c r="B174" s="9" t="s">
        <v>643</v>
      </c>
      <c r="D174" s="19" t="n">
        <f aca="false">INDEX($E$118:$L$118,1,$D$170+1)</f>
        <v>236.696120503532</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35.3207577315191</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438.524552822787</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210.649627263046</v>
      </c>
    </row>
    <row r="183" customFormat="false" ht="15" hidden="false" customHeight="false" outlineLevel="0" collapsed="false">
      <c r="B183" s="9" t="s">
        <v>651</v>
      </c>
      <c r="D183" s="42" t="n">
        <f aca="false">$D$48/Assumptions!$D$108</f>
        <v>200.649627263046</v>
      </c>
    </row>
    <row r="184" customFormat="false" ht="15" hidden="false" customHeight="false" outlineLevel="0" collapsed="false">
      <c r="B184" s="9" t="s">
        <v>652</v>
      </c>
      <c r="D184" s="14" t="n">
        <f aca="false">$D$48/$D$46</f>
        <v>0.95252780586451</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0.0474721941354904</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210.649627263046</v>
      </c>
    </row>
    <row r="190" customFormat="false" ht="15" hidden="false" customHeight="false" outlineLevel="0" collapsed="false">
      <c r="B190" s="9" t="s">
        <v>658</v>
      </c>
      <c r="D190" s="34" t="n">
        <f aca="false">$D$183+$D$188/Assumptions!$D$108</f>
        <v>200.649627263046</v>
      </c>
    </row>
    <row r="191" customFormat="false" ht="15" hidden="false" customHeight="false" outlineLevel="0" collapsed="false">
      <c r="B191" s="9" t="s">
        <v>659</v>
      </c>
      <c r="D191" s="34" t="n">
        <f aca="false">$D$182*Assumptions!$D$109/(1-Assumptions!$D$109)</f>
        <v>18.3173588924388</v>
      </c>
    </row>
    <row r="192" customFormat="false" ht="15" hidden="false" customHeight="false" outlineLevel="0" collapsed="false">
      <c r="B192" s="9" t="s">
        <v>660</v>
      </c>
      <c r="D192" s="35" t="n">
        <f aca="false">($D$179+$D$191*Assumptions!$D$108)/($D$189+$D$191)</f>
        <v>1.99523048883999</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1.99523048883999</v>
      </c>
    </row>
    <row r="195" customFormat="false" ht="15" hidden="false" customHeight="false" outlineLevel="0" collapsed="false">
      <c r="B195" s="9" t="s">
        <v>663</v>
      </c>
      <c r="D195" s="34" t="n">
        <f aca="false">IF($D$194&gt;=Assumptions!$D$110,$D$191,$D$191*0.5)</f>
        <v>9.15867944621938</v>
      </c>
    </row>
    <row r="196" customFormat="false" ht="15" hidden="false" customHeight="false" outlineLevel="0" collapsed="false">
      <c r="B196" s="9" t="s">
        <v>664</v>
      </c>
      <c r="D196" s="35" t="n">
        <f aca="false">($D$179+$D$195*Assumptions!$D$108)/($D$189+$D$195)</f>
        <v>2.03669842587499</v>
      </c>
    </row>
    <row r="197" customFormat="false" ht="15" hidden="false" customHeight="false" outlineLevel="0" collapsed="false">
      <c r="B197" s="9" t="s">
        <v>665</v>
      </c>
      <c r="D197" s="34" t="n">
        <f aca="false">IF($D$196&lt;Assumptions!$D$108,0,$D$195)</f>
        <v>9.15867944621938</v>
      </c>
    </row>
    <row r="198" customFormat="false" ht="15" hidden="false" customHeight="false" outlineLevel="0" collapsed="false">
      <c r="B198" s="17" t="s">
        <v>666</v>
      </c>
      <c r="D198" s="43" t="n">
        <f aca="false">IF($D$196&lt;Assumptions!$D$108,$D$179/$D$189,$D$196)</f>
        <v>2.03669842587499</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408.662779999048</v>
      </c>
    </row>
    <row r="201" customFormat="false" ht="15" hidden="false" customHeight="false" outlineLevel="0" collapsed="false">
      <c r="B201" s="9" t="s">
        <v>668</v>
      </c>
      <c r="D201" s="14" t="n">
        <f aca="false">$D$200/$D$179</f>
        <v>0.931903988883818</v>
      </c>
    </row>
    <row r="202" customFormat="false" ht="15" hidden="false" customHeight="false" outlineLevel="0" collapsed="false">
      <c r="B202" s="9" t="s">
        <v>669</v>
      </c>
      <c r="D202" s="19" t="n">
        <f aca="false">$D$185*$D$198</f>
        <v>20.3669842587499</v>
      </c>
    </row>
    <row r="203" customFormat="false" ht="15" hidden="false" customHeight="false" outlineLevel="0" collapsed="false">
      <c r="B203" s="9" t="s">
        <v>670</v>
      </c>
      <c r="D203" s="19" t="n">
        <f aca="false">$D$197*MAX(0,$D$198-Assumptions!$D$108)</f>
        <v>9.49478856498923</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29.8617728237391</v>
      </c>
    </row>
    <row r="206" customFormat="false" ht="15" hidden="false" customHeight="false" outlineLevel="0" collapsed="false">
      <c r="B206" s="9" t="s">
        <v>673</v>
      </c>
      <c r="D206" s="24" t="n">
        <f aca="false">$D$205/$D$47</f>
        <v>2.98617728237391</v>
      </c>
    </row>
    <row r="207" customFormat="false" ht="15" hidden="false" customHeight="false" outlineLevel="0" collapsed="false">
      <c r="B207" s="9" t="s">
        <v>674</v>
      </c>
      <c r="D207" s="19" t="n">
        <f aca="false">$D$187*$D$198</f>
        <v>8.14679370349995</v>
      </c>
    </row>
    <row r="208" customFormat="false" ht="15" hidden="false" customHeight="false" outlineLevel="0" collapsed="false">
      <c r="B208" s="9" t="s">
        <v>675</v>
      </c>
      <c r="D208" s="19" t="n">
        <f aca="false">$D$203*Assumptions!$D$112</f>
        <v>3.32317599774623</v>
      </c>
    </row>
    <row r="209" customFormat="false" ht="15" hidden="false" customHeight="false" outlineLevel="0" collapsed="false">
      <c r="B209" s="9" t="s">
        <v>676</v>
      </c>
      <c r="D209" s="19" t="n">
        <f aca="false">$D$207+$D$208</f>
        <v>11.4699697012462</v>
      </c>
    </row>
    <row r="210" customFormat="false" ht="15" hidden="false" customHeight="false" outlineLevel="0" collapsed="false">
      <c r="B210" s="9" t="s">
        <v>677</v>
      </c>
      <c r="D210" s="24" t="n">
        <f aca="false">$D$209/Assumptions!$D$111</f>
        <v>2.86749242531154</v>
      </c>
    </row>
    <row r="211" customFormat="false" ht="15" hidden="false" customHeight="false" outlineLevel="0" collapsed="false">
      <c r="B211" s="9" t="s">
        <v>678</v>
      </c>
      <c r="D211" s="19" t="n">
        <f aca="false">$D$179*$D$190/$D$189</f>
        <v>417.706830118005</v>
      </c>
    </row>
    <row r="212" customFormat="false" ht="15" hidden="false" customHeight="false" outlineLevel="0" collapsed="false">
      <c r="B212" s="9" t="s">
        <v>679</v>
      </c>
      <c r="D212" s="19" t="n">
        <f aca="false">$D$211-$D$200</f>
        <v>9.04405011895665</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200.649627263046</v>
      </c>
      <c r="F216" s="34" t="n">
        <f aca="false">$D$183+$F$215/Assumptions!$D$108</f>
        <v>200.649627263046</v>
      </c>
      <c r="G216" s="34" t="n">
        <f aca="false">$D$183+$G$215/Assumptions!$D$108</f>
        <v>200.649627263046</v>
      </c>
      <c r="H216" s="34" t="n">
        <f aca="false">$D$183+$H$215/Assumptions!$D$108</f>
        <v>200.649627263046</v>
      </c>
      <c r="I216" s="34" t="n">
        <f aca="false">$D$183+$I$215/Assumptions!$D$108</f>
        <v>200.649627263046</v>
      </c>
      <c r="J216" s="34" t="n">
        <f aca="false">$D$183+$J$215/Assumptions!$D$108</f>
        <v>200.649627263046</v>
      </c>
      <c r="K216" s="34" t="n">
        <f aca="false">$D$183+$K$215/Assumptions!$D$108</f>
        <v>200.649627263046</v>
      </c>
      <c r="L216" s="34" t="n">
        <f aca="false">$D$183+$L$215/Assumptions!$D$108</f>
        <v>200.649627263046</v>
      </c>
    </row>
    <row r="217" customFormat="false" ht="15" hidden="false" customHeight="false" outlineLevel="0" collapsed="false">
      <c r="B217" s="9" t="s">
        <v>683</v>
      </c>
      <c r="E217" s="34" t="n">
        <f aca="false">$D$182+$E$215/Assumptions!$D$108</f>
        <v>210.649627263046</v>
      </c>
      <c r="F217" s="34" t="n">
        <f aca="false">$D$182+$F$215/Assumptions!$D$108</f>
        <v>210.649627263046</v>
      </c>
      <c r="G217" s="34" t="n">
        <f aca="false">$D$182+$G$215/Assumptions!$D$108</f>
        <v>210.649627263046</v>
      </c>
      <c r="H217" s="34" t="n">
        <f aca="false">$D$182+$H$215/Assumptions!$D$108</f>
        <v>210.649627263046</v>
      </c>
      <c r="I217" s="34" t="n">
        <f aca="false">$D$182+$I$215/Assumptions!$D$108</f>
        <v>210.649627263046</v>
      </c>
      <c r="J217" s="34" t="n">
        <f aca="false">$D$182+$J$215/Assumptions!$D$108</f>
        <v>210.649627263046</v>
      </c>
      <c r="K217" s="34" t="n">
        <f aca="false">$D$182+$K$215/Assumptions!$D$108</f>
        <v>210.649627263046</v>
      </c>
      <c r="L217" s="34" t="n">
        <f aca="false">$D$182+$L$215/Assumptions!$D$108</f>
        <v>210.649627263046</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-200.649627263046</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408.662779999048</v>
      </c>
      <c r="K219" s="18" t="n">
        <f aca="false">IF($K$64&lt;=$D$170,$K$218+IF($K$64=$D$170,$D$200,0),0)</f>
        <v>0</v>
      </c>
      <c r="L219" s="18" t="n">
        <f aca="false">IF($L$64&lt;=$D$170,$L$218+IF($L$64=$D$170,$D$200,0),0)</f>
        <v>0</v>
      </c>
    </row>
    <row r="220" customFormat="false" ht="15" hidden="false" customHeight="false" outlineLevel="0" collapsed="false">
      <c r="B220" s="9" t="s">
        <v>686</v>
      </c>
      <c r="E220" s="19" t="n">
        <f aca="false">-$D$46</f>
        <v>-210.649627263046</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438.524552822787</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0.152883292716046</v>
      </c>
    </row>
    <row r="224" customFormat="false" ht="15" hidden="false" customHeight="false" outlineLevel="0" collapsed="false">
      <c r="B224" s="9" t="s">
        <v>689</v>
      </c>
      <c r="D224" s="25" t="n">
        <f aca="false">XIRR($E$219:$L$219,$E$221:$L$221,0.1)</f>
        <v>0.152793473590451</v>
      </c>
    </row>
    <row r="225" customFormat="false" ht="15" hidden="false" customHeight="false" outlineLevel="0" collapsed="false">
      <c r="B225" s="17" t="s">
        <v>690</v>
      </c>
      <c r="D225" s="41" t="n">
        <f aca="false">SUMIF($E$219:$L$219,"&gt;0")/-SUMIF($E$219:$L$219,"&lt;0")</f>
        <v>2.03669842587499</v>
      </c>
    </row>
    <row r="226" customFormat="false" ht="15" hidden="false" customHeight="false" outlineLevel="0" collapsed="false">
      <c r="B226" s="9" t="s">
        <v>691</v>
      </c>
      <c r="D226" s="19" t="n">
        <f aca="false">-SUMIF($E$219:$L$219,"&lt;0")</f>
        <v>200.649627263046</v>
      </c>
    </row>
    <row r="227" customFormat="false" ht="15" hidden="false" customHeight="false" outlineLevel="0" collapsed="false">
      <c r="B227" s="9" t="s">
        <v>692</v>
      </c>
      <c r="D227" s="25" t="n">
        <f aca="false">IRR($E$220:$L$220,0.1)</f>
        <v>0.157941566080595</v>
      </c>
    </row>
    <row r="228" customFormat="false" ht="15" hidden="false" customHeight="false" outlineLevel="0" collapsed="false">
      <c r="B228" s="9" t="s">
        <v>693</v>
      </c>
      <c r="D228" s="24" t="n">
        <f aca="false">SUMIF($E$220:$L$220,"&gt;0")/-SUMIF($E$220:$L$220,"&lt;0")</f>
        <v>2.08177227047825</v>
      </c>
    </row>
    <row r="229" customFormat="false" ht="15" hidden="false" customHeight="false" outlineLevel="0" collapsed="false">
      <c r="B229" s="9" t="s">
        <v>694</v>
      </c>
      <c r="D229" s="19" t="n">
        <f aca="false">SUM($E$220:$L$220)</f>
        <v>227.874925559742</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81.0678747146753</v>
      </c>
    </row>
    <row r="232" customFormat="false" ht="15" hidden="false" customHeight="false" outlineLevel="0" collapsed="false">
      <c r="B232" s="9" t="s">
        <v>697</v>
      </c>
      <c r="D232" s="19" t="n">
        <f aca="false">SUMPRODUCT(($F$64:$L$64&lt;=$D$170)*$F$105:$L$105)</f>
        <v>133.507679559325</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13.1821618743344</v>
      </c>
    </row>
    <row r="235" customFormat="false" ht="15" hidden="false" customHeight="false" outlineLevel="0" collapsed="false">
      <c r="B235" s="9" t="s">
        <v>700</v>
      </c>
      <c r="D235" s="19" t="n">
        <f aca="false">SUMPRODUCT(($F$64:$L$64&lt;=$D$170)*$F$115:$L$115)</f>
        <v>29.7649551088219</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42.9471169831563</v>
      </c>
    </row>
    <row r="238" customFormat="false" ht="15" hidden="false" customHeight="false" outlineLevel="0" collapsed="false">
      <c r="B238" s="9" t="s">
        <v>703</v>
      </c>
      <c r="D238" s="19" t="n">
        <f aca="false">$D$54-$D$173</f>
        <v>28.2678747146753</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225.40600568</v>
      </c>
    </row>
    <row r="242" customFormat="false" ht="15" hidden="false" customHeight="false" outlineLevel="0" collapsed="false">
      <c r="B242" s="9" t="s">
        <v>234</v>
      </c>
      <c r="D242" s="14" t="n">
        <f aca="false">$D$172/$D$29-1</f>
        <v>0.474538959326316</v>
      </c>
    </row>
    <row r="243" customFormat="false" ht="15" hidden="false" customHeight="false" outlineLevel="0" collapsed="false">
      <c r="B243" s="9" t="s">
        <v>235</v>
      </c>
      <c r="D243" s="25" t="n">
        <f aca="false">($D$172/$D$29)^(1/$D$170)-1</f>
        <v>0.0807649464771274</v>
      </c>
    </row>
    <row r="244" customFormat="false" ht="15" hidden="false" customHeight="false" outlineLevel="0" collapsed="false">
      <c r="B244" s="9" t="s">
        <v>236</v>
      </c>
      <c r="D244" s="14" t="n">
        <f aca="false">$D$179/$D$46-1</f>
        <v>1.08177227047825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722</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2" t="n">
        <v>10</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Case_Base!$D$57</f>
        <v>0.578947368421053</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500</v>
      </c>
    </row>
    <row r="30" customFormat="false" ht="15" hidden="false" customHeight="false" outlineLevel="0" collapsed="false">
      <c r="B30" s="9" t="s">
        <v>519</v>
      </c>
      <c r="D30" s="19" t="n">
        <f aca="false">IF($D$22&gt;0,$D$22*($D$29+Assumptions!$D$76+Assumptions!$D$78)/(1-Assumptions!$D$77*$D$22),0)</f>
        <v>304.286474973376</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254.286474973376</v>
      </c>
    </row>
    <row r="33" customFormat="false" ht="15" hidden="false" customHeight="false" outlineLevel="0" collapsed="false">
      <c r="B33" s="9" t="s">
        <v>522</v>
      </c>
      <c r="D33" s="19" t="n">
        <f aca="false">Assumptions!$D$77*($D$32+$D$31)</f>
        <v>6.08572949946752</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465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6.08572949946752</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525.585729499468</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254.286474973376</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221.299254526092</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211.299254526092</v>
      </c>
    </row>
    <row r="49" customFormat="false" ht="15" hidden="false" customHeight="false" outlineLevel="0" collapsed="false">
      <c r="B49" s="17" t="s">
        <v>534</v>
      </c>
      <c r="D49" s="18" t="n">
        <f aca="false">$D$43+$D$44+$D$45+$D$48+$D$47</f>
        <v>525.585729499468</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304.286474973376</v>
      </c>
    </row>
    <row r="53" customFormat="false" ht="15" hidden="false" customHeight="false" outlineLevel="0" collapsed="false">
      <c r="B53" s="9" t="s">
        <v>303</v>
      </c>
      <c r="C53" s="6" t="s">
        <v>79</v>
      </c>
      <c r="D53" s="23" t="n">
        <f aca="false">$D$52/$D$28</f>
        <v>6.08572949946752</v>
      </c>
    </row>
    <row r="54" customFormat="false" ht="15" hidden="false" customHeight="false" outlineLevel="0" collapsed="false">
      <c r="B54" s="9" t="s">
        <v>192</v>
      </c>
      <c r="D54" s="19" t="n">
        <f aca="false">$D$52-$D$40</f>
        <v>294.286474973376</v>
      </c>
    </row>
    <row r="55" customFormat="false" ht="15" hidden="false" customHeight="false" outlineLevel="0" collapsed="false">
      <c r="B55" s="9" t="s">
        <v>538</v>
      </c>
      <c r="C55" s="6" t="s">
        <v>79</v>
      </c>
      <c r="D55" s="24" t="n">
        <f aca="false">$D$54/$D$28</f>
        <v>5.88572949946752</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0.608572949946752</v>
      </c>
    </row>
    <row r="59" customFormat="false" ht="15" hidden="false" customHeight="false" outlineLevel="0" collapsed="false">
      <c r="B59" s="9" t="s">
        <v>542</v>
      </c>
      <c r="D59" s="19" t="n">
        <f aca="false">$D$38+$D$39</f>
        <v>15.5857294994675</v>
      </c>
    </row>
    <row r="60" customFormat="false" ht="15" hidden="false" customHeight="false" outlineLevel="0" collapsed="false">
      <c r="B60" s="9" t="s">
        <v>543</v>
      </c>
      <c r="D60" s="25" t="n">
        <f aca="false">$D$59/$D$29</f>
        <v>0.031171458998935</v>
      </c>
    </row>
    <row r="61" customFormat="false" ht="15" hidden="false" customHeight="false" outlineLevel="0" collapsed="false">
      <c r="B61" s="9" t="s">
        <v>544</v>
      </c>
      <c r="D61" s="25" t="n">
        <f aca="false">$D$59/$D$46</f>
        <v>0.0704282964388835</v>
      </c>
    </row>
    <row r="62" customFormat="false" ht="15" hidden="false" customHeight="false" outlineLevel="0" collapsed="false">
      <c r="B62" s="9" t="s">
        <v>545</v>
      </c>
      <c r="D62" s="19" t="n">
        <f aca="false">$D$46+(Assumptions!$D$72-$D$6)*$D$28</f>
        <v>221.299254526092</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8.87064962726304</v>
      </c>
      <c r="G91" s="18" t="n">
        <f aca="false">$G$72-$G$139-$G$105-$G$75-$G$79-$G$83-$G$87-$G$89</f>
        <v>12.2728418370607</v>
      </c>
      <c r="H91" s="18" t="n">
        <f aca="false">$H$72-$H$139-$H$105-$H$75-$H$79-$H$83-$H$87-$H$89</f>
        <v>11.7661532421326</v>
      </c>
      <c r="I91" s="18" t="n">
        <f aca="false">$I$72-$I$139-$I$105-$I$75-$I$79-$I$83-$I$87-$I$89</f>
        <v>16.7681283155099</v>
      </c>
      <c r="J91" s="18" t="n">
        <f aca="false">$J$72-$J$139-$J$105-$J$75-$J$79-$J$83-$J$87-$J$89</f>
        <v>24.3427136703415</v>
      </c>
      <c r="K91" s="18" t="n">
        <f aca="false">$K$72-$K$139-$K$105-$K$75-$K$79-$K$83-$K$87-$K$89</f>
        <v>27.940474740688</v>
      </c>
      <c r="L91" s="18" t="n">
        <f aca="false">$L$72-$L$139-$L$105-$L$75-$L$79-$L$83-$L$87-$L$89</f>
        <v>31.5594433476348</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13.1638924387646</v>
      </c>
      <c r="H94" s="19" t="n">
        <f aca="false">$G$123</f>
        <v>10.0469347630458</v>
      </c>
      <c r="I94" s="19" t="n">
        <f aca="false">$H$123</f>
        <v>14.4351116277223</v>
      </c>
      <c r="J94" s="19" t="n">
        <f aca="false">$I$123</f>
        <v>19.1301875967492</v>
      </c>
      <c r="K94" s="19" t="n">
        <f aca="false">$J$123</f>
        <v>32.8975273880177</v>
      </c>
      <c r="L94" s="19" t="n">
        <f aca="false">$K$123</f>
        <v>45.921353034229</v>
      </c>
    </row>
    <row r="95" customFormat="false" ht="15" hidden="false" customHeight="false" outlineLevel="0" collapsed="false">
      <c r="B95" s="9" t="s">
        <v>576</v>
      </c>
      <c r="F95" s="19" t="n">
        <f aca="false">$E$123+$F$91-$F$109-$F$82-$F$85+$F$84+$F$86-$F$88+$F$90</f>
        <v>16.3277848775293</v>
      </c>
      <c r="G95" s="19" t="n">
        <f aca="false">$F$123+$G$91-$G$109-$G$82-$G$85+$G$84+$G$86-$G$88+$G$90</f>
        <v>10.0938695260916</v>
      </c>
      <c r="H95" s="19" t="n">
        <f aca="false">$G$123+$H$91-$H$109-$H$82-$H$85+$H$84+$H$86-$H$88+$H$90</f>
        <v>18.8702232554446</v>
      </c>
      <c r="I95" s="19" t="n">
        <f aca="false">$H$123+$I$91-$I$109-$I$82-$I$85+$I$84+$I$86-$I$88+$I$90</f>
        <v>28.2603751934984</v>
      </c>
      <c r="J95" s="19" t="n">
        <f aca="false">$I$123+$J$91-$J$109-$J$82-$J$85+$J$84+$J$86-$J$88+$J$90</f>
        <v>40.5300365173569</v>
      </c>
      <c r="K95" s="19" t="n">
        <f aca="false">$J$123+$K$91-$K$109-$K$82-$K$85+$K$84+$K$86-$K$88+$K$90</f>
        <v>57.895137378972</v>
      </c>
      <c r="L95" s="19" t="n">
        <f aca="false">$K$123+$L$91-$L$109-$L$82-$L$85+$L$84+$L$86-$L$88+$L$90</f>
        <v>74.53793163213</v>
      </c>
    </row>
    <row r="96" customFormat="false" ht="15" hidden="false" customHeight="false" outlineLevel="0" collapsed="false">
      <c r="B96" s="17" t="s">
        <v>577</v>
      </c>
      <c r="F96" s="18" t="n">
        <f aca="false">$F$95+$F$110-$F$111-$F$115</f>
        <v>13.1638924387646</v>
      </c>
      <c r="G96" s="18" t="n">
        <f aca="false">$G$95+$G$110-$G$111-$G$115</f>
        <v>10.0469347630458</v>
      </c>
      <c r="H96" s="18" t="n">
        <f aca="false">$H$95+$H$110-$H$111-$H$115</f>
        <v>14.4351116277223</v>
      </c>
      <c r="I96" s="18" t="n">
        <f aca="false">$I$95+$I$110-$I$111-$I$115</f>
        <v>19.1301875967492</v>
      </c>
      <c r="J96" s="18" t="n">
        <f aca="false">$J$95+$J$110-$J$111-$J$115</f>
        <v>32.8975273880177</v>
      </c>
      <c r="K96" s="18" t="n">
        <f aca="false">$K$95+$K$110-$K$111-$K$115</f>
        <v>45.921353034229</v>
      </c>
      <c r="L96" s="18" t="n">
        <f aca="false">$L$95+$L$110-$L$111-$L$115</f>
        <v>74.53793163213</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21.614350372737</v>
      </c>
      <c r="G101" s="38" t="n">
        <f aca="false">$F$118*$G$100</f>
        <v>21.1292760117146</v>
      </c>
      <c r="H101" s="38" t="n">
        <f aca="false">$G$118*$H$100</f>
        <v>24.3091430531283</v>
      </c>
      <c r="I101" s="38" t="n">
        <f aca="false">$H$118*$I$100</f>
        <v>23.6820150610446</v>
      </c>
      <c r="J101" s="38" t="n">
        <f aca="false">$I$118*$J$100</f>
        <v>22.6558056115935</v>
      </c>
      <c r="K101" s="38" t="n">
        <f aca="false">$J$118*$K$100</f>
        <v>21.7568988318723</v>
      </c>
      <c r="L101" s="38" t="n">
        <f aca="false">$K$118*$L$100</f>
        <v>20.4889836588418</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0.263277848775293</v>
      </c>
      <c r="H104" s="38" t="n">
        <f aca="false">$G$123*Assumptions!$D$9</f>
        <v>0.200938695260916</v>
      </c>
      <c r="I104" s="38" t="n">
        <f aca="false">$H$123*Assumptions!$D$9</f>
        <v>0.288702232554446</v>
      </c>
      <c r="J104" s="38" t="n">
        <f aca="false">$I$123*Assumptions!$D$9</f>
        <v>0.382603751934984</v>
      </c>
      <c r="K104" s="38" t="n">
        <f aca="false">$J$123*Assumptions!$D$9</f>
        <v>0.657950547760354</v>
      </c>
      <c r="L104" s="38" t="n">
        <f aca="false">$K$123*Assumptions!$D$9</f>
        <v>0.91842706068458</v>
      </c>
    </row>
    <row r="105" customFormat="false" ht="15" hidden="false" customHeight="false" outlineLevel="0" collapsed="false">
      <c r="B105" s="17" t="s">
        <v>585</v>
      </c>
      <c r="F105" s="40" t="n">
        <f aca="false">$F$101+$F$102+$F$103-$F$104</f>
        <v>27.114350372737</v>
      </c>
      <c r="G105" s="40" t="n">
        <f aca="false">$G$101+$G$102+$G$103-$G$104</f>
        <v>26.5659981629393</v>
      </c>
      <c r="H105" s="40" t="n">
        <f aca="false">$H$101+$H$102+$H$103-$H$104</f>
        <v>29.8082043578674</v>
      </c>
      <c r="I105" s="40" t="n">
        <f aca="false">$I$101+$I$102+$I$103-$I$104</f>
        <v>29.0933128284901</v>
      </c>
      <c r="J105" s="40" t="n">
        <f aca="false">$J$101+$J$102+$J$103-$J$104</f>
        <v>27.9732018596585</v>
      </c>
      <c r="K105" s="40" t="n">
        <f aca="false">$K$101+$K$102+$K$103-$K$104</f>
        <v>26.7989482841119</v>
      </c>
      <c r="L105" s="40" t="n">
        <f aca="false">$L$101+$L$102+$L$103-$L$104</f>
        <v>25.2705565981572</v>
      </c>
    </row>
    <row r="106" customFormat="false" ht="15" hidden="false" customHeight="false" outlineLevel="0" collapsed="false">
      <c r="B106" s="9" t="s">
        <v>586</v>
      </c>
      <c r="F106" s="38" t="n">
        <f aca="false">IF($E$149&gt;0,$E$149/MAX(1,Assumptions!$D$86-($F$64-1)),0)</f>
        <v>0.86938992849536</v>
      </c>
      <c r="G106" s="38" t="n">
        <f aca="false">IF($F$149&gt;0,$F$149/MAX(1,Assumptions!$D$86-($G$64-1)),0)</f>
        <v>0.86938992849536</v>
      </c>
      <c r="H106" s="38" t="n">
        <f aca="false">IF($G$149&gt;0,$G$149/MAX(1,Assumptions!$D$86-($H$64-1)),0)</f>
        <v>1.02938992849536</v>
      </c>
      <c r="I106" s="38" t="n">
        <f aca="false">IF($H$149&gt;0,$H$149/MAX(1,Assumptions!$D$86-($I$64-1)),0)</f>
        <v>1.02938992849536</v>
      </c>
      <c r="J106" s="38" t="n">
        <f aca="false">IF($I$149&gt;0,$I$149/MAX(1,Assumptions!$D$86-($J$64-1)),0)</f>
        <v>1.02938992849536</v>
      </c>
      <c r="K106" s="38" t="n">
        <f aca="false">IF($J$149&gt;0,$J$149/MAX(1,Assumptions!$D$86-($K$64-1)),0)</f>
        <v>1.02938992849536</v>
      </c>
      <c r="L106" s="38" t="n">
        <f aca="false">IF($K$149&gt;0,$K$149/MAX(1,Assumptions!$D$86-($L$64-1)),0)</f>
        <v>1.02938992849536</v>
      </c>
    </row>
    <row r="107" customFormat="false" ht="15" hidden="false" customHeight="false" outlineLevel="0" collapsed="false">
      <c r="B107" s="9" t="s">
        <v>587</v>
      </c>
      <c r="F107" s="24" t="n">
        <f aca="false">IF($F$105&lt;&gt;0,$F$72/$F$105,0)</f>
        <v>2.01369382815453</v>
      </c>
      <c r="G107" s="24" t="n">
        <f aca="false">IF($G$105&lt;&gt;0,$G$72/$G$105,0)</f>
        <v>2.27912384954035</v>
      </c>
      <c r="H107" s="24" t="n">
        <f aca="false">IF($H$105&lt;&gt;0,$H$72/$H$105,0)</f>
        <v>1.94123092103425</v>
      </c>
      <c r="I107" s="24" t="n">
        <f aca="false">IF($I$105&lt;&gt;0,$I$72/$I$105,0)</f>
        <v>2.41498950408964</v>
      </c>
      <c r="J107" s="24" t="n">
        <f aca="false">IF($J$105&lt;&gt;0,$J$72/$J$105,0)</f>
        <v>2.78205154742161</v>
      </c>
      <c r="K107" s="24" t="n">
        <f aca="false">IF($K$105&lt;&gt;0,$K$72/$K$105,0)</f>
        <v>3.0156334585978</v>
      </c>
      <c r="L107" s="24" t="n">
        <f aca="false">IF($L$105&lt;&gt;0,$L$72/$L$105,0)</f>
        <v>3.32119464717102</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2.54286474973376</v>
      </c>
      <c r="G109" s="38" t="n">
        <f aca="false">IF($D$14=1,0,MIN($F$118,Assumptions!$D$85*$F$119))</f>
        <v>2.54286474973376</v>
      </c>
      <c r="H109" s="38" t="n">
        <f aca="false">IF($D$14=1,0,MIN($G$118,Assumptions!$D$85*$G$119))</f>
        <v>2.94286474973376</v>
      </c>
      <c r="I109" s="38" t="n">
        <f aca="false">IF($D$14=1,0,MIN($H$118,Assumptions!$D$85*$H$119))</f>
        <v>2.94286474973376</v>
      </c>
      <c r="J109" s="38" t="n">
        <f aca="false">IF($D$14=1,0,MIN($I$118,Assumptions!$D$85*$I$119))</f>
        <v>2.94286474973376</v>
      </c>
      <c r="K109" s="38" t="n">
        <f aca="false">IF($D$14=1,0,MIN($J$118,Assumptions!$D$85*$J$119))</f>
        <v>2.94286474973376</v>
      </c>
      <c r="L109" s="38" t="n">
        <f aca="false">IF($D$14=1,0,MIN($K$118,Assumptions!$D$85*$K$119))</f>
        <v>2.94286474973376</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16.3277848775293</v>
      </c>
      <c r="G112" s="19" t="n">
        <f aca="false">$G$95+$G$110-$G$111</f>
        <v>10.0938695260916</v>
      </c>
      <c r="H112" s="19" t="n">
        <f aca="false">$H$95+$H$110-$H$111</f>
        <v>18.8702232554446</v>
      </c>
      <c r="I112" s="19" t="n">
        <f aca="false">$I$95+$I$110-$I$111</f>
        <v>28.2603751934984</v>
      </c>
      <c r="J112" s="19" t="n">
        <f aca="false">$J$95+$J$110-$J$111</f>
        <v>40.5300365173569</v>
      </c>
      <c r="K112" s="19" t="n">
        <f aca="false">$K$95+$K$110-$K$111</f>
        <v>57.895137378972</v>
      </c>
      <c r="L112" s="19" t="n">
        <f aca="false">$L$95+$L$110-$L$111</f>
        <v>74.53793163213</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0.25</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6.32778487752928</v>
      </c>
      <c r="G114" s="19" t="n">
        <f aca="false">MAX(0,$G$112-Assumptions!$D$79)</f>
        <v>0.0938695260915949</v>
      </c>
      <c r="H114" s="19" t="n">
        <f aca="false">MAX(0,$H$112-Assumptions!$D$79)</f>
        <v>8.87022325544464</v>
      </c>
      <c r="I114" s="19" t="n">
        <f aca="false">MAX(0,$I$112-Assumptions!$D$79)</f>
        <v>18.2603751934984</v>
      </c>
      <c r="J114" s="19" t="n">
        <f aca="false">MAX(0,$J$112-Assumptions!$D$79)</f>
        <v>30.5300365173569</v>
      </c>
      <c r="K114" s="19" t="n">
        <f aca="false">MAX(0,$K$112-Assumptions!$D$79)</f>
        <v>47.895137378972</v>
      </c>
      <c r="L114" s="19" t="n">
        <f aca="false">MAX(0,$L$112-Assumptions!$D$79)</f>
        <v>64.53793163213</v>
      </c>
    </row>
    <row r="115" customFormat="false" ht="15" hidden="false" customHeight="false" outlineLevel="0" collapsed="false">
      <c r="B115" s="17" t="s">
        <v>595</v>
      </c>
      <c r="F115" s="18" t="n">
        <f aca="false">IF(AND($D$19=1,$D$14=0,$E$121-$F$111+$F$110=0),MIN($E$118-$F$109+$F$84,$F$113*$F$114),0)</f>
        <v>3.16389243876464</v>
      </c>
      <c r="G115" s="18" t="n">
        <f aca="false">IF(AND($D$19=1,$D$14=0,$F$121-$G$111+$G$110=0),MIN($F$118-$G$109+$G$84,$G$113*$G$114),0)</f>
        <v>0.0469347630457975</v>
      </c>
      <c r="H115" s="18" t="n">
        <f aca="false">IF(AND($D$19=1,$D$14=0,$G$121-$H$111+$H$110=0),MIN($G$118-$H$109+$H$84,$H$113*$H$114),0)</f>
        <v>4.43511162772232</v>
      </c>
      <c r="I115" s="18" t="n">
        <f aca="false">IF(AND($D$19=1,$D$14=0,$H$121-$I$111+$I$110=0),MIN($H$118-$I$109+$I$84,$I$113*$I$114),0)</f>
        <v>9.13018759674922</v>
      </c>
      <c r="J115" s="18" t="n">
        <f aca="false">IF(AND($D$19=1,$D$14=0,$I$121-$J$111+$J$110=0),MIN($I$118-$J$109+$J$84,$J$113*$J$114),0)</f>
        <v>7.63250912933923</v>
      </c>
      <c r="K115" s="18" t="n">
        <f aca="false">IF(AND($D$19=1,$D$14=0,$J$121-$K$111+$K$110=0),MIN($J$118-$K$109+$K$84,$K$113*$K$114),0)</f>
        <v>11.973784344743</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254.286474973376</v>
      </c>
      <c r="F118" s="19" t="n">
        <f aca="false">$E$118-$F$109-$F$115+$F$84+$F$86</f>
        <v>248.579717784878</v>
      </c>
      <c r="G118" s="19" t="n">
        <f aca="false">$F$118-$G$109-$G$115+$G$84+$G$86</f>
        <v>285.989918272098</v>
      </c>
      <c r="H118" s="19" t="n">
        <f aca="false">$G$118-$H$109-$H$115+$H$84+$H$86</f>
        <v>278.611941894642</v>
      </c>
      <c r="I118" s="19" t="n">
        <f aca="false">$H$118-$I$109-$I$115+$I$84+$I$86</f>
        <v>266.538889548159</v>
      </c>
      <c r="J118" s="19" t="n">
        <f aca="false">$I$118-$J$109-$J$115+$J$84+$J$86</f>
        <v>255.963515669086</v>
      </c>
      <c r="K118" s="19" t="n">
        <f aca="false">$J$118-$K$109-$K$115+$K$84+$K$86</f>
        <v>241.046866574609</v>
      </c>
      <c r="L118" s="19" t="n">
        <f aca="false">$K$118-$L$109-$L$115+$L$84+$L$86</f>
        <v>238.104001824875</v>
      </c>
    </row>
    <row r="119" customFormat="false" ht="15" hidden="false" customHeight="false" outlineLevel="0" collapsed="false">
      <c r="B119" s="9" t="s">
        <v>598</v>
      </c>
      <c r="E119" s="19" t="n">
        <f aca="false">$D$32</f>
        <v>254.286474973376</v>
      </c>
      <c r="F119" s="19" t="n">
        <f aca="false">$E$119+$F$84+$F$86</f>
        <v>254.286474973376</v>
      </c>
      <c r="G119" s="19" t="n">
        <f aca="false">$F$119+$G$84+$G$86</f>
        <v>294.286474973376</v>
      </c>
      <c r="H119" s="19" t="n">
        <f aca="false">$G$119+$H$84+$H$86</f>
        <v>294.286474973376</v>
      </c>
      <c r="I119" s="19" t="n">
        <f aca="false">$H$119+$I$84+$I$86</f>
        <v>294.286474973376</v>
      </c>
      <c r="J119" s="19" t="n">
        <f aca="false">$I$119+$J$84+$J$86</f>
        <v>294.286474973376</v>
      </c>
      <c r="K119" s="19" t="n">
        <f aca="false">$J$119+$K$84+$K$86</f>
        <v>294.286474973376</v>
      </c>
      <c r="L119" s="19" t="n">
        <f aca="false">$K$119+$L$84+$L$86</f>
        <v>294.286474973376</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304.286474973376</v>
      </c>
      <c r="F122" s="18" t="n">
        <f aca="false">$F$118+$F$120+$F$121</f>
        <v>298.579717784878</v>
      </c>
      <c r="G122" s="18" t="n">
        <f aca="false">$G$118+$G$120+$G$121</f>
        <v>335.989918272098</v>
      </c>
      <c r="H122" s="18" t="n">
        <f aca="false">$H$118+$H$120+$H$121</f>
        <v>328.611941894642</v>
      </c>
      <c r="I122" s="18" t="n">
        <f aca="false">$I$118+$I$120+$I$121</f>
        <v>316.538889548159</v>
      </c>
      <c r="J122" s="18" t="n">
        <f aca="false">$J$118+$J$120+$J$121</f>
        <v>305.963515669086</v>
      </c>
      <c r="K122" s="18" t="n">
        <f aca="false">$K$118+$K$120+$K$121</f>
        <v>291.046866574609</v>
      </c>
      <c r="L122" s="18" t="n">
        <f aca="false">$L$118+$L$120+$L$121</f>
        <v>288.104001824875</v>
      </c>
    </row>
    <row r="123" customFormat="false" ht="15" hidden="false" customHeight="false" outlineLevel="0" collapsed="false">
      <c r="B123" s="9" t="s">
        <v>600</v>
      </c>
      <c r="E123" s="19" t="n">
        <f aca="false">Assumptions!$D$78</f>
        <v>10</v>
      </c>
      <c r="F123" s="19" t="n">
        <f aca="false">$F$112-$F$115</f>
        <v>13.1638924387646</v>
      </c>
      <c r="G123" s="19" t="n">
        <f aca="false">$G$112-$G$115</f>
        <v>10.0469347630458</v>
      </c>
      <c r="H123" s="19" t="n">
        <f aca="false">$H$112-$H$115</f>
        <v>14.4351116277223</v>
      </c>
      <c r="I123" s="19" t="n">
        <f aca="false">$I$112-$I$115</f>
        <v>19.1301875967492</v>
      </c>
      <c r="J123" s="19" t="n">
        <f aca="false">$J$112-$J$115</f>
        <v>32.8975273880177</v>
      </c>
      <c r="K123" s="19" t="n">
        <f aca="false">$K$112-$K$115</f>
        <v>45.921353034229</v>
      </c>
      <c r="L123" s="19" t="n">
        <f aca="false">$L$112-$L$115</f>
        <v>74.53793163213</v>
      </c>
    </row>
    <row r="124" customFormat="false" ht="15" hidden="false" customHeight="false" outlineLevel="0" collapsed="false">
      <c r="B124" s="17" t="s">
        <v>601</v>
      </c>
      <c r="E124" s="18" t="n">
        <f aca="false">$E$122-$E$123</f>
        <v>294.286474973376</v>
      </c>
      <c r="F124" s="18" t="n">
        <f aca="false">$F$122-$F$123</f>
        <v>285.415825346113</v>
      </c>
      <c r="G124" s="18" t="n">
        <f aca="false">$G$122-$G$123</f>
        <v>325.942983509052</v>
      </c>
      <c r="H124" s="18" t="n">
        <f aca="false">$H$122-$H$123</f>
        <v>314.17683026692</v>
      </c>
      <c r="I124" s="18" t="n">
        <f aca="false">$I$122-$I$123</f>
        <v>297.40870195141</v>
      </c>
      <c r="J124" s="18" t="n">
        <f aca="false">$J$122-$J$123</f>
        <v>273.065988281068</v>
      </c>
      <c r="K124" s="18" t="n">
        <f aca="false">$K$122-$K$123</f>
        <v>245.12551354038</v>
      </c>
      <c r="L124" s="18" t="n">
        <f aca="false">$L$122-$L$123</f>
        <v>213.566070192745</v>
      </c>
    </row>
    <row r="125" customFormat="false" ht="15" hidden="false" customHeight="false" outlineLevel="0" collapsed="false">
      <c r="B125" s="9" t="s">
        <v>538</v>
      </c>
      <c r="E125" s="24" t="n">
        <f aca="false">$E$124/$E$72</f>
        <v>5.88572949946752</v>
      </c>
      <c r="F125" s="24" t="n">
        <f aca="false">$F$124/$F$72</f>
        <v>5.22739606861013</v>
      </c>
      <c r="G125" s="24" t="n">
        <f aca="false">$G$124/$G$72</f>
        <v>5.38328747669673</v>
      </c>
      <c r="H125" s="24" t="n">
        <f aca="false">$H$124/$H$72</f>
        <v>5.42951626436179</v>
      </c>
      <c r="I125" s="24" t="n">
        <f aca="false">$I$124/$I$72</f>
        <v>4.23297055166209</v>
      </c>
      <c r="J125" s="24" t="n">
        <f aca="false">$J$124/$J$72</f>
        <v>3.50881328058234</v>
      </c>
      <c r="K125" s="24" t="n">
        <f aca="false">$K$124/$K$72</f>
        <v>3.03313829806731</v>
      </c>
      <c r="L125" s="24" t="n">
        <f aca="false">$L$124/$L$72</f>
        <v>2.54462107303468</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27.9837403012323</v>
      </c>
      <c r="G130" s="38" t="n">
        <f aca="false">$G$105+$G$106</f>
        <v>27.4353880914347</v>
      </c>
      <c r="H130" s="38" t="n">
        <f aca="false">$H$105+$H$106</f>
        <v>30.8375942863628</v>
      </c>
      <c r="I130" s="38" t="n">
        <f aca="false">$I$105+$I$106</f>
        <v>30.1227027569855</v>
      </c>
      <c r="J130" s="38" t="n">
        <f aca="false">$J$105+$J$106</f>
        <v>29.0025917881539</v>
      </c>
      <c r="K130" s="38" t="n">
        <f aca="false">$K$105+$K$106</f>
        <v>27.8283382126073</v>
      </c>
      <c r="L130" s="38" t="n">
        <f aca="false">$L$105+$L$106</f>
        <v>26.2999465266526</v>
      </c>
    </row>
    <row r="131" customFormat="false" ht="15" hidden="false" customHeight="false" outlineLevel="0" collapsed="false">
      <c r="B131" s="9" t="s">
        <v>606</v>
      </c>
      <c r="F131" s="38" t="n">
        <f aca="false">$F$129-$F$130-$F$83-$F$87-$F$89</f>
        <v>14.8562596987677</v>
      </c>
      <c r="G131" s="38" t="n">
        <f aca="false">$G$129-$G$130-$G$83-$G$87-$G$89</f>
        <v>19.1462119085654</v>
      </c>
      <c r="H131" s="38" t="n">
        <f aca="false">$H$129-$H$130-$H$83-$H$87-$H$89</f>
        <v>13.1253497136372</v>
      </c>
      <c r="I131" s="38" t="n">
        <f aca="false">$I$129-$I$130-$I$83-$I$87-$I$89</f>
        <v>25.3280818830145</v>
      </c>
      <c r="J131" s="38" t="n">
        <f aca="false">$J$129-$J$130-$J$83-$J$87-$J$89</f>
        <v>33.2932878278461</v>
      </c>
      <c r="K131" s="38" t="n">
        <f aca="false">$K$129-$K$130-$K$83-$K$87-$K$89</f>
        <v>36.8393765880327</v>
      </c>
      <c r="L131" s="38" t="n">
        <f aca="false">$L$129-$L$130-$L$83-$L$87-$L$89</f>
        <v>40.834476866013</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27.9837403012323</v>
      </c>
      <c r="G133" s="38" t="n">
        <f aca="false">$G$130+$F$135</f>
        <v>39.039128392667</v>
      </c>
      <c r="H133" s="38" t="n">
        <f aca="false">$H$130+$G$135</f>
        <v>51.7125626790297</v>
      </c>
      <c r="I133" s="38" t="n">
        <f aca="false">$I$130+$H$135</f>
        <v>64.4758830360152</v>
      </c>
      <c r="J133" s="38" t="n">
        <f aca="false">$J$130+$I$135</f>
        <v>72.4004612881691</v>
      </c>
      <c r="K133" s="38" t="n">
        <f aca="false">$K$130+$J$135</f>
        <v>76.8819326447764</v>
      </c>
      <c r="L133" s="38" t="n">
        <f aca="false">$L$130+$K$135</f>
        <v>78.937137641189</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11.6037403012323</v>
      </c>
      <c r="G135" s="38" t="n">
        <f aca="false">$G$133-$G$134</f>
        <v>20.874968392667</v>
      </c>
      <c r="H135" s="38" t="n">
        <f aca="false">$H$133-$H$134</f>
        <v>34.3531802790297</v>
      </c>
      <c r="I135" s="38" t="n">
        <f aca="false">$I$133-$I$134</f>
        <v>43.3978695000152</v>
      </c>
      <c r="J135" s="38" t="n">
        <f aca="false">$J$133-$J$134</f>
        <v>49.0535944321691</v>
      </c>
      <c r="K135" s="38" t="n">
        <f aca="false">$K$133-$K$134</f>
        <v>52.6371911145364</v>
      </c>
      <c r="L135" s="38" t="n">
        <f aca="false">$L$133-$L$134</f>
        <v>53.7586064497394</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8.24125969876769</v>
      </c>
      <c r="G140" s="19" t="n">
        <f aca="false">$G$131-$G$139</f>
        <v>12.0418519085654</v>
      </c>
      <c r="H140" s="19" t="n">
        <f aca="false">$H$131-$H$139</f>
        <v>6.47445931363723</v>
      </c>
      <c r="I140" s="19" t="n">
        <f aca="false">$I$131-$I$139</f>
        <v>16.7348891070145</v>
      </c>
      <c r="J140" s="19" t="n">
        <f aca="false">$J$131-$J$139</f>
        <v>23.5560346378461</v>
      </c>
      <c r="K140" s="19" t="n">
        <f aca="false">$K$131-$K$139</f>
        <v>26.7336332704327</v>
      </c>
      <c r="L140" s="19" t="n">
        <f aca="false">$L$131-$L$139</f>
        <v>30.345503815709</v>
      </c>
    </row>
    <row r="141" customFormat="false" ht="15" hidden="false" customHeight="false" outlineLevel="0" collapsed="false">
      <c r="B141" s="9" t="s">
        <v>616</v>
      </c>
      <c r="F141" s="38" t="n">
        <f aca="false">Assumptions!$D$7*($F$129-$F$130)</f>
        <v>3.71406492469192</v>
      </c>
      <c r="G141" s="38" t="n">
        <f aca="false">Assumptions!$D$7*($G$129-$G$130)</f>
        <v>5.16155297714134</v>
      </c>
      <c r="H141" s="38" t="n">
        <f aca="false">Assumptions!$D$7*($H$129-$H$130)</f>
        <v>3.28133742840931</v>
      </c>
      <c r="I141" s="38" t="n">
        <f aca="false">Assumptions!$D$7*($I$129-$I$130)</f>
        <v>6.33202047075363</v>
      </c>
      <c r="J141" s="38" t="n">
        <f aca="false">Assumptions!$D$7*($J$129-$J$130)</f>
        <v>8.32332195696153</v>
      </c>
      <c r="K141" s="38" t="n">
        <f aca="false">Assumptions!$D$7*($K$129-$K$130)</f>
        <v>9.20984414700817</v>
      </c>
      <c r="L141" s="38" t="n">
        <f aca="false">Assumptions!$D$7*($L$129-$L$130)</f>
        <v>10.2086192165033</v>
      </c>
    </row>
    <row r="142" customFormat="false" ht="15" hidden="false" customHeight="false" outlineLevel="0" collapsed="false">
      <c r="B142" s="9" t="s">
        <v>617</v>
      </c>
      <c r="F142" s="38" t="n">
        <f aca="false">$F$139-$F$141</f>
        <v>2.90093507530808</v>
      </c>
      <c r="G142" s="38" t="n">
        <f aca="false">$G$139-$G$141</f>
        <v>1.94280702285866</v>
      </c>
      <c r="H142" s="38" t="n">
        <f aca="false">$H$139-$H$141</f>
        <v>3.36955297159069</v>
      </c>
      <c r="I142" s="38" t="n">
        <f aca="false">$I$139-$I$141</f>
        <v>2.26117230524637</v>
      </c>
      <c r="J142" s="38" t="n">
        <f aca="false">$J$139-$J$141</f>
        <v>1.41393123303847</v>
      </c>
      <c r="K142" s="38" t="n">
        <f aca="false">$K$139-$K$141</f>
        <v>0.895899170591829</v>
      </c>
      <c r="L142" s="38" t="n">
        <f aca="false">$L$139-$L$141</f>
        <v>0.280353833800742</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13.1638924387646</v>
      </c>
      <c r="G145" s="19" t="n">
        <f aca="false">$G$123</f>
        <v>10.0469347630458</v>
      </c>
      <c r="H145" s="19" t="n">
        <f aca="false">$H$123</f>
        <v>14.4351116277223</v>
      </c>
      <c r="I145" s="19" t="n">
        <f aca="false">$I$123</f>
        <v>19.1301875967492</v>
      </c>
      <c r="J145" s="19" t="n">
        <f aca="false">$J$123</f>
        <v>32.8975273880177</v>
      </c>
      <c r="K145" s="19" t="n">
        <f aca="false">$K$123</f>
        <v>45.921353034229</v>
      </c>
      <c r="L145" s="19" t="n">
        <f aca="false">$L$123</f>
        <v>74.53793163213</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413.6</v>
      </c>
      <c r="F148" s="19" t="n">
        <f aca="false">$E$148+IF($F$82&gt;0,$F$82-Assumptions!$D$117*Assumptions!$D$27-Assumptions!$D$124*Assumptions!$D$117,0)</f>
        <v>413.6</v>
      </c>
      <c r="G148" s="19" t="n">
        <f aca="false">$F$148+IF($G$82&gt;0,$G$82-Assumptions!$D$117*Assumptions!$D$27-Assumptions!$D$124*Assumptions!$D$117,0)</f>
        <v>452.4</v>
      </c>
      <c r="H148" s="19" t="n">
        <f aca="false">$G$148+IF($H$82&gt;0,$H$82-Assumptions!$D$117*Assumptions!$D$27-Assumptions!$D$124*Assumptions!$D$117,0)</f>
        <v>452.4</v>
      </c>
      <c r="I148" s="19" t="n">
        <f aca="false">$H$148+IF($I$82&gt;0,$I$82-Assumptions!$D$117*Assumptions!$D$27-Assumptions!$D$124*Assumptions!$D$117,0)</f>
        <v>452.4</v>
      </c>
      <c r="J148" s="19" t="n">
        <f aca="false">$I$148+IF($J$82&gt;0,$J$82-Assumptions!$D$117*Assumptions!$D$27-Assumptions!$D$124*Assumptions!$D$117,0)</f>
        <v>452.4</v>
      </c>
      <c r="K148" s="19" t="n">
        <f aca="false">$J$148+IF($K$82&gt;0,$K$82-Assumptions!$D$117*Assumptions!$D$27-Assumptions!$D$124*Assumptions!$D$117,0)</f>
        <v>452.4</v>
      </c>
      <c r="L148" s="19" t="n">
        <f aca="false">$K$148+IF($L$82&gt;0,$L$82-Assumptions!$D$117*Assumptions!$D$27-Assumptions!$D$124*Assumptions!$D$117,0)</f>
        <v>452.4</v>
      </c>
    </row>
    <row r="149" customFormat="false" ht="15" hidden="false" customHeight="false" outlineLevel="0" collapsed="false">
      <c r="B149" s="9" t="s">
        <v>622</v>
      </c>
      <c r="E149" s="19" t="n">
        <f aca="false">$D$33</f>
        <v>6.08572949946752</v>
      </c>
      <c r="F149" s="19" t="n">
        <f aca="false">$E$149-$F$106+$F$85</f>
        <v>5.21633957097216</v>
      </c>
      <c r="G149" s="19" t="n">
        <f aca="false">$F$149-$G$106+$G$85</f>
        <v>5.1469496424768</v>
      </c>
      <c r="H149" s="19" t="n">
        <f aca="false">$G$149-$H$106+$H$85</f>
        <v>4.11755971398144</v>
      </c>
      <c r="I149" s="19" t="n">
        <f aca="false">$H$149-$I$106+$I$85</f>
        <v>3.08816978548608</v>
      </c>
      <c r="J149" s="19" t="n">
        <f aca="false">$I$149-$J$106+$J$85</f>
        <v>2.05877985699072</v>
      </c>
      <c r="K149" s="19" t="n">
        <f aca="false">$J$149-$K$106+$K$85</f>
        <v>1.02938992849536</v>
      </c>
      <c r="L149" s="19" t="n">
        <f aca="false">$K$149-$L$106+$L$85</f>
        <v>0</v>
      </c>
    </row>
    <row r="150" customFormat="false" ht="15" hidden="false" customHeight="false" outlineLevel="0" collapsed="false">
      <c r="B150" s="17" t="s">
        <v>623</v>
      </c>
      <c r="E150" s="18" t="n">
        <f aca="false">$E$145+$E$146+$E$147+$E$148+$E$149</f>
        <v>516.085729499468</v>
      </c>
      <c r="F150" s="18" t="n">
        <f aca="false">$F$145+$F$146+$F$147+$F$148+$F$149</f>
        <v>518.620232009737</v>
      </c>
      <c r="G150" s="18" t="n">
        <f aca="false">$G$145+$G$146+$G$147+$G$148+$G$149</f>
        <v>568.072284405523</v>
      </c>
      <c r="H150" s="18" t="n">
        <f aca="false">$H$145+$H$146+$H$147+$H$148+$H$149</f>
        <v>567.168767341704</v>
      </c>
      <c r="I150" s="18" t="n">
        <f aca="false">$I$145+$I$146+$I$147+$I$148+$I$149</f>
        <v>571.830604102235</v>
      </c>
      <c r="J150" s="18" t="n">
        <f aca="false">$J$145+$J$146+$J$147+$J$148+$J$149</f>
        <v>584.811264861008</v>
      </c>
      <c r="K150" s="18" t="n">
        <f aca="false">$K$145+$K$146+$K$147+$K$148+$K$149</f>
        <v>596.628249036964</v>
      </c>
      <c r="L150" s="18" t="n">
        <f aca="false">$L$145+$L$146+$L$147+$L$148+$L$149</f>
        <v>624.03088810294</v>
      </c>
    </row>
    <row r="151" customFormat="false" ht="15" hidden="false" customHeight="false" outlineLevel="0" collapsed="false">
      <c r="B151" s="9" t="s">
        <v>291</v>
      </c>
      <c r="E151" s="19" t="n">
        <f aca="false">$E$122</f>
        <v>304.286474973376</v>
      </c>
      <c r="F151" s="19" t="n">
        <f aca="false">$F$122</f>
        <v>298.579717784878</v>
      </c>
      <c r="G151" s="19" t="n">
        <f aca="false">$G$122</f>
        <v>335.989918272098</v>
      </c>
      <c r="H151" s="19" t="n">
        <f aca="false">$H$122</f>
        <v>328.611941894642</v>
      </c>
      <c r="I151" s="19" t="n">
        <f aca="false">$I$122</f>
        <v>316.538889548159</v>
      </c>
      <c r="J151" s="19" t="n">
        <f aca="false">$J$122</f>
        <v>305.963515669086</v>
      </c>
      <c r="K151" s="19" t="n">
        <f aca="false">$K$122</f>
        <v>291.046866574609</v>
      </c>
      <c r="L151" s="19" t="n">
        <f aca="false">$L$122</f>
        <v>288.104001824875</v>
      </c>
    </row>
    <row r="152" customFormat="false" ht="15" hidden="false" customHeight="false" outlineLevel="0" collapsed="false">
      <c r="B152" s="9" t="s">
        <v>624</v>
      </c>
      <c r="E152" s="19" t="n">
        <f aca="false">$D$46-Assumptions!$D$76</f>
        <v>211.799254526092</v>
      </c>
      <c r="F152" s="19" t="n">
        <f aca="false">$E$152+$F$140-$F$88+$F$90</f>
        <v>220.040514224859</v>
      </c>
      <c r="G152" s="19" t="n">
        <f aca="false">$F$152+$G$140-$G$88+$G$90</f>
        <v>232.082366133425</v>
      </c>
      <c r="H152" s="19" t="n">
        <f aca="false">$G$152+$H$140-$H$88+$H$90</f>
        <v>238.556825447062</v>
      </c>
      <c r="I152" s="19" t="n">
        <f aca="false">$H$152+$I$140-$I$88+$I$90</f>
        <v>255.291714554076</v>
      </c>
      <c r="J152" s="19" t="n">
        <f aca="false">$I$152+$J$140-$J$88+$J$90</f>
        <v>278.847749191923</v>
      </c>
      <c r="K152" s="19" t="n">
        <f aca="false">$J$152+$K$140-$K$88+$K$90</f>
        <v>305.581382462355</v>
      </c>
      <c r="L152" s="19" t="n">
        <f aca="false">$K$152+$L$140-$L$88+$L$90</f>
        <v>335.926886278064</v>
      </c>
    </row>
    <row r="153" customFormat="false" ht="15" hidden="false" customHeight="false" outlineLevel="0" collapsed="false">
      <c r="B153" s="17" t="s">
        <v>625</v>
      </c>
      <c r="E153" s="18" t="n">
        <f aca="false">$E$151+$E$152</f>
        <v>516.085729499468</v>
      </c>
      <c r="F153" s="18" t="n">
        <f aca="false">$F$151+$F$152</f>
        <v>518.620232009737</v>
      </c>
      <c r="G153" s="18" t="n">
        <f aca="false">$G$151+$G$152</f>
        <v>568.072284405523</v>
      </c>
      <c r="H153" s="18" t="n">
        <f aca="false">$H$151+$H$152</f>
        <v>567.168767341704</v>
      </c>
      <c r="I153" s="18" t="n">
        <f aca="false">$I$151+$I$152</f>
        <v>571.830604102235</v>
      </c>
      <c r="J153" s="18" t="n">
        <f aca="false">$J$151+$J$152</f>
        <v>584.811264861009</v>
      </c>
      <c r="K153" s="18" t="n">
        <f aca="false">$K$151+$K$152</f>
        <v>596.628249036964</v>
      </c>
      <c r="L153" s="18" t="n">
        <f aca="false">$L$151+$L$152</f>
        <v>624.03088810294</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285.415825346113</v>
      </c>
      <c r="G160" s="19" t="n">
        <f aca="false">$G$124</f>
        <v>325.942983509052</v>
      </c>
      <c r="H160" s="19" t="n">
        <f aca="false">$H$124</f>
        <v>314.17683026692</v>
      </c>
      <c r="I160" s="19" t="n">
        <f aca="false">$I$124</f>
        <v>297.40870195141</v>
      </c>
      <c r="J160" s="19" t="n">
        <f aca="false">$J$124</f>
        <v>273.065988281068</v>
      </c>
      <c r="K160" s="19" t="n">
        <f aca="false">$K$124</f>
        <v>245.12551354038</v>
      </c>
      <c r="L160" s="19" t="n">
        <f aca="false">$L$124</f>
        <v>213.566070192745</v>
      </c>
    </row>
    <row r="161" customFormat="false" ht="15" hidden="false" customHeight="false" outlineLevel="0" collapsed="false">
      <c r="B161" s="17" t="s">
        <v>632</v>
      </c>
      <c r="F161" s="41" t="n">
        <f aca="false">$F$124/$F$159</f>
        <v>5.22739606861013</v>
      </c>
      <c r="G161" s="41" t="n">
        <f aca="false">$G$124/$G$159</f>
        <v>4.55563576924118</v>
      </c>
      <c r="H161" s="41" t="n">
        <f aca="false">$H$124/$H$159</f>
        <v>5.2481230690915</v>
      </c>
      <c r="I161" s="41" t="n">
        <f aca="false">$I$124/$I$159</f>
        <v>4.20305981217285</v>
      </c>
      <c r="J161" s="41" t="n">
        <f aca="false">$J$124/$J$159</f>
        <v>3.50881328058234</v>
      </c>
      <c r="K161" s="41" t="n">
        <f aca="false">$K$124/$K$159</f>
        <v>3.03313829806731</v>
      </c>
      <c r="L161" s="41" t="n">
        <f aca="false">$L$124/$L$159</f>
        <v>2.54462107303468</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0.522603931389874</v>
      </c>
      <c r="G163" s="24" t="n">
        <f aca="false">$G$162-$G$161</f>
        <v>0.694364230758825</v>
      </c>
      <c r="H163" s="24" t="n">
        <f aca="false">$H$162-$H$161</f>
        <v>-0.4981230690915</v>
      </c>
      <c r="I163" s="24" t="n">
        <f aca="false">$I$162-$I$161</f>
        <v>0.0469401878271487</v>
      </c>
      <c r="J163" s="24" t="n">
        <f aca="false">$J$162-$J$161</f>
        <v>0.49118671941766</v>
      </c>
      <c r="K163" s="24" t="n">
        <f aca="false">$K$162-$K$161</f>
        <v>0.966861701932687</v>
      </c>
      <c r="L163" s="24" t="n">
        <f aca="false">$L$162-$L$161</f>
        <v>1.45537892696532</v>
      </c>
    </row>
    <row r="164" customFormat="false" ht="15" hidden="false" customHeight="false" outlineLevel="0" collapsed="false">
      <c r="B164" s="9" t="s">
        <v>635</v>
      </c>
      <c r="F164" s="14" t="n">
        <f aca="false">1-$F$124/($F$162*$F$159)</f>
        <v>0.0908876402417171</v>
      </c>
      <c r="G164" s="14" t="n">
        <f aca="false">1-$G$124/($G$162*$G$159)</f>
        <v>0.132259853477871</v>
      </c>
      <c r="H164" s="14" t="n">
        <f aca="false">1-$H$124/($H$162*$H$159)</f>
        <v>-0.104868014545579</v>
      </c>
      <c r="I164" s="14" t="n">
        <f aca="false">1-$I$124/($I$162*$I$159)</f>
        <v>0.0110447500769763</v>
      </c>
      <c r="J164" s="14" t="n">
        <f aca="false">1-$J$124/($J$162*$J$159)</f>
        <v>0.122796679854415</v>
      </c>
      <c r="K164" s="14" t="n">
        <f aca="false">1-$K$124/($K$162*$K$159)</f>
        <v>0.241715425483172</v>
      </c>
      <c r="L164" s="14" t="n">
        <f aca="false">1-$L$124/($L$162*$L$159)</f>
        <v>0.36384473174133</v>
      </c>
    </row>
    <row r="165" customFormat="false" ht="15" hidden="false" customHeight="false" outlineLevel="0" collapsed="false">
      <c r="B165" s="9" t="s">
        <v>636</v>
      </c>
      <c r="F165" s="19" t="n">
        <f aca="false">$F$164*$F$159</f>
        <v>4.96246515719776</v>
      </c>
      <c r="G165" s="19" t="n">
        <f aca="false">$G$164*$G$159</f>
        <v>9.46282218875196</v>
      </c>
      <c r="H165" s="19" t="n">
        <f aca="false">$H$164*$H$159</f>
        <v>-6.27788258250939</v>
      </c>
      <c r="I165" s="19" t="n">
        <f aca="false">$I$164*$I$159</f>
        <v>0.781527013785963</v>
      </c>
      <c r="J165" s="19" t="n">
        <f aca="false">$J$164*$J$159</f>
        <v>9.55639244973294</v>
      </c>
      <c r="K165" s="19" t="n">
        <f aca="false">$K$164*$K$159</f>
        <v>19.534426715705</v>
      </c>
      <c r="L165" s="19" t="n">
        <f aca="false">$L$164*$L$159</f>
        <v>30.5369197566457</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6.27788258250939</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-0.522603931389874</v>
      </c>
      <c r="G167" s="24" t="n">
        <f aca="false">$G$125-Assumptions!$G$169</f>
        <v>0.133287476696728</v>
      </c>
      <c r="H167" s="24" t="n">
        <f aca="false">$H$125-Assumptions!$H$169</f>
        <v>0.679516264361794</v>
      </c>
      <c r="I167" s="24" t="n">
        <f aca="false">$I$125-Assumptions!$I$169</f>
        <v>-0.0170294483379108</v>
      </c>
      <c r="J167" s="24" t="n">
        <f aca="false">$J$125-Assumptions!$J$169</f>
        <v>-0.49118671941766</v>
      </c>
      <c r="K167" s="24" t="n">
        <f aca="false">$K$125-Assumptions!$K$169</f>
        <v>-0.966861701932687</v>
      </c>
      <c r="L167" s="24" t="n">
        <f aca="false">$L$125-Assumptions!$L$169</f>
        <v>-1.45537892696532</v>
      </c>
    </row>
    <row r="168" customFormat="false" ht="15" hidden="false" customHeight="false" outlineLevel="0" collapsed="false">
      <c r="B168" s="9" t="s">
        <v>639</v>
      </c>
      <c r="F168" s="24" t="n">
        <f aca="false">$F$161-$F$162</f>
        <v>-0.522603931389874</v>
      </c>
      <c r="G168" s="24" t="n">
        <f aca="false">$G$161-$G$162</f>
        <v>-0.694364230758825</v>
      </c>
      <c r="H168" s="24" t="n">
        <f aca="false">$H$161-$H$162</f>
        <v>0.4981230690915</v>
      </c>
      <c r="I168" s="24" t="n">
        <f aca="false">$I$161-$I$162</f>
        <v>-0.0469401878271487</v>
      </c>
      <c r="J168" s="24" t="n">
        <f aca="false">$J$161-$J$162</f>
        <v>-0.49118671941766</v>
      </c>
      <c r="K168" s="24" t="n">
        <f aca="false">$K$161-$K$162</f>
        <v>-0.966861701932687</v>
      </c>
      <c r="L168" s="24" t="n">
        <f aca="false">$L$161-$L$162</f>
        <v>-1.45537892696532</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273.065988281068</v>
      </c>
    </row>
    <row r="174" customFormat="false" ht="15" hidden="false" customHeight="false" outlineLevel="0" collapsed="false">
      <c r="B174" s="9" t="s">
        <v>643</v>
      </c>
      <c r="D174" s="19" t="n">
        <f aca="false">INDEX($E$118:$L$118,1,$D$170+1)</f>
        <v>255.963515669086</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32.8975273880177</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416.833927313732</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221.299254526092</v>
      </c>
    </row>
    <row r="183" customFormat="false" ht="15" hidden="false" customHeight="false" outlineLevel="0" collapsed="false">
      <c r="B183" s="9" t="s">
        <v>651</v>
      </c>
      <c r="D183" s="42" t="n">
        <f aca="false">$D$48/Assumptions!$D$108</f>
        <v>211.299254526092</v>
      </c>
    </row>
    <row r="184" customFormat="false" ht="15" hidden="false" customHeight="false" outlineLevel="0" collapsed="false">
      <c r="B184" s="9" t="s">
        <v>652</v>
      </c>
      <c r="D184" s="14" t="n">
        <f aca="false">$D$48/$D$46</f>
        <v>0.954812319538017</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0.0451876804619827</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221.299254526092</v>
      </c>
    </row>
    <row r="190" customFormat="false" ht="15" hidden="false" customHeight="false" outlineLevel="0" collapsed="false">
      <c r="B190" s="9" t="s">
        <v>658</v>
      </c>
      <c r="D190" s="34" t="n">
        <f aca="false">$D$183+$D$188/Assumptions!$D$108</f>
        <v>211.299254526092</v>
      </c>
    </row>
    <row r="191" customFormat="false" ht="15" hidden="false" customHeight="false" outlineLevel="0" collapsed="false">
      <c r="B191" s="9" t="s">
        <v>659</v>
      </c>
      <c r="D191" s="34" t="n">
        <f aca="false">$D$182*Assumptions!$D$109/(1-Assumptions!$D$109)</f>
        <v>19.2434134370514</v>
      </c>
    </row>
    <row r="192" customFormat="false" ht="15" hidden="false" customHeight="false" outlineLevel="0" collapsed="false">
      <c r="B192" s="9" t="s">
        <v>660</v>
      </c>
      <c r="D192" s="35" t="n">
        <f aca="false">($D$179+$D$191*Assumptions!$D$108)/($D$189+$D$191)</f>
        <v>1.81288976481129</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1.81288976481129</v>
      </c>
    </row>
    <row r="195" customFormat="false" ht="15" hidden="false" customHeight="false" outlineLevel="0" collapsed="false">
      <c r="B195" s="9" t="s">
        <v>663</v>
      </c>
      <c r="D195" s="34" t="n">
        <f aca="false">IF($D$194&gt;=Assumptions!$D$110,$D$191,$D$191*0.5)</f>
        <v>9.62170671852572</v>
      </c>
    </row>
    <row r="196" customFormat="false" ht="15" hidden="false" customHeight="false" outlineLevel="0" collapsed="false">
      <c r="B196" s="9" t="s">
        <v>664</v>
      </c>
      <c r="D196" s="35" t="n">
        <f aca="false">($D$179+$D$195*Assumptions!$D$108)/($D$189+$D$195)</f>
        <v>1.84676017167843</v>
      </c>
    </row>
    <row r="197" customFormat="false" ht="15" hidden="false" customHeight="false" outlineLevel="0" collapsed="false">
      <c r="B197" s="9" t="s">
        <v>665</v>
      </c>
      <c r="D197" s="34" t="n">
        <f aca="false">IF($D$196&lt;Assumptions!$D$108,0,$D$195)</f>
        <v>9.62170671852572</v>
      </c>
    </row>
    <row r="198" customFormat="false" ht="15" hidden="false" customHeight="false" outlineLevel="0" collapsed="false">
      <c r="B198" s="17" t="s">
        <v>666</v>
      </c>
      <c r="D198" s="43" t="n">
        <f aca="false">IF($D$196&lt;Assumptions!$D$108,$D$179/$D$189,$D$196)</f>
        <v>1.84676017167843</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390.219047564129</v>
      </c>
    </row>
    <row r="201" customFormat="false" ht="15" hidden="false" customHeight="false" outlineLevel="0" collapsed="false">
      <c r="B201" s="9" t="s">
        <v>668</v>
      </c>
      <c r="D201" s="14" t="n">
        <f aca="false">$D$200/$D$179</f>
        <v>0.936149919654763</v>
      </c>
    </row>
    <row r="202" customFormat="false" ht="15" hidden="false" customHeight="false" outlineLevel="0" collapsed="false">
      <c r="B202" s="9" t="s">
        <v>669</v>
      </c>
      <c r="D202" s="19" t="n">
        <f aca="false">$D$185*$D$198</f>
        <v>18.4676017167843</v>
      </c>
    </row>
    <row r="203" customFormat="false" ht="15" hidden="false" customHeight="false" outlineLevel="0" collapsed="false">
      <c r="B203" s="9" t="s">
        <v>670</v>
      </c>
      <c r="D203" s="19" t="n">
        <f aca="false">$D$197*MAX(0,$D$198-Assumptions!$D$108)</f>
        <v>8.14727803281834</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26.6148797496026</v>
      </c>
    </row>
    <row r="206" customFormat="false" ht="15" hidden="false" customHeight="false" outlineLevel="0" collapsed="false">
      <c r="B206" s="9" t="s">
        <v>673</v>
      </c>
      <c r="D206" s="24" t="n">
        <f aca="false">$D$205/$D$47</f>
        <v>2.66148797496026</v>
      </c>
    </row>
    <row r="207" customFormat="false" ht="15" hidden="false" customHeight="false" outlineLevel="0" collapsed="false">
      <c r="B207" s="9" t="s">
        <v>674</v>
      </c>
      <c r="D207" s="19" t="n">
        <f aca="false">$D$187*$D$198</f>
        <v>7.38704068671372</v>
      </c>
    </row>
    <row r="208" customFormat="false" ht="15" hidden="false" customHeight="false" outlineLevel="0" collapsed="false">
      <c r="B208" s="9" t="s">
        <v>675</v>
      </c>
      <c r="D208" s="19" t="n">
        <f aca="false">$D$203*Assumptions!$D$112</f>
        <v>2.85154731148642</v>
      </c>
    </row>
    <row r="209" customFormat="false" ht="15" hidden="false" customHeight="false" outlineLevel="0" collapsed="false">
      <c r="B209" s="9" t="s">
        <v>676</v>
      </c>
      <c r="D209" s="19" t="n">
        <f aca="false">$D$207+$D$208</f>
        <v>10.2385879982001</v>
      </c>
    </row>
    <row r="210" customFormat="false" ht="15" hidden="false" customHeight="false" outlineLevel="0" collapsed="false">
      <c r="B210" s="9" t="s">
        <v>677</v>
      </c>
      <c r="D210" s="24" t="n">
        <f aca="false">$D$209/Assumptions!$D$111</f>
        <v>2.55964699955003</v>
      </c>
    </row>
    <row r="211" customFormat="false" ht="15" hidden="false" customHeight="false" outlineLevel="0" collapsed="false">
      <c r="B211" s="9" t="s">
        <v>678</v>
      </c>
      <c r="D211" s="19" t="n">
        <f aca="false">$D$179*$D$190/$D$189</f>
        <v>397.998169000566</v>
      </c>
    </row>
    <row r="212" customFormat="false" ht="15" hidden="false" customHeight="false" outlineLevel="0" collapsed="false">
      <c r="B212" s="9" t="s">
        <v>679</v>
      </c>
      <c r="D212" s="19" t="n">
        <f aca="false">$D$211-$D$200</f>
        <v>7.77912143643641</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211.299254526092</v>
      </c>
      <c r="F216" s="34" t="n">
        <f aca="false">$D$183+$F$215/Assumptions!$D$108</f>
        <v>211.299254526092</v>
      </c>
      <c r="G216" s="34" t="n">
        <f aca="false">$D$183+$G$215/Assumptions!$D$108</f>
        <v>211.299254526092</v>
      </c>
      <c r="H216" s="34" t="n">
        <f aca="false">$D$183+$H$215/Assumptions!$D$108</f>
        <v>211.299254526092</v>
      </c>
      <c r="I216" s="34" t="n">
        <f aca="false">$D$183+$I$215/Assumptions!$D$108</f>
        <v>211.299254526092</v>
      </c>
      <c r="J216" s="34" t="n">
        <f aca="false">$D$183+$J$215/Assumptions!$D$108</f>
        <v>211.299254526092</v>
      </c>
      <c r="K216" s="34" t="n">
        <f aca="false">$D$183+$K$215/Assumptions!$D$108</f>
        <v>211.299254526092</v>
      </c>
      <c r="L216" s="34" t="n">
        <f aca="false">$D$183+$L$215/Assumptions!$D$108</f>
        <v>211.299254526092</v>
      </c>
    </row>
    <row r="217" customFormat="false" ht="15" hidden="false" customHeight="false" outlineLevel="0" collapsed="false">
      <c r="B217" s="9" t="s">
        <v>683</v>
      </c>
      <c r="E217" s="34" t="n">
        <f aca="false">$D$182+$E$215/Assumptions!$D$108</f>
        <v>221.299254526092</v>
      </c>
      <c r="F217" s="34" t="n">
        <f aca="false">$D$182+$F$215/Assumptions!$D$108</f>
        <v>221.299254526092</v>
      </c>
      <c r="G217" s="34" t="n">
        <f aca="false">$D$182+$G$215/Assumptions!$D$108</f>
        <v>221.299254526092</v>
      </c>
      <c r="H217" s="34" t="n">
        <f aca="false">$D$182+$H$215/Assumptions!$D$108</f>
        <v>221.299254526092</v>
      </c>
      <c r="I217" s="34" t="n">
        <f aca="false">$D$182+$I$215/Assumptions!$D$108</f>
        <v>221.299254526092</v>
      </c>
      <c r="J217" s="34" t="n">
        <f aca="false">$D$182+$J$215/Assumptions!$D$108</f>
        <v>221.299254526092</v>
      </c>
      <c r="K217" s="34" t="n">
        <f aca="false">$D$182+$K$215/Assumptions!$D$108</f>
        <v>221.299254526092</v>
      </c>
      <c r="L217" s="34" t="n">
        <f aca="false">$D$182+$L$215/Assumptions!$D$108</f>
        <v>221.299254526092</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-211.299254526092</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390.219047564129</v>
      </c>
      <c r="K219" s="18" t="n">
        <f aca="false">IF($K$64&lt;=$D$170,$K$218+IF($K$64=$D$170,$D$200,0),0)</f>
        <v>0</v>
      </c>
      <c r="L219" s="18" t="n">
        <f aca="false">IF($L$64&lt;=$D$170,$L$218+IF($L$64=$D$170,$D$200,0),0)</f>
        <v>0</v>
      </c>
    </row>
    <row r="220" customFormat="false" ht="15" hidden="false" customHeight="false" outlineLevel="0" collapsed="false">
      <c r="B220" s="9" t="s">
        <v>686</v>
      </c>
      <c r="E220" s="19" t="n">
        <f aca="false">-$D$46</f>
        <v>-221.299254526092</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416.833927313732</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0.130530022321263</v>
      </c>
    </row>
    <row r="224" customFormat="false" ht="15" hidden="false" customHeight="false" outlineLevel="0" collapsed="false">
      <c r="B224" s="9" t="s">
        <v>689</v>
      </c>
      <c r="D224" s="25" t="n">
        <f aca="false">XIRR($E$219:$L$219,$E$221:$L$221,0.1)</f>
        <v>0.130454066028714</v>
      </c>
    </row>
    <row r="225" customFormat="false" ht="15" hidden="false" customHeight="false" outlineLevel="0" collapsed="false">
      <c r="B225" s="17" t="s">
        <v>690</v>
      </c>
      <c r="D225" s="41" t="n">
        <f aca="false">SUMIF($E$219:$L$219,"&gt;0")/-SUMIF($E$219:$L$219,"&lt;0")</f>
        <v>1.84676017167843</v>
      </c>
    </row>
    <row r="226" customFormat="false" ht="15" hidden="false" customHeight="false" outlineLevel="0" collapsed="false">
      <c r="B226" s="9" t="s">
        <v>691</v>
      </c>
      <c r="D226" s="19" t="n">
        <f aca="false">-SUMIF($E$219:$L$219,"&lt;0")</f>
        <v>211.299254526092</v>
      </c>
    </row>
    <row r="227" customFormat="false" ht="15" hidden="false" customHeight="false" outlineLevel="0" collapsed="false">
      <c r="B227" s="9" t="s">
        <v>692</v>
      </c>
      <c r="D227" s="25" t="n">
        <f aca="false">IRR($E$220:$L$220,0.1)</f>
        <v>0.135001987052069</v>
      </c>
    </row>
    <row r="228" customFormat="false" ht="15" hidden="false" customHeight="false" outlineLevel="0" collapsed="false">
      <c r="B228" s="9" t="s">
        <v>693</v>
      </c>
      <c r="D228" s="24" t="n">
        <f aca="false">SUMIF($E$220:$L$220,"&gt;0")/-SUMIF($E$220:$L$220,"&lt;0")</f>
        <v>1.88357583131662</v>
      </c>
    </row>
    <row r="229" customFormat="false" ht="15" hidden="false" customHeight="false" outlineLevel="0" collapsed="false">
      <c r="B229" s="9" t="s">
        <v>694</v>
      </c>
      <c r="D229" s="19" t="n">
        <f aca="false">SUM($E$220:$L$220)</f>
        <v>195.53467278764</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74.0204866923077</v>
      </c>
    </row>
    <row r="232" customFormat="false" ht="15" hidden="false" customHeight="false" outlineLevel="0" collapsed="false">
      <c r="B232" s="9" t="s">
        <v>697</v>
      </c>
      <c r="D232" s="19" t="n">
        <f aca="false">SUMPRODUCT(($F$64:$L$64&lt;=$D$170)*$F$105:$L$105)</f>
        <v>140.555067581692</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13.9143237486688</v>
      </c>
    </row>
    <row r="235" customFormat="false" ht="15" hidden="false" customHeight="false" outlineLevel="0" collapsed="false">
      <c r="B235" s="9" t="s">
        <v>700</v>
      </c>
      <c r="D235" s="19" t="n">
        <f aca="false">SUMPRODUCT(($F$64:$L$64&lt;=$D$170)*$F$115:$L$115)</f>
        <v>24.4086355556212</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38.32295930429</v>
      </c>
    </row>
    <row r="238" customFormat="false" ht="15" hidden="false" customHeight="false" outlineLevel="0" collapsed="false">
      <c r="B238" s="9" t="s">
        <v>703</v>
      </c>
      <c r="D238" s="19" t="n">
        <f aca="false">$D$54-$D$173</f>
        <v>21.2204866923077</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200.40600568</v>
      </c>
    </row>
    <row r="242" customFormat="false" ht="15" hidden="false" customHeight="false" outlineLevel="0" collapsed="false">
      <c r="B242" s="9" t="s">
        <v>234</v>
      </c>
      <c r="D242" s="14" t="n">
        <f aca="false">$D$172/$D$29-1</f>
        <v>0.40081201136</v>
      </c>
    </row>
    <row r="243" customFormat="false" ht="15" hidden="false" customHeight="false" outlineLevel="0" collapsed="false">
      <c r="B243" s="9" t="s">
        <v>235</v>
      </c>
      <c r="D243" s="25" t="n">
        <f aca="false">($D$172/$D$29)^(1/$D$170)-1</f>
        <v>0.0697344234883317</v>
      </c>
    </row>
    <row r="244" customFormat="false" ht="15" hidden="false" customHeight="false" outlineLevel="0" collapsed="false">
      <c r="B244" s="9" t="s">
        <v>236</v>
      </c>
      <c r="D244" s="14" t="n">
        <f aca="false">$D$179/$D$46-1</f>
        <v>0.883575831316622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723</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2" t="n">
        <v>3.5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175</v>
      </c>
    </row>
    <row r="33" customFormat="false" ht="15" hidden="false" customHeight="false" outlineLevel="0" collapsed="false">
      <c r="B33" s="9" t="s">
        <v>522</v>
      </c>
      <c r="D33" s="19" t="n">
        <f aca="false">Assumptions!$D$77*($D$32+$D$31)</f>
        <v>4.5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4.5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474</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175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249</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239</v>
      </c>
    </row>
    <row r="49" customFormat="false" ht="15" hidden="false" customHeight="false" outlineLevel="0" collapsed="false">
      <c r="B49" s="17" t="s">
        <v>534</v>
      </c>
      <c r="D49" s="18" t="n">
        <f aca="false">$D$43+$D$44+$D$45+$D$48+$D$47</f>
        <v>474</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225</v>
      </c>
    </row>
    <row r="53" customFormat="false" ht="15" hidden="false" customHeight="false" outlineLevel="0" collapsed="false">
      <c r="B53" s="9" t="s">
        <v>303</v>
      </c>
      <c r="C53" s="6" t="s">
        <v>79</v>
      </c>
      <c r="D53" s="23" t="n">
        <f aca="false">$D$52/$D$28</f>
        <v>4.5</v>
      </c>
    </row>
    <row r="54" customFormat="false" ht="15" hidden="false" customHeight="false" outlineLevel="0" collapsed="false">
      <c r="B54" s="9" t="s">
        <v>192</v>
      </c>
      <c r="D54" s="19" t="n">
        <f aca="false">$D$52-$D$40</f>
        <v>215</v>
      </c>
    </row>
    <row r="55" customFormat="false" ht="15" hidden="false" customHeight="false" outlineLevel="0" collapsed="false">
      <c r="B55" s="9" t="s">
        <v>538</v>
      </c>
      <c r="C55" s="6" t="s">
        <v>79</v>
      </c>
      <c r="D55" s="24" t="n">
        <f aca="false">$D$54/$D$28</f>
        <v>4.3</v>
      </c>
    </row>
    <row r="56" customFormat="false" ht="15" hidden="false" customHeight="false" outlineLevel="0" collapsed="false">
      <c r="B56" s="9" t="s">
        <v>539</v>
      </c>
      <c r="D56" s="14" t="n">
        <f aca="false">$D$46/$D$41</f>
        <v>0.525316455696203</v>
      </c>
    </row>
    <row r="57" customFormat="false" ht="15" hidden="false" customHeight="false" outlineLevel="0" collapsed="false">
      <c r="B57" s="9" t="s">
        <v>540</v>
      </c>
      <c r="D57" s="14" t="n">
        <f aca="false">$D$52/$D$41</f>
        <v>0.474683544303797</v>
      </c>
    </row>
    <row r="58" customFormat="false" ht="15" hidden="false" customHeight="false" outlineLevel="0" collapsed="false">
      <c r="B58" s="9" t="s">
        <v>541</v>
      </c>
      <c r="D58" s="14" t="n">
        <f aca="false">$D$52/$D$29</f>
        <v>0.5</v>
      </c>
    </row>
    <row r="59" customFormat="false" ht="15" hidden="false" customHeight="false" outlineLevel="0" collapsed="false">
      <c r="B59" s="9" t="s">
        <v>542</v>
      </c>
      <c r="D59" s="19" t="n">
        <f aca="false">$D$38+$D$39</f>
        <v>14</v>
      </c>
    </row>
    <row r="60" customFormat="false" ht="15" hidden="false" customHeight="false" outlineLevel="0" collapsed="false">
      <c r="B60" s="9" t="s">
        <v>543</v>
      </c>
      <c r="D60" s="25" t="n">
        <f aca="false">$D$59/$D$29</f>
        <v>0.0311111111111111</v>
      </c>
    </row>
    <row r="61" customFormat="false" ht="15" hidden="false" customHeight="false" outlineLevel="0" collapsed="false">
      <c r="B61" s="9" t="s">
        <v>544</v>
      </c>
      <c r="D61" s="25" t="n">
        <f aca="false">$D$59/$D$46</f>
        <v>0.0562248995983936</v>
      </c>
    </row>
    <row r="62" customFormat="false" ht="15" hidden="false" customHeight="false" outlineLevel="0" collapsed="false">
      <c r="B62" s="9" t="s">
        <v>545</v>
      </c>
      <c r="D62" s="19" t="n">
        <f aca="false">$D$46+(Assumptions!$D$72-$D$6)*$D$28</f>
        <v>299</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15.61</v>
      </c>
      <c r="G91" s="18" t="n">
        <f aca="false">$G$72-$G$139-$G$105-$G$75-$G$79-$G$83-$G$87-$G$89</f>
        <v>19.115015</v>
      </c>
      <c r="H91" s="18" t="n">
        <f aca="false">$H$72-$H$139-$H$105-$H$75-$H$79-$H$83-$H$87-$H$89</f>
        <v>18.93368314375</v>
      </c>
      <c r="I91" s="18" t="n">
        <f aca="false">$I$72-$I$139-$I$105-$I$75-$I$79-$I$83-$I$87-$I$89</f>
        <v>24.1942503845234</v>
      </c>
      <c r="J91" s="18" t="n">
        <f aca="false">$J$72-$J$139-$J$105-$J$75-$J$79-$J$83-$J$87-$J$89</f>
        <v>31.9718738723862</v>
      </c>
      <c r="K91" s="18" t="n">
        <f aca="false">$K$72-$K$139-$K$105-$K$75-$K$79-$K$83-$K$87-$K$89</f>
        <v>35.174568844634</v>
      </c>
      <c r="L91" s="18" t="n">
        <f aca="false">$L$72-$L$139-$L$105-$L$75-$L$79-$L$83-$L$87-$L$89</f>
        <v>38.1083871425186</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20.395</v>
      </c>
      <c r="H94" s="19" t="n">
        <f aca="false">$G$123</f>
        <v>21.22001125</v>
      </c>
      <c r="I94" s="19" t="n">
        <f aca="false">$H$123</f>
        <v>31.0027707953125</v>
      </c>
      <c r="J94" s="19" t="n">
        <f aca="false">$I$123</f>
        <v>42.285265884877</v>
      </c>
      <c r="K94" s="19" t="n">
        <f aca="false">$J$123</f>
        <v>72.1071397572632</v>
      </c>
      <c r="L94" s="19" t="n">
        <f aca="false">$K$123</f>
        <v>105.131708601897</v>
      </c>
    </row>
    <row r="95" customFormat="false" ht="15" hidden="false" customHeight="false" outlineLevel="0" collapsed="false">
      <c r="B95" s="9" t="s">
        <v>576</v>
      </c>
      <c r="F95" s="19" t="n">
        <f aca="false">$E$123+$F$91-$F$109-$F$82-$F$85+$F$84+$F$86-$F$88+$F$90</f>
        <v>23.86</v>
      </c>
      <c r="G95" s="19" t="n">
        <f aca="false">$F$123+$G$91-$G$109-$G$82-$G$85+$G$84+$G$86-$G$88+$G$90</f>
        <v>24.960015</v>
      </c>
      <c r="H95" s="19" t="n">
        <f aca="false">$G$123+$H$91-$H$109-$H$82-$H$85+$H$84+$H$86-$H$88+$H$90</f>
        <v>38.00369439375</v>
      </c>
      <c r="I95" s="19" t="n">
        <f aca="false">$H$123+$I$91-$I$109-$I$82-$I$85+$I$84+$I$86-$I$88+$I$90</f>
        <v>53.047021179836</v>
      </c>
      <c r="J95" s="19" t="n">
        <f aca="false">$I$123+$J$91-$J$109-$J$82-$J$85+$J$84+$J$86-$J$88+$J$90</f>
        <v>72.1071397572632</v>
      </c>
      <c r="K95" s="19" t="n">
        <f aca="false">$J$123+$K$91-$K$109-$K$82-$K$85+$K$84+$K$86-$K$88+$K$90</f>
        <v>105.131708601897</v>
      </c>
      <c r="L95" s="19" t="n">
        <f aca="false">$K$123+$L$91-$L$109-$L$82-$L$85+$L$84+$L$86-$L$88+$L$90</f>
        <v>141.090095744416</v>
      </c>
    </row>
    <row r="96" customFormat="false" ht="15" hidden="false" customHeight="false" outlineLevel="0" collapsed="false">
      <c r="B96" s="17" t="s">
        <v>577</v>
      </c>
      <c r="F96" s="18" t="n">
        <f aca="false">$F$95+$F$110-$F$111-$F$115</f>
        <v>20.395</v>
      </c>
      <c r="G96" s="18" t="n">
        <f aca="false">$G$95+$G$110-$G$111-$G$115</f>
        <v>21.22001125</v>
      </c>
      <c r="H96" s="18" t="n">
        <f aca="false">$H$95+$H$110-$H$111-$H$115</f>
        <v>31.0027707953125</v>
      </c>
      <c r="I96" s="18" t="n">
        <f aca="false">$I$95+$I$110-$I$111-$I$115</f>
        <v>42.285265884877</v>
      </c>
      <c r="J96" s="18" t="n">
        <f aca="false">$J$95+$J$110-$J$111-$J$115</f>
        <v>72.1071397572632</v>
      </c>
      <c r="K96" s="18" t="n">
        <f aca="false">$K$95+$K$110-$K$111-$K$115</f>
        <v>105.131708601897</v>
      </c>
      <c r="L96" s="18" t="n">
        <f aca="false">$L$95+$L$110-$L$111-$L$115</f>
        <v>141.090095744416</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14.875</v>
      </c>
      <c r="G101" s="38" t="n">
        <f aca="false">$F$118*$G$100</f>
        <v>14.431725</v>
      </c>
      <c r="H101" s="38" t="n">
        <f aca="false">$G$118*$H$100</f>
        <v>17.36507468125</v>
      </c>
      <c r="I101" s="38" t="n">
        <f aca="false">$H$118*$I$100</f>
        <v>16.5872461753828</v>
      </c>
      <c r="J101" s="38" t="n">
        <f aca="false">$I$118*$J$100</f>
        <v>15.4897469753113</v>
      </c>
      <c r="K101" s="38" t="n">
        <f aca="false">$J$118*$K$100</f>
        <v>15.3069969753113</v>
      </c>
      <c r="L101" s="38" t="n">
        <f aca="false">$K$118*$L$100</f>
        <v>15.1242469753113</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0.4079</v>
      </c>
      <c r="H104" s="38" t="n">
        <f aca="false">$G$123*Assumptions!$D$9</f>
        <v>0.424400225</v>
      </c>
      <c r="I104" s="38" t="n">
        <f aca="false">$H$123*Assumptions!$D$9</f>
        <v>0.62005541590625</v>
      </c>
      <c r="J104" s="38" t="n">
        <f aca="false">$I$123*Assumptions!$D$9</f>
        <v>0.845705317697539</v>
      </c>
      <c r="K104" s="38" t="n">
        <f aca="false">$J$123*Assumptions!$D$9</f>
        <v>1.44214279514526</v>
      </c>
      <c r="L104" s="38" t="n">
        <f aca="false">$K$123*Assumptions!$D$9</f>
        <v>2.10263417203794</v>
      </c>
    </row>
    <row r="105" customFormat="false" ht="15" hidden="false" customHeight="false" outlineLevel="0" collapsed="false">
      <c r="B105" s="17" t="s">
        <v>585</v>
      </c>
      <c r="F105" s="40" t="n">
        <f aca="false">$F$101+$F$102+$F$103-$F$104</f>
        <v>20.375</v>
      </c>
      <c r="G105" s="40" t="n">
        <f aca="false">$G$101+$G$102+$G$103-$G$104</f>
        <v>19.723825</v>
      </c>
      <c r="H105" s="40" t="n">
        <f aca="false">$H$101+$H$102+$H$103-$H$104</f>
        <v>22.64067445625</v>
      </c>
      <c r="I105" s="40" t="n">
        <f aca="false">$I$101+$I$102+$I$103-$I$104</f>
        <v>21.6671907594766</v>
      </c>
      <c r="J105" s="40" t="n">
        <f aca="false">$J$101+$J$102+$J$103-$J$104</f>
        <v>20.3440416576138</v>
      </c>
      <c r="K105" s="40" t="n">
        <f aca="false">$K$101+$K$102+$K$103-$K$104</f>
        <v>19.564854180166</v>
      </c>
      <c r="L105" s="40" t="n">
        <f aca="false">$L$101+$L$102+$L$103-$L$104</f>
        <v>18.7216128032734</v>
      </c>
    </row>
    <row r="106" customFormat="false" ht="15" hidden="false" customHeight="false" outlineLevel="0" collapsed="false">
      <c r="B106" s="9" t="s">
        <v>586</v>
      </c>
      <c r="F106" s="38" t="n">
        <f aca="false">IF($E$149&gt;0,$E$149/MAX(1,Assumptions!$D$86-($F$64-1)),0)</f>
        <v>0.642857142857143</v>
      </c>
      <c r="G106" s="38" t="n">
        <f aca="false">IF($F$149&gt;0,$F$149/MAX(1,Assumptions!$D$86-($G$64-1)),0)</f>
        <v>0.642857142857143</v>
      </c>
      <c r="H106" s="38" t="n">
        <f aca="false">IF($G$149&gt;0,$G$149/MAX(1,Assumptions!$D$86-($H$64-1)),0)</f>
        <v>0.802857142857143</v>
      </c>
      <c r="I106" s="38" t="n">
        <f aca="false">IF($H$149&gt;0,$H$149/MAX(1,Assumptions!$D$86-($I$64-1)),0)</f>
        <v>0.802857142857143</v>
      </c>
      <c r="J106" s="38" t="n">
        <f aca="false">IF($I$149&gt;0,$I$149/MAX(1,Assumptions!$D$86-($J$64-1)),0)</f>
        <v>0.802857142857143</v>
      </c>
      <c r="K106" s="38" t="n">
        <f aca="false">IF($J$149&gt;0,$J$149/MAX(1,Assumptions!$D$86-($K$64-1)),0)</f>
        <v>0.802857142857143</v>
      </c>
      <c r="L106" s="38" t="n">
        <f aca="false">IF($K$149&gt;0,$K$149/MAX(1,Assumptions!$D$86-($L$64-1)),0)</f>
        <v>0.802857142857143</v>
      </c>
    </row>
    <row r="107" customFormat="false" ht="15" hidden="false" customHeight="false" outlineLevel="0" collapsed="false">
      <c r="B107" s="9" t="s">
        <v>587</v>
      </c>
      <c r="F107" s="24" t="n">
        <f aca="false">IF($F$105&lt;&gt;0,$F$72/$F$105,0)</f>
        <v>2.67975460122699</v>
      </c>
      <c r="G107" s="24" t="n">
        <f aca="false">IF($G$105&lt;&gt;0,$G$72/$G$105,0)</f>
        <v>3.06974940205564</v>
      </c>
      <c r="H107" s="24" t="n">
        <f aca="false">IF($H$105&lt;&gt;0,$H$72/$H$105,0)</f>
        <v>2.55578110589485</v>
      </c>
      <c r="I107" s="24" t="n">
        <f aca="false">IF($I$105&lt;&gt;0,$I$72/$I$105,0)</f>
        <v>3.24269287606057</v>
      </c>
      <c r="J107" s="24" t="n">
        <f aca="false">IF($J$105&lt;&gt;0,$J$72/$J$105,0)</f>
        <v>3.82534064910719</v>
      </c>
      <c r="K107" s="24" t="n">
        <f aca="false">IF($K$105&lt;&gt;0,$K$72/$K$105,0)</f>
        <v>4.13066227617109</v>
      </c>
      <c r="L107" s="24" t="n">
        <f aca="false">IF($L$105&lt;&gt;0,$L$72/$L$105,0)</f>
        <v>4.48297046770232</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1.75</v>
      </c>
      <c r="G109" s="38" t="n">
        <f aca="false">IF($D$14=1,0,MIN($F$118,Assumptions!$D$85*$F$119))</f>
        <v>1.75</v>
      </c>
      <c r="H109" s="38" t="n">
        <f aca="false">IF($D$14=1,0,MIN($G$118,Assumptions!$D$85*$G$119))</f>
        <v>2.15</v>
      </c>
      <c r="I109" s="38" t="n">
        <f aca="false">IF($D$14=1,0,MIN($H$118,Assumptions!$D$85*$H$119))</f>
        <v>2.15</v>
      </c>
      <c r="J109" s="38" t="n">
        <f aca="false">IF($D$14=1,0,MIN($I$118,Assumptions!$D$85*$I$119))</f>
        <v>2.15</v>
      </c>
      <c r="K109" s="38" t="n">
        <f aca="false">IF($D$14=1,0,MIN($J$118,Assumptions!$D$85*$J$119))</f>
        <v>2.15</v>
      </c>
      <c r="L109" s="38" t="n">
        <f aca="false">IF($D$14=1,0,MIN($K$118,Assumptions!$D$85*$K$119))</f>
        <v>2.15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23.86</v>
      </c>
      <c r="G112" s="19" t="n">
        <f aca="false">$G$95+$G$110-$G$111</f>
        <v>24.960015</v>
      </c>
      <c r="H112" s="19" t="n">
        <f aca="false">$H$95+$H$110-$H$111</f>
        <v>38.00369439375</v>
      </c>
      <c r="I112" s="19" t="n">
        <f aca="false">$I$95+$I$110-$I$111</f>
        <v>53.047021179836</v>
      </c>
      <c r="J112" s="19" t="n">
        <f aca="false">$J$95+$J$110-$J$111</f>
        <v>72.1071397572632</v>
      </c>
      <c r="K112" s="19" t="n">
        <f aca="false">$K$95+$K$110-$K$111</f>
        <v>105.131708601897</v>
      </c>
      <c r="L112" s="19" t="n">
        <f aca="false">$L$95+$L$110-$L$111</f>
        <v>141.090095744416</v>
      </c>
    </row>
    <row r="113" customFormat="false" ht="15" hidden="false" customHeight="false" outlineLevel="0" collapsed="false">
      <c r="B113" s="9" t="s">
        <v>593</v>
      </c>
      <c r="F113" s="29" t="n">
        <f aca="false">IF($E$125&gt;Assumptions!$D$100,Assumptions!$E$100,IF($E$125&gt;Assumptions!$D$101,Assumptions!$E$101,IF($E$125&gt;Assumptions!$D$102,Assumptions!$E$102,0)))</f>
        <v>0.25</v>
      </c>
      <c r="G113" s="29" t="n">
        <f aca="false">IF($F$125&gt;Assumptions!$D$100,Assumptions!$E$100,IF($F$125&gt;Assumptions!$D$101,Assumptions!$E$101,IF($F$125&gt;Assumptions!$D$102,Assumptions!$E$102,0)))</f>
        <v>0.25</v>
      </c>
      <c r="H113" s="29" t="n">
        <f aca="false">IF($G$125&gt;Assumptions!$D$100,Assumptions!$E$100,IF($G$125&gt;Assumptions!$D$101,Assumptions!$E$101,IF($G$125&gt;Assumptions!$D$102,Assumptions!$E$102,0)))</f>
        <v>0.25</v>
      </c>
      <c r="I113" s="29" t="n">
        <f aca="false">IF($H$125&gt;Assumptions!$D$100,Assumptions!$E$100,IF($H$125&gt;Assumptions!$D$101,Assumptions!$E$101,IF($H$125&gt;Assumptions!$D$102,Assumptions!$E$102,0)))</f>
        <v>0.25</v>
      </c>
      <c r="J113" s="29" t="n">
        <f aca="false">IF($I$125&gt;Assumptions!$D$100,Assumptions!$E$100,IF($I$125&gt;Assumptions!$D$101,Assumptions!$E$101,IF($I$125&gt;Assumptions!$D$102,Assumptions!$E$102,0)))</f>
        <v>0</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13.86</v>
      </c>
      <c r="G114" s="19" t="n">
        <f aca="false">MAX(0,$G$112-Assumptions!$D$79)</f>
        <v>14.960015</v>
      </c>
      <c r="H114" s="19" t="n">
        <f aca="false">MAX(0,$H$112-Assumptions!$D$79)</f>
        <v>28.00369439375</v>
      </c>
      <c r="I114" s="19" t="n">
        <f aca="false">MAX(0,$I$112-Assumptions!$D$79)</f>
        <v>43.047021179836</v>
      </c>
      <c r="J114" s="19" t="n">
        <f aca="false">MAX(0,$J$112-Assumptions!$D$79)</f>
        <v>62.1071397572632</v>
      </c>
      <c r="K114" s="19" t="n">
        <f aca="false">MAX(0,$K$112-Assumptions!$D$79)</f>
        <v>95.1317086018972</v>
      </c>
      <c r="L114" s="19" t="n">
        <f aca="false">MAX(0,$L$112-Assumptions!$D$79)</f>
        <v>131.090095744416</v>
      </c>
    </row>
    <row r="115" customFormat="false" ht="15" hidden="false" customHeight="false" outlineLevel="0" collapsed="false">
      <c r="B115" s="17" t="s">
        <v>595</v>
      </c>
      <c r="F115" s="18" t="n">
        <f aca="false">IF(AND($D$19=1,$D$14=0,$E$121-$F$111+$F$110=0),MIN($E$118-$F$109+$F$84,$F$113*$F$114),0)</f>
        <v>3.465</v>
      </c>
      <c r="G115" s="18" t="n">
        <f aca="false">IF(AND($D$19=1,$D$14=0,$F$121-$G$111+$G$110=0),MIN($F$118-$G$109+$G$84,$G$113*$G$114),0)</f>
        <v>3.74000375</v>
      </c>
      <c r="H115" s="18" t="n">
        <f aca="false">IF(AND($D$19=1,$D$14=0,$G$121-$H$111+$H$110=0),MIN($G$118-$H$109+$H$84,$H$113*$H$114),0)</f>
        <v>7.0009235984375</v>
      </c>
      <c r="I115" s="18" t="n">
        <f aca="false">IF(AND($D$19=1,$D$14=0,$H$121-$I$111+$I$110=0),MIN($H$118-$I$109+$I$84,$I$113*$I$114),0)</f>
        <v>10.761755294959</v>
      </c>
      <c r="J115" s="18" t="n">
        <f aca="false">IF(AND($D$19=1,$D$14=0,$I$121-$J$111+$J$110=0),MIN($I$118-$J$109+$J$84,$J$113*$J$114),0)</f>
        <v>0</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175</v>
      </c>
      <c r="F118" s="19" t="n">
        <f aca="false">$E$118-$F$109-$F$115+$F$84+$F$86</f>
        <v>169.785</v>
      </c>
      <c r="G118" s="19" t="n">
        <f aca="false">$F$118-$G$109-$G$115+$G$84+$G$86</f>
        <v>204.29499625</v>
      </c>
      <c r="H118" s="19" t="n">
        <f aca="false">$G$118-$H$109-$H$115+$H$84+$H$86</f>
        <v>195.144072651562</v>
      </c>
      <c r="I118" s="19" t="n">
        <f aca="false">$H$118-$I$109-$I$115+$I$84+$I$86</f>
        <v>182.232317356604</v>
      </c>
      <c r="J118" s="19" t="n">
        <f aca="false">$I$118-$J$109-$J$115+$J$84+$J$86</f>
        <v>180.082317356603</v>
      </c>
      <c r="K118" s="19" t="n">
        <f aca="false">$J$118-$K$109-$K$115+$K$84+$K$86</f>
        <v>177.932317356603</v>
      </c>
      <c r="L118" s="19" t="n">
        <f aca="false">$K$118-$L$109-$L$115+$L$84+$L$86</f>
        <v>175.782317356603</v>
      </c>
    </row>
    <row r="119" customFormat="false" ht="15" hidden="false" customHeight="false" outlineLevel="0" collapsed="false">
      <c r="B119" s="9" t="s">
        <v>598</v>
      </c>
      <c r="E119" s="19" t="n">
        <f aca="false">$D$32</f>
        <v>175</v>
      </c>
      <c r="F119" s="19" t="n">
        <f aca="false">$E$119+$F$84+$F$86</f>
        <v>175</v>
      </c>
      <c r="G119" s="19" t="n">
        <f aca="false">$F$119+$G$84+$G$86</f>
        <v>215</v>
      </c>
      <c r="H119" s="19" t="n">
        <f aca="false">$G$119+$H$84+$H$86</f>
        <v>215</v>
      </c>
      <c r="I119" s="19" t="n">
        <f aca="false">$H$119+$I$84+$I$86</f>
        <v>215</v>
      </c>
      <c r="J119" s="19" t="n">
        <f aca="false">$I$119+$J$84+$J$86</f>
        <v>215</v>
      </c>
      <c r="K119" s="19" t="n">
        <f aca="false">$J$119+$K$84+$K$86</f>
        <v>215</v>
      </c>
      <c r="L119" s="19" t="n">
        <f aca="false">$K$119+$L$84+$L$86</f>
        <v>215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225</v>
      </c>
      <c r="F122" s="18" t="n">
        <f aca="false">$F$118+$F$120+$F$121</f>
        <v>219.785</v>
      </c>
      <c r="G122" s="18" t="n">
        <f aca="false">$G$118+$G$120+$G$121</f>
        <v>254.29499625</v>
      </c>
      <c r="H122" s="18" t="n">
        <f aca="false">$H$118+$H$120+$H$121</f>
        <v>245.144072651562</v>
      </c>
      <c r="I122" s="18" t="n">
        <f aca="false">$I$118+$I$120+$I$121</f>
        <v>232.232317356604</v>
      </c>
      <c r="J122" s="18" t="n">
        <f aca="false">$J$118+$J$120+$J$121</f>
        <v>230.082317356603</v>
      </c>
      <c r="K122" s="18" t="n">
        <f aca="false">$K$118+$K$120+$K$121</f>
        <v>227.932317356603</v>
      </c>
      <c r="L122" s="18" t="n">
        <f aca="false">$L$118+$L$120+$L$121</f>
        <v>225.782317356603</v>
      </c>
    </row>
    <row r="123" customFormat="false" ht="15" hidden="false" customHeight="false" outlineLevel="0" collapsed="false">
      <c r="B123" s="9" t="s">
        <v>600</v>
      </c>
      <c r="E123" s="19" t="n">
        <f aca="false">Assumptions!$D$78</f>
        <v>10</v>
      </c>
      <c r="F123" s="19" t="n">
        <f aca="false">$F$112-$F$115</f>
        <v>20.395</v>
      </c>
      <c r="G123" s="19" t="n">
        <f aca="false">$G$112-$G$115</f>
        <v>21.22001125</v>
      </c>
      <c r="H123" s="19" t="n">
        <f aca="false">$H$112-$H$115</f>
        <v>31.0027707953125</v>
      </c>
      <c r="I123" s="19" t="n">
        <f aca="false">$I$112-$I$115</f>
        <v>42.285265884877</v>
      </c>
      <c r="J123" s="19" t="n">
        <f aca="false">$J$112-$J$115</f>
        <v>72.1071397572632</v>
      </c>
      <c r="K123" s="19" t="n">
        <f aca="false">$K$112-$K$115</f>
        <v>105.131708601897</v>
      </c>
      <c r="L123" s="19" t="n">
        <f aca="false">$L$112-$L$115</f>
        <v>141.090095744416</v>
      </c>
    </row>
    <row r="124" customFormat="false" ht="15" hidden="false" customHeight="false" outlineLevel="0" collapsed="false">
      <c r="B124" s="17" t="s">
        <v>601</v>
      </c>
      <c r="E124" s="18" t="n">
        <f aca="false">$E$122-$E$123</f>
        <v>215</v>
      </c>
      <c r="F124" s="18" t="n">
        <f aca="false">$F$122-$F$123</f>
        <v>199.39</v>
      </c>
      <c r="G124" s="18" t="n">
        <f aca="false">$G$122-$G$123</f>
        <v>233.074985</v>
      </c>
      <c r="H124" s="18" t="n">
        <f aca="false">$H$122-$H$123</f>
        <v>214.14130185625</v>
      </c>
      <c r="I124" s="18" t="n">
        <f aca="false">$I$122-$I$123</f>
        <v>189.947051471727</v>
      </c>
      <c r="J124" s="18" t="n">
        <f aca="false">$J$122-$J$123</f>
        <v>157.97517759934</v>
      </c>
      <c r="K124" s="18" t="n">
        <f aca="false">$K$122-$K$123</f>
        <v>122.800608754706</v>
      </c>
      <c r="L124" s="18" t="n">
        <f aca="false">$L$122-$L$123</f>
        <v>84.6922216121877</v>
      </c>
    </row>
    <row r="125" customFormat="false" ht="15" hidden="false" customHeight="false" outlineLevel="0" collapsed="false">
      <c r="B125" s="9" t="s">
        <v>538</v>
      </c>
      <c r="E125" s="24" t="n">
        <f aca="false">$E$124/$E$72</f>
        <v>4.3</v>
      </c>
      <c r="F125" s="24" t="n">
        <f aca="false">$F$124/$F$72</f>
        <v>3.6518315018315</v>
      </c>
      <c r="G125" s="24" t="n">
        <f aca="false">$G$124/$G$72</f>
        <v>3.84947586345859</v>
      </c>
      <c r="H125" s="24" t="n">
        <f aca="false">$H$124/$H$72</f>
        <v>3.70073019169593</v>
      </c>
      <c r="I125" s="24" t="n">
        <f aca="false">$I$124/$I$72</f>
        <v>2.70348604455503</v>
      </c>
      <c r="J125" s="24" t="n">
        <f aca="false">$J$124/$J$72</f>
        <v>2.02993204921724</v>
      </c>
      <c r="K125" s="24" t="n">
        <f aca="false">$K$124/$K$72</f>
        <v>1.51951228601311</v>
      </c>
      <c r="L125" s="24" t="n">
        <f aca="false">$L$124/$L$72</f>
        <v>1.00910042331161</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21.0178571428571</v>
      </c>
      <c r="G130" s="38" t="n">
        <f aca="false">$G$105+$G$106</f>
        <v>20.3666821428571</v>
      </c>
      <c r="H130" s="38" t="n">
        <f aca="false">$H$105+$H$106</f>
        <v>23.4435315991071</v>
      </c>
      <c r="I130" s="38" t="n">
        <f aca="false">$I$105+$I$106</f>
        <v>22.4700479023337</v>
      </c>
      <c r="J130" s="38" t="n">
        <f aca="false">$J$105+$J$106</f>
        <v>21.1468988004709</v>
      </c>
      <c r="K130" s="38" t="n">
        <f aca="false">$K$105+$K$106</f>
        <v>20.3677113230232</v>
      </c>
      <c r="L130" s="38" t="n">
        <f aca="false">$L$105+$L$106</f>
        <v>19.5244699461305</v>
      </c>
    </row>
    <row r="131" customFormat="false" ht="15" hidden="false" customHeight="false" outlineLevel="0" collapsed="false">
      <c r="B131" s="9" t="s">
        <v>606</v>
      </c>
      <c r="F131" s="38" t="n">
        <f aca="false">$F$129-$F$130-$F$83-$F$87-$F$89</f>
        <v>21.8221428571429</v>
      </c>
      <c r="G131" s="38" t="n">
        <f aca="false">$G$129-$G$130-$G$83-$G$87-$G$89</f>
        <v>26.2149178571429</v>
      </c>
      <c r="H131" s="38" t="n">
        <f aca="false">$H$129-$H$130-$H$83-$H$87-$H$89</f>
        <v>20.5194124008929</v>
      </c>
      <c r="I131" s="38" t="n">
        <f aca="false">$I$129-$I$130-$I$83-$I$87-$I$89</f>
        <v>32.9807367376663</v>
      </c>
      <c r="J131" s="38" t="n">
        <f aca="false">$J$129-$J$130-$J$83-$J$87-$J$89</f>
        <v>41.1489808155291</v>
      </c>
      <c r="K131" s="38" t="n">
        <f aca="false">$K$129-$K$130-$K$83-$K$87-$K$89</f>
        <v>44.3000034776168</v>
      </c>
      <c r="L131" s="38" t="n">
        <f aca="false">$L$129-$L$130-$L$83-$L$87-$L$89</f>
        <v>47.6099534465351</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21.0178571428571</v>
      </c>
      <c r="G133" s="38" t="n">
        <f aca="false">$G$130+$F$135</f>
        <v>25.0045392857143</v>
      </c>
      <c r="H133" s="38" t="n">
        <f aca="false">$H$130+$G$135</f>
        <v>30.2839108848214</v>
      </c>
      <c r="I133" s="38" t="n">
        <f aca="false">$I$130+$H$135</f>
        <v>35.3945763871551</v>
      </c>
      <c r="J133" s="38" t="n">
        <f aca="false">$J$130+$I$135</f>
        <v>35.463461651626</v>
      </c>
      <c r="K133" s="38" t="n">
        <f aca="false">$K$130+$J$135</f>
        <v>32.4843061186492</v>
      </c>
      <c r="L133" s="38" t="n">
        <f aca="false">$L$130+$K$135</f>
        <v>27.7640345345397</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4.63785714285714</v>
      </c>
      <c r="G135" s="38" t="n">
        <f aca="false">$G$133-$G$134</f>
        <v>6.84037928571428</v>
      </c>
      <c r="H135" s="38" t="n">
        <f aca="false">$H$133-$H$134</f>
        <v>12.9245284848214</v>
      </c>
      <c r="I135" s="38" t="n">
        <f aca="false">$I$133-$I$134</f>
        <v>14.3165628511551</v>
      </c>
      <c r="J135" s="38" t="n">
        <f aca="false">$J$133-$J$134</f>
        <v>12.116594795626</v>
      </c>
      <c r="K135" s="38" t="n">
        <f aca="false">$K$133-$K$134</f>
        <v>8.23956458840919</v>
      </c>
      <c r="L135" s="38" t="n">
        <f aca="false">$L$133-$L$134</f>
        <v>2.58550334309009</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15.2071428571429</v>
      </c>
      <c r="G140" s="19" t="n">
        <f aca="false">$G$131-$G$139</f>
        <v>19.1105578571429</v>
      </c>
      <c r="H140" s="19" t="n">
        <f aca="false">$H$131-$H$139</f>
        <v>13.8685220008929</v>
      </c>
      <c r="I140" s="19" t="n">
        <f aca="false">$I$131-$I$139</f>
        <v>24.3875439616663</v>
      </c>
      <c r="J140" s="19" t="n">
        <f aca="false">$J$131-$J$139</f>
        <v>31.4117276255291</v>
      </c>
      <c r="K140" s="19" t="n">
        <f aca="false">$K$131-$K$139</f>
        <v>34.1942601600168</v>
      </c>
      <c r="L140" s="19" t="n">
        <f aca="false">$L$131-$L$139</f>
        <v>37.1209803962311</v>
      </c>
    </row>
    <row r="141" customFormat="false" ht="15" hidden="false" customHeight="false" outlineLevel="0" collapsed="false">
      <c r="B141" s="9" t="s">
        <v>616</v>
      </c>
      <c r="F141" s="38" t="n">
        <f aca="false">Assumptions!$D$7*($F$129-$F$130)</f>
        <v>5.45553571428572</v>
      </c>
      <c r="G141" s="38" t="n">
        <f aca="false">Assumptions!$D$7*($G$129-$G$130)</f>
        <v>6.92872946428572</v>
      </c>
      <c r="H141" s="38" t="n">
        <f aca="false">Assumptions!$D$7*($H$129-$H$130)</f>
        <v>5.12985310022321</v>
      </c>
      <c r="I141" s="38" t="n">
        <f aca="false">Assumptions!$D$7*($I$129-$I$130)</f>
        <v>8.24518418441657</v>
      </c>
      <c r="J141" s="38" t="n">
        <f aca="false">Assumptions!$D$7*($J$129-$J$130)</f>
        <v>10.2872452038823</v>
      </c>
      <c r="K141" s="38" t="n">
        <f aca="false">Assumptions!$D$7*($K$129-$K$130)</f>
        <v>11.0750008694042</v>
      </c>
      <c r="L141" s="38" t="n">
        <f aca="false">Assumptions!$D$7*($L$129-$L$130)</f>
        <v>11.9024883616338</v>
      </c>
    </row>
    <row r="142" customFormat="false" ht="15" hidden="false" customHeight="false" outlineLevel="0" collapsed="false">
      <c r="B142" s="9" t="s">
        <v>617</v>
      </c>
      <c r="F142" s="38" t="n">
        <f aca="false">$F$139-$F$141</f>
        <v>1.15946428571429</v>
      </c>
      <c r="G142" s="38" t="n">
        <f aca="false">$G$139-$G$141</f>
        <v>0.175630535714284</v>
      </c>
      <c r="H142" s="38" t="n">
        <f aca="false">$H$139-$H$141</f>
        <v>1.52103729977679</v>
      </c>
      <c r="I142" s="38" t="n">
        <f aca="false">$I$139-$I$141</f>
        <v>0.348008591583426</v>
      </c>
      <c r="J142" s="38" t="n">
        <f aca="false">$J$139-$J$141</f>
        <v>-0.549992013882275</v>
      </c>
      <c r="K142" s="38" t="n">
        <f aca="false">$K$139-$K$141</f>
        <v>-0.969257551804205</v>
      </c>
      <c r="L142" s="38" t="n">
        <f aca="false">$L$139-$L$141</f>
        <v>-1.41351531132977</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20.395</v>
      </c>
      <c r="G145" s="19" t="n">
        <f aca="false">$G$123</f>
        <v>21.22001125</v>
      </c>
      <c r="H145" s="19" t="n">
        <f aca="false">$H$123</f>
        <v>31.0027707953125</v>
      </c>
      <c r="I145" s="19" t="n">
        <f aca="false">$I$123</f>
        <v>42.285265884877</v>
      </c>
      <c r="J145" s="19" t="n">
        <f aca="false">$J$123</f>
        <v>72.1071397572632</v>
      </c>
      <c r="K145" s="19" t="n">
        <f aca="false">$K$123</f>
        <v>105.131708601897</v>
      </c>
      <c r="L145" s="19" t="n">
        <f aca="false">$L$123</f>
        <v>141.090095744416</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4.5</v>
      </c>
      <c r="F149" s="19" t="n">
        <f aca="false">$E$149-$F$106+$F$85</f>
        <v>3.85714285714286</v>
      </c>
      <c r="G149" s="19" t="n">
        <f aca="false">$F$149-$G$106+$G$85</f>
        <v>4.01428571428571</v>
      </c>
      <c r="H149" s="19" t="n">
        <f aca="false">$G$149-$H$106+$H$85</f>
        <v>3.21142857142857</v>
      </c>
      <c r="I149" s="19" t="n">
        <f aca="false">$H$149-$I$106+$I$85</f>
        <v>2.40857142857143</v>
      </c>
      <c r="J149" s="19" t="n">
        <f aca="false">$I$149-$J$106+$J$85</f>
        <v>1.60571428571429</v>
      </c>
      <c r="K149" s="19" t="n">
        <f aca="false">$J$149-$K$106+$K$85</f>
        <v>0.802857142857143</v>
      </c>
      <c r="L149" s="19" t="n">
        <f aca="false">$K$149-$L$106+$L$85</f>
        <v>0</v>
      </c>
    </row>
    <row r="150" customFormat="false" ht="15" hidden="false" customHeight="false" outlineLevel="0" collapsed="false">
      <c r="B150" s="17" t="s">
        <v>623</v>
      </c>
      <c r="E150" s="18" t="n">
        <f aca="false">$E$145+$E$146+$E$147+$E$148+$E$149</f>
        <v>464.5</v>
      </c>
      <c r="F150" s="18" t="n">
        <f aca="false">$F$145+$F$146+$F$147+$F$148+$F$149</f>
        <v>474.492142857143</v>
      </c>
      <c r="G150" s="18" t="n">
        <f aca="false">$G$145+$G$146+$G$147+$G$148+$G$149</f>
        <v>528.112696964286</v>
      </c>
      <c r="H150" s="18" t="n">
        <f aca="false">$H$145+$H$146+$H$147+$H$148+$H$149</f>
        <v>532.830295366741</v>
      </c>
      <c r="I150" s="18" t="n">
        <f aca="false">$I$145+$I$146+$I$147+$I$148+$I$149</f>
        <v>544.306084033448</v>
      </c>
      <c r="J150" s="18" t="n">
        <f aca="false">$J$145+$J$146+$J$147+$J$148+$J$149</f>
        <v>573.567811658978</v>
      </c>
      <c r="K150" s="18" t="n">
        <f aca="false">$K$145+$K$146+$K$147+$K$148+$K$149</f>
        <v>605.612071818994</v>
      </c>
      <c r="L150" s="18" t="n">
        <f aca="false">$L$145+$L$146+$L$147+$L$148+$L$149</f>
        <v>640.583052215225</v>
      </c>
    </row>
    <row r="151" customFormat="false" ht="15" hidden="false" customHeight="false" outlineLevel="0" collapsed="false">
      <c r="B151" s="9" t="s">
        <v>291</v>
      </c>
      <c r="E151" s="19" t="n">
        <f aca="false">$E$122</f>
        <v>225</v>
      </c>
      <c r="F151" s="19" t="n">
        <f aca="false">$F$122</f>
        <v>219.785</v>
      </c>
      <c r="G151" s="19" t="n">
        <f aca="false">$G$122</f>
        <v>254.29499625</v>
      </c>
      <c r="H151" s="19" t="n">
        <f aca="false">$H$122</f>
        <v>245.144072651562</v>
      </c>
      <c r="I151" s="19" t="n">
        <f aca="false">$I$122</f>
        <v>232.232317356604</v>
      </c>
      <c r="J151" s="19" t="n">
        <f aca="false">$J$122</f>
        <v>230.082317356603</v>
      </c>
      <c r="K151" s="19" t="n">
        <f aca="false">$K$122</f>
        <v>227.932317356603</v>
      </c>
      <c r="L151" s="19" t="n">
        <f aca="false">$L$122</f>
        <v>225.782317356603</v>
      </c>
    </row>
    <row r="152" customFormat="false" ht="15" hidden="false" customHeight="false" outlineLevel="0" collapsed="false">
      <c r="B152" s="9" t="s">
        <v>624</v>
      </c>
      <c r="E152" s="19" t="n">
        <f aca="false">$D$46-Assumptions!$D$76</f>
        <v>239.5</v>
      </c>
      <c r="F152" s="19" t="n">
        <f aca="false">$E$152+$F$140-$F$88+$F$90</f>
        <v>254.707142857143</v>
      </c>
      <c r="G152" s="19" t="n">
        <f aca="false">$F$152+$G$140-$G$88+$G$90</f>
        <v>273.817700714286</v>
      </c>
      <c r="H152" s="19" t="n">
        <f aca="false">$G$152+$H$140-$H$88+$H$90</f>
        <v>287.686222715179</v>
      </c>
      <c r="I152" s="19" t="n">
        <f aca="false">$H$152+$I$140-$I$88+$I$90</f>
        <v>312.073766676845</v>
      </c>
      <c r="J152" s="19" t="n">
        <f aca="false">$I$152+$J$140-$J$88+$J$90</f>
        <v>343.485494302374</v>
      </c>
      <c r="K152" s="19" t="n">
        <f aca="false">$J$152+$K$140-$K$88+$K$90</f>
        <v>377.679754462391</v>
      </c>
      <c r="L152" s="19" t="n">
        <f aca="false">$K$152+$L$140-$L$88+$L$90</f>
        <v>414.800734858622</v>
      </c>
    </row>
    <row r="153" customFormat="false" ht="15" hidden="false" customHeight="false" outlineLevel="0" collapsed="false">
      <c r="B153" s="17" t="s">
        <v>625</v>
      </c>
      <c r="E153" s="18" t="n">
        <f aca="false">$E$151+$E$152</f>
        <v>464.5</v>
      </c>
      <c r="F153" s="18" t="n">
        <f aca="false">$F$151+$F$152</f>
        <v>474.492142857143</v>
      </c>
      <c r="G153" s="18" t="n">
        <f aca="false">$G$151+$G$152</f>
        <v>528.112696964286</v>
      </c>
      <c r="H153" s="18" t="n">
        <f aca="false">$H$151+$H$152</f>
        <v>532.830295366741</v>
      </c>
      <c r="I153" s="18" t="n">
        <f aca="false">$I$151+$I$152</f>
        <v>544.306084033448</v>
      </c>
      <c r="J153" s="18" t="n">
        <f aca="false">$J$151+$J$152</f>
        <v>573.567811658978</v>
      </c>
      <c r="K153" s="18" t="n">
        <f aca="false">$K$151+$K$152</f>
        <v>605.612071818994</v>
      </c>
      <c r="L153" s="18" t="n">
        <f aca="false">$L$151+$L$152</f>
        <v>640.583052215225</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199.39</v>
      </c>
      <c r="G160" s="19" t="n">
        <f aca="false">$G$124</f>
        <v>233.074985</v>
      </c>
      <c r="H160" s="19" t="n">
        <f aca="false">$H$124</f>
        <v>214.14130185625</v>
      </c>
      <c r="I160" s="19" t="n">
        <f aca="false">$I$124</f>
        <v>189.947051471727</v>
      </c>
      <c r="J160" s="19" t="n">
        <f aca="false">$J$124</f>
        <v>157.97517759934</v>
      </c>
      <c r="K160" s="19" t="n">
        <f aca="false">$K$124</f>
        <v>122.800608754706</v>
      </c>
      <c r="L160" s="19" t="n">
        <f aca="false">$L$124</f>
        <v>84.6922216121877</v>
      </c>
    </row>
    <row r="161" customFormat="false" ht="15" hidden="false" customHeight="false" outlineLevel="0" collapsed="false">
      <c r="B161" s="17" t="s">
        <v>632</v>
      </c>
      <c r="F161" s="41" t="n">
        <f aca="false">$F$124/$F$159</f>
        <v>3.6518315018315</v>
      </c>
      <c r="G161" s="41" t="n">
        <f aca="false">$G$124/$G$159</f>
        <v>3.25763950231456</v>
      </c>
      <c r="H161" s="41" t="n">
        <f aca="false">$H$124/$H$159</f>
        <v>3.57709352838742</v>
      </c>
      <c r="I161" s="41" t="n">
        <f aca="false">$I$124/$I$159</f>
        <v>2.68438284839418</v>
      </c>
      <c r="J161" s="41" t="n">
        <f aca="false">$J$124/$J$159</f>
        <v>2.02993204921724</v>
      </c>
      <c r="K161" s="41" t="n">
        <f aca="false">$K$124/$K$159</f>
        <v>1.51951228601311</v>
      </c>
      <c r="L161" s="41" t="n">
        <f aca="false">$L$124/$L$159</f>
        <v>1.00910042331161</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2.0981684981685</v>
      </c>
      <c r="G163" s="24" t="n">
        <f aca="false">$G$162-$G$161</f>
        <v>1.99236049768544</v>
      </c>
      <c r="H163" s="24" t="n">
        <f aca="false">$H$162-$H$161</f>
        <v>1.17290647161258</v>
      </c>
      <c r="I163" s="24" t="n">
        <f aca="false">$I$162-$I$161</f>
        <v>1.56561715160582</v>
      </c>
      <c r="J163" s="24" t="n">
        <f aca="false">$J$162-$J$161</f>
        <v>1.97006795078276</v>
      </c>
      <c r="K163" s="24" t="n">
        <f aca="false">$K$162-$K$161</f>
        <v>2.48048771398689</v>
      </c>
      <c r="L163" s="24" t="n">
        <f aca="false">$L$162-$L$161</f>
        <v>2.99089957668839</v>
      </c>
    </row>
    <row r="164" customFormat="false" ht="15" hidden="false" customHeight="false" outlineLevel="0" collapsed="false">
      <c r="B164" s="9" t="s">
        <v>635</v>
      </c>
      <c r="F164" s="14" t="n">
        <f aca="false">1-$F$124/($F$162*$F$159)</f>
        <v>0.364898869246695</v>
      </c>
      <c r="G164" s="14" t="n">
        <f aca="false">1-$G$124/($G$162*$G$159)</f>
        <v>0.37949723765437</v>
      </c>
      <c r="H164" s="14" t="n">
        <f aca="false">1-$H$124/($H$162*$H$159)</f>
        <v>0.246927678234227</v>
      </c>
      <c r="I164" s="14" t="n">
        <f aca="false">1-$I$124/($I$162*$I$159)</f>
        <v>0.368380506260192</v>
      </c>
      <c r="J164" s="14" t="n">
        <f aca="false">1-$J$124/($J$162*$J$159)</f>
        <v>0.492516987695691</v>
      </c>
      <c r="K164" s="14" t="n">
        <f aca="false">1-$K$124/($K$162*$K$159)</f>
        <v>0.620121928496723</v>
      </c>
      <c r="L164" s="14" t="n">
        <f aca="false">1-$L$124/($L$162*$L$159)</f>
        <v>0.747724894172098</v>
      </c>
    </row>
    <row r="165" customFormat="false" ht="15" hidden="false" customHeight="false" outlineLevel="0" collapsed="false">
      <c r="B165" s="9" t="s">
        <v>636</v>
      </c>
      <c r="F165" s="19" t="n">
        <f aca="false">$F$164*$F$159</f>
        <v>19.9234782608696</v>
      </c>
      <c r="G165" s="19" t="n">
        <f aca="false">$G$164*$G$159</f>
        <v>27.1519647619048</v>
      </c>
      <c r="H165" s="19" t="n">
        <f aca="false">$H$164*$H$159</f>
        <v>14.7822286618421</v>
      </c>
      <c r="I165" s="19" t="n">
        <f aca="false">$I$164*$I$159</f>
        <v>26.0666212442996</v>
      </c>
      <c r="J165" s="19" t="n">
        <f aca="false">$J$164*$J$159</f>
        <v>38.3290951201649</v>
      </c>
      <c r="K165" s="19" t="n">
        <f aca="false">$K$164*$K$159</f>
        <v>50.1156529121234</v>
      </c>
      <c r="L165" s="19" t="n">
        <f aca="false">$L$164*$L$159</f>
        <v>62.7553819017851</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-2.0981684981685</v>
      </c>
      <c r="G167" s="24" t="n">
        <f aca="false">$G$125-Assumptions!$G$169</f>
        <v>-1.40052413654141</v>
      </c>
      <c r="H167" s="24" t="n">
        <f aca="false">$H$125-Assumptions!$H$169</f>
        <v>-1.04926980830407</v>
      </c>
      <c r="I167" s="24" t="n">
        <f aca="false">$I$125-Assumptions!$I$169</f>
        <v>-1.54651395544497</v>
      </c>
      <c r="J167" s="24" t="n">
        <f aca="false">$J$125-Assumptions!$J$169</f>
        <v>-1.97006795078276</v>
      </c>
      <c r="K167" s="24" t="n">
        <f aca="false">$K$125-Assumptions!$K$169</f>
        <v>-2.48048771398689</v>
      </c>
      <c r="L167" s="24" t="n">
        <f aca="false">$L$125-Assumptions!$L$169</f>
        <v>-2.99089957668839</v>
      </c>
    </row>
    <row r="168" customFormat="false" ht="15" hidden="false" customHeight="false" outlineLevel="0" collapsed="false">
      <c r="B168" s="9" t="s">
        <v>639</v>
      </c>
      <c r="F168" s="24" t="n">
        <f aca="false">$F$161-$F$162</f>
        <v>-2.0981684981685</v>
      </c>
      <c r="G168" s="24" t="n">
        <f aca="false">$G$161-$G$162</f>
        <v>-1.99236049768544</v>
      </c>
      <c r="H168" s="24" t="n">
        <f aca="false">$H$161-$H$162</f>
        <v>-1.17290647161258</v>
      </c>
      <c r="I168" s="24" t="n">
        <f aca="false">$I$161-$I$162</f>
        <v>-1.56561715160582</v>
      </c>
      <c r="J168" s="24" t="n">
        <f aca="false">$J$161-$J$162</f>
        <v>-1.97006795078276</v>
      </c>
      <c r="K168" s="24" t="n">
        <f aca="false">$K$161-$K$162</f>
        <v>-2.48048771398689</v>
      </c>
      <c r="L168" s="24" t="n">
        <f aca="false">$L$161-$L$162</f>
        <v>-2.99089957668839</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157.97517759934</v>
      </c>
    </row>
    <row r="174" customFormat="false" ht="15" hidden="false" customHeight="false" outlineLevel="0" collapsed="false">
      <c r="B174" s="9" t="s">
        <v>643</v>
      </c>
      <c r="D174" s="19" t="n">
        <f aca="false">INDEX($E$118:$L$118,1,$D$170+1)</f>
        <v>180.082317356603</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72.1071397572632</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531.92473799546</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249</v>
      </c>
    </row>
    <row r="183" customFormat="false" ht="15" hidden="false" customHeight="false" outlineLevel="0" collapsed="false">
      <c r="B183" s="9" t="s">
        <v>651</v>
      </c>
      <c r="D183" s="42" t="n">
        <f aca="false">$D$48/Assumptions!$D$108</f>
        <v>239</v>
      </c>
    </row>
    <row r="184" customFormat="false" ht="15" hidden="false" customHeight="false" outlineLevel="0" collapsed="false">
      <c r="B184" s="9" t="s">
        <v>652</v>
      </c>
      <c r="D184" s="14" t="n">
        <f aca="false">$D$48/$D$46</f>
        <v>0.959839357429719</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0.0401606425702811</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249</v>
      </c>
    </row>
    <row r="190" customFormat="false" ht="15" hidden="false" customHeight="false" outlineLevel="0" collapsed="false">
      <c r="B190" s="9" t="s">
        <v>658</v>
      </c>
      <c r="D190" s="34" t="n">
        <f aca="false">$D$183+$D$188/Assumptions!$D$108</f>
        <v>239</v>
      </c>
    </row>
    <row r="191" customFormat="false" ht="15" hidden="false" customHeight="false" outlineLevel="0" collapsed="false">
      <c r="B191" s="9" t="s">
        <v>659</v>
      </c>
      <c r="D191" s="34" t="n">
        <f aca="false">$D$182*Assumptions!$D$109/(1-Assumptions!$D$109)</f>
        <v>21.6521739130435</v>
      </c>
    </row>
    <row r="192" customFormat="false" ht="15" hidden="false" customHeight="false" outlineLevel="0" collapsed="false">
      <c r="B192" s="9" t="s">
        <v>660</v>
      </c>
      <c r="D192" s="35" t="n">
        <f aca="false">($D$179+$D$191*Assumptions!$D$108)/($D$189+$D$191)</f>
        <v>2.0453444134772</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2.0453444134772</v>
      </c>
    </row>
    <row r="195" customFormat="false" ht="15" hidden="false" customHeight="false" outlineLevel="0" collapsed="false">
      <c r="B195" s="9" t="s">
        <v>663</v>
      </c>
      <c r="D195" s="34" t="n">
        <f aca="false">IF($D$194&gt;=Assumptions!$D$110,$D$191,$D$191*0.5)</f>
        <v>21.6521739130435</v>
      </c>
    </row>
    <row r="196" customFormat="false" ht="15" hidden="false" customHeight="false" outlineLevel="0" collapsed="false">
      <c r="B196" s="9" t="s">
        <v>664</v>
      </c>
      <c r="D196" s="35" t="n">
        <f aca="false">($D$179+$D$195*Assumptions!$D$108)/($D$189+$D$195)</f>
        <v>2.0453444134772</v>
      </c>
    </row>
    <row r="197" customFormat="false" ht="15" hidden="false" customHeight="false" outlineLevel="0" collapsed="false">
      <c r="B197" s="9" t="s">
        <v>665</v>
      </c>
      <c r="D197" s="34" t="n">
        <f aca="false">IF($D$196&lt;Assumptions!$D$108,0,$D$195)</f>
        <v>21.6521739130435</v>
      </c>
    </row>
    <row r="198" customFormat="false" ht="15" hidden="false" customHeight="false" outlineLevel="0" collapsed="false">
      <c r="B198" s="17" t="s">
        <v>666</v>
      </c>
      <c r="D198" s="43" t="n">
        <f aca="false">IF($D$196&lt;Assumptions!$D$108,$D$179/$D$189,$D$196)</f>
        <v>2.0453444134772</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488.837314821051</v>
      </c>
    </row>
    <row r="201" customFormat="false" ht="15" hidden="false" customHeight="false" outlineLevel="0" collapsed="false">
      <c r="B201" s="9" t="s">
        <v>668</v>
      </c>
      <c r="D201" s="14" t="n">
        <f aca="false">$D$200/$D$179</f>
        <v>0.918997143586925</v>
      </c>
    </row>
    <row r="202" customFormat="false" ht="15" hidden="false" customHeight="false" outlineLevel="0" collapsed="false">
      <c r="B202" s="9" t="s">
        <v>669</v>
      </c>
      <c r="D202" s="19" t="n">
        <f aca="false">$D$185*$D$198</f>
        <v>20.453444134772</v>
      </c>
    </row>
    <row r="203" customFormat="false" ht="15" hidden="false" customHeight="false" outlineLevel="0" collapsed="false">
      <c r="B203" s="9" t="s">
        <v>670</v>
      </c>
      <c r="D203" s="19" t="n">
        <f aca="false">$D$197*MAX(0,$D$198-Assumptions!$D$108)</f>
        <v>22.6339790396368</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43.0874231744088</v>
      </c>
    </row>
    <row r="206" customFormat="false" ht="15" hidden="false" customHeight="false" outlineLevel="0" collapsed="false">
      <c r="B206" s="9" t="s">
        <v>673</v>
      </c>
      <c r="D206" s="24" t="n">
        <f aca="false">$D$205/$D$47</f>
        <v>4.30874231744088</v>
      </c>
    </row>
    <row r="207" customFormat="false" ht="15" hidden="false" customHeight="false" outlineLevel="0" collapsed="false">
      <c r="B207" s="9" t="s">
        <v>674</v>
      </c>
      <c r="D207" s="19" t="n">
        <f aca="false">$D$187*$D$198</f>
        <v>8.1813776539088</v>
      </c>
    </row>
    <row r="208" customFormat="false" ht="15" hidden="false" customHeight="false" outlineLevel="0" collapsed="false">
      <c r="B208" s="9" t="s">
        <v>675</v>
      </c>
      <c r="D208" s="19" t="n">
        <f aca="false">$D$203*Assumptions!$D$112</f>
        <v>7.92189266387287</v>
      </c>
    </row>
    <row r="209" customFormat="false" ht="15" hidden="false" customHeight="false" outlineLevel="0" collapsed="false">
      <c r="B209" s="9" t="s">
        <v>676</v>
      </c>
      <c r="D209" s="19" t="n">
        <f aca="false">$D$207+$D$208</f>
        <v>16.1032703177817</v>
      </c>
    </row>
    <row r="210" customFormat="false" ht="15" hidden="false" customHeight="false" outlineLevel="0" collapsed="false">
      <c r="B210" s="9" t="s">
        <v>677</v>
      </c>
      <c r="D210" s="24" t="n">
        <f aca="false">$D$209/Assumptions!$D$111</f>
        <v>4.02581757944542</v>
      </c>
    </row>
    <row r="211" customFormat="false" ht="15" hidden="false" customHeight="false" outlineLevel="0" collapsed="false">
      <c r="B211" s="9" t="s">
        <v>678</v>
      </c>
      <c r="D211" s="19" t="n">
        <f aca="false">$D$179*$D$190/$D$189</f>
        <v>510.562298718534</v>
      </c>
    </row>
    <row r="212" customFormat="false" ht="15" hidden="false" customHeight="false" outlineLevel="0" collapsed="false">
      <c r="B212" s="9" t="s">
        <v>679</v>
      </c>
      <c r="D212" s="19" t="n">
        <f aca="false">$D$211-$D$200</f>
        <v>21.7249838974827</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239</v>
      </c>
      <c r="F216" s="34" t="n">
        <f aca="false">$D$183+$F$215/Assumptions!$D$108</f>
        <v>239</v>
      </c>
      <c r="G216" s="34" t="n">
        <f aca="false">$D$183+$G$215/Assumptions!$D$108</f>
        <v>239</v>
      </c>
      <c r="H216" s="34" t="n">
        <f aca="false">$D$183+$H$215/Assumptions!$D$108</f>
        <v>239</v>
      </c>
      <c r="I216" s="34" t="n">
        <f aca="false">$D$183+$I$215/Assumptions!$D$108</f>
        <v>239</v>
      </c>
      <c r="J216" s="34" t="n">
        <f aca="false">$D$183+$J$215/Assumptions!$D$108</f>
        <v>239</v>
      </c>
      <c r="K216" s="34" t="n">
        <f aca="false">$D$183+$K$215/Assumptions!$D$108</f>
        <v>239</v>
      </c>
      <c r="L216" s="34" t="n">
        <f aca="false">$D$183+$L$215/Assumptions!$D$108</f>
        <v>239</v>
      </c>
    </row>
    <row r="217" customFormat="false" ht="15" hidden="false" customHeight="false" outlineLevel="0" collapsed="false">
      <c r="B217" s="9" t="s">
        <v>683</v>
      </c>
      <c r="E217" s="34" t="n">
        <f aca="false">$D$182+$E$215/Assumptions!$D$108</f>
        <v>249</v>
      </c>
      <c r="F217" s="34" t="n">
        <f aca="false">$D$182+$F$215/Assumptions!$D$108</f>
        <v>249</v>
      </c>
      <c r="G217" s="34" t="n">
        <f aca="false">$D$182+$G$215/Assumptions!$D$108</f>
        <v>249</v>
      </c>
      <c r="H217" s="34" t="n">
        <f aca="false">$D$182+$H$215/Assumptions!$D$108</f>
        <v>249</v>
      </c>
      <c r="I217" s="34" t="n">
        <f aca="false">$D$182+$I$215/Assumptions!$D$108</f>
        <v>249</v>
      </c>
      <c r="J217" s="34" t="n">
        <f aca="false">$D$182+$J$215/Assumptions!$D$108</f>
        <v>249</v>
      </c>
      <c r="K217" s="34" t="n">
        <f aca="false">$D$182+$K$215/Assumptions!$D$108</f>
        <v>249</v>
      </c>
      <c r="L217" s="34" t="n">
        <f aca="false">$D$182+$L$215/Assumptions!$D$108</f>
        <v>249</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-239</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488.837314821051</v>
      </c>
      <c r="K219" s="18" t="n">
        <f aca="false">IF($K$64&lt;=$D$170,$K$218+IF($K$64=$D$170,$D$200,0),0)</f>
        <v>0</v>
      </c>
      <c r="L219" s="18" t="n">
        <f aca="false">IF($L$64&lt;=$D$170,$L$218+IF($L$64=$D$170,$D$200,0),0)</f>
        <v>0</v>
      </c>
    </row>
    <row r="220" customFormat="false" ht="15" hidden="false" customHeight="false" outlineLevel="0" collapsed="false">
      <c r="B220" s="9" t="s">
        <v>686</v>
      </c>
      <c r="E220" s="19" t="n">
        <f aca="false">-$D$46</f>
        <v>-249</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531.92473799546</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0.153860455733027</v>
      </c>
    </row>
    <row r="224" customFormat="false" ht="15" hidden="false" customHeight="false" outlineLevel="0" collapsed="false">
      <c r="B224" s="9" t="s">
        <v>689</v>
      </c>
      <c r="D224" s="25" t="n">
        <f aca="false">XIRR($E$219:$L$219,$E$221:$L$221,0.1)</f>
        <v>0.153770025154914</v>
      </c>
    </row>
    <row r="225" customFormat="false" ht="15" hidden="false" customHeight="false" outlineLevel="0" collapsed="false">
      <c r="B225" s="17" t="s">
        <v>690</v>
      </c>
      <c r="D225" s="41" t="n">
        <f aca="false">SUMIF($E$219:$L$219,"&gt;0")/-SUMIF($E$219:$L$219,"&lt;0")</f>
        <v>2.0453444134772</v>
      </c>
    </row>
    <row r="226" customFormat="false" ht="15" hidden="false" customHeight="false" outlineLevel="0" collapsed="false">
      <c r="B226" s="9" t="s">
        <v>691</v>
      </c>
      <c r="D226" s="19" t="n">
        <f aca="false">-SUMIF($E$219:$L$219,"&lt;0")</f>
        <v>239</v>
      </c>
    </row>
    <row r="227" customFormat="false" ht="15" hidden="false" customHeight="false" outlineLevel="0" collapsed="false">
      <c r="B227" s="9" t="s">
        <v>692</v>
      </c>
      <c r="D227" s="25" t="n">
        <f aca="false">IRR($E$220:$L$220,0.1)</f>
        <v>0.163938860501229</v>
      </c>
    </row>
    <row r="228" customFormat="false" ht="15" hidden="false" customHeight="false" outlineLevel="0" collapsed="false">
      <c r="B228" s="9" t="s">
        <v>693</v>
      </c>
      <c r="D228" s="24" t="n">
        <f aca="false">SUMIF($E$220:$L$220,"&gt;0")/-SUMIF($E$220:$L$220,"&lt;0")</f>
        <v>2.13624392769261</v>
      </c>
    </row>
    <row r="229" customFormat="false" ht="15" hidden="false" customHeight="false" outlineLevel="0" collapsed="false">
      <c r="B229" s="9" t="s">
        <v>694</v>
      </c>
      <c r="D229" s="19" t="n">
        <f aca="false">SUM($E$220:$L$220)</f>
        <v>282.92473799546</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109.82482240066</v>
      </c>
    </row>
    <row r="232" customFormat="false" ht="15" hidden="false" customHeight="false" outlineLevel="0" collapsed="false">
      <c r="B232" s="9" t="s">
        <v>697</v>
      </c>
      <c r="D232" s="19" t="n">
        <f aca="false">SUMPRODUCT(($F$64:$L$64&lt;=$D$170)*$F$105:$L$105)</f>
        <v>104.75073187334</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9.95</v>
      </c>
    </row>
    <row r="235" customFormat="false" ht="15" hidden="false" customHeight="false" outlineLevel="0" collapsed="false">
      <c r="B235" s="9" t="s">
        <v>700</v>
      </c>
      <c r="D235" s="19" t="n">
        <f aca="false">SUMPRODUCT(($F$64:$L$64&lt;=$D$170)*$F$115:$L$115)</f>
        <v>24.9676826433965</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34.9176826433965</v>
      </c>
    </row>
    <row r="238" customFormat="false" ht="15" hidden="false" customHeight="false" outlineLevel="0" collapsed="false">
      <c r="B238" s="9" t="s">
        <v>703</v>
      </c>
      <c r="D238" s="19" t="n">
        <f aca="false">$D$54-$D$173</f>
        <v>57.0248224006597</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250.40600568</v>
      </c>
    </row>
    <row r="242" customFormat="false" ht="15" hidden="false" customHeight="false" outlineLevel="0" collapsed="false">
      <c r="B242" s="9" t="s">
        <v>234</v>
      </c>
      <c r="D242" s="14" t="n">
        <f aca="false">$D$172/$D$29-1</f>
        <v>0.5564577904</v>
      </c>
    </row>
    <row r="243" customFormat="false" ht="15" hidden="false" customHeight="false" outlineLevel="0" collapsed="false">
      <c r="B243" s="9" t="s">
        <v>235</v>
      </c>
      <c r="D243" s="25" t="n">
        <f aca="false">($D$172/$D$29)^(1/$D$170)-1</f>
        <v>0.0925151535860498</v>
      </c>
    </row>
    <row r="244" customFormat="false" ht="15" hidden="false" customHeight="false" outlineLevel="0" collapsed="false">
      <c r="B244" s="9" t="s">
        <v>236</v>
      </c>
      <c r="D244" s="14" t="n">
        <f aca="false">$D$179/$D$46-1</f>
        <v>1.13624392769261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724</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2" t="n">
        <v>4</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200</v>
      </c>
    </row>
    <row r="33" customFormat="false" ht="15" hidden="false" customHeight="false" outlineLevel="0" collapsed="false">
      <c r="B33" s="9" t="s">
        <v>522</v>
      </c>
      <c r="D33" s="19" t="n">
        <f aca="false">Assumptions!$D$77*($D$32+$D$31)</f>
        <v>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474.5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200</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224.5</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214.5</v>
      </c>
    </row>
    <row r="49" customFormat="false" ht="15" hidden="false" customHeight="false" outlineLevel="0" collapsed="false">
      <c r="B49" s="17" t="s">
        <v>534</v>
      </c>
      <c r="D49" s="18" t="n">
        <f aca="false">$D$43+$D$44+$D$45+$D$48+$D$47</f>
        <v>474.5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250</v>
      </c>
    </row>
    <row r="53" customFormat="false" ht="15" hidden="false" customHeight="false" outlineLevel="0" collapsed="false">
      <c r="B53" s="9" t="s">
        <v>303</v>
      </c>
      <c r="C53" s="6" t="s">
        <v>79</v>
      </c>
      <c r="D53" s="23" t="n">
        <f aca="false">$D$52/$D$28</f>
        <v>5</v>
      </c>
    </row>
    <row r="54" customFormat="false" ht="15" hidden="false" customHeight="false" outlineLevel="0" collapsed="false">
      <c r="B54" s="9" t="s">
        <v>192</v>
      </c>
      <c r="D54" s="19" t="n">
        <f aca="false">$D$52-$D$40</f>
        <v>240</v>
      </c>
    </row>
    <row r="55" customFormat="false" ht="15" hidden="false" customHeight="false" outlineLevel="0" collapsed="false">
      <c r="B55" s="9" t="s">
        <v>538</v>
      </c>
      <c r="C55" s="6" t="s">
        <v>79</v>
      </c>
      <c r="D55" s="24" t="n">
        <f aca="false">$D$54/$D$28</f>
        <v>4.8</v>
      </c>
    </row>
    <row r="56" customFormat="false" ht="15" hidden="false" customHeight="false" outlineLevel="0" collapsed="false">
      <c r="B56" s="9" t="s">
        <v>539</v>
      </c>
      <c r="D56" s="14" t="n">
        <f aca="false">$D$46/$D$41</f>
        <v>0.473129610115912</v>
      </c>
    </row>
    <row r="57" customFormat="false" ht="15" hidden="false" customHeight="false" outlineLevel="0" collapsed="false">
      <c r="B57" s="9" t="s">
        <v>540</v>
      </c>
      <c r="D57" s="14" t="n">
        <f aca="false">$D$52/$D$41</f>
        <v>0.526870389884089</v>
      </c>
    </row>
    <row r="58" customFormat="false" ht="15" hidden="false" customHeight="false" outlineLevel="0" collapsed="false">
      <c r="B58" s="9" t="s">
        <v>541</v>
      </c>
      <c r="D58" s="14" t="n">
        <f aca="false">$D$52/$D$29</f>
        <v>0.555555555555556</v>
      </c>
    </row>
    <row r="59" customFormat="false" ht="15" hidden="false" customHeight="false" outlineLevel="0" collapsed="false">
      <c r="B59" s="9" t="s">
        <v>542</v>
      </c>
      <c r="D59" s="19" t="n">
        <f aca="false">$D$38+$D$39</f>
        <v>14.5</v>
      </c>
    </row>
    <row r="60" customFormat="false" ht="15" hidden="false" customHeight="false" outlineLevel="0" collapsed="false">
      <c r="B60" s="9" t="s">
        <v>543</v>
      </c>
      <c r="D60" s="25" t="n">
        <f aca="false">$D$59/$D$29</f>
        <v>0.0322222222222222</v>
      </c>
    </row>
    <row r="61" customFormat="false" ht="15" hidden="false" customHeight="false" outlineLevel="0" collapsed="false">
      <c r="B61" s="9" t="s">
        <v>544</v>
      </c>
      <c r="D61" s="25" t="n">
        <f aca="false">$D$59/$D$46</f>
        <v>0.0645879732739421</v>
      </c>
    </row>
    <row r="62" customFormat="false" ht="15" hidden="false" customHeight="false" outlineLevel="0" collapsed="false">
      <c r="B62" s="9" t="s">
        <v>545</v>
      </c>
      <c r="D62" s="19" t="n">
        <f aca="false">$D$46+(Assumptions!$D$72-$D$6)*$D$28</f>
        <v>274.5</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13.485</v>
      </c>
      <c r="G91" s="18" t="n">
        <f aca="false">$G$72-$G$139-$G$105-$G$75-$G$79-$G$83-$G$87-$G$89</f>
        <v>17.1118025</v>
      </c>
      <c r="H91" s="18" t="n">
        <f aca="false">$H$72-$H$139-$H$105-$H$75-$H$79-$H$83-$H$87-$H$89</f>
        <v>16.794438565625</v>
      </c>
      <c r="I91" s="18" t="n">
        <f aca="false">$I$72-$I$139-$I$105-$I$75-$I$79-$I$83-$I$87-$I$89</f>
        <v>21.9054823193477</v>
      </c>
      <c r="J91" s="18" t="n">
        <f aca="false">$J$72-$J$139-$J$105-$J$75-$J$79-$J$83-$J$87-$J$89</f>
        <v>29.5200840182316</v>
      </c>
      <c r="K91" s="18" t="n">
        <f aca="false">$K$72-$K$139-$K$105-$K$75-$K$79-$K$83-$K$87-$K$89</f>
        <v>32.6899931933963</v>
      </c>
      <c r="L91" s="18" t="n">
        <f aca="false">$L$72-$L$139-$L$105-$L$75-$L$79-$L$83-$L$87-$L$89</f>
        <v>35.5903699782562</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15.7425</v>
      </c>
      <c r="H94" s="19" t="n">
        <f aca="false">$G$123</f>
        <v>16.040726875</v>
      </c>
      <c r="I94" s="19" t="n">
        <f aca="false">$H$123</f>
        <v>25.3263740804688</v>
      </c>
      <c r="J94" s="19" t="n">
        <f aca="false">$I$123</f>
        <v>36.1238922998623</v>
      </c>
      <c r="K94" s="19" t="n">
        <f aca="false">$J$123</f>
        <v>63.243976318094</v>
      </c>
      <c r="L94" s="19" t="n">
        <f aca="false">$K$123</f>
        <v>93.5339695114902</v>
      </c>
    </row>
    <row r="95" customFormat="false" ht="15" hidden="false" customHeight="false" outlineLevel="0" collapsed="false">
      <c r="B95" s="9" t="s">
        <v>576</v>
      </c>
      <c r="F95" s="19" t="n">
        <f aca="false">$E$123+$F$91-$F$109-$F$82-$F$85+$F$84+$F$86-$F$88+$F$90</f>
        <v>21.485</v>
      </c>
      <c r="G95" s="19" t="n">
        <f aca="false">$F$123+$G$91-$G$109-$G$82-$G$85+$G$84+$G$86-$G$88+$G$90</f>
        <v>18.0543025</v>
      </c>
      <c r="H95" s="19" t="n">
        <f aca="false">$G$123+$H$91-$H$109-$H$82-$H$85+$H$84+$H$86-$H$88+$H$90</f>
        <v>30.435165440625</v>
      </c>
      <c r="I95" s="19" t="n">
        <f aca="false">$H$123+$I$91-$I$109-$I$82-$I$85+$I$84+$I$86-$I$88+$I$90</f>
        <v>44.8318563998164</v>
      </c>
      <c r="J95" s="19" t="n">
        <f aca="false">$I$123+$J$91-$J$109-$J$82-$J$85+$J$84+$J$86-$J$88+$J$90</f>
        <v>63.243976318094</v>
      </c>
      <c r="K95" s="19" t="n">
        <f aca="false">$J$123+$K$91-$K$109-$K$82-$K$85+$K$84+$K$86-$K$88+$K$90</f>
        <v>93.5339695114902</v>
      </c>
      <c r="L95" s="19" t="n">
        <f aca="false">$K$123+$L$91-$L$109-$L$82-$L$85+$L$84+$L$86-$L$88+$L$90</f>
        <v>126.724339489746</v>
      </c>
    </row>
    <row r="96" customFormat="false" ht="15" hidden="false" customHeight="false" outlineLevel="0" collapsed="false">
      <c r="B96" s="17" t="s">
        <v>577</v>
      </c>
      <c r="F96" s="18" t="n">
        <f aca="false">$F$95+$F$110-$F$111-$F$115</f>
        <v>15.7425</v>
      </c>
      <c r="G96" s="18" t="n">
        <f aca="false">$G$95+$G$110-$G$111-$G$115</f>
        <v>16.040726875</v>
      </c>
      <c r="H96" s="18" t="n">
        <f aca="false">$H$95+$H$110-$H$111-$H$115</f>
        <v>25.3263740804688</v>
      </c>
      <c r="I96" s="18" t="n">
        <f aca="false">$I$95+$I$110-$I$111-$I$115</f>
        <v>36.1238922998623</v>
      </c>
      <c r="J96" s="18" t="n">
        <f aca="false">$J$95+$J$110-$J$111-$J$115</f>
        <v>63.243976318094</v>
      </c>
      <c r="K96" s="18" t="n">
        <f aca="false">$K$95+$K$110-$K$111-$K$115</f>
        <v>93.5339695114902</v>
      </c>
      <c r="L96" s="18" t="n">
        <f aca="false">$L$95+$L$110-$L$111-$L$115</f>
        <v>126.724339489746</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17</v>
      </c>
      <c r="G101" s="38" t="n">
        <f aca="false">$F$118*$G$100</f>
        <v>16.3418875</v>
      </c>
      <c r="H101" s="38" t="n">
        <f aca="false">$G$118*$H$100</f>
        <v>19.400733571875</v>
      </c>
      <c r="I101" s="38" t="n">
        <f aca="false">$H$118*$I$100</f>
        <v>18.7624863062617</v>
      </c>
      <c r="J101" s="38" t="n">
        <f aca="false">$I$118*$J$100</f>
        <v>17.8183093577656</v>
      </c>
      <c r="K101" s="38" t="n">
        <f aca="false">$J$118*$K$100</f>
        <v>17.6143093577656</v>
      </c>
      <c r="L101" s="38" t="n">
        <f aca="false">$K$118*$L$100</f>
        <v>17.4103093577656</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0.31485</v>
      </c>
      <c r="H104" s="38" t="n">
        <f aca="false">$G$123*Assumptions!$D$9</f>
        <v>0.3208145375</v>
      </c>
      <c r="I104" s="38" t="n">
        <f aca="false">$H$123*Assumptions!$D$9</f>
        <v>0.506527481609375</v>
      </c>
      <c r="J104" s="38" t="n">
        <f aca="false">$I$123*Assumptions!$D$9</f>
        <v>0.722477845997246</v>
      </c>
      <c r="K104" s="38" t="n">
        <f aca="false">$J$123*Assumptions!$D$9</f>
        <v>1.26487952636188</v>
      </c>
      <c r="L104" s="38" t="n">
        <f aca="false">$K$123*Assumptions!$D$9</f>
        <v>1.8706793902298</v>
      </c>
    </row>
    <row r="105" customFormat="false" ht="15" hidden="false" customHeight="false" outlineLevel="0" collapsed="false">
      <c r="B105" s="17" t="s">
        <v>585</v>
      </c>
      <c r="F105" s="40" t="n">
        <f aca="false">$F$101+$F$102+$F$103-$F$104</f>
        <v>22.5</v>
      </c>
      <c r="G105" s="40" t="n">
        <f aca="false">$G$101+$G$102+$G$103-$G$104</f>
        <v>21.7270375</v>
      </c>
      <c r="H105" s="40" t="n">
        <f aca="false">$H$101+$H$102+$H$103-$H$104</f>
        <v>24.779919034375</v>
      </c>
      <c r="I105" s="40" t="n">
        <f aca="false">$I$101+$I$102+$I$103-$I$104</f>
        <v>23.9559588246523</v>
      </c>
      <c r="J105" s="40" t="n">
        <f aca="false">$J$101+$J$102+$J$103-$J$104</f>
        <v>22.7958315117684</v>
      </c>
      <c r="K105" s="40" t="n">
        <f aca="false">$K$101+$K$102+$K$103-$K$104</f>
        <v>22.0494298314037</v>
      </c>
      <c r="L105" s="40" t="n">
        <f aca="false">$L$101+$L$102+$L$103-$L$104</f>
        <v>21.2396299675358</v>
      </c>
    </row>
    <row r="106" customFormat="false" ht="15" hidden="false" customHeight="false" outlineLevel="0" collapsed="false">
      <c r="B106" s="9" t="s">
        <v>586</v>
      </c>
      <c r="F106" s="38" t="n">
        <f aca="false">IF($E$149&gt;0,$E$149/MAX(1,Assumptions!$D$86-($F$64-1)),0)</f>
        <v>0.714285714285714</v>
      </c>
      <c r="G106" s="38" t="n">
        <f aca="false">IF($F$149&gt;0,$F$149/MAX(1,Assumptions!$D$86-($G$64-1)),0)</f>
        <v>0.714285714285714</v>
      </c>
      <c r="H106" s="38" t="n">
        <f aca="false">IF($G$149&gt;0,$G$149/MAX(1,Assumptions!$D$86-($H$64-1)),0)</f>
        <v>0.874285714285714</v>
      </c>
      <c r="I106" s="38" t="n">
        <f aca="false">IF($H$149&gt;0,$H$149/MAX(1,Assumptions!$D$86-($I$64-1)),0)</f>
        <v>0.874285714285714</v>
      </c>
      <c r="J106" s="38" t="n">
        <f aca="false">IF($I$149&gt;0,$I$149/MAX(1,Assumptions!$D$86-($J$64-1)),0)</f>
        <v>0.874285714285714</v>
      </c>
      <c r="K106" s="38" t="n">
        <f aca="false">IF($J$149&gt;0,$J$149/MAX(1,Assumptions!$D$86-($K$64-1)),0)</f>
        <v>0.874285714285714</v>
      </c>
      <c r="L106" s="38" t="n">
        <f aca="false">IF($K$149&gt;0,$K$149/MAX(1,Assumptions!$D$86-($L$64-1)),0)</f>
        <v>0.874285714285714</v>
      </c>
    </row>
    <row r="107" customFormat="false" ht="15" hidden="false" customHeight="false" outlineLevel="0" collapsed="false">
      <c r="B107" s="9" t="s">
        <v>587</v>
      </c>
      <c r="F107" s="24" t="n">
        <f aca="false">IF($F$105&lt;&gt;0,$F$72/$F$105,0)</f>
        <v>2.42666666666667</v>
      </c>
      <c r="G107" s="24" t="n">
        <f aca="false">IF($G$105&lt;&gt;0,$G$72/$G$105,0)</f>
        <v>2.78672138343757</v>
      </c>
      <c r="H107" s="24" t="n">
        <f aca="false">IF($H$105&lt;&gt;0,$H$72/$H$105,0)</f>
        <v>2.3351411245424</v>
      </c>
      <c r="I107" s="24" t="n">
        <f aca="false">IF($I$105&lt;&gt;0,$I$72/$I$105,0)</f>
        <v>2.93288386552483</v>
      </c>
      <c r="J107" s="24" t="n">
        <f aca="false">IF($J$105&lt;&gt;0,$J$72/$J$105,0)</f>
        <v>3.41390878765812</v>
      </c>
      <c r="K107" s="24" t="n">
        <f aca="false">IF($K$105&lt;&gt;0,$K$72/$K$105,0)</f>
        <v>3.66521065255387</v>
      </c>
      <c r="L107" s="24" t="n">
        <f aca="false">IF($L$105&lt;&gt;0,$L$72/$L$105,0)</f>
        <v>3.95150185917148</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v>
      </c>
      <c r="G109" s="38" t="n">
        <f aca="false">IF($D$14=1,0,MIN($F$118,Assumptions!$D$85*$F$119))</f>
        <v>2</v>
      </c>
      <c r="H109" s="38" t="n">
        <f aca="false">IF($D$14=1,0,MIN($G$118,Assumptions!$D$85*$G$119))</f>
        <v>2.4</v>
      </c>
      <c r="I109" s="38" t="n">
        <f aca="false">IF($D$14=1,0,MIN($H$118,Assumptions!$D$85*$H$119))</f>
        <v>2.4</v>
      </c>
      <c r="J109" s="38" t="n">
        <f aca="false">IF($D$14=1,0,MIN($I$118,Assumptions!$D$85*$I$119))</f>
        <v>2.4</v>
      </c>
      <c r="K109" s="38" t="n">
        <f aca="false">IF($D$14=1,0,MIN($J$118,Assumptions!$D$85*$J$119))</f>
        <v>2.4</v>
      </c>
      <c r="L109" s="38" t="n">
        <f aca="false">IF($D$14=1,0,MIN($K$118,Assumptions!$D$85*$K$119))</f>
        <v>2.4</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21.485</v>
      </c>
      <c r="G112" s="19" t="n">
        <f aca="false">$G$95+$G$110-$G$111</f>
        <v>18.0543025</v>
      </c>
      <c r="H112" s="19" t="n">
        <f aca="false">$H$95+$H$110-$H$111</f>
        <v>30.435165440625</v>
      </c>
      <c r="I112" s="19" t="n">
        <f aca="false">$I$95+$I$110-$I$111</f>
        <v>44.8318563998164</v>
      </c>
      <c r="J112" s="19" t="n">
        <f aca="false">$J$95+$J$110-$J$111</f>
        <v>63.243976318094</v>
      </c>
      <c r="K112" s="19" t="n">
        <f aca="false">$K$95+$K$110-$K$111</f>
        <v>93.5339695114902</v>
      </c>
      <c r="L112" s="19" t="n">
        <f aca="false">$L$95+$L$110-$L$111</f>
        <v>126.724339489746</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0.25</v>
      </c>
      <c r="H113" s="29" t="n">
        <f aca="false">IF($G$125&gt;Assumptions!$D$100,Assumptions!$E$100,IF($G$125&gt;Assumptions!$D$101,Assumptions!$E$101,IF($G$125&gt;Assumptions!$D$102,Assumptions!$E$102,0)))</f>
        <v>0.25</v>
      </c>
      <c r="I113" s="29" t="n">
        <f aca="false">IF($H$125&gt;Assumptions!$D$100,Assumptions!$E$100,IF($H$125&gt;Assumptions!$D$101,Assumptions!$E$101,IF($H$125&gt;Assumptions!$D$102,Assumptions!$E$102,0)))</f>
        <v>0.25</v>
      </c>
      <c r="J113" s="29" t="n">
        <f aca="false">IF($I$125&gt;Assumptions!$D$100,Assumptions!$E$100,IF($I$125&gt;Assumptions!$D$101,Assumptions!$E$101,IF($I$125&gt;Assumptions!$D$102,Assumptions!$E$102,0)))</f>
        <v>0</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11.485</v>
      </c>
      <c r="G114" s="19" t="n">
        <f aca="false">MAX(0,$G$112-Assumptions!$D$79)</f>
        <v>8.05430250000002</v>
      </c>
      <c r="H114" s="19" t="n">
        <f aca="false">MAX(0,$H$112-Assumptions!$D$79)</f>
        <v>20.435165440625</v>
      </c>
      <c r="I114" s="19" t="n">
        <f aca="false">MAX(0,$I$112-Assumptions!$D$79)</f>
        <v>34.8318563998164</v>
      </c>
      <c r="J114" s="19" t="n">
        <f aca="false">MAX(0,$J$112-Assumptions!$D$79)</f>
        <v>53.243976318094</v>
      </c>
      <c r="K114" s="19" t="n">
        <f aca="false">MAX(0,$K$112-Assumptions!$D$79)</f>
        <v>83.5339695114902</v>
      </c>
      <c r="L114" s="19" t="n">
        <f aca="false">MAX(0,$L$112-Assumptions!$D$79)</f>
        <v>116.724339489746</v>
      </c>
    </row>
    <row r="115" customFormat="false" ht="15" hidden="false" customHeight="false" outlineLevel="0" collapsed="false">
      <c r="B115" s="17" t="s">
        <v>595</v>
      </c>
      <c r="F115" s="18" t="n">
        <f aca="false">IF(AND($D$19=1,$D$14=0,$E$121-$F$111+$F$110=0),MIN($E$118-$F$109+$F$84,$F$113*$F$114),0)</f>
        <v>5.7425</v>
      </c>
      <c r="G115" s="18" t="n">
        <f aca="false">IF(AND($D$19=1,$D$14=0,$F$121-$G$111+$G$110=0),MIN($F$118-$G$109+$G$84,$G$113*$G$114),0)</f>
        <v>2.013575625</v>
      </c>
      <c r="H115" s="18" t="n">
        <f aca="false">IF(AND($D$19=1,$D$14=0,$G$121-$H$111+$H$110=0),MIN($G$118-$H$109+$H$84,$H$113*$H$114),0)</f>
        <v>5.10879136015626</v>
      </c>
      <c r="I115" s="18" t="n">
        <f aca="false">IF(AND($D$19=1,$D$14=0,$H$121-$I$111+$I$110=0),MIN($H$118-$I$109+$I$84,$I$113*$I$114),0)</f>
        <v>8.70796409995411</v>
      </c>
      <c r="J115" s="18" t="n">
        <f aca="false">IF(AND($D$19=1,$D$14=0,$I$121-$J$111+$J$110=0),MIN($I$118-$J$109+$J$84,$J$113*$J$114),0)</f>
        <v>0</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200</v>
      </c>
      <c r="F118" s="19" t="n">
        <f aca="false">$E$118-$F$109-$F$115+$F$84+$F$86</f>
        <v>192.2575</v>
      </c>
      <c r="G118" s="19" t="n">
        <f aca="false">$F$118-$G$109-$G$115+$G$84+$G$86</f>
        <v>228.243924375</v>
      </c>
      <c r="H118" s="19" t="n">
        <f aca="false">$G$118-$H$109-$H$115+$H$84+$H$86</f>
        <v>220.735133014844</v>
      </c>
      <c r="I118" s="19" t="n">
        <f aca="false">$H$118-$I$109-$I$115+$I$84+$I$86</f>
        <v>209.62716891489</v>
      </c>
      <c r="J118" s="19" t="n">
        <f aca="false">$I$118-$J$109-$J$115+$J$84+$J$86</f>
        <v>207.22716891489</v>
      </c>
      <c r="K118" s="19" t="n">
        <f aca="false">$J$118-$K$109-$K$115+$K$84+$K$86</f>
        <v>204.82716891489</v>
      </c>
      <c r="L118" s="19" t="n">
        <f aca="false">$K$118-$L$109-$L$115+$L$84+$L$86</f>
        <v>202.42716891489</v>
      </c>
    </row>
    <row r="119" customFormat="false" ht="15" hidden="false" customHeight="false" outlineLevel="0" collapsed="false">
      <c r="B119" s="9" t="s">
        <v>598</v>
      </c>
      <c r="E119" s="19" t="n">
        <f aca="false">$D$32</f>
        <v>200</v>
      </c>
      <c r="F119" s="19" t="n">
        <f aca="false">$E$119+$F$84+$F$86</f>
        <v>200</v>
      </c>
      <c r="G119" s="19" t="n">
        <f aca="false">$F$119+$G$84+$G$86</f>
        <v>240</v>
      </c>
      <c r="H119" s="19" t="n">
        <f aca="false">$G$119+$H$84+$H$86</f>
        <v>240</v>
      </c>
      <c r="I119" s="19" t="n">
        <f aca="false">$H$119+$I$84+$I$86</f>
        <v>240</v>
      </c>
      <c r="J119" s="19" t="n">
        <f aca="false">$I$119+$J$84+$J$86</f>
        <v>240</v>
      </c>
      <c r="K119" s="19" t="n">
        <f aca="false">$J$119+$K$84+$K$86</f>
        <v>240</v>
      </c>
      <c r="L119" s="19" t="n">
        <f aca="false">$K$119+$L$84+$L$86</f>
        <v>240</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250</v>
      </c>
      <c r="F122" s="18" t="n">
        <f aca="false">$F$118+$F$120+$F$121</f>
        <v>242.2575</v>
      </c>
      <c r="G122" s="18" t="n">
        <f aca="false">$G$118+$G$120+$G$121</f>
        <v>278.243924375</v>
      </c>
      <c r="H122" s="18" t="n">
        <f aca="false">$H$118+$H$120+$H$121</f>
        <v>270.735133014844</v>
      </c>
      <c r="I122" s="18" t="n">
        <f aca="false">$I$118+$I$120+$I$121</f>
        <v>259.62716891489</v>
      </c>
      <c r="J122" s="18" t="n">
        <f aca="false">$J$118+$J$120+$J$121</f>
        <v>257.22716891489</v>
      </c>
      <c r="K122" s="18" t="n">
        <f aca="false">$K$118+$K$120+$K$121</f>
        <v>254.82716891489</v>
      </c>
      <c r="L122" s="18" t="n">
        <f aca="false">$L$118+$L$120+$L$121</f>
        <v>252.42716891489</v>
      </c>
    </row>
    <row r="123" customFormat="false" ht="15" hidden="false" customHeight="false" outlineLevel="0" collapsed="false">
      <c r="B123" s="9" t="s">
        <v>600</v>
      </c>
      <c r="E123" s="19" t="n">
        <f aca="false">Assumptions!$D$78</f>
        <v>10</v>
      </c>
      <c r="F123" s="19" t="n">
        <f aca="false">$F$112-$F$115</f>
        <v>15.7425</v>
      </c>
      <c r="G123" s="19" t="n">
        <f aca="false">$G$112-$G$115</f>
        <v>16.040726875</v>
      </c>
      <c r="H123" s="19" t="n">
        <f aca="false">$H$112-$H$115</f>
        <v>25.3263740804688</v>
      </c>
      <c r="I123" s="19" t="n">
        <f aca="false">$I$112-$I$115</f>
        <v>36.1238922998623</v>
      </c>
      <c r="J123" s="19" t="n">
        <f aca="false">$J$112-$J$115</f>
        <v>63.243976318094</v>
      </c>
      <c r="K123" s="19" t="n">
        <f aca="false">$K$112-$K$115</f>
        <v>93.5339695114902</v>
      </c>
      <c r="L123" s="19" t="n">
        <f aca="false">$L$112-$L$115</f>
        <v>126.724339489746</v>
      </c>
    </row>
    <row r="124" customFormat="false" ht="15" hidden="false" customHeight="false" outlineLevel="0" collapsed="false">
      <c r="B124" s="17" t="s">
        <v>601</v>
      </c>
      <c r="E124" s="18" t="n">
        <f aca="false">$E$122-$E$123</f>
        <v>240</v>
      </c>
      <c r="F124" s="18" t="n">
        <f aca="false">$F$122-$F$123</f>
        <v>226.515</v>
      </c>
      <c r="G124" s="18" t="n">
        <f aca="false">$G$122-$G$123</f>
        <v>262.2031975</v>
      </c>
      <c r="H124" s="18" t="n">
        <f aca="false">$H$122-$H$123</f>
        <v>245.408758934375</v>
      </c>
      <c r="I124" s="18" t="n">
        <f aca="false">$I$122-$I$123</f>
        <v>223.503276615027</v>
      </c>
      <c r="J124" s="18" t="n">
        <f aca="false">$J$122-$J$123</f>
        <v>193.983192596796</v>
      </c>
      <c r="K124" s="18" t="n">
        <f aca="false">$K$122-$K$123</f>
        <v>161.293199403399</v>
      </c>
      <c r="L124" s="18" t="n">
        <f aca="false">$L$122-$L$123</f>
        <v>125.702829425143</v>
      </c>
    </row>
    <row r="125" customFormat="false" ht="15" hidden="false" customHeight="false" outlineLevel="0" collapsed="false">
      <c r="B125" s="9" t="s">
        <v>538</v>
      </c>
      <c r="E125" s="24" t="n">
        <f aca="false">$E$124/$E$72</f>
        <v>4.8</v>
      </c>
      <c r="F125" s="24" t="n">
        <f aca="false">$F$124/$F$72</f>
        <v>4.14862637362637</v>
      </c>
      <c r="G125" s="24" t="n">
        <f aca="false">$G$124/$G$72</f>
        <v>4.33055859725966</v>
      </c>
      <c r="H125" s="24" t="n">
        <f aca="false">$H$124/$H$72</f>
        <v>4.24108565523117</v>
      </c>
      <c r="I125" s="24" t="n">
        <f aca="false">$I$124/$I$72</f>
        <v>3.18108643729586</v>
      </c>
      <c r="J125" s="24" t="n">
        <f aca="false">$J$124/$J$72</f>
        <v>2.49262387702712</v>
      </c>
      <c r="K125" s="24" t="n">
        <f aca="false">$K$124/$K$72</f>
        <v>1.99581256664116</v>
      </c>
      <c r="L125" s="24" t="n">
        <f aca="false">$L$124/$L$72</f>
        <v>1.49773823344982</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23.2142857142857</v>
      </c>
      <c r="G130" s="38" t="n">
        <f aca="false">$G$105+$G$106</f>
        <v>22.4413232142857</v>
      </c>
      <c r="H130" s="38" t="n">
        <f aca="false">$H$105+$H$106</f>
        <v>25.6542047486607</v>
      </c>
      <c r="I130" s="38" t="n">
        <f aca="false">$I$105+$I$106</f>
        <v>24.8302445389381</v>
      </c>
      <c r="J130" s="38" t="n">
        <f aca="false">$J$105+$J$106</f>
        <v>23.6701172260541</v>
      </c>
      <c r="K130" s="38" t="n">
        <f aca="false">$K$105+$K$106</f>
        <v>22.9237155456895</v>
      </c>
      <c r="L130" s="38" t="n">
        <f aca="false">$L$105+$L$106</f>
        <v>22.1139156818215</v>
      </c>
    </row>
    <row r="131" customFormat="false" ht="15" hidden="false" customHeight="false" outlineLevel="0" collapsed="false">
      <c r="B131" s="9" t="s">
        <v>606</v>
      </c>
      <c r="F131" s="38" t="n">
        <f aca="false">$F$129-$F$130-$F$83-$F$87-$F$89</f>
        <v>19.6257142857143</v>
      </c>
      <c r="G131" s="38" t="n">
        <f aca="false">$G$129-$G$130-$G$83-$G$87-$G$89</f>
        <v>24.1402767857143</v>
      </c>
      <c r="H131" s="38" t="n">
        <f aca="false">$H$129-$H$130-$H$83-$H$87-$H$89</f>
        <v>18.3087392513393</v>
      </c>
      <c r="I131" s="38" t="n">
        <f aca="false">$I$129-$I$130-$I$83-$I$87-$I$89</f>
        <v>30.6205401010619</v>
      </c>
      <c r="J131" s="38" t="n">
        <f aca="false">$J$129-$J$130-$J$83-$J$87-$J$89</f>
        <v>38.6257623899459</v>
      </c>
      <c r="K131" s="38" t="n">
        <f aca="false">$K$129-$K$130-$K$83-$K$87-$K$89</f>
        <v>41.7439992549506</v>
      </c>
      <c r="L131" s="38" t="n">
        <f aca="false">$L$129-$L$130-$L$83-$L$87-$L$89</f>
        <v>45.0205077108441</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23.2142857142857</v>
      </c>
      <c r="G133" s="38" t="n">
        <f aca="false">$G$130+$F$135</f>
        <v>29.2756089285714</v>
      </c>
      <c r="H133" s="38" t="n">
        <f aca="false">$H$130+$G$135</f>
        <v>36.7656536772321</v>
      </c>
      <c r="I133" s="38" t="n">
        <f aca="false">$I$130+$H$135</f>
        <v>44.2365158161702</v>
      </c>
      <c r="J133" s="38" t="n">
        <f aca="false">$J$130+$I$135</f>
        <v>46.8286195062243</v>
      </c>
      <c r="K133" s="38" t="n">
        <f aca="false">$K$130+$J$135</f>
        <v>46.4054681959137</v>
      </c>
      <c r="L133" s="38" t="n">
        <f aca="false">$L$130+$K$135</f>
        <v>44.2746423474953</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6.83428571428572</v>
      </c>
      <c r="G135" s="38" t="n">
        <f aca="false">$G$133-$G$134</f>
        <v>11.1114489285714</v>
      </c>
      <c r="H135" s="38" t="n">
        <f aca="false">$H$133-$H$134</f>
        <v>19.4062712772321</v>
      </c>
      <c r="I135" s="38" t="n">
        <f aca="false">$I$133-$I$134</f>
        <v>23.1585022801702</v>
      </c>
      <c r="J135" s="38" t="n">
        <f aca="false">$J$133-$J$134</f>
        <v>23.4817526502243</v>
      </c>
      <c r="K135" s="38" t="n">
        <f aca="false">$K$133-$K$134</f>
        <v>22.1607266656737</v>
      </c>
      <c r="L135" s="38" t="n">
        <f aca="false">$L$133-$L$134</f>
        <v>19.0961111560457</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13.0107142857143</v>
      </c>
      <c r="G140" s="19" t="n">
        <f aca="false">$G$131-$G$139</f>
        <v>17.0359167857143</v>
      </c>
      <c r="H140" s="19" t="n">
        <f aca="false">$H$131-$H$139</f>
        <v>11.6578488513393</v>
      </c>
      <c r="I140" s="19" t="n">
        <f aca="false">$I$131-$I$139</f>
        <v>22.0273473250619</v>
      </c>
      <c r="J140" s="19" t="n">
        <f aca="false">$J$131-$J$139</f>
        <v>28.8885091999459</v>
      </c>
      <c r="K140" s="19" t="n">
        <f aca="false">$K$131-$K$139</f>
        <v>31.6382559373506</v>
      </c>
      <c r="L140" s="19" t="n">
        <f aca="false">$L$131-$L$139</f>
        <v>34.5315346605401</v>
      </c>
    </row>
    <row r="141" customFormat="false" ht="15" hidden="false" customHeight="false" outlineLevel="0" collapsed="false">
      <c r="B141" s="9" t="s">
        <v>616</v>
      </c>
      <c r="F141" s="38" t="n">
        <f aca="false">Assumptions!$D$7*($F$129-$F$130)</f>
        <v>4.90642857142857</v>
      </c>
      <c r="G141" s="38" t="n">
        <f aca="false">Assumptions!$D$7*($G$129-$G$130)</f>
        <v>6.41006919642857</v>
      </c>
      <c r="H141" s="38" t="n">
        <f aca="false">Assumptions!$D$7*($H$129-$H$130)</f>
        <v>4.57718481283482</v>
      </c>
      <c r="I141" s="38" t="n">
        <f aca="false">Assumptions!$D$7*($I$129-$I$130)</f>
        <v>7.65513502526549</v>
      </c>
      <c r="J141" s="38" t="n">
        <f aca="false">Assumptions!$D$7*($J$129-$J$130)</f>
        <v>9.65644059748648</v>
      </c>
      <c r="K141" s="38" t="n">
        <f aca="false">Assumptions!$D$7*($K$129-$K$130)</f>
        <v>10.4359998137376</v>
      </c>
      <c r="L141" s="38" t="n">
        <f aca="false">Assumptions!$D$7*($L$129-$L$130)</f>
        <v>11.255126927711</v>
      </c>
    </row>
    <row r="142" customFormat="false" ht="15" hidden="false" customHeight="false" outlineLevel="0" collapsed="false">
      <c r="B142" s="9" t="s">
        <v>617</v>
      </c>
      <c r="F142" s="38" t="n">
        <f aca="false">$F$139-$F$141</f>
        <v>1.70857142857143</v>
      </c>
      <c r="G142" s="38" t="n">
        <f aca="false">$G$139-$G$141</f>
        <v>0.694290803571428</v>
      </c>
      <c r="H142" s="38" t="n">
        <f aca="false">$H$139-$H$141</f>
        <v>2.07370558716518</v>
      </c>
      <c r="I142" s="38" t="n">
        <f aca="false">$I$139-$I$141</f>
        <v>0.938057750734513</v>
      </c>
      <c r="J142" s="38" t="n">
        <f aca="false">$J$139-$J$141</f>
        <v>0.0808125925135208</v>
      </c>
      <c r="K142" s="38" t="n">
        <f aca="false">$K$139-$K$141</f>
        <v>-0.330256496137636</v>
      </c>
      <c r="L142" s="38" t="n">
        <f aca="false">$L$139-$L$141</f>
        <v>-0.766153877407017</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15.7425</v>
      </c>
      <c r="G145" s="19" t="n">
        <f aca="false">$G$123</f>
        <v>16.040726875</v>
      </c>
      <c r="H145" s="19" t="n">
        <f aca="false">$H$123</f>
        <v>25.3263740804688</v>
      </c>
      <c r="I145" s="19" t="n">
        <f aca="false">$I$123</f>
        <v>36.1238922998623</v>
      </c>
      <c r="J145" s="19" t="n">
        <f aca="false">$J$123</f>
        <v>63.243976318094</v>
      </c>
      <c r="K145" s="19" t="n">
        <f aca="false">$K$123</f>
        <v>93.5339695114902</v>
      </c>
      <c r="L145" s="19" t="n">
        <f aca="false">$L$123</f>
        <v>126.724339489746</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v>
      </c>
      <c r="F149" s="19" t="n">
        <f aca="false">$E$149-$F$106+$F$85</f>
        <v>4.28571428571429</v>
      </c>
      <c r="G149" s="19" t="n">
        <f aca="false">$F$149-$G$106+$G$85</f>
        <v>4.37142857142857</v>
      </c>
      <c r="H149" s="19" t="n">
        <f aca="false">$G$149-$H$106+$H$85</f>
        <v>3.49714285714286</v>
      </c>
      <c r="I149" s="19" t="n">
        <f aca="false">$H$149-$I$106+$I$85</f>
        <v>2.62285714285714</v>
      </c>
      <c r="J149" s="19" t="n">
        <f aca="false">$I$149-$J$106+$J$85</f>
        <v>1.74857142857143</v>
      </c>
      <c r="K149" s="19" t="n">
        <f aca="false">$J$149-$K$106+$K$85</f>
        <v>0.874285714285714</v>
      </c>
      <c r="L149" s="19" t="n">
        <f aca="false">$K$149-$L$106+$L$85</f>
        <v>0</v>
      </c>
    </row>
    <row r="150" customFormat="false" ht="15" hidden="false" customHeight="false" outlineLevel="0" collapsed="false">
      <c r="B150" s="17" t="s">
        <v>623</v>
      </c>
      <c r="E150" s="18" t="n">
        <f aca="false">$E$145+$E$146+$E$147+$E$148+$E$149</f>
        <v>465</v>
      </c>
      <c r="F150" s="18" t="n">
        <f aca="false">$F$145+$F$146+$F$147+$F$148+$F$149</f>
        <v>470.268214285714</v>
      </c>
      <c r="G150" s="18" t="n">
        <f aca="false">$G$145+$G$146+$G$147+$G$148+$G$149</f>
        <v>523.290555446429</v>
      </c>
      <c r="H150" s="18" t="n">
        <f aca="false">$H$145+$H$146+$H$147+$H$148+$H$149</f>
        <v>527.439612937612</v>
      </c>
      <c r="I150" s="18" t="n">
        <f aca="false">$I$145+$I$146+$I$147+$I$148+$I$149</f>
        <v>538.358996162719</v>
      </c>
      <c r="J150" s="18" t="n">
        <f aca="false">$J$145+$J$146+$J$147+$J$148+$J$149</f>
        <v>564.847505362665</v>
      </c>
      <c r="K150" s="18" t="n">
        <f aca="false">$K$145+$K$146+$K$147+$K$148+$K$149</f>
        <v>594.085761300016</v>
      </c>
      <c r="L150" s="18" t="n">
        <f aca="false">$L$145+$L$146+$L$147+$L$148+$L$149</f>
        <v>626.217295960556</v>
      </c>
    </row>
    <row r="151" customFormat="false" ht="15" hidden="false" customHeight="false" outlineLevel="0" collapsed="false">
      <c r="B151" s="9" t="s">
        <v>291</v>
      </c>
      <c r="E151" s="19" t="n">
        <f aca="false">$E$122</f>
        <v>250</v>
      </c>
      <c r="F151" s="19" t="n">
        <f aca="false">$F$122</f>
        <v>242.2575</v>
      </c>
      <c r="G151" s="19" t="n">
        <f aca="false">$G$122</f>
        <v>278.243924375</v>
      </c>
      <c r="H151" s="19" t="n">
        <f aca="false">$H$122</f>
        <v>270.735133014844</v>
      </c>
      <c r="I151" s="19" t="n">
        <f aca="false">$I$122</f>
        <v>259.62716891489</v>
      </c>
      <c r="J151" s="19" t="n">
        <f aca="false">$J$122</f>
        <v>257.22716891489</v>
      </c>
      <c r="K151" s="19" t="n">
        <f aca="false">$K$122</f>
        <v>254.82716891489</v>
      </c>
      <c r="L151" s="19" t="n">
        <f aca="false">$L$122</f>
        <v>252.42716891489</v>
      </c>
    </row>
    <row r="152" customFormat="false" ht="15" hidden="false" customHeight="false" outlineLevel="0" collapsed="false">
      <c r="B152" s="9" t="s">
        <v>624</v>
      </c>
      <c r="E152" s="19" t="n">
        <f aca="false">$D$46-Assumptions!$D$76</f>
        <v>215</v>
      </c>
      <c r="F152" s="19" t="n">
        <f aca="false">$E$152+$F$140-$F$88+$F$90</f>
        <v>228.010714285714</v>
      </c>
      <c r="G152" s="19" t="n">
        <f aca="false">$F$152+$G$140-$G$88+$G$90</f>
        <v>245.046631071429</v>
      </c>
      <c r="H152" s="19" t="n">
        <f aca="false">$G$152+$H$140-$H$88+$H$90</f>
        <v>256.704479922768</v>
      </c>
      <c r="I152" s="19" t="n">
        <f aca="false">$H$152+$I$140-$I$88+$I$90</f>
        <v>278.73182724783</v>
      </c>
      <c r="J152" s="19" t="n">
        <f aca="false">$I$152+$J$140-$J$88+$J$90</f>
        <v>307.620336447776</v>
      </c>
      <c r="K152" s="19" t="n">
        <f aca="false">$J$152+$K$140-$K$88+$K$90</f>
        <v>339.258592385126</v>
      </c>
      <c r="L152" s="19" t="n">
        <f aca="false">$K$152+$L$140-$L$88+$L$90</f>
        <v>373.790127045666</v>
      </c>
    </row>
    <row r="153" customFormat="false" ht="15" hidden="false" customHeight="false" outlineLevel="0" collapsed="false">
      <c r="B153" s="17" t="s">
        <v>625</v>
      </c>
      <c r="E153" s="18" t="n">
        <f aca="false">$E$151+$E$152</f>
        <v>465</v>
      </c>
      <c r="F153" s="18" t="n">
        <f aca="false">$F$151+$F$152</f>
        <v>470.268214285714</v>
      </c>
      <c r="G153" s="18" t="n">
        <f aca="false">$G$151+$G$152</f>
        <v>523.290555446429</v>
      </c>
      <c r="H153" s="18" t="n">
        <f aca="false">$H$151+$H$152</f>
        <v>527.439612937612</v>
      </c>
      <c r="I153" s="18" t="n">
        <f aca="false">$I$151+$I$152</f>
        <v>538.358996162719</v>
      </c>
      <c r="J153" s="18" t="n">
        <f aca="false">$J$151+$J$152</f>
        <v>564.847505362665</v>
      </c>
      <c r="K153" s="18" t="n">
        <f aca="false">$K$151+$K$152</f>
        <v>594.085761300016</v>
      </c>
      <c r="L153" s="18" t="n">
        <f aca="false">$L$151+$L$152</f>
        <v>626.217295960556</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226.515</v>
      </c>
      <c r="G160" s="19" t="n">
        <f aca="false">$G$124</f>
        <v>262.2031975</v>
      </c>
      <c r="H160" s="19" t="n">
        <f aca="false">$H$124</f>
        <v>245.408758934375</v>
      </c>
      <c r="I160" s="19" t="n">
        <f aca="false">$I$124</f>
        <v>223.503276615027</v>
      </c>
      <c r="J160" s="19" t="n">
        <f aca="false">$J$124</f>
        <v>193.983192596796</v>
      </c>
      <c r="K160" s="19" t="n">
        <f aca="false">$K$124</f>
        <v>161.293199403399</v>
      </c>
      <c r="L160" s="19" t="n">
        <f aca="false">$L$124</f>
        <v>125.702829425143</v>
      </c>
    </row>
    <row r="161" customFormat="false" ht="15" hidden="false" customHeight="false" outlineLevel="0" collapsed="false">
      <c r="B161" s="17" t="s">
        <v>632</v>
      </c>
      <c r="F161" s="41" t="n">
        <f aca="false">$F$124/$F$159</f>
        <v>4.14862637362637</v>
      </c>
      <c r="G161" s="41" t="n">
        <f aca="false">$G$124/$G$159</f>
        <v>3.6647583343583</v>
      </c>
      <c r="H161" s="41" t="n">
        <f aca="false">$H$124/$H$159</f>
        <v>4.09939640687825</v>
      </c>
      <c r="I161" s="41" t="n">
        <f aca="false">$I$124/$I$159</f>
        <v>3.15860845249596</v>
      </c>
      <c r="J161" s="41" t="n">
        <f aca="false">$J$124/$J$159</f>
        <v>2.49262387702712</v>
      </c>
      <c r="K161" s="41" t="n">
        <f aca="false">$K$124/$K$159</f>
        <v>1.99581256664116</v>
      </c>
      <c r="L161" s="41" t="n">
        <f aca="false">$L$124/$L$159</f>
        <v>1.49773823344982</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1.60137362637363</v>
      </c>
      <c r="G163" s="24" t="n">
        <f aca="false">$G$162-$G$161</f>
        <v>1.5852416656417</v>
      </c>
      <c r="H163" s="24" t="n">
        <f aca="false">$H$162-$H$161</f>
        <v>0.65060359312175</v>
      </c>
      <c r="I163" s="24" t="n">
        <f aca="false">$I$162-$I$161</f>
        <v>1.09139154750404</v>
      </c>
      <c r="J163" s="24" t="n">
        <f aca="false">$J$162-$J$161</f>
        <v>1.50737612297288</v>
      </c>
      <c r="K163" s="24" t="n">
        <f aca="false">$K$162-$K$161</f>
        <v>2.00418743335884</v>
      </c>
      <c r="L163" s="24" t="n">
        <f aca="false">$L$162-$L$161</f>
        <v>2.50226176655018</v>
      </c>
    </row>
    <row r="164" customFormat="false" ht="15" hidden="false" customHeight="false" outlineLevel="0" collapsed="false">
      <c r="B164" s="9" t="s">
        <v>635</v>
      </c>
      <c r="F164" s="14" t="n">
        <f aca="false">1-$F$124/($F$162*$F$159)</f>
        <v>0.278499761108457</v>
      </c>
      <c r="G164" s="14" t="n">
        <f aca="false">1-$G$124/($G$162*$G$159)</f>
        <v>0.301950793455562</v>
      </c>
      <c r="H164" s="14" t="n">
        <f aca="false">1-$H$124/($H$162*$H$159)</f>
        <v>0.136969177499316</v>
      </c>
      <c r="I164" s="14" t="n">
        <f aca="false">1-$I$124/($I$162*$I$159)</f>
        <v>0.256798011177422</v>
      </c>
      <c r="J164" s="14" t="n">
        <f aca="false">1-$J$124/($J$162*$J$159)</f>
        <v>0.37684403074322</v>
      </c>
      <c r="K164" s="14" t="n">
        <f aca="false">1-$K$124/($K$162*$K$159)</f>
        <v>0.50104685833971</v>
      </c>
      <c r="L164" s="14" t="n">
        <f aca="false">1-$L$124/($L$162*$L$159)</f>
        <v>0.625565441637545</v>
      </c>
    </row>
    <row r="165" customFormat="false" ht="15" hidden="false" customHeight="false" outlineLevel="0" collapsed="false">
      <c r="B165" s="9" t="s">
        <v>636</v>
      </c>
      <c r="F165" s="19" t="n">
        <f aca="false">$F$164*$F$159</f>
        <v>15.2060869565217</v>
      </c>
      <c r="G165" s="19" t="n">
        <f aca="false">$G$164*$G$159</f>
        <v>21.6037338095238</v>
      </c>
      <c r="H165" s="19" t="n">
        <f aca="false">$H$164*$H$159</f>
        <v>8.19960611907895</v>
      </c>
      <c r="I165" s="19" t="n">
        <f aca="false">$I$164*$I$159</f>
        <v>18.1710388576407</v>
      </c>
      <c r="J165" s="19" t="n">
        <f aca="false">$J$164*$J$159</f>
        <v>29.3270913708011</v>
      </c>
      <c r="K165" s="19" t="n">
        <f aca="false">$K$164*$K$159</f>
        <v>40.4925052499501</v>
      </c>
      <c r="L165" s="19" t="n">
        <f aca="false">$L$164*$L$159</f>
        <v>52.5027299485462</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-1.60137362637363</v>
      </c>
      <c r="G167" s="24" t="n">
        <f aca="false">$G$125-Assumptions!$G$169</f>
        <v>-0.919441402740342</v>
      </c>
      <c r="H167" s="24" t="n">
        <f aca="false">$H$125-Assumptions!$H$169</f>
        <v>-0.508914344768828</v>
      </c>
      <c r="I167" s="24" t="n">
        <f aca="false">$I$125-Assumptions!$I$169</f>
        <v>-1.06891356270414</v>
      </c>
      <c r="J167" s="24" t="n">
        <f aca="false">$J$125-Assumptions!$J$169</f>
        <v>-1.50737612297288</v>
      </c>
      <c r="K167" s="24" t="n">
        <f aca="false">$K$125-Assumptions!$K$169</f>
        <v>-2.00418743335884</v>
      </c>
      <c r="L167" s="24" t="n">
        <f aca="false">$L$125-Assumptions!$L$169</f>
        <v>-2.50226176655018</v>
      </c>
    </row>
    <row r="168" customFormat="false" ht="15" hidden="false" customHeight="false" outlineLevel="0" collapsed="false">
      <c r="B168" s="9" t="s">
        <v>639</v>
      </c>
      <c r="F168" s="24" t="n">
        <f aca="false">$F$161-$F$162</f>
        <v>-1.60137362637363</v>
      </c>
      <c r="G168" s="24" t="n">
        <f aca="false">$G$161-$G$162</f>
        <v>-1.5852416656417</v>
      </c>
      <c r="H168" s="24" t="n">
        <f aca="false">$H$161-$H$162</f>
        <v>-0.65060359312175</v>
      </c>
      <c r="I168" s="24" t="n">
        <f aca="false">$I$161-$I$162</f>
        <v>-1.09139154750404</v>
      </c>
      <c r="J168" s="24" t="n">
        <f aca="false">$J$161-$J$162</f>
        <v>-1.50737612297288</v>
      </c>
      <c r="K168" s="24" t="n">
        <f aca="false">$K$161-$K$162</f>
        <v>-2.00418743335884</v>
      </c>
      <c r="L168" s="24" t="n">
        <f aca="false">$L$161-$L$162</f>
        <v>-2.50226176655018</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193.983192596796</v>
      </c>
    </row>
    <row r="174" customFormat="false" ht="15" hidden="false" customHeight="false" outlineLevel="0" collapsed="false">
      <c r="B174" s="9" t="s">
        <v>643</v>
      </c>
      <c r="D174" s="19" t="n">
        <f aca="false">INDEX($E$118:$L$118,1,$D$170+1)</f>
        <v>207.22716891489</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63.243976318094</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495.916722998004</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224.5</v>
      </c>
    </row>
    <row r="183" customFormat="false" ht="15" hidden="false" customHeight="false" outlineLevel="0" collapsed="false">
      <c r="B183" s="9" t="s">
        <v>651</v>
      </c>
      <c r="D183" s="42" t="n">
        <f aca="false">$D$48/Assumptions!$D$108</f>
        <v>214.5</v>
      </c>
    </row>
    <row r="184" customFormat="false" ht="15" hidden="false" customHeight="false" outlineLevel="0" collapsed="false">
      <c r="B184" s="9" t="s">
        <v>652</v>
      </c>
      <c r="D184" s="14" t="n">
        <f aca="false">$D$48/$D$46</f>
        <v>0.955456570155902</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0.044543429844098</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224.5</v>
      </c>
    </row>
    <row r="190" customFormat="false" ht="15" hidden="false" customHeight="false" outlineLevel="0" collapsed="false">
      <c r="B190" s="9" t="s">
        <v>658</v>
      </c>
      <c r="D190" s="34" t="n">
        <f aca="false">$D$183+$D$188/Assumptions!$D$108</f>
        <v>214.5</v>
      </c>
    </row>
    <row r="191" customFormat="false" ht="15" hidden="false" customHeight="false" outlineLevel="0" collapsed="false">
      <c r="B191" s="9" t="s">
        <v>659</v>
      </c>
      <c r="D191" s="34" t="n">
        <f aca="false">$D$182*Assumptions!$D$109/(1-Assumptions!$D$109)</f>
        <v>19.5217391304348</v>
      </c>
    </row>
    <row r="192" customFormat="false" ht="15" hidden="false" customHeight="false" outlineLevel="0" collapsed="false">
      <c r="B192" s="9" t="s">
        <v>660</v>
      </c>
      <c r="D192" s="35" t="n">
        <f aca="false">($D$179+$D$191*Assumptions!$D$108)/($D$189+$D$191)</f>
        <v>2.11226452186265</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2.11226452186265</v>
      </c>
    </row>
    <row r="195" customFormat="false" ht="15" hidden="false" customHeight="false" outlineLevel="0" collapsed="false">
      <c r="B195" s="9" t="s">
        <v>663</v>
      </c>
      <c r="D195" s="34" t="n">
        <f aca="false">IF($D$194&gt;=Assumptions!$D$110,$D$191,$D$191*0.5)</f>
        <v>19.5217391304348</v>
      </c>
    </row>
    <row r="196" customFormat="false" ht="15" hidden="false" customHeight="false" outlineLevel="0" collapsed="false">
      <c r="B196" s="9" t="s">
        <v>664</v>
      </c>
      <c r="D196" s="35" t="n">
        <f aca="false">($D$179+$D$195*Assumptions!$D$108)/($D$189+$D$195)</f>
        <v>2.11226452186265</v>
      </c>
    </row>
    <row r="197" customFormat="false" ht="15" hidden="false" customHeight="false" outlineLevel="0" collapsed="false">
      <c r="B197" s="9" t="s">
        <v>665</v>
      </c>
      <c r="D197" s="34" t="n">
        <f aca="false">IF($D$196&lt;Assumptions!$D$108,0,$D$195)</f>
        <v>19.5217391304348</v>
      </c>
    </row>
    <row r="198" customFormat="false" ht="15" hidden="false" customHeight="false" outlineLevel="0" collapsed="false">
      <c r="B198" s="17" t="s">
        <v>666</v>
      </c>
      <c r="D198" s="43" t="n">
        <f aca="false">IF($D$196&lt;Assumptions!$D$108,$D$179/$D$189,$D$196)</f>
        <v>2.11226452186265</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453.080739939538</v>
      </c>
    </row>
    <row r="201" customFormat="false" ht="15" hidden="false" customHeight="false" outlineLevel="0" collapsed="false">
      <c r="B201" s="9" t="s">
        <v>668</v>
      </c>
      <c r="D201" s="14" t="n">
        <f aca="false">$D$200/$D$179</f>
        <v>0.913622628413281</v>
      </c>
    </row>
    <row r="202" customFormat="false" ht="15" hidden="false" customHeight="false" outlineLevel="0" collapsed="false">
      <c r="B202" s="9" t="s">
        <v>669</v>
      </c>
      <c r="D202" s="19" t="n">
        <f aca="false">$D$185*$D$198</f>
        <v>21.1226452186265</v>
      </c>
    </row>
    <row r="203" customFormat="false" ht="15" hidden="false" customHeight="false" outlineLevel="0" collapsed="false">
      <c r="B203" s="9" t="s">
        <v>670</v>
      </c>
      <c r="D203" s="19" t="n">
        <f aca="false">$D$197*MAX(0,$D$198-Assumptions!$D$108)</f>
        <v>21.7133378398404</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42.8359830584668</v>
      </c>
    </row>
    <row r="206" customFormat="false" ht="15" hidden="false" customHeight="false" outlineLevel="0" collapsed="false">
      <c r="B206" s="9" t="s">
        <v>673</v>
      </c>
      <c r="D206" s="24" t="n">
        <f aca="false">$D$205/$D$47</f>
        <v>4.28359830584668</v>
      </c>
    </row>
    <row r="207" customFormat="false" ht="15" hidden="false" customHeight="false" outlineLevel="0" collapsed="false">
      <c r="B207" s="9" t="s">
        <v>674</v>
      </c>
      <c r="D207" s="19" t="n">
        <f aca="false">$D$187*$D$198</f>
        <v>8.44905808745059</v>
      </c>
    </row>
    <row r="208" customFormat="false" ht="15" hidden="false" customHeight="false" outlineLevel="0" collapsed="false">
      <c r="B208" s="9" t="s">
        <v>675</v>
      </c>
      <c r="D208" s="19" t="n">
        <f aca="false">$D$203*Assumptions!$D$112</f>
        <v>7.59966824394412</v>
      </c>
    </row>
    <row r="209" customFormat="false" ht="15" hidden="false" customHeight="false" outlineLevel="0" collapsed="false">
      <c r="B209" s="9" t="s">
        <v>676</v>
      </c>
      <c r="D209" s="19" t="n">
        <f aca="false">$D$207+$D$208</f>
        <v>16.0487263313947</v>
      </c>
    </row>
    <row r="210" customFormat="false" ht="15" hidden="false" customHeight="false" outlineLevel="0" collapsed="false">
      <c r="B210" s="9" t="s">
        <v>677</v>
      </c>
      <c r="D210" s="24" t="n">
        <f aca="false">$D$209/Assumptions!$D$111</f>
        <v>4.01218158284868</v>
      </c>
    </row>
    <row r="211" customFormat="false" ht="15" hidden="false" customHeight="false" outlineLevel="0" collapsed="false">
      <c r="B211" s="9" t="s">
        <v>678</v>
      </c>
      <c r="D211" s="19" t="n">
        <f aca="false">$D$179*$D$190/$D$189</f>
        <v>473.826891238628</v>
      </c>
    </row>
    <row r="212" customFormat="false" ht="15" hidden="false" customHeight="false" outlineLevel="0" collapsed="false">
      <c r="B212" s="9" t="s">
        <v>679</v>
      </c>
      <c r="D212" s="19" t="n">
        <f aca="false">$D$211-$D$200</f>
        <v>20.7461512990902</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214.5</v>
      </c>
      <c r="F216" s="34" t="n">
        <f aca="false">$D$183+$F$215/Assumptions!$D$108</f>
        <v>214.5</v>
      </c>
      <c r="G216" s="34" t="n">
        <f aca="false">$D$183+$G$215/Assumptions!$D$108</f>
        <v>214.5</v>
      </c>
      <c r="H216" s="34" t="n">
        <f aca="false">$D$183+$H$215/Assumptions!$D$108</f>
        <v>214.5</v>
      </c>
      <c r="I216" s="34" t="n">
        <f aca="false">$D$183+$I$215/Assumptions!$D$108</f>
        <v>214.5</v>
      </c>
      <c r="J216" s="34" t="n">
        <f aca="false">$D$183+$J$215/Assumptions!$D$108</f>
        <v>214.5</v>
      </c>
      <c r="K216" s="34" t="n">
        <f aca="false">$D$183+$K$215/Assumptions!$D$108</f>
        <v>214.5</v>
      </c>
      <c r="L216" s="34" t="n">
        <f aca="false">$D$183+$L$215/Assumptions!$D$108</f>
        <v>214.5</v>
      </c>
    </row>
    <row r="217" customFormat="false" ht="15" hidden="false" customHeight="false" outlineLevel="0" collapsed="false">
      <c r="B217" s="9" t="s">
        <v>683</v>
      </c>
      <c r="E217" s="34" t="n">
        <f aca="false">$D$182+$E$215/Assumptions!$D$108</f>
        <v>224.5</v>
      </c>
      <c r="F217" s="34" t="n">
        <f aca="false">$D$182+$F$215/Assumptions!$D$108</f>
        <v>224.5</v>
      </c>
      <c r="G217" s="34" t="n">
        <f aca="false">$D$182+$G$215/Assumptions!$D$108</f>
        <v>224.5</v>
      </c>
      <c r="H217" s="34" t="n">
        <f aca="false">$D$182+$H$215/Assumptions!$D$108</f>
        <v>224.5</v>
      </c>
      <c r="I217" s="34" t="n">
        <f aca="false">$D$182+$I$215/Assumptions!$D$108</f>
        <v>224.5</v>
      </c>
      <c r="J217" s="34" t="n">
        <f aca="false">$D$182+$J$215/Assumptions!$D$108</f>
        <v>224.5</v>
      </c>
      <c r="K217" s="34" t="n">
        <f aca="false">$D$182+$K$215/Assumptions!$D$108</f>
        <v>224.5</v>
      </c>
      <c r="L217" s="34" t="n">
        <f aca="false">$D$182+$L$215/Assumptions!$D$108</f>
        <v>224.5</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-214.5</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453.080739939538</v>
      </c>
      <c r="K219" s="18" t="n">
        <f aca="false">IF($K$64&lt;=$D$170,$K$218+IF($K$64=$D$170,$D$200,0),0)</f>
        <v>0</v>
      </c>
      <c r="L219" s="18" t="n">
        <f aca="false">IF($L$64&lt;=$D$170,$L$218+IF($L$64=$D$170,$D$200,0),0)</f>
        <v>0</v>
      </c>
    </row>
    <row r="220" customFormat="false" ht="15" hidden="false" customHeight="false" outlineLevel="0" collapsed="false">
      <c r="B220" s="9" t="s">
        <v>686</v>
      </c>
      <c r="E220" s="19" t="n">
        <f aca="false">-$D$46</f>
        <v>-224.5</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495.916722998004</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0.161313998103643</v>
      </c>
    </row>
    <row r="224" customFormat="false" ht="15" hidden="false" customHeight="false" outlineLevel="0" collapsed="false">
      <c r="B224" s="9" t="s">
        <v>689</v>
      </c>
      <c r="D224" s="25" t="n">
        <f aca="false">XIRR($E$219:$L$219,$E$221:$L$221,0.1)</f>
        <v>0.16121888865152</v>
      </c>
    </row>
    <row r="225" customFormat="false" ht="15" hidden="false" customHeight="false" outlineLevel="0" collapsed="false">
      <c r="B225" s="17" t="s">
        <v>690</v>
      </c>
      <c r="D225" s="41" t="n">
        <f aca="false">SUMIF($E$219:$L$219,"&gt;0")/-SUMIF($E$219:$L$219,"&lt;0")</f>
        <v>2.11226452186265</v>
      </c>
    </row>
    <row r="226" customFormat="false" ht="15" hidden="false" customHeight="false" outlineLevel="0" collapsed="false">
      <c r="B226" s="9" t="s">
        <v>691</v>
      </c>
      <c r="D226" s="19" t="n">
        <f aca="false">-SUMIF($E$219:$L$219,"&lt;0")</f>
        <v>214.5</v>
      </c>
    </row>
    <row r="227" customFormat="false" ht="15" hidden="false" customHeight="false" outlineLevel="0" collapsed="false">
      <c r="B227" s="9" t="s">
        <v>692</v>
      </c>
      <c r="D227" s="25" t="n">
        <f aca="false">IRR($E$220:$L$220,0.1)</f>
        <v>0.171759495703967</v>
      </c>
    </row>
    <row r="228" customFormat="false" ht="15" hidden="false" customHeight="false" outlineLevel="0" collapsed="false">
      <c r="B228" s="9" t="s">
        <v>693</v>
      </c>
      <c r="D228" s="24" t="n">
        <f aca="false">SUMIF($E$220:$L$220,"&gt;0")/-SUMIF($E$220:$L$220,"&lt;0")</f>
        <v>2.20898317593766</v>
      </c>
    </row>
    <row r="229" customFormat="false" ht="15" hidden="false" customHeight="false" outlineLevel="0" collapsed="false">
      <c r="B229" s="9" t="s">
        <v>694</v>
      </c>
      <c r="D229" s="19" t="n">
        <f aca="false">SUM($E$220:$L$220)</f>
        <v>271.416722998004</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98.8168074032043</v>
      </c>
    </row>
    <row r="232" customFormat="false" ht="15" hidden="false" customHeight="false" outlineLevel="0" collapsed="false">
      <c r="B232" s="9" t="s">
        <v>697</v>
      </c>
      <c r="D232" s="19" t="n">
        <f aca="false">SUMPRODUCT(($F$64:$L$64&lt;=$D$170)*$F$105:$L$105)</f>
        <v>115.758746870796</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11.2</v>
      </c>
    </row>
    <row r="235" customFormat="false" ht="15" hidden="false" customHeight="false" outlineLevel="0" collapsed="false">
      <c r="B235" s="9" t="s">
        <v>700</v>
      </c>
      <c r="D235" s="19" t="n">
        <f aca="false">SUMPRODUCT(($F$64:$L$64&lt;=$D$170)*$F$115:$L$115)</f>
        <v>21.5728310851104</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32.7728310851104</v>
      </c>
    </row>
    <row r="238" customFormat="false" ht="15" hidden="false" customHeight="false" outlineLevel="0" collapsed="false">
      <c r="B238" s="9" t="s">
        <v>703</v>
      </c>
      <c r="D238" s="19" t="n">
        <f aca="false">$D$54-$D$173</f>
        <v>46.0168074032044</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250.40600568</v>
      </c>
    </row>
    <row r="242" customFormat="false" ht="15" hidden="false" customHeight="false" outlineLevel="0" collapsed="false">
      <c r="B242" s="9" t="s">
        <v>234</v>
      </c>
      <c r="D242" s="14" t="n">
        <f aca="false">$D$172/$D$29-1</f>
        <v>0.5564577904</v>
      </c>
    </row>
    <row r="243" customFormat="false" ht="15" hidden="false" customHeight="false" outlineLevel="0" collapsed="false">
      <c r="B243" s="9" t="s">
        <v>235</v>
      </c>
      <c r="D243" s="25" t="n">
        <f aca="false">($D$172/$D$29)^(1/$D$170)-1</f>
        <v>0.0925151535860498</v>
      </c>
    </row>
    <row r="244" customFormat="false" ht="15" hidden="false" customHeight="false" outlineLevel="0" collapsed="false">
      <c r="B244" s="9" t="s">
        <v>236</v>
      </c>
      <c r="D244" s="14" t="n">
        <f aca="false">$D$179/$D$46-1</f>
        <v>1.20898317593766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725</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2" t="n">
        <v>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250</v>
      </c>
    </row>
    <row r="33" customFormat="false" ht="15" hidden="false" customHeight="false" outlineLevel="0" collapsed="false">
      <c r="B33" s="9" t="s">
        <v>522</v>
      </c>
      <c r="D33" s="19" t="n">
        <f aca="false">Assumptions!$D$77*($D$32+$D$31)</f>
        <v>6</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6</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250</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175.5</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165.5</v>
      </c>
    </row>
    <row r="49" customFormat="false" ht="15" hidden="false" customHeight="false" outlineLevel="0" collapsed="false">
      <c r="B49" s="17" t="s">
        <v>534</v>
      </c>
      <c r="D49" s="18" t="n">
        <f aca="false">$D$43+$D$44+$D$45+$D$48+$D$47</f>
        <v>475.5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300</v>
      </c>
    </row>
    <row r="53" customFormat="false" ht="15" hidden="false" customHeight="false" outlineLevel="0" collapsed="false">
      <c r="B53" s="9" t="s">
        <v>303</v>
      </c>
      <c r="C53" s="6" t="s">
        <v>79</v>
      </c>
      <c r="D53" s="23" t="n">
        <f aca="false">$D$52/$D$28</f>
        <v>6</v>
      </c>
    </row>
    <row r="54" customFormat="false" ht="15" hidden="false" customHeight="false" outlineLevel="0" collapsed="false">
      <c r="B54" s="9" t="s">
        <v>192</v>
      </c>
      <c r="D54" s="19" t="n">
        <f aca="false">$D$52-$D$40</f>
        <v>290</v>
      </c>
    </row>
    <row r="55" customFormat="false" ht="15" hidden="false" customHeight="false" outlineLevel="0" collapsed="false">
      <c r="B55" s="9" t="s">
        <v>538</v>
      </c>
      <c r="C55" s="6" t="s">
        <v>79</v>
      </c>
      <c r="D55" s="24" t="n">
        <f aca="false">$D$54/$D$28</f>
        <v>5.8</v>
      </c>
    </row>
    <row r="56" customFormat="false" ht="15" hidden="false" customHeight="false" outlineLevel="0" collapsed="false">
      <c r="B56" s="9" t="s">
        <v>539</v>
      </c>
      <c r="D56" s="14" t="n">
        <f aca="false">$D$46/$D$41</f>
        <v>0.369085173501577</v>
      </c>
    </row>
    <row r="57" customFormat="false" ht="15" hidden="false" customHeight="false" outlineLevel="0" collapsed="false">
      <c r="B57" s="9" t="s">
        <v>540</v>
      </c>
      <c r="D57" s="14" t="n">
        <f aca="false">$D$52/$D$41</f>
        <v>0.630914826498423</v>
      </c>
    </row>
    <row r="58" customFormat="false" ht="15" hidden="false" customHeight="false" outlineLevel="0" collapsed="false">
      <c r="B58" s="9" t="s">
        <v>541</v>
      </c>
      <c r="D58" s="14" t="n">
        <f aca="false">$D$52/$D$29</f>
        <v>0.666666666666667</v>
      </c>
    </row>
    <row r="59" customFormat="false" ht="15" hidden="false" customHeight="false" outlineLevel="0" collapsed="false">
      <c r="B59" s="9" t="s">
        <v>542</v>
      </c>
      <c r="D59" s="19" t="n">
        <f aca="false">$D$38+$D$39</f>
        <v>15.5</v>
      </c>
    </row>
    <row r="60" customFormat="false" ht="15" hidden="false" customHeight="false" outlineLevel="0" collapsed="false">
      <c r="B60" s="9" t="s">
        <v>543</v>
      </c>
      <c r="D60" s="25" t="n">
        <f aca="false">$D$59/$D$29</f>
        <v>0.0344444444444444</v>
      </c>
    </row>
    <row r="61" customFormat="false" ht="15" hidden="false" customHeight="false" outlineLevel="0" collapsed="false">
      <c r="B61" s="9" t="s">
        <v>544</v>
      </c>
      <c r="D61" s="25" t="n">
        <f aca="false">$D$59/$D$46</f>
        <v>0.0883190883190883</v>
      </c>
    </row>
    <row r="62" customFormat="false" ht="15" hidden="false" customHeight="false" outlineLevel="0" collapsed="false">
      <c r="B62" s="9" t="s">
        <v>545</v>
      </c>
      <c r="D62" s="19" t="n">
        <f aca="false">$D$46+(Assumptions!$D$72-$D$6)*$D$28</f>
        <v>225.5</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9.235</v>
      </c>
      <c r="G91" s="18" t="n">
        <f aca="false">$G$72-$G$139-$G$105-$G$75-$G$79-$G$83-$G$87-$G$89</f>
        <v>12.6549275</v>
      </c>
      <c r="H91" s="18" t="n">
        <f aca="false">$H$72-$H$139-$H$105-$H$75-$H$79-$H$83-$H$87-$H$89</f>
        <v>12.17352254375</v>
      </c>
      <c r="I91" s="18" t="n">
        <f aca="false">$I$72-$I$139-$I$105-$I$75-$I$79-$I$83-$I$87-$I$89</f>
        <v>17.2057054681719</v>
      </c>
      <c r="J91" s="18" t="n">
        <f aca="false">$J$72-$J$139-$J$105-$J$75-$J$79-$J$83-$J$87-$J$89</f>
        <v>24.8142938560243</v>
      </c>
      <c r="K91" s="18" t="n">
        <f aca="false">$K$72-$K$139-$K$105-$K$75-$K$79-$K$83-$K$87-$K$89</f>
        <v>28.4340694762275</v>
      </c>
      <c r="L91" s="18" t="n">
        <f aca="false">$L$72-$L$139-$L$105-$L$75-$L$79-$L$83-$L$87-$L$89</f>
        <v>31.281827786744</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13.3675</v>
      </c>
      <c r="H94" s="19" t="n">
        <f aca="false">$G$123</f>
        <v>10.36121375</v>
      </c>
      <c r="I94" s="19" t="n">
        <f aca="false">$H$123</f>
        <v>14.817368146875</v>
      </c>
      <c r="J94" s="19" t="n">
        <f aca="false">$I$123</f>
        <v>19.5615368075234</v>
      </c>
      <c r="K94" s="19" t="n">
        <f aca="false">$J$123</f>
        <v>33.6068729976608</v>
      </c>
      <c r="L94" s="19" t="n">
        <f aca="false">$K$123</f>
        <v>59.1409424738883</v>
      </c>
    </row>
    <row r="95" customFormat="false" ht="15" hidden="false" customHeight="false" outlineLevel="0" collapsed="false">
      <c r="B95" s="9" t="s">
        <v>576</v>
      </c>
      <c r="F95" s="19" t="n">
        <f aca="false">$E$123+$F$91-$F$109-$F$82-$F$85+$F$84+$F$86-$F$88+$F$90</f>
        <v>16.735</v>
      </c>
      <c r="G95" s="19" t="n">
        <f aca="false">$F$123+$G$91-$G$109-$G$82-$G$85+$G$84+$G$86-$G$88+$G$90</f>
        <v>10.7224275</v>
      </c>
      <c r="H95" s="19" t="n">
        <f aca="false">$G$123+$H$91-$H$109-$H$82-$H$85+$H$84+$H$86-$H$88+$H$90</f>
        <v>19.63473629375</v>
      </c>
      <c r="I95" s="19" t="n">
        <f aca="false">$H$123+$I$91-$I$109-$I$82-$I$85+$I$84+$I$86-$I$88+$I$90</f>
        <v>29.1230736150469</v>
      </c>
      <c r="J95" s="19" t="n">
        <f aca="false">$I$123+$J$91-$J$109-$J$82-$J$85+$J$84+$J$86-$J$88+$J$90</f>
        <v>41.4758306635478</v>
      </c>
      <c r="K95" s="19" t="n">
        <f aca="false">$J$123+$K$91-$K$109-$K$82-$K$85+$K$84+$K$86-$K$88+$K$90</f>
        <v>59.1409424738883</v>
      </c>
      <c r="L95" s="19" t="n">
        <f aca="false">$K$123+$L$91-$L$109-$L$82-$L$85+$L$84+$L$86-$L$88+$L$90</f>
        <v>87.5227702606323</v>
      </c>
    </row>
    <row r="96" customFormat="false" ht="15" hidden="false" customHeight="false" outlineLevel="0" collapsed="false">
      <c r="B96" s="17" t="s">
        <v>577</v>
      </c>
      <c r="F96" s="18" t="n">
        <f aca="false">$F$95+$F$110-$F$111-$F$115</f>
        <v>13.3675</v>
      </c>
      <c r="G96" s="18" t="n">
        <f aca="false">$G$95+$G$110-$G$111-$G$115</f>
        <v>10.36121375</v>
      </c>
      <c r="H96" s="18" t="n">
        <f aca="false">$H$95+$H$110-$H$111-$H$115</f>
        <v>14.817368146875</v>
      </c>
      <c r="I96" s="18" t="n">
        <f aca="false">$I$95+$I$110-$I$111-$I$115</f>
        <v>19.5615368075234</v>
      </c>
      <c r="J96" s="18" t="n">
        <f aca="false">$J$95+$J$110-$J$111-$J$115</f>
        <v>33.6068729976608</v>
      </c>
      <c r="K96" s="18" t="n">
        <f aca="false">$K$95+$K$110-$K$111-$K$115</f>
        <v>59.1409424738883</v>
      </c>
      <c r="L96" s="18" t="n">
        <f aca="false">$L$95+$L$110-$L$111-$L$115</f>
        <v>87.5227702606323</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21.25</v>
      </c>
      <c r="G101" s="38" t="n">
        <f aca="false">$F$118*$G$100</f>
        <v>20.7512625</v>
      </c>
      <c r="H101" s="38" t="n">
        <f aca="false">$G$118*$H$100</f>
        <v>23.90805933125</v>
      </c>
      <c r="I101" s="38" t="n">
        <f aca="false">$H$118*$I$100</f>
        <v>23.2520830387656</v>
      </c>
      <c r="J101" s="38" t="n">
        <f aca="false">$I$118*$J$100</f>
        <v>22.1928524101261</v>
      </c>
      <c r="K101" s="38" t="n">
        <f aca="false">$J$118*$K$100</f>
        <v>21.2774910085257</v>
      </c>
      <c r="L101" s="38" t="n">
        <f aca="false">$K$118*$L$100</f>
        <v>21.0309910085257</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0.26735</v>
      </c>
      <c r="H104" s="38" t="n">
        <f aca="false">$G$123*Assumptions!$D$9</f>
        <v>0.207224275</v>
      </c>
      <c r="I104" s="38" t="n">
        <f aca="false">$H$123*Assumptions!$D$9</f>
        <v>0.2963473629375</v>
      </c>
      <c r="J104" s="38" t="n">
        <f aca="false">$I$123*Assumptions!$D$9</f>
        <v>0.391230736150469</v>
      </c>
      <c r="K104" s="38" t="n">
        <f aca="false">$J$123*Assumptions!$D$9</f>
        <v>0.672137459953217</v>
      </c>
      <c r="L104" s="38" t="n">
        <f aca="false">$K$123*Assumptions!$D$9</f>
        <v>1.18281884947777</v>
      </c>
    </row>
    <row r="105" customFormat="false" ht="15" hidden="false" customHeight="false" outlineLevel="0" collapsed="false">
      <c r="B105" s="17" t="s">
        <v>585</v>
      </c>
      <c r="F105" s="40" t="n">
        <f aca="false">$F$101+$F$102+$F$103-$F$104</f>
        <v>26.75</v>
      </c>
      <c r="G105" s="40" t="n">
        <f aca="false">$G$101+$G$102+$G$103-$G$104</f>
        <v>26.1839125</v>
      </c>
      <c r="H105" s="40" t="n">
        <f aca="false">$H$101+$H$102+$H$103-$H$104</f>
        <v>29.40083505625</v>
      </c>
      <c r="I105" s="40" t="n">
        <f aca="false">$I$101+$I$102+$I$103-$I$104</f>
        <v>28.6557356758281</v>
      </c>
      <c r="J105" s="40" t="n">
        <f aca="false">$J$101+$J$102+$J$103-$J$104</f>
        <v>27.5016216739757</v>
      </c>
      <c r="K105" s="40" t="n">
        <f aca="false">$K$101+$K$102+$K$103-$K$104</f>
        <v>26.3053535485725</v>
      </c>
      <c r="L105" s="40" t="n">
        <f aca="false">$L$101+$L$102+$L$103-$L$104</f>
        <v>25.548172159048</v>
      </c>
    </row>
    <row r="106" customFormat="false" ht="15" hidden="false" customHeight="false" outlineLevel="0" collapsed="false">
      <c r="B106" s="9" t="s">
        <v>586</v>
      </c>
      <c r="F106" s="38" t="n">
        <f aca="false">IF($E$149&gt;0,$E$149/MAX(1,Assumptions!$D$86-($F$64-1)),0)</f>
        <v>0.857142857142857</v>
      </c>
      <c r="G106" s="38" t="n">
        <f aca="false">IF($F$149&gt;0,$F$149/MAX(1,Assumptions!$D$86-($G$64-1)),0)</f>
        <v>0.857142857142857</v>
      </c>
      <c r="H106" s="38" t="n">
        <f aca="false">IF($G$149&gt;0,$G$149/MAX(1,Assumptions!$D$86-($H$64-1)),0)</f>
        <v>1.01714285714286</v>
      </c>
      <c r="I106" s="38" t="n">
        <f aca="false">IF($H$149&gt;0,$H$149/MAX(1,Assumptions!$D$86-($I$64-1)),0)</f>
        <v>1.01714285714286</v>
      </c>
      <c r="J106" s="38" t="n">
        <f aca="false">IF($I$149&gt;0,$I$149/MAX(1,Assumptions!$D$86-($J$64-1)),0)</f>
        <v>1.01714285714286</v>
      </c>
      <c r="K106" s="38" t="n">
        <f aca="false">IF($J$149&gt;0,$J$149/MAX(1,Assumptions!$D$86-($K$64-1)),0)</f>
        <v>1.01714285714286</v>
      </c>
      <c r="L106" s="38" t="n">
        <f aca="false">IF($K$149&gt;0,$K$149/MAX(1,Assumptions!$D$86-($L$64-1)),0)</f>
        <v>1.01714285714286</v>
      </c>
    </row>
    <row r="107" customFormat="false" ht="15" hidden="false" customHeight="false" outlineLevel="0" collapsed="false">
      <c r="B107" s="9" t="s">
        <v>587</v>
      </c>
      <c r="F107" s="24" t="n">
        <f aca="false">IF($F$105&lt;&gt;0,$F$72/$F$105,0)</f>
        <v>2.0411214953271</v>
      </c>
      <c r="G107" s="24" t="n">
        <f aca="false">IF($G$105&lt;&gt;0,$G$72/$G$105,0)</f>
        <v>2.31238169620373</v>
      </c>
      <c r="H107" s="24" t="n">
        <f aca="false">IF($H$105&lt;&gt;0,$H$72/$H$105,0)</f>
        <v>1.9681280442985</v>
      </c>
      <c r="I107" s="24" t="n">
        <f aca="false">IF($I$105&lt;&gt;0,$I$72/$I$105,0)</f>
        <v>2.45186673672685</v>
      </c>
      <c r="J107" s="24" t="n">
        <f aca="false">IF($J$105&lt;&gt;0,$J$72/$J$105,0)</f>
        <v>2.82975638464413</v>
      </c>
      <c r="K107" s="24" t="n">
        <f aca="false">IF($K$105&lt;&gt;0,$K$72/$K$105,0)</f>
        <v>3.07221892880377</v>
      </c>
      <c r="L107" s="24" t="n">
        <f aca="false">IF($L$105&lt;&gt;0,$L$72/$L$105,0)</f>
        <v>3.28510536027167</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2.5</v>
      </c>
      <c r="G109" s="38" t="n">
        <f aca="false">IF($D$14=1,0,MIN($F$118,Assumptions!$D$85*$F$119))</f>
        <v>2.5</v>
      </c>
      <c r="H109" s="38" t="n">
        <f aca="false">IF($D$14=1,0,MIN($G$118,Assumptions!$D$85*$G$119))</f>
        <v>2.9</v>
      </c>
      <c r="I109" s="38" t="n">
        <f aca="false">IF($D$14=1,0,MIN($H$118,Assumptions!$D$85*$H$119))</f>
        <v>2.9</v>
      </c>
      <c r="J109" s="38" t="n">
        <f aca="false">IF($D$14=1,0,MIN($I$118,Assumptions!$D$85*$I$119))</f>
        <v>2.9</v>
      </c>
      <c r="K109" s="38" t="n">
        <f aca="false">IF($D$14=1,0,MIN($J$118,Assumptions!$D$85*$J$119))</f>
        <v>2.9</v>
      </c>
      <c r="L109" s="38" t="n">
        <f aca="false">IF($D$14=1,0,MIN($K$118,Assumptions!$D$85*$K$119))</f>
        <v>2.9</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16.735</v>
      </c>
      <c r="G112" s="19" t="n">
        <f aca="false">$G$95+$G$110-$G$111</f>
        <v>10.7224275</v>
      </c>
      <c r="H112" s="19" t="n">
        <f aca="false">$H$95+$H$110-$H$111</f>
        <v>19.63473629375</v>
      </c>
      <c r="I112" s="19" t="n">
        <f aca="false">$I$95+$I$110-$I$111</f>
        <v>29.1230736150469</v>
      </c>
      <c r="J112" s="19" t="n">
        <f aca="false">$J$95+$J$110-$J$111</f>
        <v>41.4758306635478</v>
      </c>
      <c r="K112" s="19" t="n">
        <f aca="false">$K$95+$K$110-$K$111</f>
        <v>59.1409424738883</v>
      </c>
      <c r="L112" s="19" t="n">
        <f aca="false">$L$95+$L$110-$L$111</f>
        <v>87.5227702606323</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6.735</v>
      </c>
      <c r="G114" s="19" t="n">
        <f aca="false">MAX(0,$G$112-Assumptions!$D$79)</f>
        <v>0.722427500000009</v>
      </c>
      <c r="H114" s="19" t="n">
        <f aca="false">MAX(0,$H$112-Assumptions!$D$79)</f>
        <v>9.63473629375002</v>
      </c>
      <c r="I114" s="19" t="n">
        <f aca="false">MAX(0,$I$112-Assumptions!$D$79)</f>
        <v>19.1230736150469</v>
      </c>
      <c r="J114" s="19" t="n">
        <f aca="false">MAX(0,$J$112-Assumptions!$D$79)</f>
        <v>31.4758306635478</v>
      </c>
      <c r="K114" s="19" t="n">
        <f aca="false">MAX(0,$K$112-Assumptions!$D$79)</f>
        <v>49.1409424738883</v>
      </c>
      <c r="L114" s="19" t="n">
        <f aca="false">MAX(0,$L$112-Assumptions!$D$79)</f>
        <v>77.5227702606323</v>
      </c>
    </row>
    <row r="115" customFormat="false" ht="15" hidden="false" customHeight="false" outlineLevel="0" collapsed="false">
      <c r="B115" s="17" t="s">
        <v>595</v>
      </c>
      <c r="F115" s="18" t="n">
        <f aca="false">IF(AND($D$19=1,$D$14=0,$E$121-$F$111+$F$110=0),MIN($E$118-$F$109+$F$84,$F$113*$F$114),0)</f>
        <v>3.3675</v>
      </c>
      <c r="G115" s="18" t="n">
        <f aca="false">IF(AND($D$19=1,$D$14=0,$F$121-$G$111+$G$110=0),MIN($F$118-$G$109+$G$84,$G$113*$G$114),0)</f>
        <v>0.361213750000005</v>
      </c>
      <c r="H115" s="18" t="n">
        <f aca="false">IF(AND($D$19=1,$D$14=0,$G$121-$H$111+$H$110=0),MIN($G$118-$H$109+$H$84,$H$113*$H$114),0)</f>
        <v>4.81736814687501</v>
      </c>
      <c r="I115" s="18" t="n">
        <f aca="false">IF(AND($D$19=1,$D$14=0,$H$121-$I$111+$I$110=0),MIN($H$118-$I$109+$I$84,$I$113*$I$114),0)</f>
        <v>9.56153680752344</v>
      </c>
      <c r="J115" s="18" t="n">
        <f aca="false">IF(AND($D$19=1,$D$14=0,$I$121-$J$111+$J$110=0),MIN($I$118-$J$109+$J$84,$J$113*$J$114),0)</f>
        <v>7.86895766588694</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250</v>
      </c>
      <c r="F118" s="19" t="n">
        <f aca="false">$E$118-$F$109-$F$115+$F$84+$F$86</f>
        <v>244.1325</v>
      </c>
      <c r="G118" s="19" t="n">
        <f aca="false">$F$118-$G$109-$G$115+$G$84+$G$86</f>
        <v>281.27128625</v>
      </c>
      <c r="H118" s="19" t="n">
        <f aca="false">$G$118-$H$109-$H$115+$H$84+$H$86</f>
        <v>273.553918103125</v>
      </c>
      <c r="I118" s="19" t="n">
        <f aca="false">$H$118-$I$109-$I$115+$I$84+$I$86</f>
        <v>261.092381295602</v>
      </c>
      <c r="J118" s="19" t="n">
        <f aca="false">$I$118-$J$109-$J$115+$J$84+$J$86</f>
        <v>250.323423629715</v>
      </c>
      <c r="K118" s="19" t="n">
        <f aca="false">$J$118-$K$109-$K$115+$K$84+$K$86</f>
        <v>247.423423629715</v>
      </c>
      <c r="L118" s="19" t="n">
        <f aca="false">$K$118-$L$109-$L$115+$L$84+$L$86</f>
        <v>244.523423629715</v>
      </c>
    </row>
    <row r="119" customFormat="false" ht="15" hidden="false" customHeight="false" outlineLevel="0" collapsed="false">
      <c r="B119" s="9" t="s">
        <v>598</v>
      </c>
      <c r="E119" s="19" t="n">
        <f aca="false">$D$32</f>
        <v>250</v>
      </c>
      <c r="F119" s="19" t="n">
        <f aca="false">$E$119+$F$84+$F$86</f>
        <v>250</v>
      </c>
      <c r="G119" s="19" t="n">
        <f aca="false">$F$119+$G$84+$G$86</f>
        <v>290</v>
      </c>
      <c r="H119" s="19" t="n">
        <f aca="false">$G$119+$H$84+$H$86</f>
        <v>290</v>
      </c>
      <c r="I119" s="19" t="n">
        <f aca="false">$H$119+$I$84+$I$86</f>
        <v>290</v>
      </c>
      <c r="J119" s="19" t="n">
        <f aca="false">$I$119+$J$84+$J$86</f>
        <v>290</v>
      </c>
      <c r="K119" s="19" t="n">
        <f aca="false">$J$119+$K$84+$K$86</f>
        <v>290</v>
      </c>
      <c r="L119" s="19" t="n">
        <f aca="false">$K$119+$L$84+$L$86</f>
        <v>290</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300</v>
      </c>
      <c r="F122" s="18" t="n">
        <f aca="false">$F$118+$F$120+$F$121</f>
        <v>294.1325</v>
      </c>
      <c r="G122" s="18" t="n">
        <f aca="false">$G$118+$G$120+$G$121</f>
        <v>331.27128625</v>
      </c>
      <c r="H122" s="18" t="n">
        <f aca="false">$H$118+$H$120+$H$121</f>
        <v>323.553918103125</v>
      </c>
      <c r="I122" s="18" t="n">
        <f aca="false">$I$118+$I$120+$I$121</f>
        <v>311.092381295602</v>
      </c>
      <c r="J122" s="18" t="n">
        <f aca="false">$J$118+$J$120+$J$121</f>
        <v>300.323423629715</v>
      </c>
      <c r="K122" s="18" t="n">
        <f aca="false">$K$118+$K$120+$K$121</f>
        <v>297.423423629715</v>
      </c>
      <c r="L122" s="18" t="n">
        <f aca="false">$L$118+$L$120+$L$121</f>
        <v>294.523423629715</v>
      </c>
    </row>
    <row r="123" customFormat="false" ht="15" hidden="false" customHeight="false" outlineLevel="0" collapsed="false">
      <c r="B123" s="9" t="s">
        <v>600</v>
      </c>
      <c r="E123" s="19" t="n">
        <f aca="false">Assumptions!$D$78</f>
        <v>10</v>
      </c>
      <c r="F123" s="19" t="n">
        <f aca="false">$F$112-$F$115</f>
        <v>13.3675</v>
      </c>
      <c r="G123" s="19" t="n">
        <f aca="false">$G$112-$G$115</f>
        <v>10.36121375</v>
      </c>
      <c r="H123" s="19" t="n">
        <f aca="false">$H$112-$H$115</f>
        <v>14.817368146875</v>
      </c>
      <c r="I123" s="19" t="n">
        <f aca="false">$I$112-$I$115</f>
        <v>19.5615368075234</v>
      </c>
      <c r="J123" s="19" t="n">
        <f aca="false">$J$112-$J$115</f>
        <v>33.6068729976608</v>
      </c>
      <c r="K123" s="19" t="n">
        <f aca="false">$K$112-$K$115</f>
        <v>59.1409424738883</v>
      </c>
      <c r="L123" s="19" t="n">
        <f aca="false">$L$112-$L$115</f>
        <v>87.5227702606323</v>
      </c>
    </row>
    <row r="124" customFormat="false" ht="15" hidden="false" customHeight="false" outlineLevel="0" collapsed="false">
      <c r="B124" s="17" t="s">
        <v>601</v>
      </c>
      <c r="E124" s="18" t="n">
        <f aca="false">$E$122-$E$123</f>
        <v>290</v>
      </c>
      <c r="F124" s="18" t="n">
        <f aca="false">$F$122-$F$123</f>
        <v>280.765</v>
      </c>
      <c r="G124" s="18" t="n">
        <f aca="false">$G$122-$G$123</f>
        <v>320.9100725</v>
      </c>
      <c r="H124" s="18" t="n">
        <f aca="false">$H$122-$H$123</f>
        <v>308.73654995625</v>
      </c>
      <c r="I124" s="18" t="n">
        <f aca="false">$I$122-$I$123</f>
        <v>291.530844488078</v>
      </c>
      <c r="J124" s="18" t="n">
        <f aca="false">$J$122-$J$123</f>
        <v>266.716550632054</v>
      </c>
      <c r="K124" s="18" t="n">
        <f aca="false">$K$122-$K$123</f>
        <v>238.282481155826</v>
      </c>
      <c r="L124" s="18" t="n">
        <f aca="false">$L$122-$L$123</f>
        <v>207.000653369082</v>
      </c>
    </row>
    <row r="125" customFormat="false" ht="15" hidden="false" customHeight="false" outlineLevel="0" collapsed="false">
      <c r="B125" s="9" t="s">
        <v>538</v>
      </c>
      <c r="E125" s="24" t="n">
        <f aca="false">$E$124/$E$72</f>
        <v>5.8</v>
      </c>
      <c r="F125" s="24" t="n">
        <f aca="false">$F$124/$F$72</f>
        <v>5.14221611721612</v>
      </c>
      <c r="G125" s="24" t="n">
        <f aca="false">$G$124/$G$72</f>
        <v>5.30016371525025</v>
      </c>
      <c r="H125" s="24" t="n">
        <f aca="false">$H$124/$H$72</f>
        <v>5.33549885892686</v>
      </c>
      <c r="I125" s="24" t="n">
        <f aca="false">$I$124/$I$72</f>
        <v>4.14931194521952</v>
      </c>
      <c r="J125" s="24" t="n">
        <f aca="false">$J$124/$J$72</f>
        <v>3.42722497554539</v>
      </c>
      <c r="K125" s="24" t="n">
        <f aca="false">$K$124/$K$72</f>
        <v>2.94846386617842</v>
      </c>
      <c r="L125" s="24" t="n">
        <f aca="false">$L$124/$L$72</f>
        <v>2.46639470501811</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27.6071428571429</v>
      </c>
      <c r="G130" s="38" t="n">
        <f aca="false">$G$105+$G$106</f>
        <v>27.0410553571429</v>
      </c>
      <c r="H130" s="38" t="n">
        <f aca="false">$H$105+$H$106</f>
        <v>30.4179779133929</v>
      </c>
      <c r="I130" s="38" t="n">
        <f aca="false">$I$105+$I$106</f>
        <v>29.672878532971</v>
      </c>
      <c r="J130" s="38" t="n">
        <f aca="false">$J$105+$J$106</f>
        <v>28.5187645311185</v>
      </c>
      <c r="K130" s="38" t="n">
        <f aca="false">$K$105+$K$106</f>
        <v>27.3224964057154</v>
      </c>
      <c r="L130" s="38" t="n">
        <f aca="false">$L$105+$L$106</f>
        <v>26.5653150161908</v>
      </c>
    </row>
    <row r="131" customFormat="false" ht="15" hidden="false" customHeight="false" outlineLevel="0" collapsed="false">
      <c r="B131" s="9" t="s">
        <v>606</v>
      </c>
      <c r="F131" s="38" t="n">
        <f aca="false">$F$129-$F$130-$F$83-$F$87-$F$89</f>
        <v>15.2328571428572</v>
      </c>
      <c r="G131" s="38" t="n">
        <f aca="false">$G$129-$G$130-$G$83-$G$87-$G$89</f>
        <v>19.5405446428572</v>
      </c>
      <c r="H131" s="38" t="n">
        <f aca="false">$H$129-$H$130-$H$83-$H$87-$H$89</f>
        <v>13.5449660866071</v>
      </c>
      <c r="I131" s="38" t="n">
        <f aca="false">$I$129-$I$130-$I$83-$I$87-$I$89</f>
        <v>25.777906107029</v>
      </c>
      <c r="J131" s="38" t="n">
        <f aca="false">$J$129-$J$130-$J$83-$J$87-$J$89</f>
        <v>33.7771150848815</v>
      </c>
      <c r="K131" s="38" t="n">
        <f aca="false">$K$129-$K$130-$K$83-$K$87-$K$89</f>
        <v>37.3452183949246</v>
      </c>
      <c r="L131" s="38" t="n">
        <f aca="false">$L$129-$L$130-$L$83-$L$87-$L$89</f>
        <v>40.5691083764747</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27.6071428571429</v>
      </c>
      <c r="G133" s="38" t="n">
        <f aca="false">$G$130+$F$135</f>
        <v>38.2681982142857</v>
      </c>
      <c r="H133" s="38" t="n">
        <f aca="false">$H$130+$G$135</f>
        <v>50.5220161276786</v>
      </c>
      <c r="I133" s="38" t="n">
        <f aca="false">$I$130+$H$135</f>
        <v>62.8355122606496</v>
      </c>
      <c r="J133" s="38" t="n">
        <f aca="false">$J$130+$I$135</f>
        <v>70.2762632557681</v>
      </c>
      <c r="K133" s="38" t="n">
        <f aca="false">$K$130+$J$135</f>
        <v>74.2518928054835</v>
      </c>
      <c r="L133" s="38" t="n">
        <f aca="false">$L$130+$K$135</f>
        <v>76.5724662914343</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11.2271428571429</v>
      </c>
      <c r="G135" s="38" t="n">
        <f aca="false">$G$133-$G$134</f>
        <v>20.1040382142857</v>
      </c>
      <c r="H135" s="38" t="n">
        <f aca="false">$H$133-$H$134</f>
        <v>33.1626337276786</v>
      </c>
      <c r="I135" s="38" t="n">
        <f aca="false">$I$133-$I$134</f>
        <v>41.7574987246496</v>
      </c>
      <c r="J135" s="38" t="n">
        <f aca="false">$J$133-$J$134</f>
        <v>46.9293963997681</v>
      </c>
      <c r="K135" s="38" t="n">
        <f aca="false">$K$133-$K$134</f>
        <v>50.0071512752435</v>
      </c>
      <c r="L135" s="38" t="n">
        <f aca="false">$L$133-$L$134</f>
        <v>51.3939350999847</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8.61785714285715</v>
      </c>
      <c r="G140" s="19" t="n">
        <f aca="false">$G$131-$G$139</f>
        <v>12.4361846428572</v>
      </c>
      <c r="H140" s="19" t="n">
        <f aca="false">$H$131-$H$139</f>
        <v>6.89407568660714</v>
      </c>
      <c r="I140" s="19" t="n">
        <f aca="false">$I$131-$I$139</f>
        <v>17.184713331029</v>
      </c>
      <c r="J140" s="19" t="n">
        <f aca="false">$J$131-$J$139</f>
        <v>24.0398618948815</v>
      </c>
      <c r="K140" s="19" t="n">
        <f aca="false">$K$131-$K$139</f>
        <v>27.2394750773246</v>
      </c>
      <c r="L140" s="19" t="n">
        <f aca="false">$L$131-$L$139</f>
        <v>30.0801353261707</v>
      </c>
    </row>
    <row r="141" customFormat="false" ht="15" hidden="false" customHeight="false" outlineLevel="0" collapsed="false">
      <c r="B141" s="9" t="s">
        <v>616</v>
      </c>
      <c r="F141" s="38" t="n">
        <f aca="false">Assumptions!$D$7*($F$129-$F$130)</f>
        <v>3.80821428571429</v>
      </c>
      <c r="G141" s="38" t="n">
        <f aca="false">Assumptions!$D$7*($G$129-$G$130)</f>
        <v>5.26013616071429</v>
      </c>
      <c r="H141" s="38" t="n">
        <f aca="false">Assumptions!$D$7*($H$129-$H$130)</f>
        <v>3.38624152165179</v>
      </c>
      <c r="I141" s="38" t="n">
        <f aca="false">Assumptions!$D$7*($I$129-$I$130)</f>
        <v>6.44447652675725</v>
      </c>
      <c r="J141" s="38" t="n">
        <f aca="false">Assumptions!$D$7*($J$129-$J$130)</f>
        <v>8.44427877122037</v>
      </c>
      <c r="K141" s="38" t="n">
        <f aca="false">Assumptions!$D$7*($K$129-$K$130)</f>
        <v>9.33630459873115</v>
      </c>
      <c r="L141" s="38" t="n">
        <f aca="false">Assumptions!$D$7*($L$129-$L$130)</f>
        <v>10.1422770941187</v>
      </c>
    </row>
    <row r="142" customFormat="false" ht="15" hidden="false" customHeight="false" outlineLevel="0" collapsed="false">
      <c r="B142" s="9" t="s">
        <v>617</v>
      </c>
      <c r="F142" s="38" t="n">
        <f aca="false">$F$139-$F$141</f>
        <v>2.80678571428571</v>
      </c>
      <c r="G142" s="38" t="n">
        <f aca="false">$G$139-$G$141</f>
        <v>1.84422383928571</v>
      </c>
      <c r="H142" s="38" t="n">
        <f aca="false">$H$139-$H$141</f>
        <v>3.26464887834821</v>
      </c>
      <c r="I142" s="38" t="n">
        <f aca="false">$I$139-$I$141</f>
        <v>2.14871624924275</v>
      </c>
      <c r="J142" s="38" t="n">
        <f aca="false">$J$139-$J$141</f>
        <v>1.29297441877963</v>
      </c>
      <c r="K142" s="38" t="n">
        <f aca="false">$K$139-$K$141</f>
        <v>0.769438718868848</v>
      </c>
      <c r="L142" s="38" t="n">
        <f aca="false">$L$139-$L$141</f>
        <v>0.346695956185311</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13.3675</v>
      </c>
      <c r="G145" s="19" t="n">
        <f aca="false">$G$123</f>
        <v>10.36121375</v>
      </c>
      <c r="H145" s="19" t="n">
        <f aca="false">$H$123</f>
        <v>14.817368146875</v>
      </c>
      <c r="I145" s="19" t="n">
        <f aca="false">$I$123</f>
        <v>19.5615368075234</v>
      </c>
      <c r="J145" s="19" t="n">
        <f aca="false">$J$123</f>
        <v>33.6068729976608</v>
      </c>
      <c r="K145" s="19" t="n">
        <f aca="false">$K$123</f>
        <v>59.1409424738883</v>
      </c>
      <c r="L145" s="19" t="n">
        <f aca="false">$L$123</f>
        <v>87.5227702606323</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6</v>
      </c>
      <c r="F149" s="19" t="n">
        <f aca="false">$E$149-$F$106+$F$85</f>
        <v>5.14285714285714</v>
      </c>
      <c r="G149" s="19" t="n">
        <f aca="false">$F$149-$G$106+$G$85</f>
        <v>5.08571428571429</v>
      </c>
      <c r="H149" s="19" t="n">
        <f aca="false">$G$149-$H$106+$H$85</f>
        <v>4.06857142857143</v>
      </c>
      <c r="I149" s="19" t="n">
        <f aca="false">$H$149-$I$106+$I$85</f>
        <v>3.05142857142857</v>
      </c>
      <c r="J149" s="19" t="n">
        <f aca="false">$I$149-$J$106+$J$85</f>
        <v>2.03428571428571</v>
      </c>
      <c r="K149" s="19" t="n">
        <f aca="false">$J$149-$K$106+$K$85</f>
        <v>1.01714285714286</v>
      </c>
      <c r="L149" s="19" t="n">
        <f aca="false">$K$149-$L$106+$L$85</f>
        <v>0</v>
      </c>
    </row>
    <row r="150" customFormat="false" ht="15" hidden="false" customHeight="false" outlineLevel="0" collapsed="false">
      <c r="B150" s="17" t="s">
        <v>623</v>
      </c>
      <c r="E150" s="18" t="n">
        <f aca="false">$E$145+$E$146+$E$147+$E$148+$E$149</f>
        <v>466</v>
      </c>
      <c r="F150" s="18" t="n">
        <f aca="false">$F$145+$F$146+$F$147+$F$148+$F$149</f>
        <v>468.750357142857</v>
      </c>
      <c r="G150" s="18" t="n">
        <f aca="false">$G$145+$G$146+$G$147+$G$148+$G$149</f>
        <v>518.325328035714</v>
      </c>
      <c r="H150" s="18" t="n">
        <f aca="false">$H$145+$H$146+$H$147+$H$148+$H$149</f>
        <v>517.502035575447</v>
      </c>
      <c r="I150" s="18" t="n">
        <f aca="false">$I$145+$I$146+$I$147+$I$148+$I$149</f>
        <v>522.225212098952</v>
      </c>
      <c r="J150" s="18" t="n">
        <f aca="false">$J$145+$J$146+$J$147+$J$148+$J$149</f>
        <v>535.496116327947</v>
      </c>
      <c r="K150" s="18" t="n">
        <f aca="false">$K$145+$K$146+$K$147+$K$148+$K$149</f>
        <v>559.835591405271</v>
      </c>
      <c r="L150" s="18" t="n">
        <f aca="false">$L$145+$L$146+$L$147+$L$148+$L$149</f>
        <v>587.015726731442</v>
      </c>
    </row>
    <row r="151" customFormat="false" ht="15" hidden="false" customHeight="false" outlineLevel="0" collapsed="false">
      <c r="B151" s="9" t="s">
        <v>291</v>
      </c>
      <c r="E151" s="19" t="n">
        <f aca="false">$E$122</f>
        <v>300</v>
      </c>
      <c r="F151" s="19" t="n">
        <f aca="false">$F$122</f>
        <v>294.1325</v>
      </c>
      <c r="G151" s="19" t="n">
        <f aca="false">$G$122</f>
        <v>331.27128625</v>
      </c>
      <c r="H151" s="19" t="n">
        <f aca="false">$H$122</f>
        <v>323.553918103125</v>
      </c>
      <c r="I151" s="19" t="n">
        <f aca="false">$I$122</f>
        <v>311.092381295602</v>
      </c>
      <c r="J151" s="19" t="n">
        <f aca="false">$J$122</f>
        <v>300.323423629715</v>
      </c>
      <c r="K151" s="19" t="n">
        <f aca="false">$K$122</f>
        <v>297.423423629715</v>
      </c>
      <c r="L151" s="19" t="n">
        <f aca="false">$L$122</f>
        <v>294.523423629715</v>
      </c>
    </row>
    <row r="152" customFormat="false" ht="15" hidden="false" customHeight="false" outlineLevel="0" collapsed="false">
      <c r="B152" s="9" t="s">
        <v>624</v>
      </c>
      <c r="E152" s="19" t="n">
        <f aca="false">$D$46-Assumptions!$D$76</f>
        <v>166</v>
      </c>
      <c r="F152" s="19" t="n">
        <f aca="false">$E$152+$F$140-$F$88+$F$90</f>
        <v>174.617857142857</v>
      </c>
      <c r="G152" s="19" t="n">
        <f aca="false">$F$152+$G$140-$G$88+$G$90</f>
        <v>187.054041785714</v>
      </c>
      <c r="H152" s="19" t="n">
        <f aca="false">$G$152+$H$140-$H$88+$H$90</f>
        <v>193.948117472321</v>
      </c>
      <c r="I152" s="19" t="n">
        <f aca="false">$H$152+$I$140-$I$88+$I$90</f>
        <v>211.13283080335</v>
      </c>
      <c r="J152" s="19" t="n">
        <f aca="false">$I$152+$J$140-$J$88+$J$90</f>
        <v>235.172692698232</v>
      </c>
      <c r="K152" s="19" t="n">
        <f aca="false">$J$152+$K$140-$K$88+$K$90</f>
        <v>262.412167775557</v>
      </c>
      <c r="L152" s="19" t="n">
        <f aca="false">$K$152+$L$140-$L$88+$L$90</f>
        <v>292.492303101727</v>
      </c>
    </row>
    <row r="153" customFormat="false" ht="15" hidden="false" customHeight="false" outlineLevel="0" collapsed="false">
      <c r="B153" s="17" t="s">
        <v>625</v>
      </c>
      <c r="E153" s="18" t="n">
        <f aca="false">$E$151+$E$152</f>
        <v>466</v>
      </c>
      <c r="F153" s="18" t="n">
        <f aca="false">$F$151+$F$152</f>
        <v>468.750357142857</v>
      </c>
      <c r="G153" s="18" t="n">
        <f aca="false">$G$151+$G$152</f>
        <v>518.325328035714</v>
      </c>
      <c r="H153" s="18" t="n">
        <f aca="false">$H$151+$H$152</f>
        <v>517.502035575446</v>
      </c>
      <c r="I153" s="18" t="n">
        <f aca="false">$I$151+$I$152</f>
        <v>522.225212098952</v>
      </c>
      <c r="J153" s="18" t="n">
        <f aca="false">$J$151+$J$152</f>
        <v>535.496116327947</v>
      </c>
      <c r="K153" s="18" t="n">
        <f aca="false">$K$151+$K$152</f>
        <v>559.835591405271</v>
      </c>
      <c r="L153" s="18" t="n">
        <f aca="false">$L$151+$L$152</f>
        <v>587.015726731442</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280.765</v>
      </c>
      <c r="G160" s="19" t="n">
        <f aca="false">$G$124</f>
        <v>320.9100725</v>
      </c>
      <c r="H160" s="19" t="n">
        <f aca="false">$H$124</f>
        <v>308.73654995625</v>
      </c>
      <c r="I160" s="19" t="n">
        <f aca="false">$I$124</f>
        <v>291.530844488078</v>
      </c>
      <c r="J160" s="19" t="n">
        <f aca="false">$J$124</f>
        <v>266.716550632054</v>
      </c>
      <c r="K160" s="19" t="n">
        <f aca="false">$K$124</f>
        <v>238.282481155826</v>
      </c>
      <c r="L160" s="19" t="n">
        <f aca="false">$L$124</f>
        <v>207.000653369082</v>
      </c>
    </row>
    <row r="161" customFormat="false" ht="15" hidden="false" customHeight="false" outlineLevel="0" collapsed="false">
      <c r="B161" s="17" t="s">
        <v>632</v>
      </c>
      <c r="F161" s="41" t="n">
        <f aca="false">$F$124/$F$159</f>
        <v>5.14221611721612</v>
      </c>
      <c r="G161" s="41" t="n">
        <f aca="false">$G$124/$G$159</f>
        <v>4.48529184230829</v>
      </c>
      <c r="H161" s="41" t="n">
        <f aca="false">$H$124/$H$159</f>
        <v>5.15724666494517</v>
      </c>
      <c r="I161" s="41" t="n">
        <f aca="false">$I$124/$I$159</f>
        <v>4.11999234870016</v>
      </c>
      <c r="J161" s="41" t="n">
        <f aca="false">$J$124/$J$159</f>
        <v>3.42722497554539</v>
      </c>
      <c r="K161" s="41" t="n">
        <f aca="false">$K$124/$K$159</f>
        <v>2.94846386617842</v>
      </c>
      <c r="L161" s="41" t="n">
        <f aca="false">$L$124/$L$159</f>
        <v>2.46639470501811</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0.607783882783883</v>
      </c>
      <c r="G163" s="24" t="n">
        <f aca="false">$G$162-$G$161</f>
        <v>0.764708157691706</v>
      </c>
      <c r="H163" s="24" t="n">
        <f aca="false">$H$162-$H$161</f>
        <v>-0.407246664945171</v>
      </c>
      <c r="I163" s="24" t="n">
        <f aca="false">$I$162-$I$161</f>
        <v>0.13000765129984</v>
      </c>
      <c r="J163" s="24" t="n">
        <f aca="false">$J$162-$J$161</f>
        <v>0.572775024454608</v>
      </c>
      <c r="K163" s="24" t="n">
        <f aca="false">$K$162-$K$161</f>
        <v>1.05153613382158</v>
      </c>
      <c r="L163" s="24" t="n">
        <f aca="false">$L$162-$L$161</f>
        <v>1.53360529498189</v>
      </c>
    </row>
    <row r="164" customFormat="false" ht="15" hidden="false" customHeight="false" outlineLevel="0" collapsed="false">
      <c r="B164" s="9" t="s">
        <v>635</v>
      </c>
      <c r="F164" s="14" t="n">
        <f aca="false">1-$F$124/($F$162*$F$159)</f>
        <v>0.10570154483198</v>
      </c>
      <c r="G164" s="14" t="n">
        <f aca="false">1-$G$124/($G$162*$G$159)</f>
        <v>0.145658696703182</v>
      </c>
      <c r="H164" s="14" t="n">
        <f aca="false">1-$H$124/($H$162*$H$159)</f>
        <v>-0.0857361399884571</v>
      </c>
      <c r="I164" s="14" t="n">
        <f aca="false">1-$I$124/($I$162*$I$159)</f>
        <v>0.0305900355999623</v>
      </c>
      <c r="J164" s="14" t="n">
        <f aca="false">1-$J$124/($J$162*$J$159)</f>
        <v>0.143193756113652</v>
      </c>
      <c r="K164" s="14" t="n">
        <f aca="false">1-$K$124/($K$162*$K$159)</f>
        <v>0.262884033455395</v>
      </c>
      <c r="L164" s="14" t="n">
        <f aca="false">1-$L$124/($L$162*$L$159)</f>
        <v>0.383401323745471</v>
      </c>
    </row>
    <row r="165" customFormat="false" ht="15" hidden="false" customHeight="false" outlineLevel="0" collapsed="false">
      <c r="B165" s="9" t="s">
        <v>636</v>
      </c>
      <c r="F165" s="19" t="n">
        <f aca="false">$F$164*$F$159</f>
        <v>5.77130434782609</v>
      </c>
      <c r="G165" s="19" t="n">
        <f aca="false">$G$164*$G$159</f>
        <v>10.4214719047619</v>
      </c>
      <c r="H165" s="19" t="n">
        <f aca="false">$H$164*$H$159</f>
        <v>-5.13256041184211</v>
      </c>
      <c r="I165" s="19" t="n">
        <f aca="false">$I$164*$I$159</f>
        <v>2.16455229927574</v>
      </c>
      <c r="J165" s="19" t="n">
        <f aca="false">$J$164*$J$159</f>
        <v>11.1437518619866</v>
      </c>
      <c r="K165" s="19" t="n">
        <f aca="false">$K$164*$K$159</f>
        <v>21.2451848118434</v>
      </c>
      <c r="L165" s="19" t="n">
        <f aca="false">$L$164*$L$159</f>
        <v>32.1782739625614</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5.1325604118421</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-0.607783882783883</v>
      </c>
      <c r="G167" s="24" t="n">
        <f aca="false">$G$125-Assumptions!$G$169</f>
        <v>0.0501637152502505</v>
      </c>
      <c r="H167" s="24" t="n">
        <f aca="false">$H$125-Assumptions!$H$169</f>
        <v>0.585498858926859</v>
      </c>
      <c r="I167" s="24" t="n">
        <f aca="false">$I$125-Assumptions!$I$169</f>
        <v>-0.100688054780485</v>
      </c>
      <c r="J167" s="24" t="n">
        <f aca="false">$J$125-Assumptions!$J$169</f>
        <v>-0.572775024454608</v>
      </c>
      <c r="K167" s="24" t="n">
        <f aca="false">$K$125-Assumptions!$K$169</f>
        <v>-1.05153613382158</v>
      </c>
      <c r="L167" s="24" t="n">
        <f aca="false">$L$125-Assumptions!$L$169</f>
        <v>-1.53360529498189</v>
      </c>
    </row>
    <row r="168" customFormat="false" ht="15" hidden="false" customHeight="false" outlineLevel="0" collapsed="false">
      <c r="B168" s="9" t="s">
        <v>639</v>
      </c>
      <c r="F168" s="24" t="n">
        <f aca="false">$F$161-$F$162</f>
        <v>-0.607783882783883</v>
      </c>
      <c r="G168" s="24" t="n">
        <f aca="false">$G$161-$G$162</f>
        <v>-0.764708157691706</v>
      </c>
      <c r="H168" s="24" t="n">
        <f aca="false">$H$161-$H$162</f>
        <v>0.407246664945171</v>
      </c>
      <c r="I168" s="24" t="n">
        <f aca="false">$I$161-$I$162</f>
        <v>-0.13000765129984</v>
      </c>
      <c r="J168" s="24" t="n">
        <f aca="false">$J$161-$J$162</f>
        <v>-0.572775024454608</v>
      </c>
      <c r="K168" s="24" t="n">
        <f aca="false">$K$161-$K$162</f>
        <v>-1.05153613382158</v>
      </c>
      <c r="L168" s="24" t="n">
        <f aca="false">$L$161-$L$162</f>
        <v>-1.53360529498189</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266.716550632054</v>
      </c>
    </row>
    <row r="174" customFormat="false" ht="15" hidden="false" customHeight="false" outlineLevel="0" collapsed="false">
      <c r="B174" s="9" t="s">
        <v>643</v>
      </c>
      <c r="D174" s="19" t="n">
        <f aca="false">INDEX($E$118:$L$118,1,$D$170+1)</f>
        <v>250.323423629715</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33.6068729976608</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423.183364962746</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175.5</v>
      </c>
    </row>
    <row r="183" customFormat="false" ht="15" hidden="false" customHeight="false" outlineLevel="0" collapsed="false">
      <c r="B183" s="9" t="s">
        <v>651</v>
      </c>
      <c r="D183" s="42" t="n">
        <f aca="false">$D$48/Assumptions!$D$108</f>
        <v>165.5</v>
      </c>
    </row>
    <row r="184" customFormat="false" ht="15" hidden="false" customHeight="false" outlineLevel="0" collapsed="false">
      <c r="B184" s="9" t="s">
        <v>652</v>
      </c>
      <c r="D184" s="14" t="n">
        <f aca="false">$D$48/$D$46</f>
        <v>0.943019943019943</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0.056980056980057</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175.5</v>
      </c>
    </row>
    <row r="190" customFormat="false" ht="15" hidden="false" customHeight="false" outlineLevel="0" collapsed="false">
      <c r="B190" s="9" t="s">
        <v>658</v>
      </c>
      <c r="D190" s="34" t="n">
        <f aca="false">$D$183+$D$188/Assumptions!$D$108</f>
        <v>165.5</v>
      </c>
    </row>
    <row r="191" customFormat="false" ht="15" hidden="false" customHeight="false" outlineLevel="0" collapsed="false">
      <c r="B191" s="9" t="s">
        <v>659</v>
      </c>
      <c r="D191" s="34" t="n">
        <f aca="false">$D$182*Assumptions!$D$109/(1-Assumptions!$D$109)</f>
        <v>15.2608695652174</v>
      </c>
    </row>
    <row r="192" customFormat="false" ht="15" hidden="false" customHeight="false" outlineLevel="0" collapsed="false">
      <c r="B192" s="9" t="s">
        <v>660</v>
      </c>
      <c r="D192" s="35" t="n">
        <f aca="false">($D$179+$D$191*Assumptions!$D$108)/($D$189+$D$191)</f>
        <v>2.29839712687024</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2.29839712687024</v>
      </c>
    </row>
    <row r="195" customFormat="false" ht="15" hidden="false" customHeight="false" outlineLevel="0" collapsed="false">
      <c r="B195" s="9" t="s">
        <v>663</v>
      </c>
      <c r="D195" s="34" t="n">
        <f aca="false">IF($D$194&gt;=Assumptions!$D$110,$D$191,$D$191*0.5)</f>
        <v>15.2608695652174</v>
      </c>
    </row>
    <row r="196" customFormat="false" ht="15" hidden="false" customHeight="false" outlineLevel="0" collapsed="false">
      <c r="B196" s="9" t="s">
        <v>664</v>
      </c>
      <c r="D196" s="35" t="n">
        <f aca="false">($D$179+$D$195*Assumptions!$D$108)/($D$189+$D$195)</f>
        <v>2.29839712687024</v>
      </c>
    </row>
    <row r="197" customFormat="false" ht="15" hidden="false" customHeight="false" outlineLevel="0" collapsed="false">
      <c r="B197" s="9" t="s">
        <v>665</v>
      </c>
      <c r="D197" s="34" t="n">
        <f aca="false">IF($D$196&lt;Assumptions!$D$108,0,$D$195)</f>
        <v>15.2608695652174</v>
      </c>
    </row>
    <row r="198" customFormat="false" ht="15" hidden="false" customHeight="false" outlineLevel="0" collapsed="false">
      <c r="B198" s="17" t="s">
        <v>666</v>
      </c>
      <c r="D198" s="43" t="n">
        <f aca="false">IF($D$196&lt;Assumptions!$D$108,$D$179/$D$189,$D$196)</f>
        <v>2.29839712687024</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380.384724497024</v>
      </c>
    </row>
    <row r="201" customFormat="false" ht="15" hidden="false" customHeight="false" outlineLevel="0" collapsed="false">
      <c r="B201" s="9" t="s">
        <v>668</v>
      </c>
      <c r="D201" s="14" t="n">
        <f aca="false">$D$200/$D$179</f>
        <v>0.898865021621325</v>
      </c>
    </row>
    <row r="202" customFormat="false" ht="15" hidden="false" customHeight="false" outlineLevel="0" collapsed="false">
      <c r="B202" s="9" t="s">
        <v>669</v>
      </c>
      <c r="D202" s="19" t="n">
        <f aca="false">$D$185*$D$198</f>
        <v>22.9839712687024</v>
      </c>
    </row>
    <row r="203" customFormat="false" ht="15" hidden="false" customHeight="false" outlineLevel="0" collapsed="false">
      <c r="B203" s="9" t="s">
        <v>670</v>
      </c>
      <c r="D203" s="19" t="n">
        <f aca="false">$D$197*MAX(0,$D$198-Assumptions!$D$108)</f>
        <v>19.8146691970197</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42.7986404657221</v>
      </c>
    </row>
    <row r="206" customFormat="false" ht="15" hidden="false" customHeight="false" outlineLevel="0" collapsed="false">
      <c r="B206" s="9" t="s">
        <v>673</v>
      </c>
      <c r="D206" s="24" t="n">
        <f aca="false">$D$205/$D$47</f>
        <v>4.27986404657221</v>
      </c>
    </row>
    <row r="207" customFormat="false" ht="15" hidden="false" customHeight="false" outlineLevel="0" collapsed="false">
      <c r="B207" s="9" t="s">
        <v>674</v>
      </c>
      <c r="D207" s="19" t="n">
        <f aca="false">$D$187*$D$198</f>
        <v>9.19358850748095</v>
      </c>
    </row>
    <row r="208" customFormat="false" ht="15" hidden="false" customHeight="false" outlineLevel="0" collapsed="false">
      <c r="B208" s="9" t="s">
        <v>675</v>
      </c>
      <c r="D208" s="19" t="n">
        <f aca="false">$D$203*Assumptions!$D$112</f>
        <v>6.93513421895689</v>
      </c>
    </row>
    <row r="209" customFormat="false" ht="15" hidden="false" customHeight="false" outlineLevel="0" collapsed="false">
      <c r="B209" s="9" t="s">
        <v>676</v>
      </c>
      <c r="D209" s="19" t="n">
        <f aca="false">$D$207+$D$208</f>
        <v>16.1287227264378</v>
      </c>
    </row>
    <row r="210" customFormat="false" ht="15" hidden="false" customHeight="false" outlineLevel="0" collapsed="false">
      <c r="B210" s="9" t="s">
        <v>677</v>
      </c>
      <c r="D210" s="24" t="n">
        <f aca="false">$D$209/Assumptions!$D$111</f>
        <v>4.03218068160946</v>
      </c>
    </row>
    <row r="211" customFormat="false" ht="15" hidden="false" customHeight="false" outlineLevel="0" collapsed="false">
      <c r="B211" s="9" t="s">
        <v>678</v>
      </c>
      <c r="D211" s="19" t="n">
        <f aca="false">$D$179*$D$190/$D$189</f>
        <v>399.070352714157</v>
      </c>
    </row>
    <row r="212" customFormat="false" ht="15" hidden="false" customHeight="false" outlineLevel="0" collapsed="false">
      <c r="B212" s="9" t="s">
        <v>679</v>
      </c>
      <c r="D212" s="19" t="n">
        <f aca="false">$D$211-$D$200</f>
        <v>18.6856282171325</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165.5</v>
      </c>
      <c r="F216" s="34" t="n">
        <f aca="false">$D$183+$F$215/Assumptions!$D$108</f>
        <v>165.5</v>
      </c>
      <c r="G216" s="34" t="n">
        <f aca="false">$D$183+$G$215/Assumptions!$D$108</f>
        <v>165.5</v>
      </c>
      <c r="H216" s="34" t="n">
        <f aca="false">$D$183+$H$215/Assumptions!$D$108</f>
        <v>165.5</v>
      </c>
      <c r="I216" s="34" t="n">
        <f aca="false">$D$183+$I$215/Assumptions!$D$108</f>
        <v>165.5</v>
      </c>
      <c r="J216" s="34" t="n">
        <f aca="false">$D$183+$J$215/Assumptions!$D$108</f>
        <v>165.5</v>
      </c>
      <c r="K216" s="34" t="n">
        <f aca="false">$D$183+$K$215/Assumptions!$D$108</f>
        <v>165.5</v>
      </c>
      <c r="L216" s="34" t="n">
        <f aca="false">$D$183+$L$215/Assumptions!$D$108</f>
        <v>165.5</v>
      </c>
    </row>
    <row r="217" customFormat="false" ht="15" hidden="false" customHeight="false" outlineLevel="0" collapsed="false">
      <c r="B217" s="9" t="s">
        <v>683</v>
      </c>
      <c r="E217" s="34" t="n">
        <f aca="false">$D$182+$E$215/Assumptions!$D$108</f>
        <v>175.5</v>
      </c>
      <c r="F217" s="34" t="n">
        <f aca="false">$D$182+$F$215/Assumptions!$D$108</f>
        <v>175.5</v>
      </c>
      <c r="G217" s="34" t="n">
        <f aca="false">$D$182+$G$215/Assumptions!$D$108</f>
        <v>175.5</v>
      </c>
      <c r="H217" s="34" t="n">
        <f aca="false">$D$182+$H$215/Assumptions!$D$108</f>
        <v>175.5</v>
      </c>
      <c r="I217" s="34" t="n">
        <f aca="false">$D$182+$I$215/Assumptions!$D$108</f>
        <v>175.5</v>
      </c>
      <c r="J217" s="34" t="n">
        <f aca="false">$D$182+$J$215/Assumptions!$D$108</f>
        <v>175.5</v>
      </c>
      <c r="K217" s="34" t="n">
        <f aca="false">$D$182+$K$215/Assumptions!$D$108</f>
        <v>175.5</v>
      </c>
      <c r="L217" s="34" t="n">
        <f aca="false">$D$182+$L$215/Assumptions!$D$108</f>
        <v>175.5</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-165.5</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380.384724497024</v>
      </c>
      <c r="K219" s="18" t="n">
        <f aca="false">IF($K$64&lt;=$D$170,$K$218+IF($K$64=$D$170,$D$200,0),0)</f>
        <v>0</v>
      </c>
      <c r="L219" s="18" t="n">
        <f aca="false">IF($L$64&lt;=$D$170,$L$218+IF($L$64=$D$170,$D$200,0),0)</f>
        <v>0</v>
      </c>
    </row>
    <row r="220" customFormat="false" ht="15" hidden="false" customHeight="false" outlineLevel="0" collapsed="false">
      <c r="B220" s="9" t="s">
        <v>686</v>
      </c>
      <c r="E220" s="19" t="n">
        <f aca="false">-$D$46</f>
        <v>-175.5</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423.183364962746</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0.181095497761061</v>
      </c>
    </row>
    <row r="224" customFormat="false" ht="15" hidden="false" customHeight="false" outlineLevel="0" collapsed="false">
      <c r="B224" s="9" t="s">
        <v>689</v>
      </c>
      <c r="D224" s="25" t="n">
        <f aca="false">XIRR($E$219:$L$219,$E$221:$L$221,0.1)</f>
        <v>0.180987844198612</v>
      </c>
    </row>
    <row r="225" customFormat="false" ht="15" hidden="false" customHeight="false" outlineLevel="0" collapsed="false">
      <c r="B225" s="17" t="s">
        <v>690</v>
      </c>
      <c r="D225" s="41" t="n">
        <f aca="false">SUMIF($E$219:$L$219,"&gt;0")/-SUMIF($E$219:$L$219,"&lt;0")</f>
        <v>2.29839712687024</v>
      </c>
    </row>
    <row r="226" customFormat="false" ht="15" hidden="false" customHeight="false" outlineLevel="0" collapsed="false">
      <c r="B226" s="9" t="s">
        <v>691</v>
      </c>
      <c r="D226" s="19" t="n">
        <f aca="false">-SUMIF($E$219:$L$219,"&lt;0")</f>
        <v>165.5</v>
      </c>
    </row>
    <row r="227" customFormat="false" ht="15" hidden="false" customHeight="false" outlineLevel="0" collapsed="false">
      <c r="B227" s="9" t="s">
        <v>692</v>
      </c>
      <c r="D227" s="25" t="n">
        <f aca="false">IRR($E$220:$L$220,0.1)</f>
        <v>0.192477774444547</v>
      </c>
    </row>
    <row r="228" customFormat="false" ht="15" hidden="false" customHeight="false" outlineLevel="0" collapsed="false">
      <c r="B228" s="9" t="s">
        <v>693</v>
      </c>
      <c r="D228" s="24" t="n">
        <f aca="false">SUMIF($E$220:$L$220,"&gt;0")/-SUMIF($E$220:$L$220,"&lt;0")</f>
        <v>2.41130122485895</v>
      </c>
    </row>
    <row r="229" customFormat="false" ht="15" hidden="false" customHeight="false" outlineLevel="0" collapsed="false">
      <c r="B229" s="9" t="s">
        <v>694</v>
      </c>
      <c r="D229" s="19" t="n">
        <f aca="false">SUM($E$220:$L$220)</f>
        <v>247.683364962746</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76.0834493679462</v>
      </c>
    </row>
    <row r="232" customFormat="false" ht="15" hidden="false" customHeight="false" outlineLevel="0" collapsed="false">
      <c r="B232" s="9" t="s">
        <v>697</v>
      </c>
      <c r="D232" s="19" t="n">
        <f aca="false">SUMPRODUCT(($F$64:$L$64&lt;=$D$170)*$F$105:$L$105)</f>
        <v>138.492104906054</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13.7</v>
      </c>
    </row>
    <row r="235" customFormat="false" ht="15" hidden="false" customHeight="false" outlineLevel="0" collapsed="false">
      <c r="B235" s="9" t="s">
        <v>700</v>
      </c>
      <c r="D235" s="19" t="n">
        <f aca="false">SUMPRODUCT(($F$64:$L$64&lt;=$D$170)*$F$115:$L$115)</f>
        <v>25.9765763702854</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39.6765763702854</v>
      </c>
    </row>
    <row r="238" customFormat="false" ht="15" hidden="false" customHeight="false" outlineLevel="0" collapsed="false">
      <c r="B238" s="9" t="s">
        <v>703</v>
      </c>
      <c r="D238" s="19" t="n">
        <f aca="false">$D$54-$D$173</f>
        <v>23.2834493679462</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250.40600568</v>
      </c>
    </row>
    <row r="242" customFormat="false" ht="15" hidden="false" customHeight="false" outlineLevel="0" collapsed="false">
      <c r="B242" s="9" t="s">
        <v>234</v>
      </c>
      <c r="D242" s="14" t="n">
        <f aca="false">$D$172/$D$29-1</f>
        <v>0.5564577904</v>
      </c>
    </row>
    <row r="243" customFormat="false" ht="15" hidden="false" customHeight="false" outlineLevel="0" collapsed="false">
      <c r="B243" s="9" t="s">
        <v>235</v>
      </c>
      <c r="D243" s="25" t="n">
        <f aca="false">($D$172/$D$29)^(1/$D$170)-1</f>
        <v>0.0925151535860498</v>
      </c>
    </row>
    <row r="244" customFormat="false" ht="15" hidden="false" customHeight="false" outlineLevel="0" collapsed="false">
      <c r="B244" s="9" t="s">
        <v>236</v>
      </c>
      <c r="D244" s="14" t="n">
        <f aca="false">$D$179/$D$46-1</f>
        <v>1.41130122485895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726</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2" t="n">
        <v>5.5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29" t="n">
        <f aca="false">Assumptions!$D$136</f>
        <v>1</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275</v>
      </c>
    </row>
    <row r="33" customFormat="false" ht="15" hidden="false" customHeight="false" outlineLevel="0" collapsed="false">
      <c r="B33" s="9" t="s">
        <v>522</v>
      </c>
      <c r="D33" s="19" t="n">
        <f aca="false">Assumptions!$D$77*($D$32+$D$31)</f>
        <v>6.5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6.5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476</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275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151</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141</v>
      </c>
    </row>
    <row r="49" customFormat="false" ht="15" hidden="false" customHeight="false" outlineLevel="0" collapsed="false">
      <c r="B49" s="17" t="s">
        <v>534</v>
      </c>
      <c r="D49" s="18" t="n">
        <f aca="false">$D$43+$D$44+$D$45+$D$48+$D$47</f>
        <v>476</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325</v>
      </c>
    </row>
    <row r="53" customFormat="false" ht="15" hidden="false" customHeight="false" outlineLevel="0" collapsed="false">
      <c r="B53" s="9" t="s">
        <v>303</v>
      </c>
      <c r="C53" s="6" t="s">
        <v>79</v>
      </c>
      <c r="D53" s="23" t="n">
        <f aca="false">$D$52/$D$28</f>
        <v>6.5</v>
      </c>
    </row>
    <row r="54" customFormat="false" ht="15" hidden="false" customHeight="false" outlineLevel="0" collapsed="false">
      <c r="B54" s="9" t="s">
        <v>192</v>
      </c>
      <c r="D54" s="19" t="n">
        <f aca="false">$D$52-$D$40</f>
        <v>315</v>
      </c>
    </row>
    <row r="55" customFormat="false" ht="15" hidden="false" customHeight="false" outlineLevel="0" collapsed="false">
      <c r="B55" s="9" t="s">
        <v>538</v>
      </c>
      <c r="C55" s="6" t="s">
        <v>79</v>
      </c>
      <c r="D55" s="24" t="n">
        <f aca="false">$D$54/$D$28</f>
        <v>6.3</v>
      </c>
    </row>
    <row r="56" customFormat="false" ht="15" hidden="false" customHeight="false" outlineLevel="0" collapsed="false">
      <c r="B56" s="9" t="s">
        <v>539</v>
      </c>
      <c r="D56" s="14" t="n">
        <f aca="false">$D$46/$D$41</f>
        <v>0.317226890756303</v>
      </c>
    </row>
    <row r="57" customFormat="false" ht="15" hidden="false" customHeight="false" outlineLevel="0" collapsed="false">
      <c r="B57" s="9" t="s">
        <v>540</v>
      </c>
      <c r="D57" s="14" t="n">
        <f aca="false">$D$52/$D$41</f>
        <v>0.682773109243698</v>
      </c>
    </row>
    <row r="58" customFormat="false" ht="15" hidden="false" customHeight="false" outlineLevel="0" collapsed="false">
      <c r="B58" s="9" t="s">
        <v>541</v>
      </c>
      <c r="D58" s="14" t="n">
        <f aca="false">$D$52/$D$29</f>
        <v>0.722222222222222</v>
      </c>
    </row>
    <row r="59" customFormat="false" ht="15" hidden="false" customHeight="false" outlineLevel="0" collapsed="false">
      <c r="B59" s="9" t="s">
        <v>542</v>
      </c>
      <c r="D59" s="19" t="n">
        <f aca="false">$D$38+$D$39</f>
        <v>16</v>
      </c>
    </row>
    <row r="60" customFormat="false" ht="15" hidden="false" customHeight="false" outlineLevel="0" collapsed="false">
      <c r="B60" s="9" t="s">
        <v>543</v>
      </c>
      <c r="D60" s="25" t="n">
        <f aca="false">$D$59/$D$29</f>
        <v>0.0355555555555556</v>
      </c>
    </row>
    <row r="61" customFormat="false" ht="15" hidden="false" customHeight="false" outlineLevel="0" collapsed="false">
      <c r="B61" s="9" t="s">
        <v>544</v>
      </c>
      <c r="D61" s="25" t="n">
        <f aca="false">$D$59/$D$46</f>
        <v>0.105960264900662</v>
      </c>
    </row>
    <row r="62" customFormat="false" ht="15" hidden="false" customHeight="false" outlineLevel="0" collapsed="false">
      <c r="B62" s="9" t="s">
        <v>545</v>
      </c>
      <c r="D62" s="19" t="n">
        <f aca="false">$D$46+(Assumptions!$D$72-$D$6)*$D$28</f>
        <v>201</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0.1625</v>
      </c>
      <c r="G66" s="25" t="n">
        <f aca="false">Assumptions!$D$25+$D$11*Assumptions!$G$166+$G$25</f>
        <v>0.17</v>
      </c>
      <c r="H66" s="25" t="n">
        <f aca="false">Assumptions!$D$25+$D$11*Assumptions!$H$166+$H$25</f>
        <v>0.145</v>
      </c>
      <c r="I66" s="25" t="n">
        <f aca="false">Assumptions!$D$25+$D$11*Assumptions!$I$166+$I$25</f>
        <v>0.165</v>
      </c>
      <c r="J66" s="25" t="n">
        <f aca="false">Assumptions!$D$25+$D$11*Assumptions!$J$166+$J$25</f>
        <v>0.175</v>
      </c>
      <c r="K66" s="25" t="n">
        <f aca="false">Assumptions!$D$25+$D$11*Assumptions!$K$166+$K$25</f>
        <v>0.175</v>
      </c>
      <c r="L66" s="25" t="n">
        <f aca="false">Assumptions!$D$25+$D$11*Assumptions!$L$166+$L$25</f>
        <v>0.175</v>
      </c>
    </row>
    <row r="67" customFormat="false" ht="15" hidden="false" customHeight="false" outlineLevel="0" collapsed="false">
      <c r="B67" s="9" t="s">
        <v>549</v>
      </c>
      <c r="E67" s="19" t="n">
        <f aca="false">$E$65*$E$66</f>
        <v>50</v>
      </c>
      <c r="F67" s="19" t="n">
        <f aca="false">$F$65*$F$66</f>
        <v>54.6</v>
      </c>
      <c r="G67" s="19" t="n">
        <f aca="false">$G$65*$G$66</f>
        <v>60.5472</v>
      </c>
      <c r="H67" s="19" t="n">
        <f aca="false">$H$65*$H$66</f>
        <v>48.544608</v>
      </c>
      <c r="I67" s="19" t="n">
        <f aca="false">$I$65*$I$66</f>
        <v>59.10724512</v>
      </c>
      <c r="J67" s="19" t="n">
        <f aca="false">$J$65*$J$66</f>
        <v>65.82397752</v>
      </c>
      <c r="K67" s="19" t="n">
        <f aca="false">$K$65*$K$66</f>
        <v>68.4569366208</v>
      </c>
      <c r="L67" s="19" t="n">
        <f aca="false">$L$65*$L$66</f>
        <v>71.195214085632</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54.6</v>
      </c>
      <c r="G72" s="18" t="n">
        <f aca="false">$G$67+IF(AND($D$12=1,$G$64&gt;Assumptions!$D$116),$G$69+$G$70,0)</f>
        <v>60.5472</v>
      </c>
      <c r="H72" s="18" t="n">
        <f aca="false">$H$67+IF(AND($D$12=1,$H$64&gt;Assumptions!$D$116),$H$69+$H$70,0)</f>
        <v>57.864608</v>
      </c>
      <c r="I72" s="18" t="n">
        <f aca="false">$I$67+IF(AND($D$12=1,$I$64&gt;Assumptions!$D$116),$I$69+$I$70,0)</f>
        <v>70.26004512</v>
      </c>
      <c r="J72" s="18" t="n">
        <f aca="false">$J$67+IF(AND($D$12=1,$J$64&gt;Assumptions!$D$116),$J$69+$J$70,0)</f>
        <v>77.82288952</v>
      </c>
      <c r="K72" s="18" t="n">
        <f aca="false">$K$67+IF(AND($D$12=1,$K$64&gt;Assumptions!$D$116),$K$69+$K$70,0)</f>
        <v>80.8158051008</v>
      </c>
      <c r="L72" s="18" t="n">
        <f aca="false">$L$67+IF(AND($D$12=1,$L$64&gt;Assumptions!$D$116),$L$69+$L$70,0)</f>
        <v>83.928437304832</v>
      </c>
    </row>
    <row r="73" customFormat="false" ht="15" hidden="false" customHeight="false" outlineLevel="0" collapsed="false">
      <c r="B73" s="9" t="s">
        <v>555</v>
      </c>
      <c r="E73" s="14" t="n">
        <f aca="false">$E$72/$E$71</f>
        <v>0.15625</v>
      </c>
      <c r="F73" s="14" t="n">
        <f aca="false">$F$72/$F$71</f>
        <v>0.1625</v>
      </c>
      <c r="G73" s="14" t="n">
        <f aca="false">$G$72/$G$71</f>
        <v>0.17</v>
      </c>
      <c r="H73" s="14" t="n">
        <f aca="false">$H$72/$H$71</f>
        <v>0.145684810106186</v>
      </c>
      <c r="I73" s="14" t="n">
        <f aca="false">$I$72/$I$71</f>
        <v>0.166051612267948</v>
      </c>
      <c r="J73" s="14" t="n">
        <f aca="false">$J$72/$J$71</f>
        <v>0.175423417003058</v>
      </c>
      <c r="K73" s="14" t="n">
        <f aca="false">$K$72/$K$71</f>
        <v>0.175163324328201</v>
      </c>
      <c r="L73" s="14" t="n">
        <f aca="false">$L$72/$L$71</f>
        <v>0.174913235217761</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7.11</v>
      </c>
      <c r="G91" s="18" t="n">
        <f aca="false">$G$72-$G$139-$G$105-$G$75-$G$79-$G$83-$G$87-$G$89</f>
        <v>10.42649</v>
      </c>
      <c r="H91" s="18" t="n">
        <f aca="false">$H$72-$H$139-$H$105-$H$75-$H$79-$H$83-$H$87-$H$89</f>
        <v>9.73139435000002</v>
      </c>
      <c r="I91" s="18" t="n">
        <f aca="false">$I$72-$I$139-$I$105-$I$75-$I$79-$I$83-$I$87-$I$89</f>
        <v>14.697980072375</v>
      </c>
      <c r="J91" s="18" t="n">
        <f aca="false">$J$72-$J$139-$J$105-$J$75-$J$79-$J$83-$J$87-$J$89</f>
        <v>22.0855890328622</v>
      </c>
      <c r="K91" s="18" t="n">
        <f aca="false">$K$72-$K$139-$K$105-$K$75-$K$79-$K$83-$K$87-$K$89</f>
        <v>25.9881774384073</v>
      </c>
      <c r="L91" s="18" t="n">
        <f aca="false">$L$72-$L$139-$L$105-$L$75-$L$79-$L$83-$L$87-$L$89</f>
        <v>29.3825430740635</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12.18</v>
      </c>
      <c r="H94" s="19" t="n">
        <f aca="false">$G$123</f>
        <v>10</v>
      </c>
      <c r="I94" s="19" t="n">
        <f aca="false">$H$123</f>
        <v>11.818942175</v>
      </c>
      <c r="J94" s="19" t="n">
        <f aca="false">$I$123</f>
        <v>16.6834611236875</v>
      </c>
      <c r="K94" s="19" t="n">
        <f aca="false">$J$123</f>
        <v>22.8095250782749</v>
      </c>
      <c r="L94" s="19" t="n">
        <f aca="false">$K$123</f>
        <v>36.7357768875116</v>
      </c>
    </row>
    <row r="95" customFormat="false" ht="15" hidden="false" customHeight="false" outlineLevel="0" collapsed="false">
      <c r="B95" s="9" t="s">
        <v>576</v>
      </c>
      <c r="F95" s="19" t="n">
        <f aca="false">$E$123+$F$91-$F$109-$F$82-$F$85+$F$84+$F$86-$F$88+$F$90</f>
        <v>14.36</v>
      </c>
      <c r="G95" s="19" t="n">
        <f aca="false">$F$123+$G$91-$G$109-$G$82-$G$85+$G$84+$G$86-$G$88+$G$90</f>
        <v>7.05649000000002</v>
      </c>
      <c r="H95" s="19" t="n">
        <f aca="false">$G$123+$H$91-$H$109-$H$82-$H$85+$H$84+$H$86-$H$88+$H$90</f>
        <v>16.58139435</v>
      </c>
      <c r="I95" s="19" t="n">
        <f aca="false">$H$123+$I$91-$I$109-$I$82-$I$85+$I$84+$I$86-$I$88+$I$90</f>
        <v>23.366922247375</v>
      </c>
      <c r="J95" s="19" t="n">
        <f aca="false">$I$123+$J$91-$J$109-$J$82-$J$85+$J$84+$J$86-$J$88+$J$90</f>
        <v>35.6190501565497</v>
      </c>
      <c r="K95" s="19" t="n">
        <f aca="false">$J$123+$K$91-$K$109-$K$82-$K$85+$K$84+$K$86-$K$88+$K$90</f>
        <v>45.6477025166821</v>
      </c>
      <c r="L95" s="19" t="n">
        <f aca="false">$K$123+$L$91-$L$109-$L$82-$L$85+$L$84+$L$86-$L$88+$L$90</f>
        <v>62.9683199615751</v>
      </c>
    </row>
    <row r="96" customFormat="false" ht="15" hidden="false" customHeight="false" outlineLevel="0" collapsed="false">
      <c r="B96" s="17" t="s">
        <v>577</v>
      </c>
      <c r="F96" s="18" t="n">
        <f aca="false">$F$95+$F$110-$F$111-$F$115</f>
        <v>12.18</v>
      </c>
      <c r="G96" s="18" t="n">
        <f aca="false">$G$95+$G$110-$G$111-$G$115</f>
        <v>10</v>
      </c>
      <c r="H96" s="18" t="n">
        <f aca="false">$H$95+$H$110-$H$111-$H$115</f>
        <v>11.818942175</v>
      </c>
      <c r="I96" s="18" t="n">
        <f aca="false">$I$95+$I$110-$I$111-$I$115</f>
        <v>16.6834611236875</v>
      </c>
      <c r="J96" s="18" t="n">
        <f aca="false">$J$95+$J$110-$J$111-$J$115</f>
        <v>22.8095250782749</v>
      </c>
      <c r="K96" s="18" t="n">
        <f aca="false">$K$95+$K$110-$K$111-$K$115</f>
        <v>36.7357768875116</v>
      </c>
      <c r="L96" s="18" t="n">
        <f aca="false">$L$95+$L$110-$L$111-$L$115</f>
        <v>62.9683199615751</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23.375</v>
      </c>
      <c r="G101" s="38" t="n">
        <f aca="false">$F$118*$G$100</f>
        <v>22.95595</v>
      </c>
      <c r="H101" s="38" t="n">
        <f aca="false">$G$118*$H$100</f>
        <v>26.1222</v>
      </c>
      <c r="I101" s="38" t="n">
        <f aca="false">$H$118*$I$100</f>
        <v>25.699839915125</v>
      </c>
      <c r="J101" s="38" t="n">
        <f aca="false">$I$118*$J$100</f>
        <v>24.8639957196116</v>
      </c>
      <c r="K101" s="38" t="n">
        <f aca="false">$J$118*$K$100</f>
        <v>23.5074360879582</v>
      </c>
      <c r="L101" s="38" t="n">
        <f aca="false">$K$118*$L$100</f>
        <v>22.4821724094787</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0.420763249999999</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0.2436</v>
      </c>
      <c r="H104" s="38" t="n">
        <f aca="false">$G$123*Assumptions!$D$9</f>
        <v>0.2</v>
      </c>
      <c r="I104" s="38" t="n">
        <f aca="false">$H$123*Assumptions!$D$9</f>
        <v>0.2363788435</v>
      </c>
      <c r="J104" s="38" t="n">
        <f aca="false">$I$123*Assumptions!$D$9</f>
        <v>0.33366922247375</v>
      </c>
      <c r="K104" s="38" t="n">
        <f aca="false">$J$123*Assumptions!$D$9</f>
        <v>0.456190501565497</v>
      </c>
      <c r="L104" s="38" t="n">
        <f aca="false">$K$123*Assumptions!$D$9</f>
        <v>0.734715537750232</v>
      </c>
    </row>
    <row r="105" customFormat="false" ht="15" hidden="false" customHeight="false" outlineLevel="0" collapsed="false">
      <c r="B105" s="17" t="s">
        <v>585</v>
      </c>
      <c r="F105" s="40" t="n">
        <f aca="false">$F$101+$F$102+$F$103-$F$104</f>
        <v>28.875</v>
      </c>
      <c r="G105" s="40" t="n">
        <f aca="false">$G$101+$G$102+$G$103-$G$104</f>
        <v>28.41235</v>
      </c>
      <c r="H105" s="40" t="n">
        <f aca="false">$H$101+$H$102+$H$103-$H$104</f>
        <v>31.84296325</v>
      </c>
      <c r="I105" s="40" t="n">
        <f aca="false">$I$101+$I$102+$I$103-$I$104</f>
        <v>31.163461071625</v>
      </c>
      <c r="J105" s="40" t="n">
        <f aca="false">$J$101+$J$102+$J$103-$J$104</f>
        <v>30.2303264971378</v>
      </c>
      <c r="K105" s="40" t="n">
        <f aca="false">$K$101+$K$102+$K$103-$K$104</f>
        <v>28.7512455863927</v>
      </c>
      <c r="L105" s="40" t="n">
        <f aca="false">$L$101+$L$102+$L$103-$L$104</f>
        <v>27.4474568717285</v>
      </c>
    </row>
    <row r="106" customFormat="false" ht="15" hidden="false" customHeight="false" outlineLevel="0" collapsed="false">
      <c r="B106" s="9" t="s">
        <v>586</v>
      </c>
      <c r="F106" s="38" t="n">
        <f aca="false">IF($E$149&gt;0,$E$149/MAX(1,Assumptions!$D$86-($F$64-1)),0)</f>
        <v>0.928571428571429</v>
      </c>
      <c r="G106" s="38" t="n">
        <f aca="false">IF($F$149&gt;0,$F$149/MAX(1,Assumptions!$D$86-($G$64-1)),0)</f>
        <v>0.928571428571429</v>
      </c>
      <c r="H106" s="38" t="n">
        <f aca="false">IF($G$149&gt;0,$G$149/MAX(1,Assumptions!$D$86-($H$64-1)),0)</f>
        <v>1.08857142857143</v>
      </c>
      <c r="I106" s="38" t="n">
        <f aca="false">IF($H$149&gt;0,$H$149/MAX(1,Assumptions!$D$86-($I$64-1)),0)</f>
        <v>1.08857142857143</v>
      </c>
      <c r="J106" s="38" t="n">
        <f aca="false">IF($I$149&gt;0,$I$149/MAX(1,Assumptions!$D$86-($J$64-1)),0)</f>
        <v>1.08857142857143</v>
      </c>
      <c r="K106" s="38" t="n">
        <f aca="false">IF($J$149&gt;0,$J$149/MAX(1,Assumptions!$D$86-($K$64-1)),0)</f>
        <v>1.08857142857143</v>
      </c>
      <c r="L106" s="38" t="n">
        <f aca="false">IF($K$149&gt;0,$K$149/MAX(1,Assumptions!$D$86-($L$64-1)),0)</f>
        <v>1.08857142857143</v>
      </c>
    </row>
    <row r="107" customFormat="false" ht="15" hidden="false" customHeight="false" outlineLevel="0" collapsed="false">
      <c r="B107" s="9" t="s">
        <v>587</v>
      </c>
      <c r="F107" s="24" t="n">
        <f aca="false">IF($F$105&lt;&gt;0,$F$72/$F$105,0)</f>
        <v>1.89090909090909</v>
      </c>
      <c r="G107" s="24" t="n">
        <f aca="false">IF($G$105&lt;&gt;0,$G$72/$G$105,0)</f>
        <v>2.13101696973323</v>
      </c>
      <c r="H107" s="24" t="n">
        <f aca="false">IF($H$105&lt;&gt;0,$H$72/$H$105,0)</f>
        <v>1.81718665897088</v>
      </c>
      <c r="I107" s="24" t="n">
        <f aca="false">IF($I$105&lt;&gt;0,$I$72/$I$105,0)</f>
        <v>2.25456488797945</v>
      </c>
      <c r="J107" s="24" t="n">
        <f aca="false">IF($J$105&lt;&gt;0,$J$72/$J$105,0)</f>
        <v>2.57433175679952</v>
      </c>
      <c r="K107" s="24" t="n">
        <f aca="false">IF($K$105&lt;&gt;0,$K$72/$K$105,0)</f>
        <v>2.81086274533609</v>
      </c>
      <c r="L107" s="24" t="n">
        <f aca="false">IF($L$105&lt;&gt;0,$L$72/$L$105,0)</f>
        <v>3.05778556086485</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2.75</v>
      </c>
      <c r="G109" s="38" t="n">
        <f aca="false">IF($D$14=1,0,MIN($F$118,Assumptions!$D$85*$F$119))</f>
        <v>2.75</v>
      </c>
      <c r="H109" s="38" t="n">
        <f aca="false">IF($D$14=1,0,MIN($G$118,Assumptions!$D$85*$G$119))</f>
        <v>3.15</v>
      </c>
      <c r="I109" s="38" t="n">
        <f aca="false">IF($D$14=1,0,MIN($H$118,Assumptions!$D$85*$H$119))</f>
        <v>3.15</v>
      </c>
      <c r="J109" s="38" t="n">
        <f aca="false">IF($D$14=1,0,MIN($I$118,Assumptions!$D$85*$I$119))</f>
        <v>3.15</v>
      </c>
      <c r="K109" s="38" t="n">
        <f aca="false">IF($D$14=1,0,MIN($J$118,Assumptions!$D$85*$J$119))</f>
        <v>3.15</v>
      </c>
      <c r="L109" s="38" t="n">
        <f aca="false">IF($D$14=1,0,MIN($K$118,Assumptions!$D$85*$K$119))</f>
        <v>3.15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2.94350999999998</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2.94350999999998</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14.36</v>
      </c>
      <c r="G112" s="19" t="n">
        <f aca="false">$G$95+$G$110-$G$111</f>
        <v>10</v>
      </c>
      <c r="H112" s="19" t="n">
        <f aca="false">$H$95+$H$110-$H$111</f>
        <v>13.63788435</v>
      </c>
      <c r="I112" s="19" t="n">
        <f aca="false">$I$95+$I$110-$I$111</f>
        <v>23.366922247375</v>
      </c>
      <c r="J112" s="19" t="n">
        <f aca="false">$J$95+$J$110-$J$111</f>
        <v>35.6190501565497</v>
      </c>
      <c r="K112" s="19" t="n">
        <f aca="false">$K$95+$K$110-$K$111</f>
        <v>45.6477025166821</v>
      </c>
      <c r="L112" s="19" t="n">
        <f aca="false">$L$95+$L$110-$L$111</f>
        <v>62.9683199615751</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0.5</v>
      </c>
      <c r="K113" s="29" t="n">
        <f aca="false">IF($J$125&gt;Assumptions!$D$100,Assumptions!$E$100,IF($J$125&gt;Assumptions!$D$101,Assumptions!$E$101,IF($J$125&gt;Assumptions!$D$102,Assumptions!$E$102,0)))</f>
        <v>0.25</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4.36</v>
      </c>
      <c r="G114" s="19" t="n">
        <f aca="false">MAX(0,$G$112-Assumptions!$D$79)</f>
        <v>0</v>
      </c>
      <c r="H114" s="19" t="n">
        <f aca="false">MAX(0,$H$112-Assumptions!$D$79)</f>
        <v>3.63788435000004</v>
      </c>
      <c r="I114" s="19" t="n">
        <f aca="false">MAX(0,$I$112-Assumptions!$D$79)</f>
        <v>13.366922247375</v>
      </c>
      <c r="J114" s="19" t="n">
        <f aca="false">MAX(0,$J$112-Assumptions!$D$79)</f>
        <v>25.6190501565497</v>
      </c>
      <c r="K114" s="19" t="n">
        <f aca="false">MAX(0,$K$112-Assumptions!$D$79)</f>
        <v>35.6477025166821</v>
      </c>
      <c r="L114" s="19" t="n">
        <f aca="false">MAX(0,$L$112-Assumptions!$D$79)</f>
        <v>52.9683199615751</v>
      </c>
    </row>
    <row r="115" customFormat="false" ht="15" hidden="false" customHeight="false" outlineLevel="0" collapsed="false">
      <c r="B115" s="17" t="s">
        <v>595</v>
      </c>
      <c r="F115" s="18" t="n">
        <f aca="false">IF(AND($D$19=1,$D$14=0,$E$121-$F$111+$F$110=0),MIN($E$118-$F$109+$F$84,$F$113*$F$114),0)</f>
        <v>2.18</v>
      </c>
      <c r="G115" s="18" t="n">
        <f aca="false">IF(AND($D$19=1,$D$14=0,$F$121-$G$111+$G$110=0),MIN($F$118-$G$109+$G$84,$G$113*$G$114),0)</f>
        <v>0</v>
      </c>
      <c r="H115" s="18" t="n">
        <f aca="false">IF(AND($D$19=1,$D$14=0,$G$121-$H$111+$H$110=0),MIN($G$118-$H$109+$H$84,$H$113*$H$114),0)</f>
        <v>1.81894217500002</v>
      </c>
      <c r="I115" s="18" t="n">
        <f aca="false">IF(AND($D$19=1,$D$14=0,$H$121-$I$111+$I$110=0),MIN($H$118-$I$109+$I$84,$I$113*$I$114),0)</f>
        <v>6.68346112368751</v>
      </c>
      <c r="J115" s="18" t="n">
        <f aca="false">IF(AND($D$19=1,$D$14=0,$I$121-$J$111+$J$110=0),MIN($I$118-$J$109+$J$84,$J$113*$J$114),0)</f>
        <v>12.8095250782748</v>
      </c>
      <c r="K115" s="18" t="n">
        <f aca="false">IF(AND($D$19=1,$D$14=0,$J$121-$K$111+$K$110=0),MIN($J$118-$K$109+$K$84,$K$113*$K$114),0)</f>
        <v>8.91192562917053</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275</v>
      </c>
      <c r="F118" s="19" t="n">
        <f aca="false">$E$118-$F$109-$F$115+$F$84+$F$86</f>
        <v>270.07</v>
      </c>
      <c r="G118" s="19" t="n">
        <f aca="false">$F$118-$G$109-$G$115+$G$84+$G$86</f>
        <v>307.32</v>
      </c>
      <c r="H118" s="19" t="n">
        <f aca="false">$G$118-$H$109-$H$115+$H$84+$H$86</f>
        <v>302.351057825</v>
      </c>
      <c r="I118" s="19" t="n">
        <f aca="false">$H$118-$I$109-$I$115+$I$84+$I$86</f>
        <v>292.517596701313</v>
      </c>
      <c r="J118" s="19" t="n">
        <f aca="false">$I$118-$J$109-$J$115+$J$84+$J$86</f>
        <v>276.558071623038</v>
      </c>
      <c r="K118" s="19" t="n">
        <f aca="false">$J$118-$K$109-$K$115+$K$84+$K$86</f>
        <v>264.496145993867</v>
      </c>
      <c r="L118" s="19" t="n">
        <f aca="false">$K$118-$L$109-$L$115+$L$84+$L$86</f>
        <v>261.346145993867</v>
      </c>
    </row>
    <row r="119" customFormat="false" ht="15" hidden="false" customHeight="false" outlineLevel="0" collapsed="false">
      <c r="B119" s="9" t="s">
        <v>598</v>
      </c>
      <c r="E119" s="19" t="n">
        <f aca="false">$D$32</f>
        <v>275</v>
      </c>
      <c r="F119" s="19" t="n">
        <f aca="false">$E$119+$F$84+$F$86</f>
        <v>275</v>
      </c>
      <c r="G119" s="19" t="n">
        <f aca="false">$F$119+$G$84+$G$86</f>
        <v>315</v>
      </c>
      <c r="H119" s="19" t="n">
        <f aca="false">$G$119+$H$84+$H$86</f>
        <v>315</v>
      </c>
      <c r="I119" s="19" t="n">
        <f aca="false">$H$119+$I$84+$I$86</f>
        <v>315</v>
      </c>
      <c r="J119" s="19" t="n">
        <f aca="false">$I$119+$J$84+$J$86</f>
        <v>315</v>
      </c>
      <c r="K119" s="19" t="n">
        <f aca="false">$J$119+$K$84+$K$86</f>
        <v>315</v>
      </c>
      <c r="L119" s="19" t="n">
        <f aca="false">$K$119+$L$84+$L$86</f>
        <v>315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2.94350999999998</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325</v>
      </c>
      <c r="F122" s="18" t="n">
        <f aca="false">$F$118+$F$120+$F$121</f>
        <v>320.07</v>
      </c>
      <c r="G122" s="18" t="n">
        <f aca="false">$G$118+$G$120+$G$121</f>
        <v>360.26351</v>
      </c>
      <c r="H122" s="18" t="n">
        <f aca="false">$H$118+$H$120+$H$121</f>
        <v>352.351057825</v>
      </c>
      <c r="I122" s="18" t="n">
        <f aca="false">$I$118+$I$120+$I$121</f>
        <v>342.517596701313</v>
      </c>
      <c r="J122" s="18" t="n">
        <f aca="false">$J$118+$J$120+$J$121</f>
        <v>326.558071623038</v>
      </c>
      <c r="K122" s="18" t="n">
        <f aca="false">$K$118+$K$120+$K$121</f>
        <v>314.496145993867</v>
      </c>
      <c r="L122" s="18" t="n">
        <f aca="false">$L$118+$L$120+$L$121</f>
        <v>311.346145993867</v>
      </c>
    </row>
    <row r="123" customFormat="false" ht="15" hidden="false" customHeight="false" outlineLevel="0" collapsed="false">
      <c r="B123" s="9" t="s">
        <v>600</v>
      </c>
      <c r="E123" s="19" t="n">
        <f aca="false">Assumptions!$D$78</f>
        <v>10</v>
      </c>
      <c r="F123" s="19" t="n">
        <f aca="false">$F$112-$F$115</f>
        <v>12.18</v>
      </c>
      <c r="G123" s="19" t="n">
        <f aca="false">$G$112-$G$115</f>
        <v>10</v>
      </c>
      <c r="H123" s="19" t="n">
        <f aca="false">$H$112-$H$115</f>
        <v>11.818942175</v>
      </c>
      <c r="I123" s="19" t="n">
        <f aca="false">$I$112-$I$115</f>
        <v>16.6834611236875</v>
      </c>
      <c r="J123" s="19" t="n">
        <f aca="false">$J$112-$J$115</f>
        <v>22.8095250782749</v>
      </c>
      <c r="K123" s="19" t="n">
        <f aca="false">$K$112-$K$115</f>
        <v>36.7357768875116</v>
      </c>
      <c r="L123" s="19" t="n">
        <f aca="false">$L$112-$L$115</f>
        <v>62.9683199615751</v>
      </c>
    </row>
    <row r="124" customFormat="false" ht="15" hidden="false" customHeight="false" outlineLevel="0" collapsed="false">
      <c r="B124" s="17" t="s">
        <v>601</v>
      </c>
      <c r="E124" s="18" t="n">
        <f aca="false">$E$122-$E$123</f>
        <v>315</v>
      </c>
      <c r="F124" s="18" t="n">
        <f aca="false">$F$122-$F$123</f>
        <v>307.89</v>
      </c>
      <c r="G124" s="18" t="n">
        <f aca="false">$G$122-$G$123</f>
        <v>350.26351</v>
      </c>
      <c r="H124" s="18" t="n">
        <f aca="false">$H$122-$H$123</f>
        <v>340.53211565</v>
      </c>
      <c r="I124" s="18" t="n">
        <f aca="false">$I$122-$I$123</f>
        <v>325.834135577625</v>
      </c>
      <c r="J124" s="18" t="n">
        <f aca="false">$J$122-$J$123</f>
        <v>303.748546544763</v>
      </c>
      <c r="K124" s="18" t="n">
        <f aca="false">$K$122-$K$123</f>
        <v>277.760369106356</v>
      </c>
      <c r="L124" s="18" t="n">
        <f aca="false">$L$122-$L$123</f>
        <v>248.377826032292</v>
      </c>
    </row>
    <row r="125" customFormat="false" ht="15" hidden="false" customHeight="false" outlineLevel="0" collapsed="false">
      <c r="B125" s="9" t="s">
        <v>538</v>
      </c>
      <c r="E125" s="24" t="n">
        <f aca="false">$E$124/$E$72</f>
        <v>6.3</v>
      </c>
      <c r="F125" s="24" t="n">
        <f aca="false">$F$124/$F$72</f>
        <v>5.63901098901099</v>
      </c>
      <c r="G125" s="24" t="n">
        <f aca="false">$G$124/$G$72</f>
        <v>5.78496627424555</v>
      </c>
      <c r="H125" s="24" t="n">
        <f aca="false">$H$124/$H$72</f>
        <v>5.88498094811253</v>
      </c>
      <c r="I125" s="24" t="n">
        <f aca="false">$I$124/$I$72</f>
        <v>4.63754520824915</v>
      </c>
      <c r="J125" s="24" t="n">
        <f aca="false">$J$124/$J$72</f>
        <v>3.9030746406133</v>
      </c>
      <c r="K125" s="24" t="n">
        <f aca="false">$K$124/$K$72</f>
        <v>3.43695603551694</v>
      </c>
      <c r="L125" s="24" t="n">
        <f aca="false">$L$124/$L$72</f>
        <v>2.95940010333056</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42.84</v>
      </c>
      <c r="G129" s="38" t="n">
        <f aca="false">$G$72-$G$74</f>
        <v>48.0816</v>
      </c>
      <c r="H129" s="38" t="n">
        <f aca="false">$H$72-$H$74</f>
        <v>43.962944</v>
      </c>
      <c r="I129" s="38" t="n">
        <f aca="false">$I$72-$I$74</f>
        <v>55.45078464</v>
      </c>
      <c r="J129" s="38" t="n">
        <f aca="false">$J$72-$J$74</f>
        <v>62.295879616</v>
      </c>
      <c r="K129" s="38" t="n">
        <f aca="false">$K$72-$K$74</f>
        <v>64.66771480064</v>
      </c>
      <c r="L129" s="38" t="n">
        <f aca="false">$L$72-$L$74</f>
        <v>67.1344233926656</v>
      </c>
    </row>
    <row r="130" customFormat="false" ht="15" hidden="false" customHeight="false" outlineLevel="0" collapsed="false">
      <c r="B130" s="9" t="s">
        <v>605</v>
      </c>
      <c r="F130" s="38" t="n">
        <f aca="false">$F$105+$F$106</f>
        <v>29.8035714285714</v>
      </c>
      <c r="G130" s="38" t="n">
        <f aca="false">$G$105+$G$106</f>
        <v>29.3409214285714</v>
      </c>
      <c r="H130" s="38" t="n">
        <f aca="false">$H$105+$H$106</f>
        <v>32.9315346785714</v>
      </c>
      <c r="I130" s="38" t="n">
        <f aca="false">$I$105+$I$106</f>
        <v>32.2520325001964</v>
      </c>
      <c r="J130" s="38" t="n">
        <f aca="false">$J$105+$J$106</f>
        <v>31.3188979257092</v>
      </c>
      <c r="K130" s="38" t="n">
        <f aca="false">$K$105+$K$106</f>
        <v>29.8398170149641</v>
      </c>
      <c r="L130" s="38" t="n">
        <f aca="false">$L$105+$L$106</f>
        <v>28.5360283002999</v>
      </c>
    </row>
    <row r="131" customFormat="false" ht="15" hidden="false" customHeight="false" outlineLevel="0" collapsed="false">
      <c r="B131" s="9" t="s">
        <v>606</v>
      </c>
      <c r="F131" s="38" t="n">
        <f aca="false">$F$129-$F$130-$F$83-$F$87-$F$89</f>
        <v>13.0364285714286</v>
      </c>
      <c r="G131" s="38" t="n">
        <f aca="false">$G$129-$G$130-$G$83-$G$87-$G$89</f>
        <v>17.2406785714286</v>
      </c>
      <c r="H131" s="38" t="n">
        <f aca="false">$H$129-$H$130-$H$83-$H$87-$H$89</f>
        <v>11.0314093214286</v>
      </c>
      <c r="I131" s="38" t="n">
        <f aca="false">$I$129-$I$130-$I$83-$I$87-$I$89</f>
        <v>23.1987521398036</v>
      </c>
      <c r="J131" s="38" t="n">
        <f aca="false">$J$129-$J$130-$J$83-$J$87-$J$89</f>
        <v>30.9769816902908</v>
      </c>
      <c r="K131" s="38" t="n">
        <f aca="false">$K$129-$K$130-$K$83-$K$87-$K$89</f>
        <v>34.8278977856759</v>
      </c>
      <c r="L131" s="38" t="n">
        <f aca="false">$L$129-$L$130-$L$83-$L$87-$L$89</f>
        <v>38.5983950923657</v>
      </c>
    </row>
    <row r="132" customFormat="false" ht="15" hidden="false" customHeight="false" outlineLevel="0" collapsed="false">
      <c r="B132" s="9" t="s">
        <v>607</v>
      </c>
      <c r="F132" s="38" t="n">
        <f aca="false">Assumptions!$D$8*$F$72</f>
        <v>16.38</v>
      </c>
      <c r="G132" s="38" t="n">
        <f aca="false">Assumptions!$D$8*$G$72</f>
        <v>18.16416</v>
      </c>
      <c r="H132" s="38" t="n">
        <f aca="false">Assumptions!$D$8*$H$72</f>
        <v>17.3593824</v>
      </c>
      <c r="I132" s="38" t="n">
        <f aca="false">Assumptions!$D$8*$I$72</f>
        <v>21.078013536</v>
      </c>
      <c r="J132" s="38" t="n">
        <f aca="false">Assumptions!$D$8*$J$72</f>
        <v>23.346866856</v>
      </c>
      <c r="K132" s="38" t="n">
        <f aca="false">Assumptions!$D$8*$K$72</f>
        <v>24.24474153024</v>
      </c>
      <c r="L132" s="38" t="n">
        <f aca="false">Assumptions!$D$8*$L$72</f>
        <v>25.1785311914496</v>
      </c>
    </row>
    <row r="133" customFormat="false" ht="15" hidden="false" customHeight="false" outlineLevel="0" collapsed="false">
      <c r="B133" s="9" t="s">
        <v>608</v>
      </c>
      <c r="F133" s="38" t="n">
        <f aca="false">$F$130+$E$135</f>
        <v>29.8035714285714</v>
      </c>
      <c r="G133" s="38" t="n">
        <f aca="false">$G$130+$F$135</f>
        <v>42.7644928571429</v>
      </c>
      <c r="H133" s="38" t="n">
        <f aca="false">$H$130+$G$135</f>
        <v>57.5318675357143</v>
      </c>
      <c r="I133" s="38" t="n">
        <f aca="false">$I$130+$H$135</f>
        <v>72.4245176359107</v>
      </c>
      <c r="J133" s="38" t="n">
        <f aca="false">$J$130+$I$135</f>
        <v>82.6654020256199</v>
      </c>
      <c r="K133" s="38" t="n">
        <f aca="false">$K$130+$J$135</f>
        <v>89.1583521845841</v>
      </c>
      <c r="L133" s="38" t="n">
        <f aca="false">$L$130+$K$135</f>
        <v>93.449638954644</v>
      </c>
    </row>
    <row r="134" customFormat="false" ht="15" hidden="false" customHeight="false" outlineLevel="0" collapsed="false">
      <c r="B134" s="9" t="s">
        <v>609</v>
      </c>
      <c r="F134" s="38" t="n">
        <f aca="false">MIN($F$133,$F$132)</f>
        <v>16.38</v>
      </c>
      <c r="G134" s="38" t="n">
        <f aca="false">MIN($G$133,$G$132)</f>
        <v>18.16416</v>
      </c>
      <c r="H134" s="38" t="n">
        <f aca="false">MIN($H$133,$H$132)</f>
        <v>17.3593824</v>
      </c>
      <c r="I134" s="38" t="n">
        <f aca="false">MIN($I$133,$I$132)</f>
        <v>21.078013536</v>
      </c>
      <c r="J134" s="38" t="n">
        <f aca="false">MIN($J$133,$J$132)</f>
        <v>23.346866856</v>
      </c>
      <c r="K134" s="38" t="n">
        <f aca="false">MIN($K$133,$K$132)</f>
        <v>24.24474153024</v>
      </c>
      <c r="L134" s="38" t="n">
        <f aca="false">MIN($L$133,$L$132)</f>
        <v>25.1785311914496</v>
      </c>
    </row>
    <row r="135" customFormat="false" ht="15" hidden="false" customHeight="false" outlineLevel="0" collapsed="false">
      <c r="B135" s="9" t="s">
        <v>610</v>
      </c>
      <c r="E135" s="38" t="n">
        <f aca="false">0</f>
        <v>0</v>
      </c>
      <c r="F135" s="38" t="n">
        <f aca="false">$F$133-$F$134</f>
        <v>13.4235714285714</v>
      </c>
      <c r="G135" s="38" t="n">
        <f aca="false">$G$133-$G$134</f>
        <v>24.6003328571428</v>
      </c>
      <c r="H135" s="38" t="n">
        <f aca="false">$H$133-$H$134</f>
        <v>40.1724851357143</v>
      </c>
      <c r="I135" s="38" t="n">
        <f aca="false">$I$133-$I$134</f>
        <v>51.3465040999107</v>
      </c>
      <c r="J135" s="38" t="n">
        <f aca="false">$J$133-$J$134</f>
        <v>59.3185351696199</v>
      </c>
      <c r="K135" s="38" t="n">
        <f aca="false">$K$133-$K$134</f>
        <v>64.9136106543441</v>
      </c>
      <c r="L135" s="38" t="n">
        <f aca="false">$L$133-$L$134</f>
        <v>68.2711077631944</v>
      </c>
    </row>
    <row r="136" customFormat="false" ht="15" hidden="false" customHeight="false" outlineLevel="0" collapsed="false">
      <c r="B136" s="9" t="s">
        <v>611</v>
      </c>
      <c r="F136" s="38" t="n">
        <f aca="false">$F$129-$F$134-$F$83-$F$87-$F$89</f>
        <v>26.46</v>
      </c>
      <c r="G136" s="38" t="n">
        <f aca="false">$G$129-$G$134-$G$83-$G$87-$G$89</f>
        <v>28.41744</v>
      </c>
      <c r="H136" s="38" t="n">
        <f aca="false">$H$129-$H$134-$H$83-$H$87-$H$89</f>
        <v>26.6035616</v>
      </c>
      <c r="I136" s="38" t="n">
        <f aca="false">$I$129-$I$134-$I$83-$I$87-$I$89</f>
        <v>34.372771104</v>
      </c>
      <c r="J136" s="38" t="n">
        <f aca="false">$J$129-$J$134-$J$83-$J$87-$J$89</f>
        <v>38.94901276</v>
      </c>
      <c r="K136" s="38" t="n">
        <f aca="false">$K$129-$K$134-$K$83-$K$87-$K$89</f>
        <v>40.4229732704</v>
      </c>
      <c r="L136" s="38" t="n">
        <f aca="false">$L$129-$L$134-$L$83-$L$87-$L$89</f>
        <v>41.955892201216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6.615</v>
      </c>
      <c r="G139" s="40" t="n">
        <f aca="false">IF($G$136&lt;0,0,Assumptions!$D$7*($G$136-$G$137))</f>
        <v>7.10436</v>
      </c>
      <c r="H139" s="40" t="n">
        <f aca="false">IF($H$136&lt;0,0,Assumptions!$D$7*($H$136-$H$137))</f>
        <v>6.6508904</v>
      </c>
      <c r="I139" s="40" t="n">
        <f aca="false">IF($I$136&lt;0,0,Assumptions!$D$7*($I$136-$I$137))</f>
        <v>8.593192776</v>
      </c>
      <c r="J139" s="40" t="n">
        <f aca="false">IF($J$136&lt;0,0,Assumptions!$D$7*($J$136-$J$137))</f>
        <v>9.73725319</v>
      </c>
      <c r="K139" s="40" t="n">
        <f aca="false">IF($K$136&lt;0,0,Assumptions!$D$7*($K$136-$K$137))</f>
        <v>10.1057433176</v>
      </c>
      <c r="L139" s="40" t="n">
        <f aca="false">IF($L$136&lt;0,0,Assumptions!$D$7*($L$136-$L$137))</f>
        <v>10.488973050304</v>
      </c>
    </row>
    <row r="140" customFormat="false" ht="15" hidden="false" customHeight="false" outlineLevel="0" collapsed="false">
      <c r="B140" s="9" t="s">
        <v>615</v>
      </c>
      <c r="F140" s="19" t="n">
        <f aca="false">$F$131-$F$139</f>
        <v>6.42142857142858</v>
      </c>
      <c r="G140" s="19" t="n">
        <f aca="false">$G$131-$G$139</f>
        <v>10.1363185714286</v>
      </c>
      <c r="H140" s="19" t="n">
        <f aca="false">$H$131-$H$139</f>
        <v>4.38051892142857</v>
      </c>
      <c r="I140" s="19" t="n">
        <f aca="false">$I$131-$I$139</f>
        <v>14.6055593638036</v>
      </c>
      <c r="J140" s="19" t="n">
        <f aca="false">$J$131-$J$139</f>
        <v>21.2397285002908</v>
      </c>
      <c r="K140" s="19" t="n">
        <f aca="false">$K$131-$K$139</f>
        <v>24.7221544680759</v>
      </c>
      <c r="L140" s="19" t="n">
        <f aca="false">$L$131-$L$139</f>
        <v>28.1094220420617</v>
      </c>
    </row>
    <row r="141" customFormat="false" ht="15" hidden="false" customHeight="false" outlineLevel="0" collapsed="false">
      <c r="B141" s="9" t="s">
        <v>616</v>
      </c>
      <c r="F141" s="38" t="n">
        <f aca="false">Assumptions!$D$7*($F$129-$F$130)</f>
        <v>3.25910714285715</v>
      </c>
      <c r="G141" s="38" t="n">
        <f aca="false">Assumptions!$D$7*($G$129-$G$130)</f>
        <v>4.68516964285715</v>
      </c>
      <c r="H141" s="38" t="n">
        <f aca="false">Assumptions!$D$7*($H$129-$H$130)</f>
        <v>2.75785233035714</v>
      </c>
      <c r="I141" s="38" t="n">
        <f aca="false">Assumptions!$D$7*($I$129-$I$130)</f>
        <v>5.79968803495089</v>
      </c>
      <c r="J141" s="38" t="n">
        <f aca="false">Assumptions!$D$7*($J$129-$J$130)</f>
        <v>7.74424542257269</v>
      </c>
      <c r="K141" s="38" t="n">
        <f aca="false">Assumptions!$D$7*($K$129-$K$130)</f>
        <v>8.70697444641897</v>
      </c>
      <c r="L141" s="38" t="n">
        <f aca="false">Assumptions!$D$7*($L$129-$L$130)</f>
        <v>9.64959877309142</v>
      </c>
    </row>
    <row r="142" customFormat="false" ht="15" hidden="false" customHeight="false" outlineLevel="0" collapsed="false">
      <c r="B142" s="9" t="s">
        <v>617</v>
      </c>
      <c r="F142" s="38" t="n">
        <f aca="false">$F$139-$F$141</f>
        <v>3.35589285714286</v>
      </c>
      <c r="G142" s="38" t="n">
        <f aca="false">$G$139-$G$141</f>
        <v>2.41919035714286</v>
      </c>
      <c r="H142" s="38" t="n">
        <f aca="false">$H$139-$H$141</f>
        <v>3.89303806964286</v>
      </c>
      <c r="I142" s="38" t="n">
        <f aca="false">$I$139-$I$141</f>
        <v>2.79350474104911</v>
      </c>
      <c r="J142" s="38" t="n">
        <f aca="false">$J$139-$J$141</f>
        <v>1.99300776742731</v>
      </c>
      <c r="K142" s="38" t="n">
        <f aca="false">$K$139-$K$141</f>
        <v>1.39876887118103</v>
      </c>
      <c r="L142" s="38" t="n">
        <f aca="false">$L$139-$L$141</f>
        <v>0.839374277212578</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12.18</v>
      </c>
      <c r="G145" s="19" t="n">
        <f aca="false">$G$123</f>
        <v>10</v>
      </c>
      <c r="H145" s="19" t="n">
        <f aca="false">$H$123</f>
        <v>11.818942175</v>
      </c>
      <c r="I145" s="19" t="n">
        <f aca="false">$I$123</f>
        <v>16.6834611236875</v>
      </c>
      <c r="J145" s="19" t="n">
        <f aca="false">$J$123</f>
        <v>22.8095250782749</v>
      </c>
      <c r="K145" s="19" t="n">
        <f aca="false">$K$123</f>
        <v>36.7357768875116</v>
      </c>
      <c r="L145" s="19" t="n">
        <f aca="false">$L$123</f>
        <v>62.9683199615751</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6.5</v>
      </c>
      <c r="F149" s="19" t="n">
        <f aca="false">$E$149-$F$106+$F$85</f>
        <v>5.57142857142857</v>
      </c>
      <c r="G149" s="19" t="n">
        <f aca="false">$F$149-$G$106+$G$85</f>
        <v>5.44285714285714</v>
      </c>
      <c r="H149" s="19" t="n">
        <f aca="false">$G$149-$H$106+$H$85</f>
        <v>4.35428571428571</v>
      </c>
      <c r="I149" s="19" t="n">
        <f aca="false">$H$149-$I$106+$I$85</f>
        <v>3.26571428571429</v>
      </c>
      <c r="J149" s="19" t="n">
        <f aca="false">$I$149-$J$106+$J$85</f>
        <v>2.17714285714286</v>
      </c>
      <c r="K149" s="19" t="n">
        <f aca="false">$J$149-$K$106+$K$85</f>
        <v>1.08857142857143</v>
      </c>
      <c r="L149" s="19" t="n">
        <f aca="false">$K$149-$L$106+$L$85</f>
        <v>0</v>
      </c>
    </row>
    <row r="150" customFormat="false" ht="15" hidden="false" customHeight="false" outlineLevel="0" collapsed="false">
      <c r="B150" s="17" t="s">
        <v>623</v>
      </c>
      <c r="E150" s="18" t="n">
        <f aca="false">$E$145+$E$146+$E$147+$E$148+$E$149</f>
        <v>466.5</v>
      </c>
      <c r="F150" s="18" t="n">
        <f aca="false">$F$145+$F$146+$F$147+$F$148+$F$149</f>
        <v>467.991428571429</v>
      </c>
      <c r="G150" s="18" t="n">
        <f aca="false">$G$145+$G$146+$G$147+$G$148+$G$149</f>
        <v>518.321257142857</v>
      </c>
      <c r="H150" s="18" t="n">
        <f aca="false">$H$145+$H$146+$H$147+$H$148+$H$149</f>
        <v>514.789323889286</v>
      </c>
      <c r="I150" s="18" t="n">
        <f aca="false">$I$145+$I$146+$I$147+$I$148+$I$149</f>
        <v>519.561422129402</v>
      </c>
      <c r="J150" s="18" t="n">
        <f aca="false">$J$145+$J$146+$J$147+$J$148+$J$149</f>
        <v>524.841625551418</v>
      </c>
      <c r="K150" s="18" t="n">
        <f aca="false">$K$145+$K$146+$K$147+$K$148+$K$149</f>
        <v>537.501854390323</v>
      </c>
      <c r="L150" s="18" t="n">
        <f aca="false">$L$145+$L$146+$L$147+$L$148+$L$149</f>
        <v>562.461276432385</v>
      </c>
    </row>
    <row r="151" customFormat="false" ht="15" hidden="false" customHeight="false" outlineLevel="0" collapsed="false">
      <c r="B151" s="9" t="s">
        <v>291</v>
      </c>
      <c r="E151" s="19" t="n">
        <f aca="false">$E$122</f>
        <v>325</v>
      </c>
      <c r="F151" s="19" t="n">
        <f aca="false">$F$122</f>
        <v>320.07</v>
      </c>
      <c r="G151" s="19" t="n">
        <f aca="false">$G$122</f>
        <v>360.26351</v>
      </c>
      <c r="H151" s="19" t="n">
        <f aca="false">$H$122</f>
        <v>352.351057825</v>
      </c>
      <c r="I151" s="19" t="n">
        <f aca="false">$I$122</f>
        <v>342.517596701313</v>
      </c>
      <c r="J151" s="19" t="n">
        <f aca="false">$J$122</f>
        <v>326.558071623038</v>
      </c>
      <c r="K151" s="19" t="n">
        <f aca="false">$K$122</f>
        <v>314.496145993867</v>
      </c>
      <c r="L151" s="19" t="n">
        <f aca="false">$L$122</f>
        <v>311.346145993867</v>
      </c>
    </row>
    <row r="152" customFormat="false" ht="15" hidden="false" customHeight="false" outlineLevel="0" collapsed="false">
      <c r="B152" s="9" t="s">
        <v>624</v>
      </c>
      <c r="E152" s="19" t="n">
        <f aca="false">$D$46-Assumptions!$D$76</f>
        <v>141.5</v>
      </c>
      <c r="F152" s="19" t="n">
        <f aca="false">$E$152+$F$140-$F$88+$F$90</f>
        <v>147.921428571429</v>
      </c>
      <c r="G152" s="19" t="n">
        <f aca="false">$F$152+$G$140-$G$88+$G$90</f>
        <v>158.057747142857</v>
      </c>
      <c r="H152" s="19" t="n">
        <f aca="false">$G$152+$H$140-$H$88+$H$90</f>
        <v>162.438266064286</v>
      </c>
      <c r="I152" s="19" t="n">
        <f aca="false">$H$152+$I$140-$I$88+$I$90</f>
        <v>177.043825428089</v>
      </c>
      <c r="J152" s="19" t="n">
        <f aca="false">$I$152+$J$140-$J$88+$J$90</f>
        <v>198.28355392838</v>
      </c>
      <c r="K152" s="19" t="n">
        <f aca="false">$J$152+$K$140-$K$88+$K$90</f>
        <v>223.005708396456</v>
      </c>
      <c r="L152" s="19" t="n">
        <f aca="false">$K$152+$L$140-$L$88+$L$90</f>
        <v>251.115130438518</v>
      </c>
    </row>
    <row r="153" customFormat="false" ht="15" hidden="false" customHeight="false" outlineLevel="0" collapsed="false">
      <c r="B153" s="17" t="s">
        <v>625</v>
      </c>
      <c r="E153" s="18" t="n">
        <f aca="false">$E$151+$E$152</f>
        <v>466.5</v>
      </c>
      <c r="F153" s="18" t="n">
        <f aca="false">$F$151+$F$152</f>
        <v>467.991428571429</v>
      </c>
      <c r="G153" s="18" t="n">
        <f aca="false">$G$151+$G$152</f>
        <v>518.321257142857</v>
      </c>
      <c r="H153" s="18" t="n">
        <f aca="false">$H$151+$H$152</f>
        <v>514.789323889286</v>
      </c>
      <c r="I153" s="18" t="n">
        <f aca="false">$I$151+$I$152</f>
        <v>519.561422129402</v>
      </c>
      <c r="J153" s="18" t="n">
        <f aca="false">$J$151+$J$152</f>
        <v>524.841625551418</v>
      </c>
      <c r="K153" s="18" t="n">
        <f aca="false">$K$151+$K$152</f>
        <v>537.501854390323</v>
      </c>
      <c r="L153" s="18" t="n">
        <f aca="false">$L$151+$L$152</f>
        <v>562.461276432385</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54.6</v>
      </c>
      <c r="G157" s="19" t="n">
        <f aca="false">$G$72+IF(AND($D$12=1,$G$64=Assumptions!$D$116),Assumptions!$D$118,0)</f>
        <v>68.5472</v>
      </c>
      <c r="H157" s="19" t="n">
        <f aca="false">$H$72+IF(AND($D$12=1,$H$64=Assumptions!$D$116),Assumptions!$D$118,0)</f>
        <v>57.864608</v>
      </c>
      <c r="I157" s="19" t="n">
        <f aca="false">$I$72+IF(AND($D$12=1,$I$64=Assumptions!$D$116),Assumptions!$D$118,0)</f>
        <v>70.26004512</v>
      </c>
      <c r="J157" s="19" t="n">
        <f aca="false">$J$72+IF(AND($D$12=1,$J$64=Assumptions!$D$116),Assumptions!$D$118,0)</f>
        <v>77.82288952</v>
      </c>
      <c r="K157" s="19" t="n">
        <f aca="false">$K$72+IF(AND($D$12=1,$K$64=Assumptions!$D$116),Assumptions!$D$118,0)</f>
        <v>80.8158051008</v>
      </c>
      <c r="L157" s="19" t="n">
        <f aca="false">$L$72+IF(AND($D$12=1,$L$64=Assumptions!$D$116),Assumptions!$D$118,0)</f>
        <v>83.928437304832</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54.6</v>
      </c>
      <c r="G159" s="18" t="n">
        <f aca="false">$G$157+$G$158+$G$90</f>
        <v>71.5472</v>
      </c>
      <c r="H159" s="18" t="n">
        <f aca="false">$H$157+$H$158+$H$90</f>
        <v>59.864608</v>
      </c>
      <c r="I159" s="18" t="n">
        <f aca="false">$I$157+$I$158+$I$90</f>
        <v>70.76004512</v>
      </c>
      <c r="J159" s="18" t="n">
        <f aca="false">$J$157+$J$158+$J$90</f>
        <v>77.82288952</v>
      </c>
      <c r="K159" s="18" t="n">
        <f aca="false">$K$157+$K$158+$K$90</f>
        <v>80.8158051008</v>
      </c>
      <c r="L159" s="18" t="n">
        <f aca="false">$L$157+$L$158+$L$90</f>
        <v>83.928437304832</v>
      </c>
    </row>
    <row r="160" customFormat="false" ht="15" hidden="false" customHeight="false" outlineLevel="0" collapsed="false">
      <c r="B160" s="9" t="s">
        <v>631</v>
      </c>
      <c r="F160" s="19" t="n">
        <f aca="false">$F$124</f>
        <v>307.89</v>
      </c>
      <c r="G160" s="19" t="n">
        <f aca="false">$G$124</f>
        <v>350.26351</v>
      </c>
      <c r="H160" s="19" t="n">
        <f aca="false">$H$124</f>
        <v>340.53211565</v>
      </c>
      <c r="I160" s="19" t="n">
        <f aca="false">$I$124</f>
        <v>325.834135577625</v>
      </c>
      <c r="J160" s="19" t="n">
        <f aca="false">$J$124</f>
        <v>303.748546544763</v>
      </c>
      <c r="K160" s="19" t="n">
        <f aca="false">$K$124</f>
        <v>277.760369106356</v>
      </c>
      <c r="L160" s="19" t="n">
        <f aca="false">$L$124</f>
        <v>248.377826032292</v>
      </c>
    </row>
    <row r="161" customFormat="false" ht="15" hidden="false" customHeight="false" outlineLevel="0" collapsed="false">
      <c r="B161" s="17" t="s">
        <v>632</v>
      </c>
      <c r="F161" s="41" t="n">
        <f aca="false">$F$124/$F$159</f>
        <v>5.63901098901099</v>
      </c>
      <c r="G161" s="41" t="n">
        <f aca="false">$G$124/$G$159</f>
        <v>4.89555859628329</v>
      </c>
      <c r="H161" s="41" t="n">
        <f aca="false">$H$124/$H$159</f>
        <v>5.68837126019434</v>
      </c>
      <c r="I161" s="41" t="n">
        <f aca="false">$I$124/$I$159</f>
        <v>4.60477568979856</v>
      </c>
      <c r="J161" s="41" t="n">
        <f aca="false">$J$124/$J$159</f>
        <v>3.9030746406133</v>
      </c>
      <c r="K161" s="41" t="n">
        <f aca="false">$K$124/$K$159</f>
        <v>3.43695603551694</v>
      </c>
      <c r="L161" s="41" t="n">
        <f aca="false">$L$124/$L$159</f>
        <v>2.95940010333056</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0.110989010989011</v>
      </c>
      <c r="G163" s="24" t="n">
        <f aca="false">$G$162-$G$161</f>
        <v>0.354441403716708</v>
      </c>
      <c r="H163" s="24" t="n">
        <f aca="false">$H$162-$H$161</f>
        <v>-0.938371260194337</v>
      </c>
      <c r="I163" s="24" t="n">
        <f aca="false">$I$162-$I$161</f>
        <v>-0.354775689798557</v>
      </c>
      <c r="J163" s="24" t="n">
        <f aca="false">$J$162-$J$161</f>
        <v>0.096925359386697</v>
      </c>
      <c r="K163" s="24" t="n">
        <f aca="false">$K$162-$K$161</f>
        <v>0.563043964483056</v>
      </c>
      <c r="L163" s="24" t="n">
        <f aca="false">$L$162-$L$161</f>
        <v>1.04059989666944</v>
      </c>
    </row>
    <row r="164" customFormat="false" ht="15" hidden="false" customHeight="false" outlineLevel="0" collapsed="false">
      <c r="B164" s="9" t="s">
        <v>635</v>
      </c>
      <c r="F164" s="14" t="n">
        <f aca="false">1-$F$124/($F$162*$F$159)</f>
        <v>0.0193024366937411</v>
      </c>
      <c r="G164" s="14" t="n">
        <f aca="false">1-$G$124/($G$162*$G$159)</f>
        <v>0.067512648326992</v>
      </c>
      <c r="H164" s="14" t="n">
        <f aca="false">1-$H$124/($H$162*$H$159)</f>
        <v>-0.197551844251439</v>
      </c>
      <c r="I164" s="14" t="n">
        <f aca="false">1-$I$124/($I$162*$I$159)</f>
        <v>-0.0834766328937782</v>
      </c>
      <c r="J164" s="14" t="n">
        <f aca="false">1-$J$124/($J$162*$J$159)</f>
        <v>0.0242313398466743</v>
      </c>
      <c r="K164" s="14" t="n">
        <f aca="false">1-$K$124/($K$162*$K$159)</f>
        <v>0.140760991120764</v>
      </c>
      <c r="L164" s="14" t="n">
        <f aca="false">1-$L$124/($L$162*$L$159)</f>
        <v>0.26014997416736</v>
      </c>
    </row>
    <row r="165" customFormat="false" ht="15" hidden="false" customHeight="false" outlineLevel="0" collapsed="false">
      <c r="B165" s="9" t="s">
        <v>636</v>
      </c>
      <c r="F165" s="19" t="n">
        <f aca="false">$F$164*$F$159</f>
        <v>1.05391304347826</v>
      </c>
      <c r="G165" s="19" t="n">
        <f aca="false">$G$164*$G$159</f>
        <v>4.83034095238096</v>
      </c>
      <c r="H165" s="19" t="n">
        <f aca="false">$H$164*$H$159</f>
        <v>-11.8263637157895</v>
      </c>
      <c r="I165" s="19" t="n">
        <f aca="false">$I$164*$I$159</f>
        <v>-5.90681031002942</v>
      </c>
      <c r="J165" s="19" t="n">
        <f aca="false">$J$164*$J$159</f>
        <v>1.8857528838093</v>
      </c>
      <c r="K165" s="19" t="n">
        <f aca="false">$K$164*$K$159</f>
        <v>11.3757128242111</v>
      </c>
      <c r="L165" s="19" t="n">
        <f aca="false">$L$164*$L$159</f>
        <v>21.833980796759</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11.8263637157895</v>
      </c>
      <c r="I166" s="38" t="n">
        <f aca="false">MAX(0,$I$124/Assumptions!$I$169-($I$159-$I$90))</f>
        <v>5.90681031002941</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-0.110989010989011</v>
      </c>
      <c r="G167" s="24" t="n">
        <f aca="false">$G$125-Assumptions!$G$169</f>
        <v>0.534966274245546</v>
      </c>
      <c r="H167" s="24" t="n">
        <f aca="false">$H$125-Assumptions!$H$169</f>
        <v>1.13498094811253</v>
      </c>
      <c r="I167" s="24" t="n">
        <f aca="false">$I$125-Assumptions!$I$169</f>
        <v>0.38754520824915</v>
      </c>
      <c r="J167" s="24" t="n">
        <f aca="false">$J$125-Assumptions!$J$169</f>
        <v>-0.096925359386697</v>
      </c>
      <c r="K167" s="24" t="n">
        <f aca="false">$K$125-Assumptions!$K$169</f>
        <v>-0.563043964483056</v>
      </c>
      <c r="L167" s="24" t="n">
        <f aca="false">$L$125-Assumptions!$L$169</f>
        <v>-1.04059989666944</v>
      </c>
    </row>
    <row r="168" customFormat="false" ht="15" hidden="false" customHeight="false" outlineLevel="0" collapsed="false">
      <c r="B168" s="9" t="s">
        <v>639</v>
      </c>
      <c r="F168" s="24" t="n">
        <f aca="false">$F$161-$F$162</f>
        <v>-0.110989010989011</v>
      </c>
      <c r="G168" s="24" t="n">
        <f aca="false">$G$161-$G$162</f>
        <v>-0.354441403716708</v>
      </c>
      <c r="H168" s="24" t="n">
        <f aca="false">$H$161-$H$162</f>
        <v>0.938371260194337</v>
      </c>
      <c r="I168" s="24" t="n">
        <f aca="false">$I$161-$I$162</f>
        <v>0.354775689798557</v>
      </c>
      <c r="J168" s="24" t="n">
        <f aca="false">$J$161-$J$162</f>
        <v>-0.096925359386697</v>
      </c>
      <c r="K168" s="24" t="n">
        <f aca="false">$K$161-$K$162</f>
        <v>-0.563043964483056</v>
      </c>
      <c r="L168" s="24" t="n">
        <f aca="false">$L$161-$L$162</f>
        <v>-1.04059989666944</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77.82288952</v>
      </c>
    </row>
    <row r="172" customFormat="false" ht="15" hidden="false" customHeight="false" outlineLevel="0" collapsed="false">
      <c r="B172" s="17" t="s">
        <v>641</v>
      </c>
      <c r="D172" s="18" t="n">
        <f aca="false">$D$7*$D$171</f>
        <v>700.40600568</v>
      </c>
    </row>
    <row r="173" customFormat="false" ht="15" hidden="false" customHeight="false" outlineLevel="0" collapsed="false">
      <c r="B173" s="9" t="s">
        <v>642</v>
      </c>
      <c r="D173" s="19" t="n">
        <f aca="false">INDEX($E$124:$L$124,1,$D$170+1)</f>
        <v>303.748546544763</v>
      </c>
    </row>
    <row r="174" customFormat="false" ht="15" hidden="false" customHeight="false" outlineLevel="0" collapsed="false">
      <c r="B174" s="9" t="s">
        <v>643</v>
      </c>
      <c r="D174" s="19" t="n">
        <f aca="false">INDEX($E$118:$L$118,1,$D$170+1)</f>
        <v>276.558071623038</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22.8095250782749</v>
      </c>
    </row>
    <row r="178" customFormat="false" ht="15" hidden="false" customHeight="false" outlineLevel="0" collapsed="false">
      <c r="B178" s="9" t="s">
        <v>647</v>
      </c>
      <c r="D178" s="19" t="n">
        <f aca="false">$D$20*$D$172</f>
        <v>10.5060900852</v>
      </c>
    </row>
    <row r="179" customFormat="false" ht="15" hidden="false" customHeight="false" outlineLevel="0" collapsed="false">
      <c r="B179" s="17" t="s">
        <v>195</v>
      </c>
      <c r="D179" s="18" t="n">
        <f aca="false">$D$172-$D$173-$D$178</f>
        <v>386.151369050037</v>
      </c>
    </row>
    <row r="180" customFormat="false" ht="15" hidden="false" customHeight="false" outlineLevel="0" collapsed="false">
      <c r="B180" s="9" t="s">
        <v>648</v>
      </c>
      <c r="D180" s="19" t="n">
        <f aca="false">$D$171*(1-$D$20)</f>
        <v>76.6555461772</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151</v>
      </c>
    </row>
    <row r="183" customFormat="false" ht="15" hidden="false" customHeight="false" outlineLevel="0" collapsed="false">
      <c r="B183" s="9" t="s">
        <v>651</v>
      </c>
      <c r="D183" s="42" t="n">
        <f aca="false">$D$48/Assumptions!$D$108</f>
        <v>141</v>
      </c>
    </row>
    <row r="184" customFormat="false" ht="15" hidden="false" customHeight="false" outlineLevel="0" collapsed="false">
      <c r="B184" s="9" t="s">
        <v>652</v>
      </c>
      <c r="D184" s="14" t="n">
        <f aca="false">$D$48/$D$46</f>
        <v>0.933774834437086</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0.0662251655629139</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151</v>
      </c>
    </row>
    <row r="190" customFormat="false" ht="15" hidden="false" customHeight="false" outlineLevel="0" collapsed="false">
      <c r="B190" s="9" t="s">
        <v>658</v>
      </c>
      <c r="D190" s="34" t="n">
        <f aca="false">$D$183+$D$188/Assumptions!$D$108</f>
        <v>141</v>
      </c>
    </row>
    <row r="191" customFormat="false" ht="15" hidden="false" customHeight="false" outlineLevel="0" collapsed="false">
      <c r="B191" s="9" t="s">
        <v>659</v>
      </c>
      <c r="D191" s="34" t="n">
        <f aca="false">$D$182*Assumptions!$D$109/(1-Assumptions!$D$109)</f>
        <v>13.1304347826087</v>
      </c>
    </row>
    <row r="192" customFormat="false" ht="15" hidden="false" customHeight="false" outlineLevel="0" collapsed="false">
      <c r="B192" s="9" t="s">
        <v>660</v>
      </c>
      <c r="D192" s="35" t="n">
        <f aca="false">($D$179+$D$191*Assumptions!$D$108)/($D$189+$D$191)</f>
        <v>2.43271032798698</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2.43271032798698</v>
      </c>
    </row>
    <row r="195" customFormat="false" ht="15" hidden="false" customHeight="false" outlineLevel="0" collapsed="false">
      <c r="B195" s="9" t="s">
        <v>663</v>
      </c>
      <c r="D195" s="34" t="n">
        <f aca="false">IF($D$194&gt;=Assumptions!$D$110,$D$191,$D$191*0.5)</f>
        <v>13.1304347826087</v>
      </c>
    </row>
    <row r="196" customFormat="false" ht="15" hidden="false" customHeight="false" outlineLevel="0" collapsed="false">
      <c r="B196" s="9" t="s">
        <v>664</v>
      </c>
      <c r="D196" s="35" t="n">
        <f aca="false">($D$179+$D$195*Assumptions!$D$108)/($D$189+$D$195)</f>
        <v>2.43271032798698</v>
      </c>
    </row>
    <row r="197" customFormat="false" ht="15" hidden="false" customHeight="false" outlineLevel="0" collapsed="false">
      <c r="B197" s="9" t="s">
        <v>665</v>
      </c>
      <c r="D197" s="34" t="n">
        <f aca="false">IF($D$196&lt;Assumptions!$D$108,0,$D$195)</f>
        <v>13.1304347826087</v>
      </c>
    </row>
    <row r="198" customFormat="false" ht="15" hidden="false" customHeight="false" outlineLevel="0" collapsed="false">
      <c r="B198" s="17" t="s">
        <v>666</v>
      </c>
      <c r="D198" s="43" t="n">
        <f aca="false">IF($D$196&lt;Assumptions!$D$108,$D$179/$D$189,$D$196)</f>
        <v>2.43271032798698</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343.012156246164</v>
      </c>
    </row>
    <row r="201" customFormat="false" ht="15" hidden="false" customHeight="false" outlineLevel="0" collapsed="false">
      <c r="B201" s="9" t="s">
        <v>668</v>
      </c>
      <c r="D201" s="14" t="n">
        <f aca="false">$D$200/$D$179</f>
        <v>0.888284190445838</v>
      </c>
    </row>
    <row r="202" customFormat="false" ht="15" hidden="false" customHeight="false" outlineLevel="0" collapsed="false">
      <c r="B202" s="9" t="s">
        <v>669</v>
      </c>
      <c r="D202" s="19" t="n">
        <f aca="false">$D$185*$D$198</f>
        <v>24.3271032798698</v>
      </c>
    </row>
    <row r="203" customFormat="false" ht="15" hidden="false" customHeight="false" outlineLevel="0" collapsed="false">
      <c r="B203" s="9" t="s">
        <v>670</v>
      </c>
      <c r="D203" s="19" t="n">
        <f aca="false">$D$197*MAX(0,$D$198-Assumptions!$D$108)</f>
        <v>18.812109524003</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43.1392128038728</v>
      </c>
    </row>
    <row r="206" customFormat="false" ht="15" hidden="false" customHeight="false" outlineLevel="0" collapsed="false">
      <c r="B206" s="9" t="s">
        <v>673</v>
      </c>
      <c r="D206" s="24" t="n">
        <f aca="false">$D$205/$D$47</f>
        <v>4.31392128038728</v>
      </c>
    </row>
    <row r="207" customFormat="false" ht="15" hidden="false" customHeight="false" outlineLevel="0" collapsed="false">
      <c r="B207" s="9" t="s">
        <v>674</v>
      </c>
      <c r="D207" s="19" t="n">
        <f aca="false">$D$187*$D$198</f>
        <v>9.73084131194793</v>
      </c>
    </row>
    <row r="208" customFormat="false" ht="15" hidden="false" customHeight="false" outlineLevel="0" collapsed="false">
      <c r="B208" s="9" t="s">
        <v>675</v>
      </c>
      <c r="D208" s="19" t="n">
        <f aca="false">$D$203*Assumptions!$D$112</f>
        <v>6.58423833340104</v>
      </c>
    </row>
    <row r="209" customFormat="false" ht="15" hidden="false" customHeight="false" outlineLevel="0" collapsed="false">
      <c r="B209" s="9" t="s">
        <v>676</v>
      </c>
      <c r="D209" s="19" t="n">
        <f aca="false">$D$207+$D$208</f>
        <v>16.315079645349</v>
      </c>
    </row>
    <row r="210" customFormat="false" ht="15" hidden="false" customHeight="false" outlineLevel="0" collapsed="false">
      <c r="B210" s="9" t="s">
        <v>677</v>
      </c>
      <c r="D210" s="24" t="n">
        <f aca="false">$D$209/Assumptions!$D$111</f>
        <v>4.07876991133724</v>
      </c>
    </row>
    <row r="211" customFormat="false" ht="15" hidden="false" customHeight="false" outlineLevel="0" collapsed="false">
      <c r="B211" s="9" t="s">
        <v>678</v>
      </c>
      <c r="D211" s="19" t="n">
        <f aca="false">$D$179*$D$190/$D$189</f>
        <v>360.578430702353</v>
      </c>
    </row>
    <row r="212" customFormat="false" ht="15" hidden="false" customHeight="false" outlineLevel="0" collapsed="false">
      <c r="B212" s="9" t="s">
        <v>679</v>
      </c>
      <c r="D212" s="19" t="n">
        <f aca="false">$D$211-$D$200</f>
        <v>17.5662744561882</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141</v>
      </c>
      <c r="F216" s="34" t="n">
        <f aca="false">$D$183+$F$215/Assumptions!$D$108</f>
        <v>141</v>
      </c>
      <c r="G216" s="34" t="n">
        <f aca="false">$D$183+$G$215/Assumptions!$D$108</f>
        <v>141</v>
      </c>
      <c r="H216" s="34" t="n">
        <f aca="false">$D$183+$H$215/Assumptions!$D$108</f>
        <v>141</v>
      </c>
      <c r="I216" s="34" t="n">
        <f aca="false">$D$183+$I$215/Assumptions!$D$108</f>
        <v>141</v>
      </c>
      <c r="J216" s="34" t="n">
        <f aca="false">$D$183+$J$215/Assumptions!$D$108</f>
        <v>141</v>
      </c>
      <c r="K216" s="34" t="n">
        <f aca="false">$D$183+$K$215/Assumptions!$D$108</f>
        <v>141</v>
      </c>
      <c r="L216" s="34" t="n">
        <f aca="false">$D$183+$L$215/Assumptions!$D$108</f>
        <v>141</v>
      </c>
    </row>
    <row r="217" customFormat="false" ht="15" hidden="false" customHeight="false" outlineLevel="0" collapsed="false">
      <c r="B217" s="9" t="s">
        <v>683</v>
      </c>
      <c r="E217" s="34" t="n">
        <f aca="false">$D$182+$E$215/Assumptions!$D$108</f>
        <v>151</v>
      </c>
      <c r="F217" s="34" t="n">
        <f aca="false">$D$182+$F$215/Assumptions!$D$108</f>
        <v>151</v>
      </c>
      <c r="G217" s="34" t="n">
        <f aca="false">$D$182+$G$215/Assumptions!$D$108</f>
        <v>151</v>
      </c>
      <c r="H217" s="34" t="n">
        <f aca="false">$D$182+$H$215/Assumptions!$D$108</f>
        <v>151</v>
      </c>
      <c r="I217" s="34" t="n">
        <f aca="false">$D$182+$I$215/Assumptions!$D$108</f>
        <v>151</v>
      </c>
      <c r="J217" s="34" t="n">
        <f aca="false">$D$182+$J$215/Assumptions!$D$108</f>
        <v>151</v>
      </c>
      <c r="K217" s="34" t="n">
        <f aca="false">$D$182+$K$215/Assumptions!$D$108</f>
        <v>151</v>
      </c>
      <c r="L217" s="34" t="n">
        <f aca="false">$D$182+$L$215/Assumptions!$D$108</f>
        <v>151</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-141</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343.012156246164</v>
      </c>
      <c r="K219" s="18" t="n">
        <f aca="false">IF($K$64&lt;=$D$170,$K$218+IF($K$64=$D$170,$D$200,0),0)</f>
        <v>0</v>
      </c>
      <c r="L219" s="18" t="n">
        <f aca="false">IF($L$64&lt;=$D$170,$L$218+IF($L$64=$D$170,$D$200,0),0)</f>
        <v>0</v>
      </c>
    </row>
    <row r="220" customFormat="false" ht="15" hidden="false" customHeight="false" outlineLevel="0" collapsed="false">
      <c r="B220" s="9" t="s">
        <v>686</v>
      </c>
      <c r="E220" s="19" t="n">
        <f aca="false">-$D$46</f>
        <v>-151</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386.151369050037</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0.194587812879672</v>
      </c>
    </row>
    <row r="224" customFormat="false" ht="15" hidden="false" customHeight="false" outlineLevel="0" collapsed="false">
      <c r="B224" s="9" t="s">
        <v>689</v>
      </c>
      <c r="D224" s="25" t="n">
        <f aca="false">XIRR($E$219:$L$219,$E$221:$L$221,0.1)</f>
        <v>0.194471499185576</v>
      </c>
    </row>
    <row r="225" customFormat="false" ht="15" hidden="false" customHeight="false" outlineLevel="0" collapsed="false">
      <c r="B225" s="17" t="s">
        <v>690</v>
      </c>
      <c r="D225" s="41" t="n">
        <f aca="false">SUMIF($E$219:$L$219,"&gt;0")/-SUMIF($E$219:$L$219,"&lt;0")</f>
        <v>2.43271032798698</v>
      </c>
    </row>
    <row r="226" customFormat="false" ht="15" hidden="false" customHeight="false" outlineLevel="0" collapsed="false">
      <c r="B226" s="9" t="s">
        <v>691</v>
      </c>
      <c r="D226" s="19" t="n">
        <f aca="false">-SUMIF($E$219:$L$219,"&lt;0")</f>
        <v>141</v>
      </c>
    </row>
    <row r="227" customFormat="false" ht="15" hidden="false" customHeight="false" outlineLevel="0" collapsed="false">
      <c r="B227" s="9" t="s">
        <v>692</v>
      </c>
      <c r="D227" s="25" t="n">
        <f aca="false">IRR($E$220:$L$220,0.1)</f>
        <v>0.206580011257241</v>
      </c>
    </row>
    <row r="228" customFormat="false" ht="15" hidden="false" customHeight="false" outlineLevel="0" collapsed="false">
      <c r="B228" s="9" t="s">
        <v>693</v>
      </c>
      <c r="D228" s="24" t="n">
        <f aca="false">SUMIF($E$220:$L$220,"&gt;0")/-SUMIF($E$220:$L$220,"&lt;0")</f>
        <v>2.55729383476846</v>
      </c>
    </row>
    <row r="229" customFormat="false" ht="15" hidden="false" customHeight="false" outlineLevel="0" collapsed="false">
      <c r="B229" s="9" t="s">
        <v>694</v>
      </c>
      <c r="D229" s="19" t="n">
        <f aca="false">SUM($E$220:$L$220)</f>
        <v>235.151369050037</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64.0514534552372</v>
      </c>
    </row>
    <row r="232" customFormat="false" ht="15" hidden="false" customHeight="false" outlineLevel="0" collapsed="false">
      <c r="B232" s="9" t="s">
        <v>697</v>
      </c>
      <c r="D232" s="19" t="n">
        <f aca="false">SUMPRODUCT(($F$64:$L$64&lt;=$D$170)*$F$105:$L$105)</f>
        <v>150.524100818763</v>
      </c>
    </row>
    <row r="233" customFormat="false" ht="15" hidden="false" customHeight="false" outlineLevel="0" collapsed="false">
      <c r="B233" s="9" t="s">
        <v>698</v>
      </c>
      <c r="D233" s="19" t="n">
        <f aca="false">SUMPRODUCT(($F$64:$L$64&lt;=$D$170)*$F$139:$L$139)</f>
        <v>38.700696366</v>
      </c>
    </row>
    <row r="234" customFormat="false" ht="15" hidden="false" customHeight="false" outlineLevel="0" collapsed="false">
      <c r="B234" s="9" t="s">
        <v>699</v>
      </c>
      <c r="D234" s="38" t="n">
        <f aca="false">SUMPRODUCT(($F$64:$L$64&lt;=$D$170)*$F$109:$L$109)</f>
        <v>14.95</v>
      </c>
    </row>
    <row r="235" customFormat="false" ht="15" hidden="false" customHeight="false" outlineLevel="0" collapsed="false">
      <c r="B235" s="9" t="s">
        <v>700</v>
      </c>
      <c r="D235" s="19" t="n">
        <f aca="false">SUMPRODUCT(($F$64:$L$64&lt;=$D$170)*$F$115:$L$115)</f>
        <v>23.4919283769624</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38.4419283769624</v>
      </c>
    </row>
    <row r="238" customFormat="false" ht="15" hidden="false" customHeight="false" outlineLevel="0" collapsed="false">
      <c r="B238" s="9" t="s">
        <v>703</v>
      </c>
      <c r="D238" s="19" t="n">
        <f aca="false">$D$54-$D$173</f>
        <v>11.2514534552372</v>
      </c>
    </row>
    <row r="239" customFormat="false" ht="15" hidden="false" customHeight="false" outlineLevel="0" collapsed="false">
      <c r="B239" s="9" t="s">
        <v>704</v>
      </c>
      <c r="D239" s="25" t="n">
        <f aca="false">($D$171/$D$28)^(1/$D$170)-1</f>
        <v>0.0925151535860498</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250.40600568</v>
      </c>
    </row>
    <row r="242" customFormat="false" ht="15" hidden="false" customHeight="false" outlineLevel="0" collapsed="false">
      <c r="B242" s="9" t="s">
        <v>234</v>
      </c>
      <c r="D242" s="14" t="n">
        <f aca="false">$D$172/$D$29-1</f>
        <v>0.5564577904</v>
      </c>
    </row>
    <row r="243" customFormat="false" ht="15" hidden="false" customHeight="false" outlineLevel="0" collapsed="false">
      <c r="B243" s="9" t="s">
        <v>235</v>
      </c>
      <c r="D243" s="25" t="n">
        <f aca="false">($D$172/$D$29)^(1/$D$170)-1</f>
        <v>0.0925151535860498</v>
      </c>
    </row>
    <row r="244" customFormat="false" ht="15" hidden="false" customHeight="false" outlineLevel="0" collapsed="false">
      <c r="B244" s="9" t="s">
        <v>236</v>
      </c>
      <c r="D244" s="14" t="n">
        <f aca="false">$D$179/$D$46-1</f>
        <v>1.55729383476846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727</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11" t="n">
        <v>0</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0.15625</v>
      </c>
      <c r="G66" s="25" t="n">
        <f aca="false">Assumptions!$D$25+$D$11*Assumptions!$G$166+$G$25</f>
        <v>0.15625</v>
      </c>
      <c r="H66" s="25" t="n">
        <f aca="false">Assumptions!$D$25+$D$11*Assumptions!$H$166+$H$25</f>
        <v>0.12625</v>
      </c>
      <c r="I66" s="25" t="n">
        <f aca="false">Assumptions!$D$25+$D$11*Assumptions!$I$166+$I$25</f>
        <v>0.14625</v>
      </c>
      <c r="J66" s="25" t="n">
        <f aca="false">Assumptions!$D$25+$D$11*Assumptions!$J$166+$J$25</f>
        <v>0.15625</v>
      </c>
      <c r="K66" s="25" t="n">
        <f aca="false">Assumptions!$D$25+$D$11*Assumptions!$K$166+$K$25</f>
        <v>0.15625</v>
      </c>
      <c r="L66" s="25" t="n">
        <f aca="false">Assumptions!$D$25+$D$11*Assumptions!$L$166+$L$25</f>
        <v>0.15625</v>
      </c>
    </row>
    <row r="67" customFormat="false" ht="15" hidden="false" customHeight="false" outlineLevel="0" collapsed="false">
      <c r="B67" s="9" t="s">
        <v>549</v>
      </c>
      <c r="E67" s="19" t="n">
        <f aca="false">$E$65*$E$66</f>
        <v>50</v>
      </c>
      <c r="F67" s="19" t="n">
        <f aca="false">$F$65*$F$66</f>
        <v>52.5</v>
      </c>
      <c r="G67" s="19" t="n">
        <f aca="false">$G$65*$G$66</f>
        <v>55.65</v>
      </c>
      <c r="H67" s="19" t="n">
        <f aca="false">$H$65*$H$66</f>
        <v>42.267288</v>
      </c>
      <c r="I67" s="19" t="n">
        <f aca="false">$I$65*$I$66</f>
        <v>52.39051272</v>
      </c>
      <c r="J67" s="19" t="n">
        <f aca="false">$J$65*$J$66</f>
        <v>58.7714085</v>
      </c>
      <c r="K67" s="19" t="n">
        <f aca="false">$K$65*$K$66</f>
        <v>61.12226484</v>
      </c>
      <c r="L67" s="19" t="n">
        <f aca="false">$L$65*$L$66</f>
        <v>63.5671554336</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52.5</v>
      </c>
      <c r="G72" s="18" t="n">
        <f aca="false">$G$67+IF(AND($D$12=1,$G$64&gt;Assumptions!$D$116),$G$69+$G$70,0)</f>
        <v>55.65</v>
      </c>
      <c r="H72" s="18" t="n">
        <f aca="false">$H$67+IF(AND($D$12=1,$H$64&gt;Assumptions!$D$116),$H$69+$H$70,0)</f>
        <v>51.587288</v>
      </c>
      <c r="I72" s="18" t="n">
        <f aca="false">$I$67+IF(AND($D$12=1,$I$64&gt;Assumptions!$D$116),$I$69+$I$70,0)</f>
        <v>63.54331272</v>
      </c>
      <c r="J72" s="18" t="n">
        <f aca="false">$J$67+IF(AND($D$12=1,$J$64&gt;Assumptions!$D$116),$J$69+$J$70,0)</f>
        <v>70.7703205</v>
      </c>
      <c r="K72" s="18" t="n">
        <f aca="false">$K$67+IF(AND($D$12=1,$K$64&gt;Assumptions!$D$116),$K$69+$K$70,0)</f>
        <v>73.48113332</v>
      </c>
      <c r="L72" s="18" t="n">
        <f aca="false">$L$67+IF(AND($D$12=1,$L$64&gt;Assumptions!$D$116),$L$69+$L$70,0)</f>
        <v>76.3003786528</v>
      </c>
    </row>
    <row r="73" customFormat="false" ht="15" hidden="false" customHeight="false" outlineLevel="0" collapsed="false">
      <c r="B73" s="9" t="s">
        <v>555</v>
      </c>
      <c r="E73" s="14" t="n">
        <f aca="false">$E$72/$E$71</f>
        <v>0.15625</v>
      </c>
      <c r="F73" s="14" t="n">
        <f aca="false">$F$72/$F$71</f>
        <v>0.15625</v>
      </c>
      <c r="G73" s="14" t="n">
        <f aca="false">$G$72/$G$71</f>
        <v>0.15625</v>
      </c>
      <c r="H73" s="14" t="n">
        <f aca="false">$H$72/$H$71</f>
        <v>0.129880500636471</v>
      </c>
      <c r="I73" s="14" t="n">
        <f aca="false">$I$72/$I$71</f>
        <v>0.15017738044405</v>
      </c>
      <c r="J73" s="14" t="n">
        <f aca="false">$J$72/$J$71</f>
        <v>0.159525963647508</v>
      </c>
      <c r="K73" s="14" t="n">
        <f aca="false">$K$72/$K$71</f>
        <v>0.159265870972651</v>
      </c>
      <c r="L73" s="14" t="n">
        <f aca="false">$L$72/$L$71</f>
        <v>0.159015781862212</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9.6275</v>
      </c>
      <c r="G91" s="18" t="n">
        <f aca="false">$G$72-$G$139-$G$105-$G$75-$G$79-$G$83-$G$87-$G$89</f>
        <v>10.75221875</v>
      </c>
      <c r="H91" s="18" t="n">
        <f aca="false">$H$72-$H$139-$H$105-$H$75-$H$79-$H$83-$H$87-$H$89</f>
        <v>9.02093500625002</v>
      </c>
      <c r="I91" s="18" t="n">
        <f aca="false">$I$72-$I$139-$I$105-$I$75-$I$79-$I$83-$I$87-$I$89</f>
        <v>13.5189306112031</v>
      </c>
      <c r="J91" s="18" t="n">
        <f aca="false">$J$72-$J$139-$J$105-$J$75-$J$79-$J$83-$J$87-$J$89</f>
        <v>20.5858395788304</v>
      </c>
      <c r="K91" s="18" t="n">
        <f aca="false">$K$72-$K$139-$K$105-$K$75-$K$79-$K$83-$K$87-$K$89</f>
        <v>23.7637542759287</v>
      </c>
      <c r="L91" s="18" t="n">
        <f aca="false">$L$72-$L$139-$L$105-$L$75-$L$79-$L$83-$L$87-$L$89</f>
        <v>26.9052920119431</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13.68875</v>
      </c>
      <c r="H94" s="19" t="n">
        <f aca="false">$G$123</f>
        <v>10</v>
      </c>
      <c r="I94" s="19" t="n">
        <f aca="false">$H$123</f>
        <v>12.880951878125</v>
      </c>
      <c r="J94" s="19" t="n">
        <f aca="false">$I$123</f>
        <v>16.8749412446641</v>
      </c>
      <c r="K94" s="19" t="n">
        <f aca="false">$J$123</f>
        <v>28.6080856176208</v>
      </c>
      <c r="L94" s="19" t="n">
        <f aca="false">$K$123</f>
        <v>39.7913799201622</v>
      </c>
    </row>
    <row r="95" customFormat="false" ht="15" hidden="false" customHeight="false" outlineLevel="0" collapsed="false">
      <c r="B95" s="9" t="s">
        <v>576</v>
      </c>
      <c r="F95" s="19" t="n">
        <f aca="false">$E$123+$F$91-$F$109-$F$82-$F$85+$F$84+$F$86-$F$88+$F$90</f>
        <v>17.3775</v>
      </c>
      <c r="G95" s="19" t="n">
        <f aca="false">$F$123+$G$91-$G$109-$G$82-$G$85+$G$84+$G$86-$G$88+$G$90</f>
        <v>9.39096875000001</v>
      </c>
      <c r="H95" s="19" t="n">
        <f aca="false">$G$123+$H$91-$H$109-$H$82-$H$85+$H$84+$H$86-$H$88+$H$90</f>
        <v>16.37093500625</v>
      </c>
      <c r="I95" s="19" t="n">
        <f aca="false">$H$123+$I$91-$I$109-$I$82-$I$85+$I$84+$I$86-$I$88+$I$90</f>
        <v>23.7498824893281</v>
      </c>
      <c r="J95" s="19" t="n">
        <f aca="false">$I$123+$J$91-$J$109-$J$82-$J$85+$J$84+$J$86-$J$88+$J$90</f>
        <v>34.8107808234944</v>
      </c>
      <c r="K95" s="19" t="n">
        <f aca="false">$J$123+$K$91-$K$109-$K$82-$K$85+$K$84+$K$86-$K$88+$K$90</f>
        <v>49.7218398935496</v>
      </c>
      <c r="L95" s="19" t="n">
        <f aca="false">$K$123+$L$91-$L$109-$L$82-$L$85+$L$84+$L$86-$L$88+$L$90</f>
        <v>64.0466719321053</v>
      </c>
    </row>
    <row r="96" customFormat="false" ht="15" hidden="false" customHeight="false" outlineLevel="0" collapsed="false">
      <c r="B96" s="17" t="s">
        <v>577</v>
      </c>
      <c r="F96" s="18" t="n">
        <f aca="false">$F$95+$F$110-$F$111-$F$115</f>
        <v>13.68875</v>
      </c>
      <c r="G96" s="18" t="n">
        <f aca="false">$G$95+$G$110-$G$111-$G$115</f>
        <v>10</v>
      </c>
      <c r="H96" s="18" t="n">
        <f aca="false">$H$95+$H$110-$H$111-$H$115</f>
        <v>12.880951878125</v>
      </c>
      <c r="I96" s="18" t="n">
        <f aca="false">$I$95+$I$110-$I$111-$I$115</f>
        <v>16.8749412446641</v>
      </c>
      <c r="J96" s="18" t="n">
        <f aca="false">$J$95+$J$110-$J$111-$J$115</f>
        <v>28.6080856176208</v>
      </c>
      <c r="K96" s="18" t="n">
        <f aca="false">$K$95+$K$110-$K$111-$K$115</f>
        <v>39.7913799201622</v>
      </c>
      <c r="L96" s="18" t="n">
        <f aca="false">$L$95+$L$110-$L$111-$L$115</f>
        <v>64.0466719321053</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18.62020625</v>
      </c>
      <c r="H101" s="38" t="n">
        <f aca="false">$G$118*$H$100</f>
        <v>21.82895625</v>
      </c>
      <c r="I101" s="38" t="n">
        <f aca="false">$H$118*$I$100</f>
        <v>21.3588253403594</v>
      </c>
      <c r="J101" s="38" t="n">
        <f aca="false">$I$118*$J$100</f>
        <v>20.5492053345629</v>
      </c>
      <c r="K101" s="38" t="n">
        <f aca="false">$J$118*$K$100</f>
        <v>19.7967262420637</v>
      </c>
      <c r="L101" s="38" t="n">
        <f aca="false">$K$118*$L$100</f>
        <v>18.7273871443257</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0.245677343749999</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0.273775</v>
      </c>
      <c r="H104" s="38" t="n">
        <f aca="false">$G$123*Assumptions!$D$9</f>
        <v>0.2</v>
      </c>
      <c r="I104" s="38" t="n">
        <f aca="false">$H$123*Assumptions!$D$9</f>
        <v>0.2576190375625</v>
      </c>
      <c r="J104" s="38" t="n">
        <f aca="false">$I$123*Assumptions!$D$9</f>
        <v>0.337498824893281</v>
      </c>
      <c r="K104" s="38" t="n">
        <f aca="false">$J$123*Assumptions!$D$9</f>
        <v>0.572161712352416</v>
      </c>
      <c r="L104" s="38" t="n">
        <f aca="false">$K$123*Assumptions!$D$9</f>
        <v>0.795827598403244</v>
      </c>
    </row>
    <row r="105" customFormat="false" ht="15" hidden="false" customHeight="false" outlineLevel="0" collapsed="false">
      <c r="B105" s="17" t="s">
        <v>585</v>
      </c>
      <c r="F105" s="40" t="n">
        <f aca="false">$F$101+$F$102+$F$103-$F$104</f>
        <v>24.625</v>
      </c>
      <c r="G105" s="40" t="n">
        <f aca="false">$G$101+$G$102+$G$103-$G$104</f>
        <v>24.04643125</v>
      </c>
      <c r="H105" s="40" t="n">
        <f aca="false">$H$101+$H$102+$H$103-$H$104</f>
        <v>27.37463359375</v>
      </c>
      <c r="I105" s="40" t="n">
        <f aca="false">$I$101+$I$102+$I$103-$I$104</f>
        <v>26.8012063027969</v>
      </c>
      <c r="J105" s="40" t="n">
        <f aca="false">$J$101+$J$102+$J$103-$J$104</f>
        <v>25.9117065096696</v>
      </c>
      <c r="K105" s="40" t="n">
        <f aca="false">$K$101+$K$102+$K$103-$K$104</f>
        <v>24.9245645297113</v>
      </c>
      <c r="L105" s="40" t="n">
        <f aca="false">$L$101+$L$102+$L$103-$L$104</f>
        <v>23.6315595459225</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2.13197969543147</v>
      </c>
      <c r="G107" s="24" t="n">
        <f aca="false">IF($G$105&lt;&gt;0,$G$72/$G$105,0)</f>
        <v>2.31427272602042</v>
      </c>
      <c r="H107" s="24" t="n">
        <f aca="false">IF($H$105&lt;&gt;0,$H$72/$H$105,0)</f>
        <v>1.88449236492349</v>
      </c>
      <c r="I107" s="24" t="n">
        <f aca="false">IF($I$105&lt;&gt;0,$I$72/$I$105,0)</f>
        <v>2.37091241349718</v>
      </c>
      <c r="J107" s="24" t="n">
        <f aca="false">IF($J$105&lt;&gt;0,$J$72/$J$105,0)</f>
        <v>2.73121033049638</v>
      </c>
      <c r="K107" s="24" t="n">
        <f aca="false">IF($K$105&lt;&gt;0,$K$72/$K$105,0)</f>
        <v>2.94814110924213</v>
      </c>
      <c r="L107" s="24" t="n">
        <f aca="false">IF($L$105&lt;&gt;0,$L$72/$L$105,0)</f>
        <v>3.22874918621125</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2.65</v>
      </c>
      <c r="K109" s="38" t="n">
        <f aca="false">IF($D$14=1,0,MIN($J$118,Assumptions!$D$85*$J$119))</f>
        <v>2.65</v>
      </c>
      <c r="L109" s="38" t="n">
        <f aca="false">IF($D$14=1,0,MIN($K$118,Assumptions!$D$85*$K$119))</f>
        <v>2.65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0.60903124999999</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0.60903124999999</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17.3775</v>
      </c>
      <c r="G112" s="19" t="n">
        <f aca="false">$G$95+$G$110-$G$111</f>
        <v>10</v>
      </c>
      <c r="H112" s="19" t="n">
        <f aca="false">$H$95+$H$110-$H$111</f>
        <v>15.76190375625</v>
      </c>
      <c r="I112" s="19" t="n">
        <f aca="false">$I$95+$I$110-$I$111</f>
        <v>23.7498824893281</v>
      </c>
      <c r="J112" s="19" t="n">
        <f aca="false">$J$95+$J$110-$J$111</f>
        <v>34.8107808234944</v>
      </c>
      <c r="K112" s="19" t="n">
        <f aca="false">$K$95+$K$110-$K$111</f>
        <v>49.7218398935496</v>
      </c>
      <c r="L112" s="19" t="n">
        <f aca="false">$L$95+$L$110-$L$111</f>
        <v>64.0466719321053</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0.25</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7.3775</v>
      </c>
      <c r="G114" s="19" t="n">
        <f aca="false">MAX(0,$G$112-Assumptions!$D$79)</f>
        <v>0</v>
      </c>
      <c r="H114" s="19" t="n">
        <f aca="false">MAX(0,$H$112-Assumptions!$D$79)</f>
        <v>5.76190375625003</v>
      </c>
      <c r="I114" s="19" t="n">
        <f aca="false">MAX(0,$I$112-Assumptions!$D$79)</f>
        <v>13.7498824893281</v>
      </c>
      <c r="J114" s="19" t="n">
        <f aca="false">MAX(0,$J$112-Assumptions!$D$79)</f>
        <v>24.8107808234944</v>
      </c>
      <c r="K114" s="19" t="n">
        <f aca="false">MAX(0,$K$112-Assumptions!$D$79)</f>
        <v>39.7218398935496</v>
      </c>
      <c r="L114" s="19" t="n">
        <f aca="false">MAX(0,$L$112-Assumptions!$D$79)</f>
        <v>54.0466719321053</v>
      </c>
    </row>
    <row r="115" customFormat="false" ht="15" hidden="false" customHeight="false" outlineLevel="0" collapsed="false">
      <c r="B115" s="17" t="s">
        <v>595</v>
      </c>
      <c r="F115" s="18" t="n">
        <f aca="false">IF(AND($D$19=1,$D$14=0,$E$121-$F$111+$F$110=0),MIN($E$118-$F$109+$F$84,$F$113*$F$114),0)</f>
        <v>3.68875</v>
      </c>
      <c r="G115" s="18" t="n">
        <f aca="false">IF(AND($D$19=1,$D$14=0,$F$121-$G$111+$G$110=0),MIN($F$118-$G$109+$G$84,$G$113*$G$114),0)</f>
        <v>0</v>
      </c>
      <c r="H115" s="18" t="n">
        <f aca="false">IF(AND($D$19=1,$D$14=0,$G$121-$H$111+$H$110=0),MIN($G$118-$H$109+$H$84,$H$113*$H$114),0)</f>
        <v>2.88095187812501</v>
      </c>
      <c r="I115" s="18" t="n">
        <f aca="false">IF(AND($D$19=1,$D$14=0,$H$121-$I$111+$I$110=0),MIN($H$118-$I$109+$I$84,$I$113*$I$114),0)</f>
        <v>6.87494124466407</v>
      </c>
      <c r="J115" s="18" t="n">
        <f aca="false">IF(AND($D$19=1,$D$14=0,$I$121-$J$111+$J$110=0),MIN($I$118-$J$109+$J$84,$J$113*$J$114),0)</f>
        <v>6.20269520587361</v>
      </c>
      <c r="K115" s="18" t="n">
        <f aca="false">IF(AND($D$19=1,$D$14=0,$J$121-$K$111+$K$110=0),MIN($J$118-$K$109+$K$84,$K$113*$K$114),0)</f>
        <v>9.93045997338739</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219.06125</v>
      </c>
      <c r="G118" s="19" t="n">
        <f aca="false">$F$118-$G$109-$G$115+$G$84+$G$86</f>
        <v>256.81125</v>
      </c>
      <c r="H118" s="19" t="n">
        <f aca="false">$G$118-$H$109-$H$115+$H$84+$H$86</f>
        <v>251.280298121875</v>
      </c>
      <c r="I118" s="19" t="n">
        <f aca="false">$H$118-$I$109-$I$115+$I$84+$I$86</f>
        <v>241.755356877211</v>
      </c>
      <c r="J118" s="19" t="n">
        <f aca="false">$I$118-$J$109-$J$115+$J$84+$J$86</f>
        <v>232.902661671337</v>
      </c>
      <c r="K118" s="19" t="n">
        <f aca="false">$J$118-$K$109-$K$115+$K$84+$K$86</f>
        <v>220.32220169795</v>
      </c>
      <c r="L118" s="19" t="n">
        <f aca="false">$K$118-$L$109-$L$115+$L$84+$L$86</f>
        <v>217.67220169795</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0.60903124999999</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269.06125</v>
      </c>
      <c r="G122" s="18" t="n">
        <f aca="false">$G$118+$G$120+$G$121</f>
        <v>307.42028125</v>
      </c>
      <c r="H122" s="18" t="n">
        <f aca="false">$H$118+$H$120+$H$121</f>
        <v>301.280298121875</v>
      </c>
      <c r="I122" s="18" t="n">
        <f aca="false">$I$118+$I$120+$I$121</f>
        <v>291.755356877211</v>
      </c>
      <c r="J122" s="18" t="n">
        <f aca="false">$J$118+$J$120+$J$121</f>
        <v>282.902661671337</v>
      </c>
      <c r="K122" s="18" t="n">
        <f aca="false">$K$118+$K$120+$K$121</f>
        <v>270.32220169795</v>
      </c>
      <c r="L122" s="18" t="n">
        <f aca="false">$L$118+$L$120+$L$121</f>
        <v>267.67220169795</v>
      </c>
    </row>
    <row r="123" customFormat="false" ht="15" hidden="false" customHeight="false" outlineLevel="0" collapsed="false">
      <c r="B123" s="9" t="s">
        <v>600</v>
      </c>
      <c r="E123" s="19" t="n">
        <f aca="false">Assumptions!$D$78</f>
        <v>10</v>
      </c>
      <c r="F123" s="19" t="n">
        <f aca="false">$F$112-$F$115</f>
        <v>13.68875</v>
      </c>
      <c r="G123" s="19" t="n">
        <f aca="false">$G$112-$G$115</f>
        <v>10</v>
      </c>
      <c r="H123" s="19" t="n">
        <f aca="false">$H$112-$H$115</f>
        <v>12.880951878125</v>
      </c>
      <c r="I123" s="19" t="n">
        <f aca="false">$I$112-$I$115</f>
        <v>16.8749412446641</v>
      </c>
      <c r="J123" s="19" t="n">
        <f aca="false">$J$112-$J$115</f>
        <v>28.6080856176208</v>
      </c>
      <c r="K123" s="19" t="n">
        <f aca="false">$K$112-$K$115</f>
        <v>39.7913799201622</v>
      </c>
      <c r="L123" s="19" t="n">
        <f aca="false">$L$112-$L$115</f>
        <v>64.0466719321053</v>
      </c>
    </row>
    <row r="124" customFormat="false" ht="15" hidden="false" customHeight="false" outlineLevel="0" collapsed="false">
      <c r="B124" s="17" t="s">
        <v>601</v>
      </c>
      <c r="E124" s="18" t="n">
        <f aca="false">$E$122-$E$123</f>
        <v>265</v>
      </c>
      <c r="F124" s="18" t="n">
        <f aca="false">$F$122-$F$123</f>
        <v>255.3725</v>
      </c>
      <c r="G124" s="18" t="n">
        <f aca="false">$G$122-$G$123</f>
        <v>297.42028125</v>
      </c>
      <c r="H124" s="18" t="n">
        <f aca="false">$H$122-$H$123</f>
        <v>288.39934624375</v>
      </c>
      <c r="I124" s="18" t="n">
        <f aca="false">$I$122-$I$123</f>
        <v>274.880415632547</v>
      </c>
      <c r="J124" s="18" t="n">
        <f aca="false">$J$122-$J$123</f>
        <v>254.294576053716</v>
      </c>
      <c r="K124" s="18" t="n">
        <f aca="false">$K$122-$K$123</f>
        <v>230.530821777788</v>
      </c>
      <c r="L124" s="18" t="n">
        <f aca="false">$L$122-$L$123</f>
        <v>203.625529765845</v>
      </c>
    </row>
    <row r="125" customFormat="false" ht="15" hidden="false" customHeight="false" outlineLevel="0" collapsed="false">
      <c r="B125" s="9" t="s">
        <v>538</v>
      </c>
      <c r="E125" s="24" t="n">
        <f aca="false">$E$124/$E$72</f>
        <v>5.3</v>
      </c>
      <c r="F125" s="24" t="n">
        <f aca="false">$F$124/$F$72</f>
        <v>4.8642380952381</v>
      </c>
      <c r="G125" s="24" t="n">
        <f aca="false">$G$124/$G$72</f>
        <v>5.34447944743935</v>
      </c>
      <c r="H125" s="24" t="n">
        <f aca="false">$H$124/$H$72</f>
        <v>5.59051187656443</v>
      </c>
      <c r="I125" s="24" t="n">
        <f aca="false">$I$124/$I$72</f>
        <v>4.32587480674468</v>
      </c>
      <c r="J125" s="24" t="n">
        <f aca="false">$J$124/$J$72</f>
        <v>3.59323759249778</v>
      </c>
      <c r="K125" s="24" t="n">
        <f aca="false">$K$124/$K$72</f>
        <v>3.13727907235533</v>
      </c>
      <c r="L125" s="24" t="n">
        <f aca="false">$L$124/$L$72</f>
        <v>2.66873550775455</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40.74</v>
      </c>
      <c r="G129" s="38" t="n">
        <f aca="false">$G$72-$G$74</f>
        <v>43.1844</v>
      </c>
      <c r="H129" s="38" t="n">
        <f aca="false">$H$72-$H$74</f>
        <v>37.685624</v>
      </c>
      <c r="I129" s="38" t="n">
        <f aca="false">$I$72-$I$74</f>
        <v>48.73405224</v>
      </c>
      <c r="J129" s="38" t="n">
        <f aca="false">$J$72-$J$74</f>
        <v>55.243310596</v>
      </c>
      <c r="K129" s="38" t="n">
        <f aca="false">$K$72-$K$74</f>
        <v>57.33304301984</v>
      </c>
      <c r="L129" s="38" t="n">
        <f aca="false">$L$72-$L$74</f>
        <v>59.5063647406336</v>
      </c>
    </row>
    <row r="130" customFormat="false" ht="15" hidden="false" customHeight="false" outlineLevel="0" collapsed="false">
      <c r="B130" s="9" t="s">
        <v>605</v>
      </c>
      <c r="F130" s="38" t="n">
        <f aca="false">$F$105+$F$106</f>
        <v>25.4107142857143</v>
      </c>
      <c r="G130" s="38" t="n">
        <f aca="false">$G$105+$G$106</f>
        <v>24.8321455357143</v>
      </c>
      <c r="H130" s="38" t="n">
        <f aca="false">$H$105+$H$106</f>
        <v>28.3203478794643</v>
      </c>
      <c r="I130" s="38" t="n">
        <f aca="false">$I$105+$I$106</f>
        <v>27.7469205885112</v>
      </c>
      <c r="J130" s="38" t="n">
        <f aca="false">$J$105+$J$106</f>
        <v>26.8574207953839</v>
      </c>
      <c r="K130" s="38" t="n">
        <f aca="false">$K$105+$K$106</f>
        <v>25.8702788154255</v>
      </c>
      <c r="L130" s="38" t="n">
        <f aca="false">$L$105+$L$106</f>
        <v>24.5772738316368</v>
      </c>
    </row>
    <row r="131" customFormat="false" ht="15" hidden="false" customHeight="false" outlineLevel="0" collapsed="false">
      <c r="B131" s="9" t="s">
        <v>606</v>
      </c>
      <c r="F131" s="38" t="n">
        <f aca="false">$F$129-$F$130-$F$83-$F$87-$F$89</f>
        <v>15.3292857142857</v>
      </c>
      <c r="G131" s="38" t="n">
        <f aca="false">$G$129-$G$130-$G$83-$G$87-$G$89</f>
        <v>16.8522544642857</v>
      </c>
      <c r="H131" s="38" t="n">
        <f aca="false">$H$129-$H$130-$H$83-$H$87-$H$89</f>
        <v>9.36527612053572</v>
      </c>
      <c r="I131" s="38" t="n">
        <f aca="false">$I$129-$I$130-$I$83-$I$87-$I$89</f>
        <v>20.9871316514888</v>
      </c>
      <c r="J131" s="38" t="n">
        <f aca="false">$J$129-$J$130-$J$83-$J$87-$J$89</f>
        <v>28.3858898006161</v>
      </c>
      <c r="K131" s="38" t="n">
        <f aca="false">$K$129-$K$130-$K$83-$K$87-$K$89</f>
        <v>31.4627642044145</v>
      </c>
      <c r="L131" s="38" t="n">
        <f aca="false">$L$129-$L$130-$L$83-$L$87-$L$89</f>
        <v>34.9290909089968</v>
      </c>
    </row>
    <row r="132" customFormat="false" ht="15" hidden="false" customHeight="false" outlineLevel="0" collapsed="false">
      <c r="B132" s="9" t="s">
        <v>607</v>
      </c>
      <c r="F132" s="38" t="n">
        <f aca="false">Assumptions!$D$8*$F$72</f>
        <v>15.75</v>
      </c>
      <c r="G132" s="38" t="n">
        <f aca="false">Assumptions!$D$8*$G$72</f>
        <v>16.695</v>
      </c>
      <c r="H132" s="38" t="n">
        <f aca="false">Assumptions!$D$8*$H$72</f>
        <v>15.4761864</v>
      </c>
      <c r="I132" s="38" t="n">
        <f aca="false">Assumptions!$D$8*$I$72</f>
        <v>19.062993816</v>
      </c>
      <c r="J132" s="38" t="n">
        <f aca="false">Assumptions!$D$8*$J$72</f>
        <v>21.23109615</v>
      </c>
      <c r="K132" s="38" t="n">
        <f aca="false">Assumptions!$D$8*$K$72</f>
        <v>22.044339996</v>
      </c>
      <c r="L132" s="38" t="n">
        <f aca="false">Assumptions!$D$8*$L$72</f>
        <v>22.89011359584</v>
      </c>
    </row>
    <row r="133" customFormat="false" ht="15" hidden="false" customHeight="false" outlineLevel="0" collapsed="false">
      <c r="B133" s="9" t="s">
        <v>608</v>
      </c>
      <c r="F133" s="38" t="n">
        <f aca="false">$F$130+$E$135</f>
        <v>25.4107142857143</v>
      </c>
      <c r="G133" s="38" t="n">
        <f aca="false">$G$130+$F$135</f>
        <v>34.4928598214286</v>
      </c>
      <c r="H133" s="38" t="n">
        <f aca="false">$H$130+$G$135</f>
        <v>46.1182077008929</v>
      </c>
      <c r="I133" s="38" t="n">
        <f aca="false">$I$130+$H$135</f>
        <v>58.388941889404</v>
      </c>
      <c r="J133" s="38" t="n">
        <f aca="false">$J$130+$I$135</f>
        <v>66.1833688687879</v>
      </c>
      <c r="K133" s="38" t="n">
        <f aca="false">$K$130+$J$135</f>
        <v>70.8225515342135</v>
      </c>
      <c r="L133" s="38" t="n">
        <f aca="false">$L$130+$K$135</f>
        <v>73.3554853698503</v>
      </c>
    </row>
    <row r="134" customFormat="false" ht="15" hidden="false" customHeight="false" outlineLevel="0" collapsed="false">
      <c r="B134" s="9" t="s">
        <v>609</v>
      </c>
      <c r="F134" s="38" t="n">
        <f aca="false">MIN($F$133,$F$132)</f>
        <v>15.75</v>
      </c>
      <c r="G134" s="38" t="n">
        <f aca="false">MIN($G$133,$G$132)</f>
        <v>16.695</v>
      </c>
      <c r="H134" s="38" t="n">
        <f aca="false">MIN($H$133,$H$132)</f>
        <v>15.4761864</v>
      </c>
      <c r="I134" s="38" t="n">
        <f aca="false">MIN($I$133,$I$132)</f>
        <v>19.062993816</v>
      </c>
      <c r="J134" s="38" t="n">
        <f aca="false">MIN($J$133,$J$132)</f>
        <v>21.23109615</v>
      </c>
      <c r="K134" s="38" t="n">
        <f aca="false">MIN($K$133,$K$132)</f>
        <v>22.044339996</v>
      </c>
      <c r="L134" s="38" t="n">
        <f aca="false">MIN($L$133,$L$132)</f>
        <v>22.89011359584</v>
      </c>
    </row>
    <row r="135" customFormat="false" ht="15" hidden="false" customHeight="false" outlineLevel="0" collapsed="false">
      <c r="B135" s="9" t="s">
        <v>610</v>
      </c>
      <c r="E135" s="38" t="n">
        <f aca="false">0</f>
        <v>0</v>
      </c>
      <c r="F135" s="38" t="n">
        <f aca="false">$F$133-$F$134</f>
        <v>9.66071428571429</v>
      </c>
      <c r="G135" s="38" t="n">
        <f aca="false">$G$133-$G$134</f>
        <v>17.7978598214286</v>
      </c>
      <c r="H135" s="38" t="n">
        <f aca="false">$H$133-$H$134</f>
        <v>30.6420213008929</v>
      </c>
      <c r="I135" s="38" t="n">
        <f aca="false">$I$133-$I$134</f>
        <v>39.325948073404</v>
      </c>
      <c r="J135" s="38" t="n">
        <f aca="false">$J$133-$J$134</f>
        <v>44.9522727187879</v>
      </c>
      <c r="K135" s="38" t="n">
        <f aca="false">$K$133-$K$134</f>
        <v>48.7782115382135</v>
      </c>
      <c r="L135" s="38" t="n">
        <f aca="false">$L$133-$L$134</f>
        <v>50.4653717740103</v>
      </c>
    </row>
    <row r="136" customFormat="false" ht="15" hidden="false" customHeight="false" outlineLevel="0" collapsed="false">
      <c r="B136" s="9" t="s">
        <v>611</v>
      </c>
      <c r="F136" s="38" t="n">
        <f aca="false">$F$129-$F$134-$F$83-$F$87-$F$89</f>
        <v>24.99</v>
      </c>
      <c r="G136" s="38" t="n">
        <f aca="false">$G$129-$G$134-$G$83-$G$87-$G$89</f>
        <v>24.9894</v>
      </c>
      <c r="H136" s="38" t="n">
        <f aca="false">$H$129-$H$134-$H$83-$H$87-$H$89</f>
        <v>22.2094376</v>
      </c>
      <c r="I136" s="38" t="n">
        <f aca="false">$I$129-$I$134-$I$83-$I$87-$I$89</f>
        <v>29.671058424</v>
      </c>
      <c r="J136" s="38" t="n">
        <f aca="false">$J$129-$J$134-$J$83-$J$87-$J$89</f>
        <v>34.012214446</v>
      </c>
      <c r="K136" s="38" t="n">
        <f aca="false">$K$129-$K$134-$K$83-$K$87-$K$89</f>
        <v>35.28870302384</v>
      </c>
      <c r="L136" s="38" t="n">
        <f aca="false">$L$129-$L$134-$L$83-$L$87-$L$89</f>
        <v>36.6162511447936</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6.2475</v>
      </c>
      <c r="G139" s="40" t="n">
        <f aca="false">IF($G$136&lt;0,0,Assumptions!$D$7*($G$136-$G$137))</f>
        <v>6.24735</v>
      </c>
      <c r="H139" s="40" t="n">
        <f aca="false">IF($H$136&lt;0,0,Assumptions!$D$7*($H$136-$H$137))</f>
        <v>5.5523594</v>
      </c>
      <c r="I139" s="40" t="n">
        <f aca="false">IF($I$136&lt;0,0,Assumptions!$D$7*($I$136-$I$137))</f>
        <v>7.417764606</v>
      </c>
      <c r="J139" s="40" t="n">
        <f aca="false">IF($J$136&lt;0,0,Assumptions!$D$7*($J$136-$J$137))</f>
        <v>8.5030536115</v>
      </c>
      <c r="K139" s="40" t="n">
        <f aca="false">IF($K$136&lt;0,0,Assumptions!$D$7*($K$136-$K$137))</f>
        <v>8.82217575596</v>
      </c>
      <c r="L139" s="40" t="n">
        <f aca="false">IF($L$136&lt;0,0,Assumptions!$D$7*($L$136-$L$137))</f>
        <v>9.1540627861984</v>
      </c>
    </row>
    <row r="140" customFormat="false" ht="15" hidden="false" customHeight="false" outlineLevel="0" collapsed="false">
      <c r="B140" s="9" t="s">
        <v>615</v>
      </c>
      <c r="F140" s="19" t="n">
        <f aca="false">$F$131-$F$139</f>
        <v>9.08178571428571</v>
      </c>
      <c r="G140" s="19" t="n">
        <f aca="false">$G$131-$G$139</f>
        <v>10.6049044642857</v>
      </c>
      <c r="H140" s="19" t="n">
        <f aca="false">$H$131-$H$139</f>
        <v>3.81291672053572</v>
      </c>
      <c r="I140" s="19" t="n">
        <f aca="false">$I$131-$I$139</f>
        <v>13.5693670454888</v>
      </c>
      <c r="J140" s="19" t="n">
        <f aca="false">$J$131-$J$139</f>
        <v>19.8828361891161</v>
      </c>
      <c r="K140" s="19" t="n">
        <f aca="false">$K$131-$K$139</f>
        <v>22.6405884484545</v>
      </c>
      <c r="L140" s="19" t="n">
        <f aca="false">$L$131-$L$139</f>
        <v>25.7750281227984</v>
      </c>
    </row>
    <row r="141" customFormat="false" ht="15" hidden="false" customHeight="false" outlineLevel="0" collapsed="false">
      <c r="B141" s="9" t="s">
        <v>616</v>
      </c>
      <c r="F141" s="38" t="n">
        <f aca="false">Assumptions!$D$7*($F$129-$F$130)</f>
        <v>3.83232142857143</v>
      </c>
      <c r="G141" s="38" t="n">
        <f aca="false">Assumptions!$D$7*($G$129-$G$130)</f>
        <v>4.58806361607143</v>
      </c>
      <c r="H141" s="38" t="n">
        <f aca="false">Assumptions!$D$7*($H$129-$H$130)</f>
        <v>2.34131903013393</v>
      </c>
      <c r="I141" s="38" t="n">
        <f aca="false">Assumptions!$D$7*($I$129-$I$130)</f>
        <v>5.24678291287221</v>
      </c>
      <c r="J141" s="38" t="n">
        <f aca="false">Assumptions!$D$7*($J$129-$J$130)</f>
        <v>7.09647245015402</v>
      </c>
      <c r="K141" s="38" t="n">
        <f aca="false">Assumptions!$D$7*($K$129-$K$130)</f>
        <v>7.86569105110362</v>
      </c>
      <c r="L141" s="38" t="n">
        <f aca="false">Assumptions!$D$7*($L$129-$L$130)</f>
        <v>8.73227272724921</v>
      </c>
    </row>
    <row r="142" customFormat="false" ht="15" hidden="false" customHeight="false" outlineLevel="0" collapsed="false">
      <c r="B142" s="9" t="s">
        <v>617</v>
      </c>
      <c r="F142" s="38" t="n">
        <f aca="false">$F$139-$F$141</f>
        <v>2.41517857142857</v>
      </c>
      <c r="G142" s="38" t="n">
        <f aca="false">$G$139-$G$141</f>
        <v>1.65928638392857</v>
      </c>
      <c r="H142" s="38" t="n">
        <f aca="false">$H$139-$H$141</f>
        <v>3.21104036986607</v>
      </c>
      <c r="I142" s="38" t="n">
        <f aca="false">$I$139-$I$141</f>
        <v>2.17098169312779</v>
      </c>
      <c r="J142" s="38" t="n">
        <f aca="false">$J$139-$J$141</f>
        <v>1.40658116134598</v>
      </c>
      <c r="K142" s="38" t="n">
        <f aca="false">$K$139-$K$141</f>
        <v>0.956484704856385</v>
      </c>
      <c r="L142" s="38" t="n">
        <f aca="false">$L$139-$L$141</f>
        <v>0.421790058949194</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13.68875</v>
      </c>
      <c r="G145" s="19" t="n">
        <f aca="false">$G$123</f>
        <v>10</v>
      </c>
      <c r="H145" s="19" t="n">
        <f aca="false">$H$123</f>
        <v>12.880951878125</v>
      </c>
      <c r="I145" s="19" t="n">
        <f aca="false">$I$123</f>
        <v>16.8749412446641</v>
      </c>
      <c r="J145" s="19" t="n">
        <f aca="false">$J$123</f>
        <v>28.6080856176208</v>
      </c>
      <c r="K145" s="19" t="n">
        <f aca="false">$K$123</f>
        <v>39.7913799201622</v>
      </c>
      <c r="L145" s="19" t="n">
        <f aca="false">$L$123</f>
        <v>64.0466719321053</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468.643035714286</v>
      </c>
      <c r="G150" s="18" t="n">
        <f aca="false">$G$145+$G$146+$G$147+$G$148+$G$149</f>
        <v>517.606971428572</v>
      </c>
      <c r="H150" s="18" t="n">
        <f aca="false">$H$145+$H$146+$H$147+$H$148+$H$149</f>
        <v>515.279905020982</v>
      </c>
      <c r="I150" s="18" t="n">
        <f aca="false">$I$145+$I$146+$I$147+$I$148+$I$149</f>
        <v>519.324330821807</v>
      </c>
      <c r="J150" s="18" t="n">
        <f aca="false">$J$145+$J$146+$J$147+$J$148+$J$149</f>
        <v>530.35447180505</v>
      </c>
      <c r="K150" s="18" t="n">
        <f aca="false">$K$145+$K$146+$K$147+$K$148+$K$149</f>
        <v>540.414600280117</v>
      </c>
      <c r="L150" s="18" t="n">
        <f aca="false">$L$145+$L$146+$L$147+$L$148+$L$149</f>
        <v>563.539628402915</v>
      </c>
    </row>
    <row r="151" customFormat="false" ht="15" hidden="false" customHeight="false" outlineLevel="0" collapsed="false">
      <c r="B151" s="9" t="s">
        <v>291</v>
      </c>
      <c r="E151" s="19" t="n">
        <f aca="false">$E$122</f>
        <v>275</v>
      </c>
      <c r="F151" s="19" t="n">
        <f aca="false">$F$122</f>
        <v>269.06125</v>
      </c>
      <c r="G151" s="19" t="n">
        <f aca="false">$G$122</f>
        <v>307.42028125</v>
      </c>
      <c r="H151" s="19" t="n">
        <f aca="false">$H$122</f>
        <v>301.280298121875</v>
      </c>
      <c r="I151" s="19" t="n">
        <f aca="false">$I$122</f>
        <v>291.755356877211</v>
      </c>
      <c r="J151" s="19" t="n">
        <f aca="false">$J$122</f>
        <v>282.902661671337</v>
      </c>
      <c r="K151" s="19" t="n">
        <f aca="false">$K$122</f>
        <v>270.32220169795</v>
      </c>
      <c r="L151" s="19" t="n">
        <f aca="false">$L$122</f>
        <v>267.67220169795</v>
      </c>
    </row>
    <row r="152" customFormat="false" ht="15" hidden="false" customHeight="false" outlineLevel="0" collapsed="false">
      <c r="B152" s="9" t="s">
        <v>624</v>
      </c>
      <c r="E152" s="19" t="n">
        <f aca="false">$D$46-Assumptions!$D$76</f>
        <v>190.5</v>
      </c>
      <c r="F152" s="19" t="n">
        <f aca="false">$E$152+$F$140-$F$88+$F$90</f>
        <v>199.581785714286</v>
      </c>
      <c r="G152" s="19" t="n">
        <f aca="false">$F$152+$G$140-$G$88+$G$90</f>
        <v>210.186690178571</v>
      </c>
      <c r="H152" s="19" t="n">
        <f aca="false">$G$152+$H$140-$H$88+$H$90</f>
        <v>213.999606899107</v>
      </c>
      <c r="I152" s="19" t="n">
        <f aca="false">$H$152+$I$140-$I$88+$I$90</f>
        <v>227.568973944596</v>
      </c>
      <c r="J152" s="19" t="n">
        <f aca="false">$I$152+$J$140-$J$88+$J$90</f>
        <v>247.451810133712</v>
      </c>
      <c r="K152" s="19" t="n">
        <f aca="false">$J$152+$K$140-$K$88+$K$90</f>
        <v>270.092398582167</v>
      </c>
      <c r="L152" s="19" t="n">
        <f aca="false">$K$152+$L$140-$L$88+$L$90</f>
        <v>295.867426704965</v>
      </c>
    </row>
    <row r="153" customFormat="false" ht="15" hidden="false" customHeight="false" outlineLevel="0" collapsed="false">
      <c r="B153" s="17" t="s">
        <v>625</v>
      </c>
      <c r="E153" s="18" t="n">
        <f aca="false">$E$151+$E$152</f>
        <v>465.5</v>
      </c>
      <c r="F153" s="18" t="n">
        <f aca="false">$F$151+$F$152</f>
        <v>468.643035714286</v>
      </c>
      <c r="G153" s="18" t="n">
        <f aca="false">$G$151+$G$152</f>
        <v>517.606971428571</v>
      </c>
      <c r="H153" s="18" t="n">
        <f aca="false">$H$151+$H$152</f>
        <v>515.279905020982</v>
      </c>
      <c r="I153" s="18" t="n">
        <f aca="false">$I$151+$I$152</f>
        <v>519.324330821807</v>
      </c>
      <c r="J153" s="18" t="n">
        <f aca="false">$J$151+$J$152</f>
        <v>530.354471805049</v>
      </c>
      <c r="K153" s="18" t="n">
        <f aca="false">$K$151+$K$152</f>
        <v>540.414600280116</v>
      </c>
      <c r="L153" s="18" t="n">
        <f aca="false">$L$151+$L$152</f>
        <v>563.539628402915</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52.5</v>
      </c>
      <c r="G157" s="19" t="n">
        <f aca="false">$G$72+IF(AND($D$12=1,$G$64=Assumptions!$D$116),Assumptions!$D$118,0)</f>
        <v>63.65</v>
      </c>
      <c r="H157" s="19" t="n">
        <f aca="false">$H$72+IF(AND($D$12=1,$H$64=Assumptions!$D$116),Assumptions!$D$118,0)</f>
        <v>51.587288</v>
      </c>
      <c r="I157" s="19" t="n">
        <f aca="false">$I$72+IF(AND($D$12=1,$I$64=Assumptions!$D$116),Assumptions!$D$118,0)</f>
        <v>63.54331272</v>
      </c>
      <c r="J157" s="19" t="n">
        <f aca="false">$J$72+IF(AND($D$12=1,$J$64=Assumptions!$D$116),Assumptions!$D$118,0)</f>
        <v>70.7703205</v>
      </c>
      <c r="K157" s="19" t="n">
        <f aca="false">$K$72+IF(AND($D$12=1,$K$64=Assumptions!$D$116),Assumptions!$D$118,0)</f>
        <v>73.48113332</v>
      </c>
      <c r="L157" s="19" t="n">
        <f aca="false">$L$72+IF(AND($D$12=1,$L$64=Assumptions!$D$116),Assumptions!$D$118,0)</f>
        <v>76.3003786528</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52.5</v>
      </c>
      <c r="G159" s="18" t="n">
        <f aca="false">$G$157+$G$158+$G$90</f>
        <v>66.65</v>
      </c>
      <c r="H159" s="18" t="n">
        <f aca="false">$H$157+$H$158+$H$90</f>
        <v>53.587288</v>
      </c>
      <c r="I159" s="18" t="n">
        <f aca="false">$I$157+$I$158+$I$90</f>
        <v>64.04331272</v>
      </c>
      <c r="J159" s="18" t="n">
        <f aca="false">$J$157+$J$158+$J$90</f>
        <v>70.7703205</v>
      </c>
      <c r="K159" s="18" t="n">
        <f aca="false">$K$157+$K$158+$K$90</f>
        <v>73.48113332</v>
      </c>
      <c r="L159" s="18" t="n">
        <f aca="false">$L$157+$L$158+$L$90</f>
        <v>76.3003786528</v>
      </c>
    </row>
    <row r="160" customFormat="false" ht="15" hidden="false" customHeight="false" outlineLevel="0" collapsed="false">
      <c r="B160" s="9" t="s">
        <v>631</v>
      </c>
      <c r="F160" s="19" t="n">
        <f aca="false">$F$124</f>
        <v>255.3725</v>
      </c>
      <c r="G160" s="19" t="n">
        <f aca="false">$G$124</f>
        <v>297.42028125</v>
      </c>
      <c r="H160" s="19" t="n">
        <f aca="false">$H$124</f>
        <v>288.39934624375</v>
      </c>
      <c r="I160" s="19" t="n">
        <f aca="false">$I$124</f>
        <v>274.880415632547</v>
      </c>
      <c r="J160" s="19" t="n">
        <f aca="false">$J$124</f>
        <v>254.294576053716</v>
      </c>
      <c r="K160" s="19" t="n">
        <f aca="false">$K$124</f>
        <v>230.530821777788</v>
      </c>
      <c r="L160" s="19" t="n">
        <f aca="false">$L$124</f>
        <v>203.625529765845</v>
      </c>
    </row>
    <row r="161" customFormat="false" ht="15" hidden="false" customHeight="false" outlineLevel="0" collapsed="false">
      <c r="B161" s="17" t="s">
        <v>632</v>
      </c>
      <c r="F161" s="41" t="n">
        <f aca="false">$F$124/$F$159</f>
        <v>4.8642380952381</v>
      </c>
      <c r="G161" s="41" t="n">
        <f aca="false">$G$124/$G$159</f>
        <v>4.46241982370593</v>
      </c>
      <c r="H161" s="41" t="n">
        <f aca="false">$H$124/$H$159</f>
        <v>5.3818612026746</v>
      </c>
      <c r="I161" s="41" t="n">
        <f aca="false">$I$124/$I$159</f>
        <v>4.29210176610219</v>
      </c>
      <c r="J161" s="41" t="n">
        <f aca="false">$J$124/$J$159</f>
        <v>3.59323759249778</v>
      </c>
      <c r="K161" s="41" t="n">
        <f aca="false">$K$124/$K$159</f>
        <v>3.13727907235533</v>
      </c>
      <c r="L161" s="41" t="n">
        <f aca="false">$L$124/$L$159</f>
        <v>2.66873550775455</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0.885761904761905</v>
      </c>
      <c r="G163" s="24" t="n">
        <f aca="false">$G$162-$G$161</f>
        <v>0.787580176294075</v>
      </c>
      <c r="H163" s="24" t="n">
        <f aca="false">$H$162-$H$161</f>
        <v>-0.631861202674595</v>
      </c>
      <c r="I163" s="24" t="n">
        <f aca="false">$I$162-$I$161</f>
        <v>-0.0421017661021903</v>
      </c>
      <c r="J163" s="24" t="n">
        <f aca="false">$J$162-$J$161</f>
        <v>0.406762407502217</v>
      </c>
      <c r="K163" s="24" t="n">
        <f aca="false">$K$162-$K$161</f>
        <v>0.862720927644673</v>
      </c>
      <c r="L163" s="24" t="n">
        <f aca="false">$L$162-$L$161</f>
        <v>1.33126449224545</v>
      </c>
    </row>
    <row r="164" customFormat="false" ht="15" hidden="false" customHeight="false" outlineLevel="0" collapsed="false">
      <c r="B164" s="9" t="s">
        <v>635</v>
      </c>
      <c r="F164" s="14" t="n">
        <f aca="false">1-$F$124/($F$162*$F$159)</f>
        <v>0.154045548654244</v>
      </c>
      <c r="G164" s="14" t="n">
        <f aca="false">1-$G$124/($G$162*$G$159)</f>
        <v>0.150015271675062</v>
      </c>
      <c r="H164" s="14" t="n">
        <f aca="false">1-$H$124/($H$162*$H$159)</f>
        <v>-0.133023411089388</v>
      </c>
      <c r="I164" s="14" t="n">
        <f aca="false">1-$I$124/($I$162*$I$159)</f>
        <v>-0.00990629790639774</v>
      </c>
      <c r="J164" s="14" t="n">
        <f aca="false">1-$J$124/($J$162*$J$159)</f>
        <v>0.101690601875554</v>
      </c>
      <c r="K164" s="14" t="n">
        <f aca="false">1-$K$124/($K$162*$K$159)</f>
        <v>0.215680231911168</v>
      </c>
      <c r="L164" s="14" t="n">
        <f aca="false">1-$L$124/($L$162*$L$159)</f>
        <v>0.332816123061363</v>
      </c>
    </row>
    <row r="165" customFormat="false" ht="15" hidden="false" customHeight="false" outlineLevel="0" collapsed="false">
      <c r="B165" s="9" t="s">
        <v>636</v>
      </c>
      <c r="F165" s="19" t="n">
        <f aca="false">$F$164*$F$159</f>
        <v>8.08739130434783</v>
      </c>
      <c r="G165" s="19" t="n">
        <f aca="false">$G$164*$G$159</f>
        <v>9.99851785714287</v>
      </c>
      <c r="H165" s="19" t="n">
        <f aca="false">$H$164*$H$159</f>
        <v>-7.12836384078945</v>
      </c>
      <c r="I165" s="19" t="n">
        <f aca="false">$I$164*$I$159</f>
        <v>-0.634432134716912</v>
      </c>
      <c r="J165" s="19" t="n">
        <f aca="false">$J$164*$J$159</f>
        <v>7.19667648657088</v>
      </c>
      <c r="K165" s="19" t="n">
        <f aca="false">$K$164*$K$159</f>
        <v>15.8484278755531</v>
      </c>
      <c r="L165" s="19" t="n">
        <f aca="false">$L$164*$L$159</f>
        <v>25.3939962113389</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7.12836384078945</v>
      </c>
      <c r="I166" s="38" t="n">
        <f aca="false">MAX(0,$I$124/Assumptions!$I$169-($I$159-$I$90))</f>
        <v>0.634432134716917</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-0.885761904761905</v>
      </c>
      <c r="G167" s="24" t="n">
        <f aca="false">$G$125-Assumptions!$G$169</f>
        <v>0.094479447439352</v>
      </c>
      <c r="H167" s="24" t="n">
        <f aca="false">$H$125-Assumptions!$H$169</f>
        <v>0.840511876564434</v>
      </c>
      <c r="I167" s="24" t="n">
        <f aca="false">$I$125-Assumptions!$I$169</f>
        <v>0.0758748067446815</v>
      </c>
      <c r="J167" s="24" t="n">
        <f aca="false">$J$125-Assumptions!$J$169</f>
        <v>-0.406762407502217</v>
      </c>
      <c r="K167" s="24" t="n">
        <f aca="false">$K$125-Assumptions!$K$169</f>
        <v>-0.862720927644673</v>
      </c>
      <c r="L167" s="24" t="n">
        <f aca="false">$L$125-Assumptions!$L$169</f>
        <v>-1.33126449224545</v>
      </c>
    </row>
    <row r="168" customFormat="false" ht="15" hidden="false" customHeight="false" outlineLevel="0" collapsed="false">
      <c r="B168" s="9" t="s">
        <v>639</v>
      </c>
      <c r="F168" s="24" t="n">
        <f aca="false">$F$161-$F$162</f>
        <v>-0.885761904761905</v>
      </c>
      <c r="G168" s="24" t="n">
        <f aca="false">$G$161-$G$162</f>
        <v>-0.787580176294075</v>
      </c>
      <c r="H168" s="24" t="n">
        <f aca="false">$H$161-$H$162</f>
        <v>0.631861202674595</v>
      </c>
      <c r="I168" s="24" t="n">
        <f aca="false">$I$161-$I$162</f>
        <v>0.0421017661021903</v>
      </c>
      <c r="J168" s="24" t="n">
        <f aca="false">$J$161-$J$162</f>
        <v>-0.406762407502217</v>
      </c>
      <c r="K168" s="24" t="n">
        <f aca="false">$K$161-$K$162</f>
        <v>-0.862720927644673</v>
      </c>
      <c r="L168" s="24" t="n">
        <f aca="false">$L$161-$L$162</f>
        <v>-1.33126449224545</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70.7703205</v>
      </c>
    </row>
    <row r="172" customFormat="false" ht="15" hidden="false" customHeight="false" outlineLevel="0" collapsed="false">
      <c r="B172" s="17" t="s">
        <v>641</v>
      </c>
      <c r="D172" s="18" t="n">
        <f aca="false">$D$7*$D$171</f>
        <v>636.9328845</v>
      </c>
    </row>
    <row r="173" customFormat="false" ht="15" hidden="false" customHeight="false" outlineLevel="0" collapsed="false">
      <c r="B173" s="9" t="s">
        <v>642</v>
      </c>
      <c r="D173" s="19" t="n">
        <f aca="false">INDEX($E$124:$L$124,1,$D$170+1)</f>
        <v>254.294576053716</v>
      </c>
    </row>
    <row r="174" customFormat="false" ht="15" hidden="false" customHeight="false" outlineLevel="0" collapsed="false">
      <c r="B174" s="9" t="s">
        <v>643</v>
      </c>
      <c r="D174" s="19" t="n">
        <f aca="false">INDEX($E$118:$L$118,1,$D$170+1)</f>
        <v>232.902661671337</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28.6080856176208</v>
      </c>
    </row>
    <row r="178" customFormat="false" ht="15" hidden="false" customHeight="false" outlineLevel="0" collapsed="false">
      <c r="B178" s="9" t="s">
        <v>647</v>
      </c>
      <c r="D178" s="19" t="n">
        <f aca="false">$D$20*$D$172</f>
        <v>9.5539932675</v>
      </c>
    </row>
    <row r="179" customFormat="false" ht="15" hidden="false" customHeight="false" outlineLevel="0" collapsed="false">
      <c r="B179" s="17" t="s">
        <v>195</v>
      </c>
      <c r="D179" s="18" t="n">
        <f aca="false">$D$172-$D$173-$D$178</f>
        <v>373.084315178784</v>
      </c>
    </row>
    <row r="180" customFormat="false" ht="15" hidden="false" customHeight="false" outlineLevel="0" collapsed="false">
      <c r="B180" s="9" t="s">
        <v>648</v>
      </c>
      <c r="D180" s="19" t="n">
        <f aca="false">$D$171*(1-$D$20)</f>
        <v>69.7087656925</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1.7961878498224</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1.7961878498224</v>
      </c>
    </row>
    <row r="195" customFormat="false" ht="15" hidden="false" customHeight="false" outlineLevel="0" collapsed="false">
      <c r="B195" s="9" t="s">
        <v>663</v>
      </c>
      <c r="D195" s="34" t="n">
        <f aca="false">IF($D$194&gt;=Assumptions!$D$110,$D$191,$D$191*0.5)</f>
        <v>8.69565217391304</v>
      </c>
    </row>
    <row r="196" customFormat="false" ht="15" hidden="false" customHeight="false" outlineLevel="0" collapsed="false">
      <c r="B196" s="9" t="s">
        <v>664</v>
      </c>
      <c r="D196" s="35" t="n">
        <f aca="false">($D$179+$D$195*Assumptions!$D$108)/($D$189+$D$195)</f>
        <v>1.829362343565</v>
      </c>
    </row>
    <row r="197" customFormat="false" ht="15" hidden="false" customHeight="false" outlineLevel="0" collapsed="false">
      <c r="B197" s="9" t="s">
        <v>665</v>
      </c>
      <c r="D197" s="34" t="n">
        <f aca="false">IF($D$196&lt;Assumptions!$D$108,0,$D$195)</f>
        <v>8.69565217391304</v>
      </c>
    </row>
    <row r="198" customFormat="false" ht="15" hidden="false" customHeight="false" outlineLevel="0" collapsed="false">
      <c r="B198" s="17" t="s">
        <v>666</v>
      </c>
      <c r="D198" s="43" t="n">
        <f aca="false">IF($D$196&lt;Assumptions!$D$108,$D$179/$D$189,$D$196)</f>
        <v>1.829362343565</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347.578845277351</v>
      </c>
    </row>
    <row r="201" customFormat="false" ht="15" hidden="false" customHeight="false" outlineLevel="0" collapsed="false">
      <c r="B201" s="9" t="s">
        <v>668</v>
      </c>
      <c r="D201" s="14" t="n">
        <f aca="false">$D$200/$D$179</f>
        <v>0.931636177497276</v>
      </c>
    </row>
    <row r="202" customFormat="false" ht="15" hidden="false" customHeight="false" outlineLevel="0" collapsed="false">
      <c r="B202" s="9" t="s">
        <v>669</v>
      </c>
      <c r="D202" s="19" t="n">
        <f aca="false">$D$185*$D$198</f>
        <v>18.29362343565</v>
      </c>
    </row>
    <row r="203" customFormat="false" ht="15" hidden="false" customHeight="false" outlineLevel="0" collapsed="false">
      <c r="B203" s="9" t="s">
        <v>670</v>
      </c>
      <c r="D203" s="19" t="n">
        <f aca="false">$D$197*MAX(0,$D$198-Assumptions!$D$108)</f>
        <v>7.21184646578265</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25.5054699014327</v>
      </c>
    </row>
    <row r="206" customFormat="false" ht="15" hidden="false" customHeight="false" outlineLevel="0" collapsed="false">
      <c r="B206" s="9" t="s">
        <v>673</v>
      </c>
      <c r="D206" s="24" t="n">
        <f aca="false">$D$205/$D$47</f>
        <v>2.55054699014327</v>
      </c>
    </row>
    <row r="207" customFormat="false" ht="15" hidden="false" customHeight="false" outlineLevel="0" collapsed="false">
      <c r="B207" s="9" t="s">
        <v>674</v>
      </c>
      <c r="D207" s="19" t="n">
        <f aca="false">$D$187*$D$198</f>
        <v>7.31744937426002</v>
      </c>
    </row>
    <row r="208" customFormat="false" ht="15" hidden="false" customHeight="false" outlineLevel="0" collapsed="false">
      <c r="B208" s="9" t="s">
        <v>675</v>
      </c>
      <c r="D208" s="19" t="n">
        <f aca="false">$D$203*Assumptions!$D$112</f>
        <v>2.52414626302393</v>
      </c>
    </row>
    <row r="209" customFormat="false" ht="15" hidden="false" customHeight="false" outlineLevel="0" collapsed="false">
      <c r="B209" s="9" t="s">
        <v>676</v>
      </c>
      <c r="D209" s="19" t="n">
        <f aca="false">$D$207+$D$208</f>
        <v>9.84159563728395</v>
      </c>
    </row>
    <row r="210" customFormat="false" ht="15" hidden="false" customHeight="false" outlineLevel="0" collapsed="false">
      <c r="B210" s="9" t="s">
        <v>677</v>
      </c>
      <c r="D210" s="24" t="n">
        <f aca="false">$D$209/Assumptions!$D$111</f>
        <v>2.46039890932099</v>
      </c>
    </row>
    <row r="211" customFormat="false" ht="15" hidden="false" customHeight="false" outlineLevel="0" collapsed="false">
      <c r="B211" s="9" t="s">
        <v>678</v>
      </c>
      <c r="D211" s="19" t="n">
        <f aca="false">$D$179*$D$190/$D$189</f>
        <v>354.430099419844</v>
      </c>
    </row>
    <row r="212" customFormat="false" ht="15" hidden="false" customHeight="false" outlineLevel="0" collapsed="false">
      <c r="B212" s="9" t="s">
        <v>679</v>
      </c>
      <c r="D212" s="19" t="n">
        <f aca="false">$D$211-$D$200</f>
        <v>6.85125414249347</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347.578845277351</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373.084315178784</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0.128391866356015</v>
      </c>
    </row>
    <row r="224" customFormat="false" ht="15" hidden="false" customHeight="false" outlineLevel="0" collapsed="false">
      <c r="B224" s="9" t="s">
        <v>689</v>
      </c>
      <c r="D224" s="25" t="n">
        <f aca="false">XIRR($E$219:$L$219,$E$221:$L$221,0.1)</f>
        <v>0.128317223483264</v>
      </c>
    </row>
    <row r="225" customFormat="false" ht="15" hidden="false" customHeight="false" outlineLevel="0" collapsed="false">
      <c r="B225" s="17" t="s">
        <v>690</v>
      </c>
      <c r="D225" s="41" t="n">
        <f aca="false">SUMIF($E$219:$L$219,"&gt;0")/-SUMIF($E$219:$L$219,"&lt;0")</f>
        <v>1.829362343565</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0.132805630895533</v>
      </c>
    </row>
    <row r="228" customFormat="false" ht="15" hidden="false" customHeight="false" outlineLevel="0" collapsed="false">
      <c r="B228" s="9" t="s">
        <v>693</v>
      </c>
      <c r="D228" s="24" t="n">
        <f aca="false">SUMIF($E$220:$L$220,"&gt;0")/-SUMIF($E$220:$L$220,"&lt;0")</f>
        <v>1.86542157589392</v>
      </c>
    </row>
    <row r="229" customFormat="false" ht="15" hidden="false" customHeight="false" outlineLevel="0" collapsed="false">
      <c r="B229" s="9" t="s">
        <v>694</v>
      </c>
      <c r="D229" s="19" t="n">
        <f aca="false">SUM($E$220:$L$220)</f>
        <v>173.084315178784</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63.5054239462835</v>
      </c>
    </row>
    <row r="232" customFormat="false" ht="15" hidden="false" customHeight="false" outlineLevel="0" collapsed="false">
      <c r="B232" s="9" t="s">
        <v>697</v>
      </c>
      <c r="D232" s="19" t="n">
        <f aca="false">SUMPRODUCT(($F$64:$L$64&lt;=$D$170)*$F$105:$L$105)</f>
        <v>128.758977656217</v>
      </c>
    </row>
    <row r="233" customFormat="false" ht="15" hidden="false" customHeight="false" outlineLevel="0" collapsed="false">
      <c r="B233" s="9" t="s">
        <v>698</v>
      </c>
      <c r="D233" s="19" t="n">
        <f aca="false">SUMPRODUCT(($F$64:$L$64&lt;=$D$170)*$F$139:$L$139)</f>
        <v>33.9680276175</v>
      </c>
    </row>
    <row r="234" customFormat="false" ht="15" hidden="false" customHeight="false" outlineLevel="0" collapsed="false">
      <c r="B234" s="9" t="s">
        <v>699</v>
      </c>
      <c r="D234" s="38" t="n">
        <f aca="false">SUMPRODUCT(($F$64:$L$64&lt;=$D$170)*$F$109:$L$109)</f>
        <v>12.45</v>
      </c>
    </row>
    <row r="235" customFormat="false" ht="15" hidden="false" customHeight="false" outlineLevel="0" collapsed="false">
      <c r="B235" s="9" t="s">
        <v>700</v>
      </c>
      <c r="D235" s="19" t="n">
        <f aca="false">SUMPRODUCT(($F$64:$L$64&lt;=$D$170)*$F$115:$L$115)</f>
        <v>19.6473383286627</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32.0973383286627</v>
      </c>
    </row>
    <row r="238" customFormat="false" ht="15" hidden="false" customHeight="false" outlineLevel="0" collapsed="false">
      <c r="B238" s="9" t="s">
        <v>703</v>
      </c>
      <c r="D238" s="19" t="n">
        <f aca="false">$D$54-$D$173</f>
        <v>10.7054239462835</v>
      </c>
    </row>
    <row r="239" customFormat="false" ht="15" hidden="false" customHeight="false" outlineLevel="0" collapsed="false">
      <c r="B239" s="9" t="s">
        <v>704</v>
      </c>
      <c r="D239" s="25" t="n">
        <f aca="false">($D$171/$D$28)^(1/$D$170)-1</f>
        <v>0.0719542034576532</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186.9328845</v>
      </c>
    </row>
    <row r="242" customFormat="false" ht="15" hidden="false" customHeight="false" outlineLevel="0" collapsed="false">
      <c r="B242" s="9" t="s">
        <v>234</v>
      </c>
      <c r="D242" s="14" t="n">
        <f aca="false">$D$172/$D$29-1</f>
        <v>0.41540641</v>
      </c>
    </row>
    <row r="243" customFormat="false" ht="15" hidden="false" customHeight="false" outlineLevel="0" collapsed="false">
      <c r="B243" s="9" t="s">
        <v>235</v>
      </c>
      <c r="D243" s="25" t="n">
        <f aca="false">($D$172/$D$29)^(1/$D$170)-1</f>
        <v>0.0719542034576532</v>
      </c>
    </row>
    <row r="244" customFormat="false" ht="15" hidden="false" customHeight="false" outlineLevel="0" collapsed="false">
      <c r="B244" s="9" t="s">
        <v>236</v>
      </c>
      <c r="D244" s="14" t="n">
        <f aca="false">$D$179/$D$46-1</f>
        <v>0.865421575893918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728</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11" t="n">
        <v>0.5</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0.159375</v>
      </c>
      <c r="G66" s="25" t="n">
        <f aca="false">Assumptions!$D$25+$D$11*Assumptions!$G$166+$G$25</f>
        <v>0.163125</v>
      </c>
      <c r="H66" s="25" t="n">
        <f aca="false">Assumptions!$D$25+$D$11*Assumptions!$H$166+$H$25</f>
        <v>0.135625</v>
      </c>
      <c r="I66" s="25" t="n">
        <f aca="false">Assumptions!$D$25+$D$11*Assumptions!$I$166+$I$25</f>
        <v>0.155625</v>
      </c>
      <c r="J66" s="25" t="n">
        <f aca="false">Assumptions!$D$25+$D$11*Assumptions!$J$166+$J$25</f>
        <v>0.165625</v>
      </c>
      <c r="K66" s="25" t="n">
        <f aca="false">Assumptions!$D$25+$D$11*Assumptions!$K$166+$K$25</f>
        <v>0.165625</v>
      </c>
      <c r="L66" s="25" t="n">
        <f aca="false">Assumptions!$D$25+$D$11*Assumptions!$L$166+$L$25</f>
        <v>0.165625</v>
      </c>
    </row>
    <row r="67" customFormat="false" ht="15" hidden="false" customHeight="false" outlineLevel="0" collapsed="false">
      <c r="B67" s="9" t="s">
        <v>549</v>
      </c>
      <c r="E67" s="19" t="n">
        <f aca="false">$E$65*$E$66</f>
        <v>50</v>
      </c>
      <c r="F67" s="19" t="n">
        <f aca="false">$F$65*$F$66</f>
        <v>53.55</v>
      </c>
      <c r="G67" s="19" t="n">
        <f aca="false">$G$65*$G$66</f>
        <v>58.0986</v>
      </c>
      <c r="H67" s="19" t="n">
        <f aca="false">$H$65*$H$66</f>
        <v>45.405948</v>
      </c>
      <c r="I67" s="19" t="n">
        <f aca="false">$I$65*$I$66</f>
        <v>55.74887892</v>
      </c>
      <c r="J67" s="19" t="n">
        <f aca="false">$J$65*$J$66</f>
        <v>62.29769301</v>
      </c>
      <c r="K67" s="19" t="n">
        <f aca="false">$K$65*$K$66</f>
        <v>64.7896007304</v>
      </c>
      <c r="L67" s="19" t="n">
        <f aca="false">$L$65*$L$66</f>
        <v>67.381184759616</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53.55</v>
      </c>
      <c r="G72" s="18" t="n">
        <f aca="false">$G$67+IF(AND($D$12=1,$G$64&gt;Assumptions!$D$116),$G$69+$G$70,0)</f>
        <v>58.0986</v>
      </c>
      <c r="H72" s="18" t="n">
        <f aca="false">$H$67+IF(AND($D$12=1,$H$64&gt;Assumptions!$D$116),$H$69+$H$70,0)</f>
        <v>54.725948</v>
      </c>
      <c r="I72" s="18" t="n">
        <f aca="false">$I$67+IF(AND($D$12=1,$I$64&gt;Assumptions!$D$116),$I$69+$I$70,0)</f>
        <v>66.90167892</v>
      </c>
      <c r="J72" s="18" t="n">
        <f aca="false">$J$67+IF(AND($D$12=1,$J$64&gt;Assumptions!$D$116),$J$69+$J$70,0)</f>
        <v>74.29660501</v>
      </c>
      <c r="K72" s="18" t="n">
        <f aca="false">$K$67+IF(AND($D$12=1,$K$64&gt;Assumptions!$D$116),$K$69+$K$70,0)</f>
        <v>77.1484692104</v>
      </c>
      <c r="L72" s="18" t="n">
        <f aca="false">$L$67+IF(AND($D$12=1,$L$64&gt;Assumptions!$D$116),$L$69+$L$70,0)</f>
        <v>80.114407978816</v>
      </c>
    </row>
    <row r="73" customFormat="false" ht="15" hidden="false" customHeight="false" outlineLevel="0" collapsed="false">
      <c r="B73" s="9" t="s">
        <v>555</v>
      </c>
      <c r="E73" s="14" t="n">
        <f aca="false">$E$72/$E$71</f>
        <v>0.15625</v>
      </c>
      <c r="F73" s="14" t="n">
        <f aca="false">$F$72/$F$71</f>
        <v>0.159375</v>
      </c>
      <c r="G73" s="14" t="n">
        <f aca="false">$G$72/$G$71</f>
        <v>0.163125</v>
      </c>
      <c r="H73" s="14" t="n">
        <f aca="false">$H$72/$H$71</f>
        <v>0.137782655371328</v>
      </c>
      <c r="I73" s="14" t="n">
        <f aca="false">$I$72/$I$71</f>
        <v>0.158114496355999</v>
      </c>
      <c r="J73" s="14" t="n">
        <f aca="false">$J$72/$J$71</f>
        <v>0.167474690325283</v>
      </c>
      <c r="K73" s="14" t="n">
        <f aca="false">$K$72/$K$71</f>
        <v>0.167214597650426</v>
      </c>
      <c r="L73" s="14" t="n">
        <f aca="false">$L$72/$L$71</f>
        <v>0.166964508539987</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10.49375</v>
      </c>
      <c r="G91" s="18" t="n">
        <f aca="false">$G$72-$G$139-$G$105-$G$75-$G$79-$G$83-$G$87-$G$89</f>
        <v>12.817791875</v>
      </c>
      <c r="H91" s="18" t="n">
        <f aca="false">$H$72-$H$139-$H$105-$H$75-$H$79-$H$83-$H$87-$H$89</f>
        <v>11.7920299859375</v>
      </c>
      <c r="I91" s="18" t="n">
        <f aca="false">$I$72-$I$139-$I$105-$I$75-$I$79-$I$83-$I$87-$I$89</f>
        <v>16.633769575918</v>
      </c>
      <c r="J91" s="18" t="n">
        <f aca="false">$J$72-$J$139-$J$105-$J$75-$J$79-$J$83-$J$87-$J$89</f>
        <v>24.0730207895345</v>
      </c>
      <c r="K91" s="18" t="n">
        <f aca="false">$K$72-$K$139-$K$105-$K$75-$K$79-$K$83-$K$87-$K$89</f>
        <v>27.5365914095872</v>
      </c>
      <c r="L91" s="18" t="n">
        <f aca="false">$L$72-$L$139-$L$105-$L$75-$L$79-$L$83-$L$87-$L$89</f>
        <v>30.2291280743877</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14.121875</v>
      </c>
      <c r="H94" s="19" t="n">
        <f aca="false">$G$123</f>
        <v>10.9448334375</v>
      </c>
      <c r="I94" s="19" t="n">
        <f aca="false">$H$123</f>
        <v>15.0434317117188</v>
      </c>
      <c r="J94" s="19" t="n">
        <f aca="false">$I$123</f>
        <v>19.5136006438184</v>
      </c>
      <c r="K94" s="19" t="n">
        <f aca="false">$J$123</f>
        <v>33.2024660750147</v>
      </c>
      <c r="L94" s="19" t="n">
        <f aca="false">$K$123</f>
        <v>58.0890574846019</v>
      </c>
    </row>
    <row r="95" customFormat="false" ht="15" hidden="false" customHeight="false" outlineLevel="0" collapsed="false">
      <c r="B95" s="9" t="s">
        <v>576</v>
      </c>
      <c r="F95" s="19" t="n">
        <f aca="false">$E$123+$F$91-$F$109-$F$82-$F$85+$F$84+$F$86-$F$88+$F$90</f>
        <v>18.24375</v>
      </c>
      <c r="G95" s="19" t="n">
        <f aca="false">$F$123+$G$91-$G$109-$G$82-$G$85+$G$84+$G$86-$G$88+$G$90</f>
        <v>11.889666875</v>
      </c>
      <c r="H95" s="19" t="n">
        <f aca="false">$G$123+$H$91-$H$109-$H$82-$H$85+$H$84+$H$86-$H$88+$H$90</f>
        <v>20.0868634234375</v>
      </c>
      <c r="I95" s="19" t="n">
        <f aca="false">$H$123+$I$91-$I$109-$I$82-$I$85+$I$84+$I$86-$I$88+$I$90</f>
        <v>29.0272012876367</v>
      </c>
      <c r="J95" s="19" t="n">
        <f aca="false">$I$123+$J$91-$J$109-$J$82-$J$85+$J$84+$J$86-$J$88+$J$90</f>
        <v>40.9366214333529</v>
      </c>
      <c r="K95" s="19" t="n">
        <f aca="false">$J$123+$K$91-$K$109-$K$82-$K$85+$K$84+$K$86-$K$88+$K$90</f>
        <v>58.0890574846019</v>
      </c>
      <c r="L95" s="19" t="n">
        <f aca="false">$K$123+$L$91-$L$109-$L$82-$L$85+$L$84+$L$86-$L$88+$L$90</f>
        <v>85.6681855589896</v>
      </c>
    </row>
    <row r="96" customFormat="false" ht="15" hidden="false" customHeight="false" outlineLevel="0" collapsed="false">
      <c r="B96" s="17" t="s">
        <v>577</v>
      </c>
      <c r="F96" s="18" t="n">
        <f aca="false">$F$95+$F$110-$F$111-$F$115</f>
        <v>14.121875</v>
      </c>
      <c r="G96" s="18" t="n">
        <f aca="false">$G$95+$G$110-$G$111-$G$115</f>
        <v>10.9448334375</v>
      </c>
      <c r="H96" s="18" t="n">
        <f aca="false">$H$95+$H$110-$H$111-$H$115</f>
        <v>15.0434317117188</v>
      </c>
      <c r="I96" s="18" t="n">
        <f aca="false">$I$95+$I$110-$I$111-$I$115</f>
        <v>19.5136006438184</v>
      </c>
      <c r="J96" s="18" t="n">
        <f aca="false">$J$95+$J$110-$J$111-$J$115</f>
        <v>33.2024660750147</v>
      </c>
      <c r="K96" s="18" t="n">
        <f aca="false">$K$95+$K$110-$K$111-$K$115</f>
        <v>58.0890574846019</v>
      </c>
      <c r="L96" s="18" t="n">
        <f aca="false">$L$95+$L$110-$L$111-$L$115</f>
        <v>85.6681855589896</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18.583390625</v>
      </c>
      <c r="H101" s="38" t="n">
        <f aca="false">$G$118*$H$100</f>
        <v>21.7118297828125</v>
      </c>
      <c r="I101" s="38" t="n">
        <f aca="false">$H$118*$I$100</f>
        <v>21.0578880873164</v>
      </c>
      <c r="J101" s="38" t="n">
        <f aca="false">$I$118*$J$100</f>
        <v>20.0239820325918</v>
      </c>
      <c r="K101" s="38" t="n">
        <f aca="false">$J$118*$K$100</f>
        <v>19.1413288271331</v>
      </c>
      <c r="L101" s="38" t="n">
        <f aca="false">$K$118*$L$100</f>
        <v>18.9160788271331</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0.2824375</v>
      </c>
      <c r="H104" s="38" t="n">
        <f aca="false">$G$123*Assumptions!$D$9</f>
        <v>0.21889666875</v>
      </c>
      <c r="I104" s="38" t="n">
        <f aca="false">$H$123*Assumptions!$D$9</f>
        <v>0.300868634234375</v>
      </c>
      <c r="J104" s="38" t="n">
        <f aca="false">$I$123*Assumptions!$D$9</f>
        <v>0.390272012876367</v>
      </c>
      <c r="K104" s="38" t="n">
        <f aca="false">$J$123*Assumptions!$D$9</f>
        <v>0.664049321500293</v>
      </c>
      <c r="L104" s="38" t="n">
        <f aca="false">$K$123*Assumptions!$D$9</f>
        <v>1.16178114969204</v>
      </c>
    </row>
    <row r="105" customFormat="false" ht="15" hidden="false" customHeight="false" outlineLevel="0" collapsed="false">
      <c r="B105" s="17" t="s">
        <v>585</v>
      </c>
      <c r="F105" s="40" t="n">
        <f aca="false">$F$101+$F$102+$F$103-$F$104</f>
        <v>24.625</v>
      </c>
      <c r="G105" s="40" t="n">
        <f aca="false">$G$101+$G$102+$G$103-$G$104</f>
        <v>24.000953125</v>
      </c>
      <c r="H105" s="40" t="n">
        <f aca="false">$H$101+$H$102+$H$103-$H$104</f>
        <v>27.1929331140625</v>
      </c>
      <c r="I105" s="40" t="n">
        <f aca="false">$I$101+$I$102+$I$103-$I$104</f>
        <v>26.457019453082</v>
      </c>
      <c r="J105" s="40" t="n">
        <f aca="false">$J$101+$J$102+$J$103-$J$104</f>
        <v>25.3337100197155</v>
      </c>
      <c r="K105" s="40" t="n">
        <f aca="false">$K$101+$K$102+$K$103-$K$104</f>
        <v>24.1772795056328</v>
      </c>
      <c r="L105" s="40" t="n">
        <f aca="false">$L$101+$L$102+$L$103-$L$104</f>
        <v>23.4542976774411</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2.1746192893401</v>
      </c>
      <c r="G107" s="24" t="n">
        <f aca="false">IF($G$105&lt;&gt;0,$G$72/$G$105,0)</f>
        <v>2.42067886626898</v>
      </c>
      <c r="H107" s="24" t="n">
        <f aca="false">IF($H$105&lt;&gt;0,$H$72/$H$105,0)</f>
        <v>2.012506255594</v>
      </c>
      <c r="I107" s="24" t="n">
        <f aca="false">IF($I$105&lt;&gt;0,$I$72/$I$105,0)</f>
        <v>2.52869296326599</v>
      </c>
      <c r="J107" s="24" t="n">
        <f aca="false">IF($J$105&lt;&gt;0,$J$72/$J$105,0)</f>
        <v>2.93271711692366</v>
      </c>
      <c r="K107" s="24" t="n">
        <f aca="false">IF($K$105&lt;&gt;0,$K$72/$K$105,0)</f>
        <v>3.19094913852595</v>
      </c>
      <c r="L107" s="24" t="n">
        <f aca="false">IF($L$105&lt;&gt;0,$L$72/$L$105,0)</f>
        <v>3.41576665737777</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2.65</v>
      </c>
      <c r="K109" s="38" t="n">
        <f aca="false">IF($D$14=1,0,MIN($J$118,Assumptions!$D$85*$J$119))</f>
        <v>2.65</v>
      </c>
      <c r="L109" s="38" t="n">
        <f aca="false">IF($D$14=1,0,MIN($K$118,Assumptions!$D$85*$K$119))</f>
        <v>2.65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18.24375</v>
      </c>
      <c r="G112" s="19" t="n">
        <f aca="false">$G$95+$G$110-$G$111</f>
        <v>11.889666875</v>
      </c>
      <c r="H112" s="19" t="n">
        <f aca="false">$H$95+$H$110-$H$111</f>
        <v>20.0868634234375</v>
      </c>
      <c r="I112" s="19" t="n">
        <f aca="false">$I$95+$I$110-$I$111</f>
        <v>29.0272012876367</v>
      </c>
      <c r="J112" s="19" t="n">
        <f aca="false">$J$95+$J$110-$J$111</f>
        <v>40.9366214333529</v>
      </c>
      <c r="K112" s="19" t="n">
        <f aca="false">$K$95+$K$110-$K$111</f>
        <v>58.0890574846019</v>
      </c>
      <c r="L112" s="19" t="n">
        <f aca="false">$L$95+$L$110-$L$111</f>
        <v>85.6681855589896</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0.5</v>
      </c>
      <c r="J113" s="29" t="n">
        <f aca="false">IF($I$125&gt;Assumptions!$D$100,Assumptions!$E$100,IF($I$125&gt;Assumptions!$D$101,Assumptions!$E$101,IF($I$125&gt;Assumptions!$D$102,Assumptions!$E$102,0)))</f>
        <v>0.25</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8.24375</v>
      </c>
      <c r="G114" s="19" t="n">
        <f aca="false">MAX(0,$G$112-Assumptions!$D$79)</f>
        <v>1.88966687500001</v>
      </c>
      <c r="H114" s="19" t="n">
        <f aca="false">MAX(0,$H$112-Assumptions!$D$79)</f>
        <v>10.0868634234375</v>
      </c>
      <c r="I114" s="19" t="n">
        <f aca="false">MAX(0,$I$112-Assumptions!$D$79)</f>
        <v>19.0272012876367</v>
      </c>
      <c r="J114" s="19" t="n">
        <f aca="false">MAX(0,$J$112-Assumptions!$D$79)</f>
        <v>30.9366214333529</v>
      </c>
      <c r="K114" s="19" t="n">
        <f aca="false">MAX(0,$K$112-Assumptions!$D$79)</f>
        <v>48.0890574846019</v>
      </c>
      <c r="L114" s="19" t="n">
        <f aca="false">MAX(0,$L$112-Assumptions!$D$79)</f>
        <v>75.6681855589896</v>
      </c>
    </row>
    <row r="115" customFormat="false" ht="15" hidden="false" customHeight="false" outlineLevel="0" collapsed="false">
      <c r="B115" s="17" t="s">
        <v>595</v>
      </c>
      <c r="F115" s="18" t="n">
        <f aca="false">IF(AND($D$19=1,$D$14=0,$E$121-$F$111+$F$110=0),MIN($E$118-$F$109+$F$84,$F$113*$F$114),0)</f>
        <v>4.121875</v>
      </c>
      <c r="G115" s="18" t="n">
        <f aca="false">IF(AND($D$19=1,$D$14=0,$F$121-$G$111+$G$110=0),MIN($F$118-$G$109+$G$84,$G$113*$G$114),0)</f>
        <v>0.944833437500003</v>
      </c>
      <c r="H115" s="18" t="n">
        <f aca="false">IF(AND($D$19=1,$D$14=0,$G$121-$H$111+$H$110=0),MIN($G$118-$H$109+$H$84,$H$113*$H$114),0)</f>
        <v>5.04343171171876</v>
      </c>
      <c r="I115" s="18" t="n">
        <f aca="false">IF(AND($D$19=1,$D$14=0,$H$121-$I$111+$I$110=0),MIN($H$118-$I$109+$I$84,$I$113*$I$114),0)</f>
        <v>9.51360064381836</v>
      </c>
      <c r="J115" s="18" t="n">
        <f aca="false">IF(AND($D$19=1,$D$14=0,$I$121-$J$111+$J$110=0),MIN($I$118-$J$109+$J$84,$J$113*$J$114),0)</f>
        <v>7.73415535833822</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218.628125</v>
      </c>
      <c r="G118" s="19" t="n">
        <f aca="false">$F$118-$G$109-$G$115+$G$84+$G$86</f>
        <v>255.4332915625</v>
      </c>
      <c r="H118" s="19" t="n">
        <f aca="false">$G$118-$H$109-$H$115+$H$84+$H$86</f>
        <v>247.739859850781</v>
      </c>
      <c r="I118" s="19" t="n">
        <f aca="false">$H$118-$I$109-$I$115+$I$84+$I$86</f>
        <v>235.576259206963</v>
      </c>
      <c r="J118" s="19" t="n">
        <f aca="false">$I$118-$J$109-$J$115+$J$84+$J$86</f>
        <v>225.192103848625</v>
      </c>
      <c r="K118" s="19" t="n">
        <f aca="false">$J$118-$K$109-$K$115+$K$84+$K$86</f>
        <v>222.542103848625</v>
      </c>
      <c r="L118" s="19" t="n">
        <f aca="false">$K$118-$L$109-$L$115+$L$84+$L$86</f>
        <v>219.892103848625</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268.628125</v>
      </c>
      <c r="G122" s="18" t="n">
        <f aca="false">$G$118+$G$120+$G$121</f>
        <v>305.4332915625</v>
      </c>
      <c r="H122" s="18" t="n">
        <f aca="false">$H$118+$H$120+$H$121</f>
        <v>297.739859850781</v>
      </c>
      <c r="I122" s="18" t="n">
        <f aca="false">$I$118+$I$120+$I$121</f>
        <v>285.576259206963</v>
      </c>
      <c r="J122" s="18" t="n">
        <f aca="false">$J$118+$J$120+$J$121</f>
        <v>275.192103848625</v>
      </c>
      <c r="K122" s="18" t="n">
        <f aca="false">$K$118+$K$120+$K$121</f>
        <v>272.542103848625</v>
      </c>
      <c r="L122" s="18" t="n">
        <f aca="false">$L$118+$L$120+$L$121</f>
        <v>269.892103848625</v>
      </c>
    </row>
    <row r="123" customFormat="false" ht="15" hidden="false" customHeight="false" outlineLevel="0" collapsed="false">
      <c r="B123" s="9" t="s">
        <v>600</v>
      </c>
      <c r="E123" s="19" t="n">
        <f aca="false">Assumptions!$D$78</f>
        <v>10</v>
      </c>
      <c r="F123" s="19" t="n">
        <f aca="false">$F$112-$F$115</f>
        <v>14.121875</v>
      </c>
      <c r="G123" s="19" t="n">
        <f aca="false">$G$112-$G$115</f>
        <v>10.9448334375</v>
      </c>
      <c r="H123" s="19" t="n">
        <f aca="false">$H$112-$H$115</f>
        <v>15.0434317117188</v>
      </c>
      <c r="I123" s="19" t="n">
        <f aca="false">$I$112-$I$115</f>
        <v>19.5136006438184</v>
      </c>
      <c r="J123" s="19" t="n">
        <f aca="false">$J$112-$J$115</f>
        <v>33.2024660750147</v>
      </c>
      <c r="K123" s="19" t="n">
        <f aca="false">$K$112-$K$115</f>
        <v>58.0890574846019</v>
      </c>
      <c r="L123" s="19" t="n">
        <f aca="false">$L$112-$L$115</f>
        <v>85.6681855589896</v>
      </c>
    </row>
    <row r="124" customFormat="false" ht="15" hidden="false" customHeight="false" outlineLevel="0" collapsed="false">
      <c r="B124" s="17" t="s">
        <v>601</v>
      </c>
      <c r="E124" s="18" t="n">
        <f aca="false">$E$122-$E$123</f>
        <v>265</v>
      </c>
      <c r="F124" s="18" t="n">
        <f aca="false">$F$122-$F$123</f>
        <v>254.50625</v>
      </c>
      <c r="G124" s="18" t="n">
        <f aca="false">$G$122-$G$123</f>
        <v>294.488458125</v>
      </c>
      <c r="H124" s="18" t="n">
        <f aca="false">$H$122-$H$123</f>
        <v>282.696428139063</v>
      </c>
      <c r="I124" s="18" t="n">
        <f aca="false">$I$122-$I$123</f>
        <v>266.062658563145</v>
      </c>
      <c r="J124" s="18" t="n">
        <f aca="false">$J$122-$J$123</f>
        <v>241.98963777361</v>
      </c>
      <c r="K124" s="18" t="n">
        <f aca="false">$K$122-$K$123</f>
        <v>214.453046364023</v>
      </c>
      <c r="L124" s="18" t="n">
        <f aca="false">$L$122-$L$123</f>
        <v>184.223918289635</v>
      </c>
    </row>
    <row r="125" customFormat="false" ht="15" hidden="false" customHeight="false" outlineLevel="0" collapsed="false">
      <c r="B125" s="9" t="s">
        <v>538</v>
      </c>
      <c r="E125" s="24" t="n">
        <f aca="false">$E$124/$E$72</f>
        <v>5.3</v>
      </c>
      <c r="F125" s="24" t="n">
        <f aca="false">$F$124/$F$72</f>
        <v>4.75268440709617</v>
      </c>
      <c r="G125" s="24" t="n">
        <f aca="false">$G$124/$G$72</f>
        <v>5.0687702995425</v>
      </c>
      <c r="H125" s="24" t="n">
        <f aca="false">$H$124/$H$72</f>
        <v>5.16567439158957</v>
      </c>
      <c r="I125" s="24" t="n">
        <f aca="false">$I$124/$I$72</f>
        <v>3.9769205027171</v>
      </c>
      <c r="J125" s="24" t="n">
        <f aca="false">$J$124/$J$72</f>
        <v>3.25707530971354</v>
      </c>
      <c r="K125" s="24" t="n">
        <f aca="false">$K$124/$K$72</f>
        <v>2.77974467360026</v>
      </c>
      <c r="L125" s="24" t="n">
        <f aca="false">$L$124/$L$72</f>
        <v>2.29951044933575</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41.79</v>
      </c>
      <c r="G129" s="38" t="n">
        <f aca="false">$G$72-$G$74</f>
        <v>45.633</v>
      </c>
      <c r="H129" s="38" t="n">
        <f aca="false">$H$72-$H$74</f>
        <v>40.824284</v>
      </c>
      <c r="I129" s="38" t="n">
        <f aca="false">$I$72-$I$74</f>
        <v>52.09241844</v>
      </c>
      <c r="J129" s="38" t="n">
        <f aca="false">$J$72-$J$74</f>
        <v>58.769595106</v>
      </c>
      <c r="K129" s="38" t="n">
        <f aca="false">$K$72-$K$74</f>
        <v>61.00037891024</v>
      </c>
      <c r="L129" s="38" t="n">
        <f aca="false">$L$72-$L$74</f>
        <v>63.3203940666496</v>
      </c>
    </row>
    <row r="130" customFormat="false" ht="15" hidden="false" customHeight="false" outlineLevel="0" collapsed="false">
      <c r="B130" s="9" t="s">
        <v>605</v>
      </c>
      <c r="F130" s="38" t="n">
        <f aca="false">$F$105+$F$106</f>
        <v>25.4107142857143</v>
      </c>
      <c r="G130" s="38" t="n">
        <f aca="false">$G$105+$G$106</f>
        <v>24.7866674107143</v>
      </c>
      <c r="H130" s="38" t="n">
        <f aca="false">$H$105+$H$106</f>
        <v>28.1386473997768</v>
      </c>
      <c r="I130" s="38" t="n">
        <f aca="false">$I$105+$I$106</f>
        <v>27.4027337387963</v>
      </c>
      <c r="J130" s="38" t="n">
        <f aca="false">$J$105+$J$106</f>
        <v>26.2794243054298</v>
      </c>
      <c r="K130" s="38" t="n">
        <f aca="false">$K$105+$K$106</f>
        <v>25.1229937913471</v>
      </c>
      <c r="L130" s="38" t="n">
        <f aca="false">$L$105+$L$106</f>
        <v>24.4000119631553</v>
      </c>
    </row>
    <row r="131" customFormat="false" ht="15" hidden="false" customHeight="false" outlineLevel="0" collapsed="false">
      <c r="B131" s="9" t="s">
        <v>606</v>
      </c>
      <c r="F131" s="38" t="n">
        <f aca="false">$F$129-$F$130-$F$83-$F$87-$F$89</f>
        <v>16.3792857142857</v>
      </c>
      <c r="G131" s="38" t="n">
        <f aca="false">$G$129-$G$130-$G$83-$G$87-$G$89</f>
        <v>19.3463325892857</v>
      </c>
      <c r="H131" s="38" t="n">
        <f aca="false">$H$129-$H$130-$H$83-$H$87-$H$89</f>
        <v>12.6856366002232</v>
      </c>
      <c r="I131" s="38" t="n">
        <f aca="false">$I$129-$I$130-$I$83-$I$87-$I$89</f>
        <v>24.6896847012037</v>
      </c>
      <c r="J131" s="38" t="n">
        <f aca="false">$J$129-$J$130-$J$83-$J$87-$J$89</f>
        <v>32.4901708005702</v>
      </c>
      <c r="K131" s="38" t="n">
        <f aca="false">$K$129-$K$130-$K$83-$K$87-$K$89</f>
        <v>35.8773851188929</v>
      </c>
      <c r="L131" s="38" t="n">
        <f aca="false">$L$129-$L$130-$L$83-$L$87-$L$89</f>
        <v>38.9203821034943</v>
      </c>
    </row>
    <row r="132" customFormat="false" ht="15" hidden="false" customHeight="false" outlineLevel="0" collapsed="false">
      <c r="B132" s="9" t="s">
        <v>607</v>
      </c>
      <c r="F132" s="38" t="n">
        <f aca="false">Assumptions!$D$8*$F$72</f>
        <v>16.065</v>
      </c>
      <c r="G132" s="38" t="n">
        <f aca="false">Assumptions!$D$8*$G$72</f>
        <v>17.42958</v>
      </c>
      <c r="H132" s="38" t="n">
        <f aca="false">Assumptions!$D$8*$H$72</f>
        <v>16.4177844</v>
      </c>
      <c r="I132" s="38" t="n">
        <f aca="false">Assumptions!$D$8*$I$72</f>
        <v>20.070503676</v>
      </c>
      <c r="J132" s="38" t="n">
        <f aca="false">Assumptions!$D$8*$J$72</f>
        <v>22.288981503</v>
      </c>
      <c r="K132" s="38" t="n">
        <f aca="false">Assumptions!$D$8*$K$72</f>
        <v>23.14454076312</v>
      </c>
      <c r="L132" s="38" t="n">
        <f aca="false">Assumptions!$D$8*$L$72</f>
        <v>24.0343223936448</v>
      </c>
    </row>
    <row r="133" customFormat="false" ht="15" hidden="false" customHeight="false" outlineLevel="0" collapsed="false">
      <c r="B133" s="9" t="s">
        <v>608</v>
      </c>
      <c r="F133" s="38" t="n">
        <f aca="false">$F$130+$E$135</f>
        <v>25.4107142857143</v>
      </c>
      <c r="G133" s="38" t="n">
        <f aca="false">$G$130+$F$135</f>
        <v>34.1323816964286</v>
      </c>
      <c r="H133" s="38" t="n">
        <f aca="false">$H$130+$G$135</f>
        <v>44.8414490962054</v>
      </c>
      <c r="I133" s="38" t="n">
        <f aca="false">$I$130+$H$135</f>
        <v>55.8263984350017</v>
      </c>
      <c r="J133" s="38" t="n">
        <f aca="false">$J$130+$I$135</f>
        <v>62.0353190644314</v>
      </c>
      <c r="K133" s="38" t="n">
        <f aca="false">$K$130+$J$135</f>
        <v>64.8693313527785</v>
      </c>
      <c r="L133" s="38" t="n">
        <f aca="false">$L$130+$K$135</f>
        <v>66.1248025528139</v>
      </c>
    </row>
    <row r="134" customFormat="false" ht="15" hidden="false" customHeight="false" outlineLevel="0" collapsed="false">
      <c r="B134" s="9" t="s">
        <v>609</v>
      </c>
      <c r="F134" s="38" t="n">
        <f aca="false">MIN($F$133,$F$132)</f>
        <v>16.065</v>
      </c>
      <c r="G134" s="38" t="n">
        <f aca="false">MIN($G$133,$G$132)</f>
        <v>17.42958</v>
      </c>
      <c r="H134" s="38" t="n">
        <f aca="false">MIN($H$133,$H$132)</f>
        <v>16.4177844</v>
      </c>
      <c r="I134" s="38" t="n">
        <f aca="false">MIN($I$133,$I$132)</f>
        <v>20.070503676</v>
      </c>
      <c r="J134" s="38" t="n">
        <f aca="false">MIN($J$133,$J$132)</f>
        <v>22.288981503</v>
      </c>
      <c r="K134" s="38" t="n">
        <f aca="false">MIN($K$133,$K$132)</f>
        <v>23.14454076312</v>
      </c>
      <c r="L134" s="38" t="n">
        <f aca="false">MIN($L$133,$L$132)</f>
        <v>24.0343223936448</v>
      </c>
    </row>
    <row r="135" customFormat="false" ht="15" hidden="false" customHeight="false" outlineLevel="0" collapsed="false">
      <c r="B135" s="9" t="s">
        <v>610</v>
      </c>
      <c r="E135" s="38" t="n">
        <f aca="false">0</f>
        <v>0</v>
      </c>
      <c r="F135" s="38" t="n">
        <f aca="false">$F$133-$F$134</f>
        <v>9.34571428571429</v>
      </c>
      <c r="G135" s="38" t="n">
        <f aca="false">$G$133-$G$134</f>
        <v>16.7028016964286</v>
      </c>
      <c r="H135" s="38" t="n">
        <f aca="false">$H$133-$H$134</f>
        <v>28.4236646962054</v>
      </c>
      <c r="I135" s="38" t="n">
        <f aca="false">$I$133-$I$134</f>
        <v>35.7558947590017</v>
      </c>
      <c r="J135" s="38" t="n">
        <f aca="false">$J$133-$J$134</f>
        <v>39.7463375614314</v>
      </c>
      <c r="K135" s="38" t="n">
        <f aca="false">$K$133-$K$134</f>
        <v>41.7247905896585</v>
      </c>
      <c r="L135" s="38" t="n">
        <f aca="false">$L$133-$L$134</f>
        <v>42.0904801591691</v>
      </c>
    </row>
    <row r="136" customFormat="false" ht="15" hidden="false" customHeight="false" outlineLevel="0" collapsed="false">
      <c r="B136" s="9" t="s">
        <v>611</v>
      </c>
      <c r="F136" s="38" t="n">
        <f aca="false">$F$129-$F$134-$F$83-$F$87-$F$89</f>
        <v>25.725</v>
      </c>
      <c r="G136" s="38" t="n">
        <f aca="false">$G$129-$G$134-$G$83-$G$87-$G$89</f>
        <v>26.70342</v>
      </c>
      <c r="H136" s="38" t="n">
        <f aca="false">$H$129-$H$134-$H$83-$H$87-$H$89</f>
        <v>24.4064996</v>
      </c>
      <c r="I136" s="38" t="n">
        <f aca="false">$I$129-$I$134-$I$83-$I$87-$I$89</f>
        <v>32.021914764</v>
      </c>
      <c r="J136" s="38" t="n">
        <f aca="false">$J$129-$J$134-$J$83-$J$87-$J$89</f>
        <v>36.480613603</v>
      </c>
      <c r="K136" s="38" t="n">
        <f aca="false">$K$129-$K$134-$K$83-$K$87-$K$89</f>
        <v>37.85583814712</v>
      </c>
      <c r="L136" s="38" t="n">
        <f aca="false">$L$129-$L$134-$L$83-$L$87-$L$89</f>
        <v>39.2860716730048</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6.43125</v>
      </c>
      <c r="G139" s="40" t="n">
        <f aca="false">IF($G$136&lt;0,0,Assumptions!$D$7*($G$136-$G$137))</f>
        <v>6.675855</v>
      </c>
      <c r="H139" s="40" t="n">
        <f aca="false">IF($H$136&lt;0,0,Assumptions!$D$7*($H$136-$H$137))</f>
        <v>6.1016249</v>
      </c>
      <c r="I139" s="40" t="n">
        <f aca="false">IF($I$136&lt;0,0,Assumptions!$D$7*($I$136-$I$137))</f>
        <v>8.005478691</v>
      </c>
      <c r="J139" s="40" t="n">
        <f aca="false">IF($J$136&lt;0,0,Assumptions!$D$7*($J$136-$J$137))</f>
        <v>9.12015340075</v>
      </c>
      <c r="K139" s="40" t="n">
        <f aca="false">IF($K$136&lt;0,0,Assumptions!$D$7*($K$136-$K$137))</f>
        <v>9.46395953678</v>
      </c>
      <c r="L139" s="40" t="n">
        <f aca="false">IF($L$136&lt;0,0,Assumptions!$D$7*($L$136-$L$137))</f>
        <v>9.8215179182512</v>
      </c>
    </row>
    <row r="140" customFormat="false" ht="15" hidden="false" customHeight="false" outlineLevel="0" collapsed="false">
      <c r="B140" s="9" t="s">
        <v>615</v>
      </c>
      <c r="F140" s="19" t="n">
        <f aca="false">$F$131-$F$139</f>
        <v>9.94803571428571</v>
      </c>
      <c r="G140" s="19" t="n">
        <f aca="false">$G$131-$G$139</f>
        <v>12.6704775892857</v>
      </c>
      <c r="H140" s="19" t="n">
        <f aca="false">$H$131-$H$139</f>
        <v>6.58401170022321</v>
      </c>
      <c r="I140" s="19" t="n">
        <f aca="false">$I$131-$I$139</f>
        <v>16.6842060102037</v>
      </c>
      <c r="J140" s="19" t="n">
        <f aca="false">$J$131-$J$139</f>
        <v>23.3700173998202</v>
      </c>
      <c r="K140" s="19" t="n">
        <f aca="false">$K$131-$K$139</f>
        <v>26.4134255821129</v>
      </c>
      <c r="L140" s="19" t="n">
        <f aca="false">$L$131-$L$139</f>
        <v>29.0988641852431</v>
      </c>
    </row>
    <row r="141" customFormat="false" ht="15" hidden="false" customHeight="false" outlineLevel="0" collapsed="false">
      <c r="B141" s="9" t="s">
        <v>616</v>
      </c>
      <c r="F141" s="38" t="n">
        <f aca="false">Assumptions!$D$7*($F$129-$F$130)</f>
        <v>4.09482142857143</v>
      </c>
      <c r="G141" s="38" t="n">
        <f aca="false">Assumptions!$D$7*($G$129-$G$130)</f>
        <v>5.21158314732143</v>
      </c>
      <c r="H141" s="38" t="n">
        <f aca="false">Assumptions!$D$7*($H$129-$H$130)</f>
        <v>3.1714091500558</v>
      </c>
      <c r="I141" s="38" t="n">
        <f aca="false">Assumptions!$D$7*($I$129-$I$130)</f>
        <v>6.17242117530092</v>
      </c>
      <c r="J141" s="38" t="n">
        <f aca="false">Assumptions!$D$7*($J$129-$J$130)</f>
        <v>8.12254270014256</v>
      </c>
      <c r="K141" s="38" t="n">
        <f aca="false">Assumptions!$D$7*($K$129-$K$130)</f>
        <v>8.96934627972323</v>
      </c>
      <c r="L141" s="38" t="n">
        <f aca="false">Assumptions!$D$7*($L$129-$L$130)</f>
        <v>9.73009552587356</v>
      </c>
    </row>
    <row r="142" customFormat="false" ht="15" hidden="false" customHeight="false" outlineLevel="0" collapsed="false">
      <c r="B142" s="9" t="s">
        <v>617</v>
      </c>
      <c r="F142" s="38" t="n">
        <f aca="false">$F$139-$F$141</f>
        <v>2.33642857142857</v>
      </c>
      <c r="G142" s="38" t="n">
        <f aca="false">$G$139-$G$141</f>
        <v>1.46427185267857</v>
      </c>
      <c r="H142" s="38" t="n">
        <f aca="false">$H$139-$H$141</f>
        <v>2.9302157499442</v>
      </c>
      <c r="I142" s="38" t="n">
        <f aca="false">$I$139-$I$141</f>
        <v>1.83305751569908</v>
      </c>
      <c r="J142" s="38" t="n">
        <f aca="false">$J$139-$J$141</f>
        <v>0.997610700607442</v>
      </c>
      <c r="K142" s="38" t="n">
        <f aca="false">$K$139-$K$141</f>
        <v>0.494613257056772</v>
      </c>
      <c r="L142" s="38" t="n">
        <f aca="false">$L$139-$L$141</f>
        <v>0.0914223923776341</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14.121875</v>
      </c>
      <c r="G145" s="19" t="n">
        <f aca="false">$G$123</f>
        <v>10.9448334375</v>
      </c>
      <c r="H145" s="19" t="n">
        <f aca="false">$H$123</f>
        <v>15.0434317117188</v>
      </c>
      <c r="I145" s="19" t="n">
        <f aca="false">$I$123</f>
        <v>19.5136006438184</v>
      </c>
      <c r="J145" s="19" t="n">
        <f aca="false">$J$123</f>
        <v>33.2024660750147</v>
      </c>
      <c r="K145" s="19" t="n">
        <f aca="false">$K$123</f>
        <v>58.0890574846019</v>
      </c>
      <c r="L145" s="19" t="n">
        <f aca="false">$L$123</f>
        <v>85.6681855589896</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469.076160714286</v>
      </c>
      <c r="G150" s="18" t="n">
        <f aca="false">$G$145+$G$146+$G$147+$G$148+$G$149</f>
        <v>518.551804866071</v>
      </c>
      <c r="H150" s="18" t="n">
        <f aca="false">$H$145+$H$146+$H$147+$H$148+$H$149</f>
        <v>517.442384854576</v>
      </c>
      <c r="I150" s="18" t="n">
        <f aca="false">$I$145+$I$146+$I$147+$I$148+$I$149</f>
        <v>521.962990220961</v>
      </c>
      <c r="J150" s="18" t="n">
        <f aca="false">$J$145+$J$146+$J$147+$J$148+$J$149</f>
        <v>534.948852262443</v>
      </c>
      <c r="K150" s="18" t="n">
        <f aca="false">$K$145+$K$146+$K$147+$K$148+$K$149</f>
        <v>558.712277844556</v>
      </c>
      <c r="L150" s="18" t="n">
        <f aca="false">$L$145+$L$146+$L$147+$L$148+$L$149</f>
        <v>585.161142029799</v>
      </c>
    </row>
    <row r="151" customFormat="false" ht="15" hidden="false" customHeight="false" outlineLevel="0" collapsed="false">
      <c r="B151" s="9" t="s">
        <v>291</v>
      </c>
      <c r="E151" s="19" t="n">
        <f aca="false">$E$122</f>
        <v>275</v>
      </c>
      <c r="F151" s="19" t="n">
        <f aca="false">$F$122</f>
        <v>268.628125</v>
      </c>
      <c r="G151" s="19" t="n">
        <f aca="false">$G$122</f>
        <v>305.4332915625</v>
      </c>
      <c r="H151" s="19" t="n">
        <f aca="false">$H$122</f>
        <v>297.739859850781</v>
      </c>
      <c r="I151" s="19" t="n">
        <f aca="false">$I$122</f>
        <v>285.576259206963</v>
      </c>
      <c r="J151" s="19" t="n">
        <f aca="false">$J$122</f>
        <v>275.192103848625</v>
      </c>
      <c r="K151" s="19" t="n">
        <f aca="false">$K$122</f>
        <v>272.542103848625</v>
      </c>
      <c r="L151" s="19" t="n">
        <f aca="false">$L$122</f>
        <v>269.892103848625</v>
      </c>
    </row>
    <row r="152" customFormat="false" ht="15" hidden="false" customHeight="false" outlineLevel="0" collapsed="false">
      <c r="B152" s="9" t="s">
        <v>624</v>
      </c>
      <c r="E152" s="19" t="n">
        <f aca="false">$D$46-Assumptions!$D$76</f>
        <v>190.5</v>
      </c>
      <c r="F152" s="19" t="n">
        <f aca="false">$E$152+$F$140-$F$88+$F$90</f>
        <v>200.448035714286</v>
      </c>
      <c r="G152" s="19" t="n">
        <f aca="false">$F$152+$G$140-$G$88+$G$90</f>
        <v>213.118513303571</v>
      </c>
      <c r="H152" s="19" t="n">
        <f aca="false">$G$152+$H$140-$H$88+$H$90</f>
        <v>219.702525003795</v>
      </c>
      <c r="I152" s="19" t="n">
        <f aca="false">$H$152+$I$140-$I$88+$I$90</f>
        <v>236.386731013998</v>
      </c>
      <c r="J152" s="19" t="n">
        <f aca="false">$I$152+$J$140-$J$88+$J$90</f>
        <v>259.756748413819</v>
      </c>
      <c r="K152" s="19" t="n">
        <f aca="false">$J$152+$K$140-$K$88+$K$90</f>
        <v>286.170173995931</v>
      </c>
      <c r="L152" s="19" t="n">
        <f aca="false">$K$152+$L$140-$L$88+$L$90</f>
        <v>315.269038181174</v>
      </c>
    </row>
    <row r="153" customFormat="false" ht="15" hidden="false" customHeight="false" outlineLevel="0" collapsed="false">
      <c r="B153" s="17" t="s">
        <v>625</v>
      </c>
      <c r="E153" s="18" t="n">
        <f aca="false">$E$151+$E$152</f>
        <v>465.5</v>
      </c>
      <c r="F153" s="18" t="n">
        <f aca="false">$F$151+$F$152</f>
        <v>469.076160714286</v>
      </c>
      <c r="G153" s="18" t="n">
        <f aca="false">$G$151+$G$152</f>
        <v>518.551804866072</v>
      </c>
      <c r="H153" s="18" t="n">
        <f aca="false">$H$151+$H$152</f>
        <v>517.442384854576</v>
      </c>
      <c r="I153" s="18" t="n">
        <f aca="false">$I$151+$I$152</f>
        <v>521.962990220961</v>
      </c>
      <c r="J153" s="18" t="n">
        <f aca="false">$J$151+$J$152</f>
        <v>534.948852262443</v>
      </c>
      <c r="K153" s="18" t="n">
        <f aca="false">$K$151+$K$152</f>
        <v>558.712277844556</v>
      </c>
      <c r="L153" s="18" t="n">
        <f aca="false">$L$151+$L$152</f>
        <v>585.161142029799</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53.55</v>
      </c>
      <c r="G157" s="19" t="n">
        <f aca="false">$G$72+IF(AND($D$12=1,$G$64=Assumptions!$D$116),Assumptions!$D$118,0)</f>
        <v>66.0986</v>
      </c>
      <c r="H157" s="19" t="n">
        <f aca="false">$H$72+IF(AND($D$12=1,$H$64=Assumptions!$D$116),Assumptions!$D$118,0)</f>
        <v>54.725948</v>
      </c>
      <c r="I157" s="19" t="n">
        <f aca="false">$I$72+IF(AND($D$12=1,$I$64=Assumptions!$D$116),Assumptions!$D$118,0)</f>
        <v>66.90167892</v>
      </c>
      <c r="J157" s="19" t="n">
        <f aca="false">$J$72+IF(AND($D$12=1,$J$64=Assumptions!$D$116),Assumptions!$D$118,0)</f>
        <v>74.29660501</v>
      </c>
      <c r="K157" s="19" t="n">
        <f aca="false">$K$72+IF(AND($D$12=1,$K$64=Assumptions!$D$116),Assumptions!$D$118,0)</f>
        <v>77.1484692104</v>
      </c>
      <c r="L157" s="19" t="n">
        <f aca="false">$L$72+IF(AND($D$12=1,$L$64=Assumptions!$D$116),Assumptions!$D$118,0)</f>
        <v>80.114407978816</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53.55</v>
      </c>
      <c r="G159" s="18" t="n">
        <f aca="false">$G$157+$G$158+$G$90</f>
        <v>69.0986</v>
      </c>
      <c r="H159" s="18" t="n">
        <f aca="false">$H$157+$H$158+$H$90</f>
        <v>56.725948</v>
      </c>
      <c r="I159" s="18" t="n">
        <f aca="false">$I$157+$I$158+$I$90</f>
        <v>67.40167892</v>
      </c>
      <c r="J159" s="18" t="n">
        <f aca="false">$J$157+$J$158+$J$90</f>
        <v>74.29660501</v>
      </c>
      <c r="K159" s="18" t="n">
        <f aca="false">$K$157+$K$158+$K$90</f>
        <v>77.1484692104</v>
      </c>
      <c r="L159" s="18" t="n">
        <f aca="false">$L$157+$L$158+$L$90</f>
        <v>80.114407978816</v>
      </c>
    </row>
    <row r="160" customFormat="false" ht="15" hidden="false" customHeight="false" outlineLevel="0" collapsed="false">
      <c r="B160" s="9" t="s">
        <v>631</v>
      </c>
      <c r="F160" s="19" t="n">
        <f aca="false">$F$124</f>
        <v>254.50625</v>
      </c>
      <c r="G160" s="19" t="n">
        <f aca="false">$G$124</f>
        <v>294.488458125</v>
      </c>
      <c r="H160" s="19" t="n">
        <f aca="false">$H$124</f>
        <v>282.696428139063</v>
      </c>
      <c r="I160" s="19" t="n">
        <f aca="false">$I$124</f>
        <v>266.062658563145</v>
      </c>
      <c r="J160" s="19" t="n">
        <f aca="false">$J$124</f>
        <v>241.98963777361</v>
      </c>
      <c r="K160" s="19" t="n">
        <f aca="false">$K$124</f>
        <v>214.453046364023</v>
      </c>
      <c r="L160" s="19" t="n">
        <f aca="false">$L$124</f>
        <v>184.223918289635</v>
      </c>
    </row>
    <row r="161" customFormat="false" ht="15" hidden="false" customHeight="false" outlineLevel="0" collapsed="false">
      <c r="B161" s="17" t="s">
        <v>632</v>
      </c>
      <c r="F161" s="41" t="n">
        <f aca="false">$F$124/$F$159</f>
        <v>4.75268440709617</v>
      </c>
      <c r="G161" s="41" t="n">
        <f aca="false">$G$124/$G$159</f>
        <v>4.26185853439867</v>
      </c>
      <c r="H161" s="41" t="n">
        <f aca="false">$H$124/$H$159</f>
        <v>4.98354700284714</v>
      </c>
      <c r="I161" s="41" t="n">
        <f aca="false">$I$124/$I$159</f>
        <v>3.9474188599803</v>
      </c>
      <c r="J161" s="41" t="n">
        <f aca="false">$J$124/$J$159</f>
        <v>3.25707530971354</v>
      </c>
      <c r="K161" s="41" t="n">
        <f aca="false">$K$124/$K$159</f>
        <v>2.77974467360026</v>
      </c>
      <c r="L161" s="41" t="n">
        <f aca="false">$L$124/$L$159</f>
        <v>2.29951044933575</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0.997315592903828</v>
      </c>
      <c r="G163" s="24" t="n">
        <f aca="false">$G$162-$G$161</f>
        <v>0.988141465601329</v>
      </c>
      <c r="H163" s="24" t="n">
        <f aca="false">$H$162-$H$161</f>
        <v>-0.233547002847136</v>
      </c>
      <c r="I163" s="24" t="n">
        <f aca="false">$I$162-$I$161</f>
        <v>0.302581140019701</v>
      </c>
      <c r="J163" s="24" t="n">
        <f aca="false">$J$162-$J$161</f>
        <v>0.742924690286464</v>
      </c>
      <c r="K163" s="24" t="n">
        <f aca="false">$K$162-$K$161</f>
        <v>1.22025532639974</v>
      </c>
      <c r="L163" s="24" t="n">
        <f aca="false">$L$162-$L$161</f>
        <v>1.70048955066425</v>
      </c>
    </row>
    <row r="164" customFormat="false" ht="15" hidden="false" customHeight="false" outlineLevel="0" collapsed="false">
      <c r="B164" s="9" t="s">
        <v>635</v>
      </c>
      <c r="F164" s="14" t="n">
        <f aca="false">1-$F$124/($F$162*$F$159)</f>
        <v>0.173446190070231</v>
      </c>
      <c r="G164" s="14" t="n">
        <f aca="false">1-$G$124/($G$162*$G$159)</f>
        <v>0.188217422019301</v>
      </c>
      <c r="H164" s="14" t="n">
        <f aca="false">1-$H$124/($H$162*$H$159)</f>
        <v>-0.0491677900730814</v>
      </c>
      <c r="I164" s="14" t="n">
        <f aca="false">1-$I$124/($I$162*$I$159)</f>
        <v>0.0711955623575767</v>
      </c>
      <c r="J164" s="14" t="n">
        <f aca="false">1-$J$124/($J$162*$J$159)</f>
        <v>0.185731172571616</v>
      </c>
      <c r="K164" s="14" t="n">
        <f aca="false">1-$K$124/($K$162*$K$159)</f>
        <v>0.305063831599936</v>
      </c>
      <c r="L164" s="14" t="n">
        <f aca="false">1-$L$124/($L$162*$L$159)</f>
        <v>0.425122387666062</v>
      </c>
    </row>
    <row r="165" customFormat="false" ht="15" hidden="false" customHeight="false" outlineLevel="0" collapsed="false">
      <c r="B165" s="9" t="s">
        <v>636</v>
      </c>
      <c r="F165" s="19" t="n">
        <f aca="false">$F$164*$F$159</f>
        <v>9.28804347826086</v>
      </c>
      <c r="G165" s="19" t="n">
        <f aca="false">$G$164*$G$159</f>
        <v>13.0055603571429</v>
      </c>
      <c r="H165" s="19" t="n">
        <f aca="false">$H$164*$H$159</f>
        <v>-2.78908950296053</v>
      </c>
      <c r="I165" s="19" t="n">
        <f aca="false">$I$164*$I$159</f>
        <v>4.79870043455423</v>
      </c>
      <c r="J165" s="19" t="n">
        <f aca="false">$J$164*$J$159</f>
        <v>13.7991955665975</v>
      </c>
      <c r="K165" s="19" t="n">
        <f aca="false">$K$164*$K$159</f>
        <v>23.5352076193943</v>
      </c>
      <c r="L165" s="19" t="n">
        <f aca="false">$L$164*$L$159</f>
        <v>34.0584284064072</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2.78908950296053</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-0.997315592903828</v>
      </c>
      <c r="G167" s="24" t="n">
        <f aca="false">$G$125-Assumptions!$G$169</f>
        <v>-0.181229700457498</v>
      </c>
      <c r="H167" s="24" t="n">
        <f aca="false">$H$125-Assumptions!$H$169</f>
        <v>0.415674391589572</v>
      </c>
      <c r="I167" s="24" t="n">
        <f aca="false">$I$125-Assumptions!$I$169</f>
        <v>-0.273079497282898</v>
      </c>
      <c r="J167" s="24" t="n">
        <f aca="false">$J$125-Assumptions!$J$169</f>
        <v>-0.742924690286464</v>
      </c>
      <c r="K167" s="24" t="n">
        <f aca="false">$K$125-Assumptions!$K$169</f>
        <v>-1.22025532639974</v>
      </c>
      <c r="L167" s="24" t="n">
        <f aca="false">$L$125-Assumptions!$L$169</f>
        <v>-1.70048955066425</v>
      </c>
    </row>
    <row r="168" customFormat="false" ht="15" hidden="false" customHeight="false" outlineLevel="0" collapsed="false">
      <c r="B168" s="9" t="s">
        <v>639</v>
      </c>
      <c r="F168" s="24" t="n">
        <f aca="false">$F$161-$F$162</f>
        <v>-0.997315592903828</v>
      </c>
      <c r="G168" s="24" t="n">
        <f aca="false">$G$161-$G$162</f>
        <v>-0.988141465601329</v>
      </c>
      <c r="H168" s="24" t="n">
        <f aca="false">$H$161-$H$162</f>
        <v>0.233547002847136</v>
      </c>
      <c r="I168" s="24" t="n">
        <f aca="false">$I$161-$I$162</f>
        <v>-0.302581140019701</v>
      </c>
      <c r="J168" s="24" t="n">
        <f aca="false">$J$161-$J$162</f>
        <v>-0.742924690286464</v>
      </c>
      <c r="K168" s="24" t="n">
        <f aca="false">$K$161-$K$162</f>
        <v>-1.22025532639974</v>
      </c>
      <c r="L168" s="24" t="n">
        <f aca="false">$L$161-$L$162</f>
        <v>-1.70048955066425</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74.29660501</v>
      </c>
    </row>
    <row r="172" customFormat="false" ht="15" hidden="false" customHeight="false" outlineLevel="0" collapsed="false">
      <c r="B172" s="17" t="s">
        <v>641</v>
      </c>
      <c r="D172" s="18" t="n">
        <f aca="false">$D$7*$D$171</f>
        <v>668.66944509</v>
      </c>
    </row>
    <row r="173" customFormat="false" ht="15" hidden="false" customHeight="false" outlineLevel="0" collapsed="false">
      <c r="B173" s="9" t="s">
        <v>642</v>
      </c>
      <c r="D173" s="19" t="n">
        <f aca="false">INDEX($E$124:$L$124,1,$D$170+1)</f>
        <v>241.98963777361</v>
      </c>
    </row>
    <row r="174" customFormat="false" ht="15" hidden="false" customHeight="false" outlineLevel="0" collapsed="false">
      <c r="B174" s="9" t="s">
        <v>643</v>
      </c>
      <c r="D174" s="19" t="n">
        <f aca="false">INDEX($E$118:$L$118,1,$D$170+1)</f>
        <v>225.192103848625</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33.2024660750147</v>
      </c>
    </row>
    <row r="178" customFormat="false" ht="15" hidden="false" customHeight="false" outlineLevel="0" collapsed="false">
      <c r="B178" s="9" t="s">
        <v>647</v>
      </c>
      <c r="D178" s="19" t="n">
        <f aca="false">$D$20*$D$172</f>
        <v>10.03004167635</v>
      </c>
    </row>
    <row r="179" customFormat="false" ht="15" hidden="false" customHeight="false" outlineLevel="0" collapsed="false">
      <c r="B179" s="17" t="s">
        <v>195</v>
      </c>
      <c r="D179" s="18" t="n">
        <f aca="false">$D$172-$D$173-$D$178</f>
        <v>416.64976564004</v>
      </c>
    </row>
    <row r="180" customFormat="false" ht="15" hidden="false" customHeight="false" outlineLevel="0" collapsed="false">
      <c r="B180" s="9" t="s">
        <v>648</v>
      </c>
      <c r="D180" s="19" t="n">
        <f aca="false">$D$171*(1-$D$20)</f>
        <v>73.18215593485</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1.99658892194418</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1.99658892194418</v>
      </c>
    </row>
    <row r="195" customFormat="false" ht="15" hidden="false" customHeight="false" outlineLevel="0" collapsed="false">
      <c r="B195" s="9" t="s">
        <v>663</v>
      </c>
      <c r="D195" s="34" t="n">
        <f aca="false">IF($D$194&gt;=Assumptions!$D$110,$D$191,$D$191*0.5)</f>
        <v>8.69565217391304</v>
      </c>
    </row>
    <row r="196" customFormat="false" ht="15" hidden="false" customHeight="false" outlineLevel="0" collapsed="false">
      <c r="B196" s="9" t="s">
        <v>664</v>
      </c>
      <c r="D196" s="35" t="n">
        <f aca="false">($D$179+$D$195*Assumptions!$D$108)/($D$189+$D$195)</f>
        <v>2.03811346035853</v>
      </c>
    </row>
    <row r="197" customFormat="false" ht="15" hidden="false" customHeight="false" outlineLevel="0" collapsed="false">
      <c r="B197" s="9" t="s">
        <v>665</v>
      </c>
      <c r="D197" s="34" t="n">
        <f aca="false">IF($D$196&lt;Assumptions!$D$108,0,$D$195)</f>
        <v>8.69565217391304</v>
      </c>
    </row>
    <row r="198" customFormat="false" ht="15" hidden="false" customHeight="false" outlineLevel="0" collapsed="false">
      <c r="B198" s="17" t="s">
        <v>666</v>
      </c>
      <c r="D198" s="43" t="n">
        <f aca="false">IF($D$196&lt;Assumptions!$D$108,$D$179/$D$189,$D$196)</f>
        <v>2.03811346035853</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387.24155746812</v>
      </c>
    </row>
    <row r="201" customFormat="false" ht="15" hidden="false" customHeight="false" outlineLevel="0" collapsed="false">
      <c r="B201" s="9" t="s">
        <v>668</v>
      </c>
      <c r="D201" s="14" t="n">
        <f aca="false">$D$200/$D$179</f>
        <v>0.929417437384743</v>
      </c>
    </row>
    <row r="202" customFormat="false" ht="15" hidden="false" customHeight="false" outlineLevel="0" collapsed="false">
      <c r="B202" s="9" t="s">
        <v>669</v>
      </c>
      <c r="D202" s="19" t="n">
        <f aca="false">$D$185*$D$198</f>
        <v>20.3811346035853</v>
      </c>
    </row>
    <row r="203" customFormat="false" ht="15" hidden="false" customHeight="false" outlineLevel="0" collapsed="false">
      <c r="B203" s="9" t="s">
        <v>670</v>
      </c>
      <c r="D203" s="19" t="n">
        <f aca="false">$D$197*MAX(0,$D$198-Assumptions!$D$108)</f>
        <v>9.027073568335</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29.4082081719203</v>
      </c>
    </row>
    <row r="206" customFormat="false" ht="15" hidden="false" customHeight="false" outlineLevel="0" collapsed="false">
      <c r="B206" s="9" t="s">
        <v>673</v>
      </c>
      <c r="D206" s="24" t="n">
        <f aca="false">$D$205/$D$47</f>
        <v>2.94082081719203</v>
      </c>
    </row>
    <row r="207" customFormat="false" ht="15" hidden="false" customHeight="false" outlineLevel="0" collapsed="false">
      <c r="B207" s="9" t="s">
        <v>674</v>
      </c>
      <c r="D207" s="19" t="n">
        <f aca="false">$D$187*$D$198</f>
        <v>8.1524538414341</v>
      </c>
    </row>
    <row r="208" customFormat="false" ht="15" hidden="false" customHeight="false" outlineLevel="0" collapsed="false">
      <c r="B208" s="9" t="s">
        <v>675</v>
      </c>
      <c r="D208" s="19" t="n">
        <f aca="false">$D$203*Assumptions!$D$112</f>
        <v>3.15947574891725</v>
      </c>
    </row>
    <row r="209" customFormat="false" ht="15" hidden="false" customHeight="false" outlineLevel="0" collapsed="false">
      <c r="B209" s="9" t="s">
        <v>676</v>
      </c>
      <c r="D209" s="19" t="n">
        <f aca="false">$D$207+$D$208</f>
        <v>11.3119295903514</v>
      </c>
    </row>
    <row r="210" customFormat="false" ht="15" hidden="false" customHeight="false" outlineLevel="0" collapsed="false">
      <c r="B210" s="9" t="s">
        <v>677</v>
      </c>
      <c r="D210" s="24" t="n">
        <f aca="false">$D$209/Assumptions!$D$111</f>
        <v>2.82798239758784</v>
      </c>
    </row>
    <row r="211" customFormat="false" ht="15" hidden="false" customHeight="false" outlineLevel="0" collapsed="false">
      <c r="B211" s="9" t="s">
        <v>678</v>
      </c>
      <c r="D211" s="19" t="n">
        <f aca="false">$D$179*$D$190/$D$189</f>
        <v>395.817277358038</v>
      </c>
    </row>
    <row r="212" customFormat="false" ht="15" hidden="false" customHeight="false" outlineLevel="0" collapsed="false">
      <c r="B212" s="9" t="s">
        <v>679</v>
      </c>
      <c r="D212" s="19" t="n">
        <f aca="false">$D$211-$D$200</f>
        <v>8.57571988991828</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387.24155746812</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416.64976564004</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0.153043445678605</v>
      </c>
    </row>
    <row r="224" customFormat="false" ht="15" hidden="false" customHeight="false" outlineLevel="0" collapsed="false">
      <c r="B224" s="9" t="s">
        <v>689</v>
      </c>
      <c r="D224" s="25" t="n">
        <f aca="false">XIRR($E$219:$L$219,$E$221:$L$221,0.1)</f>
        <v>0.152953526369528</v>
      </c>
    </row>
    <row r="225" customFormat="false" ht="15" hidden="false" customHeight="false" outlineLevel="0" collapsed="false">
      <c r="B225" s="17" t="s">
        <v>690</v>
      </c>
      <c r="D225" s="41" t="n">
        <f aca="false">SUMIF($E$219:$L$219,"&gt;0")/-SUMIF($E$219:$L$219,"&lt;0")</f>
        <v>2.03811346035853</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0.158105780265837</v>
      </c>
    </row>
    <row r="228" customFormat="false" ht="15" hidden="false" customHeight="false" outlineLevel="0" collapsed="false">
      <c r="B228" s="9" t="s">
        <v>693</v>
      </c>
      <c r="D228" s="24" t="n">
        <f aca="false">SUMIF($E$220:$L$220,"&gt;0")/-SUMIF($E$220:$L$220,"&lt;0")</f>
        <v>2.0832488282002</v>
      </c>
    </row>
    <row r="229" customFormat="false" ht="15" hidden="false" customHeight="false" outlineLevel="0" collapsed="false">
      <c r="B229" s="9" t="s">
        <v>694</v>
      </c>
      <c r="D229" s="19" t="n">
        <f aca="false">SUM($E$220:$L$220)</f>
        <v>216.64976564004</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75.81036222639</v>
      </c>
    </row>
    <row r="232" customFormat="false" ht="15" hidden="false" customHeight="false" outlineLevel="0" collapsed="false">
      <c r="B232" s="9" t="s">
        <v>697</v>
      </c>
      <c r="D232" s="19" t="n">
        <f aca="false">SUMPRODUCT(($F$64:$L$64&lt;=$D$170)*$F$105:$L$105)</f>
        <v>127.60961571186</v>
      </c>
    </row>
    <row r="233" customFormat="false" ht="15" hidden="false" customHeight="false" outlineLevel="0" collapsed="false">
      <c r="B233" s="9" t="s">
        <v>698</v>
      </c>
      <c r="D233" s="19" t="n">
        <f aca="false">SUMPRODUCT(($F$64:$L$64&lt;=$D$170)*$F$139:$L$139)</f>
        <v>36.33436199175</v>
      </c>
    </row>
    <row r="234" customFormat="false" ht="15" hidden="false" customHeight="false" outlineLevel="0" collapsed="false">
      <c r="B234" s="9" t="s">
        <v>699</v>
      </c>
      <c r="D234" s="38" t="n">
        <f aca="false">SUMPRODUCT(($F$64:$L$64&lt;=$D$170)*$F$109:$L$109)</f>
        <v>12.45</v>
      </c>
    </row>
    <row r="235" customFormat="false" ht="15" hidden="false" customHeight="false" outlineLevel="0" collapsed="false">
      <c r="B235" s="9" t="s">
        <v>700</v>
      </c>
      <c r="D235" s="19" t="n">
        <f aca="false">SUMPRODUCT(($F$64:$L$64&lt;=$D$170)*$F$115:$L$115)</f>
        <v>27.3578961513753</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39.8078961513753</v>
      </c>
    </row>
    <row r="238" customFormat="false" ht="15" hidden="false" customHeight="false" outlineLevel="0" collapsed="false">
      <c r="B238" s="9" t="s">
        <v>703</v>
      </c>
      <c r="D238" s="19" t="n">
        <f aca="false">$D$54-$D$173</f>
        <v>23.01036222639</v>
      </c>
    </row>
    <row r="239" customFormat="false" ht="15" hidden="false" customHeight="false" outlineLevel="0" collapsed="false">
      <c r="B239" s="9" t="s">
        <v>704</v>
      </c>
      <c r="D239" s="25" t="n">
        <f aca="false">($D$171/$D$28)^(1/$D$170)-1</f>
        <v>0.0824299315616826</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218.66944509</v>
      </c>
    </row>
    <row r="242" customFormat="false" ht="15" hidden="false" customHeight="false" outlineLevel="0" collapsed="false">
      <c r="B242" s="9" t="s">
        <v>234</v>
      </c>
      <c r="D242" s="14" t="n">
        <f aca="false">$D$172/$D$29-1</f>
        <v>0.4859321002</v>
      </c>
    </row>
    <row r="243" customFormat="false" ht="15" hidden="false" customHeight="false" outlineLevel="0" collapsed="false">
      <c r="B243" s="9" t="s">
        <v>235</v>
      </c>
      <c r="D243" s="25" t="n">
        <f aca="false">($D$172/$D$29)^(1/$D$170)-1</f>
        <v>0.0824299315616826</v>
      </c>
    </row>
    <row r="244" customFormat="false" ht="15" hidden="false" customHeight="false" outlineLevel="0" collapsed="false">
      <c r="B244" s="9" t="s">
        <v>236</v>
      </c>
      <c r="D244" s="14" t="n">
        <f aca="false">$D$179/$D$46-1</f>
        <v>1.0832488282002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729</v>
      </c>
    </row>
    <row r="3" customFormat="false" ht="15" hidden="false" customHeight="false" outlineLevel="0" collapsed="false">
      <c r="B3" s="6" t="s">
        <v>505</v>
      </c>
    </row>
    <row r="5" customFormat="false" ht="15" hidden="false" customHeight="false" outlineLevel="0" collapsed="false">
      <c r="B5" s="7" t="s">
        <v>506</v>
      </c>
      <c r="C5" s="8"/>
      <c r="D5" s="8"/>
      <c r="E5" s="8"/>
      <c r="F5" s="8"/>
      <c r="G5" s="8"/>
      <c r="H5" s="8"/>
      <c r="I5" s="8"/>
      <c r="J5" s="8"/>
      <c r="K5" s="8"/>
      <c r="L5" s="8"/>
    </row>
    <row r="6" customFormat="false" ht="15" hidden="false" customHeight="false" outlineLevel="0" collapsed="false">
      <c r="B6" s="9" t="s">
        <v>78</v>
      </c>
      <c r="C6" s="6" t="s">
        <v>79</v>
      </c>
      <c r="D6" s="23" t="n">
        <f aca="false">Assumptions!$D$64</f>
        <v>9</v>
      </c>
    </row>
    <row r="7" customFormat="false" ht="15" hidden="false" customHeight="false" outlineLevel="0" collapsed="false">
      <c r="B7" s="9" t="s">
        <v>191</v>
      </c>
      <c r="C7" s="6" t="s">
        <v>79</v>
      </c>
      <c r="D7" s="23" t="n">
        <f aca="false">Assumptions!$D$131</f>
        <v>9</v>
      </c>
    </row>
    <row r="8" customFormat="false" ht="15" hidden="false" customHeight="false" outlineLevel="0" collapsed="false">
      <c r="B8" s="9" t="s">
        <v>507</v>
      </c>
      <c r="C8" s="6" t="s">
        <v>79</v>
      </c>
      <c r="D8" s="23" t="n">
        <f aca="false">Assumptions!$D$82</f>
        <v>4.5</v>
      </c>
    </row>
    <row r="9" customFormat="false" ht="15" hidden="false" customHeight="false" outlineLevel="0" collapsed="false">
      <c r="B9" s="9" t="s">
        <v>508</v>
      </c>
      <c r="C9" s="6" t="s">
        <v>79</v>
      </c>
      <c r="D9" s="23" t="n">
        <f aca="false">Assumptions!$D$87</f>
        <v>1</v>
      </c>
    </row>
    <row r="10" customFormat="false" ht="15" hidden="false" customHeight="false" outlineLevel="0" collapsed="false">
      <c r="B10" s="9" t="s">
        <v>149</v>
      </c>
      <c r="C10" s="6" t="s">
        <v>133</v>
      </c>
      <c r="D10" s="33" t="n">
        <f aca="false">Assumptions!$D$133</f>
        <v>5</v>
      </c>
    </row>
    <row r="11" customFormat="false" ht="15" hidden="false" customHeight="false" outlineLevel="0" collapsed="false">
      <c r="B11" s="9" t="s">
        <v>151</v>
      </c>
      <c r="D11" s="11" t="n">
        <v>1.5</v>
      </c>
    </row>
    <row r="12" customFormat="false" ht="15" hidden="false" customHeight="false" outlineLevel="0" collapsed="false">
      <c r="B12" s="9" t="s">
        <v>509</v>
      </c>
      <c r="D12" s="33" t="n">
        <f aca="false">Assumptions!$D$115</f>
        <v>1</v>
      </c>
    </row>
    <row r="13" customFormat="false" ht="15" hidden="false" customHeight="false" outlineLevel="0" collapsed="false">
      <c r="B13" s="9" t="s">
        <v>510</v>
      </c>
      <c r="D13" s="33" t="n">
        <f aca="false">Assumptions!$D$137</f>
        <v>0</v>
      </c>
    </row>
    <row r="14" customFormat="false" ht="15" hidden="false" customHeight="false" outlineLevel="0" collapsed="false">
      <c r="B14" s="9" t="s">
        <v>511</v>
      </c>
      <c r="D14" s="33" t="n">
        <f aca="false">Assumptions!$D$142</f>
        <v>0</v>
      </c>
    </row>
    <row r="15" customFormat="false" ht="15" hidden="false" customHeight="false" outlineLevel="0" collapsed="false">
      <c r="B15" s="9" t="s">
        <v>158</v>
      </c>
      <c r="C15" s="6" t="s">
        <v>25</v>
      </c>
      <c r="D15" s="19" t="n">
        <f aca="false">Assumptions!$D$143</f>
        <v>0</v>
      </c>
    </row>
    <row r="16" customFormat="false" ht="15" hidden="false" customHeight="false" outlineLevel="0" collapsed="false">
      <c r="B16" s="9" t="s">
        <v>159</v>
      </c>
      <c r="C16" s="6" t="s">
        <v>133</v>
      </c>
      <c r="D16" s="33" t="n">
        <f aca="false">Assumptions!$D$144</f>
        <v>0</v>
      </c>
    </row>
    <row r="17" customFormat="false" ht="15" hidden="false" customHeight="false" outlineLevel="0" collapsed="false">
      <c r="B17" s="9" t="s">
        <v>512</v>
      </c>
      <c r="D17" s="33" t="n">
        <f aca="false">Assumptions!$D$145</f>
        <v>0</v>
      </c>
    </row>
    <row r="18" customFormat="false" ht="15" hidden="false" customHeight="false" outlineLevel="0" collapsed="false">
      <c r="B18" s="9" t="s">
        <v>513</v>
      </c>
      <c r="D18" s="25" t="n">
        <f aca="false">Assumptions!$D$6</f>
        <v>0.04</v>
      </c>
    </row>
    <row r="19" customFormat="false" ht="15" hidden="false" customHeight="false" outlineLevel="0" collapsed="false">
      <c r="B19" s="9" t="s">
        <v>113</v>
      </c>
      <c r="D19" s="33" t="n">
        <f aca="false">Assumptions!$D$98</f>
        <v>1</v>
      </c>
    </row>
    <row r="20" customFormat="false" ht="15" hidden="false" customHeight="false" outlineLevel="0" collapsed="false">
      <c r="B20" s="9" t="s">
        <v>514</v>
      </c>
      <c r="D20" s="14" t="n">
        <f aca="false">Assumptions!$D$132</f>
        <v>0.015</v>
      </c>
    </row>
    <row r="21" customFormat="false" ht="15" hidden="false" customHeight="false" outlineLevel="0" collapsed="false">
      <c r="B21" s="9" t="s">
        <v>97</v>
      </c>
      <c r="D21" s="25" t="n">
        <f aca="false">Assumptions!$D$83</f>
        <v>0.045</v>
      </c>
    </row>
    <row r="22" customFormat="false" ht="15" hidden="false" customHeight="false" outlineLevel="0" collapsed="false">
      <c r="B22" s="9" t="s">
        <v>515</v>
      </c>
      <c r="D22" s="14" t="n">
        <f aca="false">Assumptions!$D$152</f>
        <v>0</v>
      </c>
    </row>
    <row r="23" customFormat="false" ht="15" hidden="false" customHeight="false" outlineLevel="0" collapsed="false">
      <c r="B23" s="7" t="s">
        <v>178</v>
      </c>
      <c r="F23" s="30" t="n">
        <v>1</v>
      </c>
      <c r="G23" s="30" t="n">
        <v>2</v>
      </c>
      <c r="H23" s="30" t="n">
        <v>3</v>
      </c>
      <c r="I23" s="30" t="n">
        <v>4</v>
      </c>
      <c r="J23" s="30" t="n">
        <v>5</v>
      </c>
      <c r="K23" s="30" t="n">
        <v>6</v>
      </c>
      <c r="L23" s="30" t="n">
        <v>7</v>
      </c>
    </row>
    <row r="24" customFormat="false" ht="15" hidden="false" customHeight="false" outlineLevel="0" collapsed="false">
      <c r="B24" s="9" t="s">
        <v>179</v>
      </c>
      <c r="F24" s="14" t="n">
        <f aca="false">Assumptions!$F$165</f>
        <v>0.05</v>
      </c>
      <c r="G24" s="14" t="n">
        <f aca="false">Assumptions!$G$165</f>
        <v>0.06</v>
      </c>
      <c r="H24" s="14" t="n">
        <f aca="false">Assumptions!$H$165</f>
        <v>-0.06</v>
      </c>
      <c r="I24" s="14" t="n">
        <f aca="false">Assumptions!$I$165</f>
        <v>0.07</v>
      </c>
      <c r="J24" s="14" t="n">
        <f aca="false">Assumptions!$J$165</f>
        <v>0.05</v>
      </c>
      <c r="K24" s="14" t="n">
        <f aca="false">Assumptions!$K$165</f>
        <v>0.04</v>
      </c>
      <c r="L24" s="14" t="n">
        <f aca="false">Assumptions!$L$165</f>
        <v>0.04</v>
      </c>
    </row>
    <row r="25" customFormat="false" ht="15" hidden="false" customHeight="false" outlineLevel="0" collapsed="false">
      <c r="B25" s="9" t="s">
        <v>181</v>
      </c>
      <c r="F25" s="14" t="n">
        <f aca="false">Assumptions!$F$167</f>
        <v>0</v>
      </c>
      <c r="G25" s="14" t="n">
        <f aca="false">Assumptions!$G$167</f>
        <v>0</v>
      </c>
      <c r="H25" s="14" t="n">
        <f aca="false">Assumptions!$H$167</f>
        <v>-0.03</v>
      </c>
      <c r="I25" s="14" t="n">
        <f aca="false">Assumptions!$I$167</f>
        <v>-0.01</v>
      </c>
      <c r="J25" s="14" t="n">
        <f aca="false">Assumptions!$J$167</f>
        <v>0</v>
      </c>
      <c r="K25" s="14" t="n">
        <f aca="false">Assumptions!$K$167</f>
        <v>0</v>
      </c>
      <c r="L25" s="14" t="n">
        <f aca="false">Assumptions!$L$167</f>
        <v>0</v>
      </c>
    </row>
    <row r="27" customFormat="false" ht="15" hidden="false" customHeight="false" outlineLevel="0" collapsed="false">
      <c r="B27" s="7" t="s">
        <v>516</v>
      </c>
      <c r="C27" s="8"/>
      <c r="D27" s="8"/>
      <c r="E27" s="8"/>
      <c r="F27" s="8"/>
      <c r="G27" s="8"/>
      <c r="H27" s="8"/>
      <c r="I27" s="8"/>
      <c r="J27" s="8"/>
      <c r="K27" s="8"/>
      <c r="L27" s="8"/>
    </row>
    <row r="28" customFormat="false" ht="15" hidden="false" customHeight="false" outlineLevel="0" collapsed="false">
      <c r="B28" s="9" t="s">
        <v>517</v>
      </c>
      <c r="D28" s="19" t="n">
        <f aca="false">Assumptions!$D$24</f>
        <v>50</v>
      </c>
    </row>
    <row r="29" customFormat="false" ht="15" hidden="false" customHeight="false" outlineLevel="0" collapsed="false">
      <c r="B29" s="17" t="s">
        <v>518</v>
      </c>
      <c r="D29" s="18" t="n">
        <f aca="false">$D$6*$D$28</f>
        <v>450</v>
      </c>
    </row>
    <row r="30" customFormat="false" ht="15" hidden="false" customHeight="false" outlineLevel="0" collapsed="false">
      <c r="B30" s="9" t="s">
        <v>519</v>
      </c>
      <c r="D30" s="19" t="n">
        <f aca="false">IF($D$22&gt;0,$D$22*($D$29+Assumptions!$D$76+Assumptions!$D$78)/(1-Assumptions!$D$77*$D$22),0)</f>
        <v>0</v>
      </c>
    </row>
    <row r="31" customFormat="false" ht="15" hidden="false" customHeight="false" outlineLevel="0" collapsed="false">
      <c r="B31" s="9" t="s">
        <v>520</v>
      </c>
      <c r="D31" s="19" t="n">
        <f aca="false">IF($D$22&gt;0,$D$9*$D$28,IF($D$14=1,0,$D$9*$D$28))</f>
        <v>50</v>
      </c>
    </row>
    <row r="32" customFormat="false" ht="15" hidden="false" customHeight="false" outlineLevel="0" collapsed="false">
      <c r="B32" s="9" t="s">
        <v>521</v>
      </c>
      <c r="D32" s="19" t="n">
        <f aca="false">IF($D$22&gt;0,$D$30-$D$31,IF($D$14=1,0,$D$8*$D$28))</f>
        <v>225</v>
      </c>
    </row>
    <row r="33" customFormat="false" ht="15" hidden="false" customHeight="false" outlineLevel="0" collapsed="false">
      <c r="B33" s="9" t="s">
        <v>522</v>
      </c>
      <c r="D33" s="19" t="n">
        <f aca="false">Assumptions!$D$77*($D$32+$D$31)</f>
        <v>5.5</v>
      </c>
    </row>
    <row r="35" customFormat="false" ht="15" hidden="false" customHeight="false" outlineLevel="0" collapsed="false">
      <c r="B35" s="7" t="s">
        <v>523</v>
      </c>
      <c r="C35" s="8"/>
      <c r="D35" s="8"/>
      <c r="E35" s="8"/>
      <c r="F35" s="8"/>
      <c r="G35" s="8"/>
      <c r="H35" s="8"/>
      <c r="I35" s="8"/>
      <c r="J35" s="8"/>
      <c r="K35" s="8"/>
      <c r="L35" s="8"/>
    </row>
    <row r="36" customFormat="false" ht="15" hidden="false" customHeight="false" outlineLevel="0" collapsed="false">
      <c r="B36" s="9" t="s">
        <v>524</v>
      </c>
      <c r="D36" s="19" t="n">
        <f aca="false">$D$29-Assumptions!$D$37</f>
        <v>415</v>
      </c>
    </row>
    <row r="37" customFormat="false" ht="15" hidden="false" customHeight="false" outlineLevel="0" collapsed="false">
      <c r="B37" s="9" t="s">
        <v>525</v>
      </c>
      <c r="D37" s="19" t="n">
        <f aca="false">Assumptions!$D$37</f>
        <v>35</v>
      </c>
    </row>
    <row r="38" customFormat="false" ht="15" hidden="false" customHeight="false" outlineLevel="0" collapsed="false">
      <c r="B38" s="9" t="s">
        <v>526</v>
      </c>
      <c r="D38" s="19" t="n">
        <f aca="false">Assumptions!$D$76</f>
        <v>9.5</v>
      </c>
    </row>
    <row r="39" customFormat="false" ht="15" hidden="false" customHeight="false" outlineLevel="0" collapsed="false">
      <c r="B39" s="9" t="s">
        <v>527</v>
      </c>
      <c r="D39" s="19" t="n">
        <f aca="false">$D$33</f>
        <v>5.5</v>
      </c>
    </row>
    <row r="40" customFormat="false" ht="15" hidden="false" customHeight="false" outlineLevel="0" collapsed="false">
      <c r="B40" s="9" t="s">
        <v>528</v>
      </c>
      <c r="D40" s="19" t="n">
        <f aca="false">Assumptions!$D$78</f>
        <v>10</v>
      </c>
    </row>
    <row r="41" customFormat="false" ht="15" hidden="false" customHeight="false" outlineLevel="0" collapsed="false">
      <c r="B41" s="17" t="s">
        <v>529</v>
      </c>
      <c r="D41" s="18" t="n">
        <f aca="false">$D$36+$D$37+$D$38+$D$39+$D$40</f>
        <v>475</v>
      </c>
    </row>
    <row r="42" customFormat="false" ht="15" hidden="false" customHeight="false" outlineLevel="0" collapsed="false">
      <c r="B42" s="7" t="s">
        <v>530</v>
      </c>
      <c r="C42" s="8"/>
      <c r="D42" s="8"/>
      <c r="E42" s="8"/>
      <c r="F42" s="8"/>
      <c r="G42" s="8"/>
      <c r="H42" s="8"/>
      <c r="I42" s="8"/>
      <c r="J42" s="8"/>
      <c r="K42" s="8"/>
      <c r="L42" s="8"/>
    </row>
    <row r="43" customFormat="false" ht="15" hidden="false" customHeight="false" outlineLevel="0" collapsed="false">
      <c r="B43" s="9" t="s">
        <v>521</v>
      </c>
      <c r="D43" s="19" t="n">
        <f aca="false">$D$32</f>
        <v>225</v>
      </c>
    </row>
    <row r="44" customFormat="false" ht="15" hidden="false" customHeight="false" outlineLevel="0" collapsed="false">
      <c r="B44" s="9" t="s">
        <v>520</v>
      </c>
      <c r="D44" s="19" t="n">
        <f aca="false">$D$31</f>
        <v>50</v>
      </c>
    </row>
    <row r="45" customFormat="false" ht="15" hidden="false" customHeight="false" outlineLevel="0" collapsed="false">
      <c r="B45" s="9" t="s">
        <v>531</v>
      </c>
      <c r="D45" s="19" t="n">
        <f aca="false">0</f>
        <v>0</v>
      </c>
    </row>
    <row r="46" customFormat="false" ht="15" hidden="false" customHeight="false" outlineLevel="0" collapsed="false">
      <c r="B46" s="9" t="s">
        <v>532</v>
      </c>
      <c r="D46" s="19" t="n">
        <f aca="false">$D$41-$D$43-$D$44-$D$45</f>
        <v>200</v>
      </c>
    </row>
    <row r="47" customFormat="false" ht="15" hidden="false" customHeight="false" outlineLevel="0" collapsed="false">
      <c r="B47" s="9" t="s">
        <v>533</v>
      </c>
      <c r="D47" s="19" t="n">
        <f aca="false">Assumptions!$D$107</f>
        <v>10</v>
      </c>
    </row>
    <row r="48" customFormat="false" ht="15" hidden="false" customHeight="false" outlineLevel="0" collapsed="false">
      <c r="B48" s="17" t="s">
        <v>256</v>
      </c>
      <c r="D48" s="18" t="n">
        <f aca="false">$D$46-$D$47</f>
        <v>190</v>
      </c>
    </row>
    <row r="49" customFormat="false" ht="15" hidden="false" customHeight="false" outlineLevel="0" collapsed="false">
      <c r="B49" s="17" t="s">
        <v>534</v>
      </c>
      <c r="D49" s="18" t="n">
        <f aca="false">$D$43+$D$44+$D$45+$D$48+$D$47</f>
        <v>475</v>
      </c>
    </row>
    <row r="50" customFormat="false" ht="15" hidden="false" customHeight="false" outlineLevel="0" collapsed="false">
      <c r="B50" s="9" t="s">
        <v>535</v>
      </c>
      <c r="D50" s="19" t="n">
        <f aca="false">$D$49-$D$41</f>
        <v>0</v>
      </c>
    </row>
    <row r="51" customFormat="false" ht="15" hidden="false" customHeight="false" outlineLevel="0" collapsed="false">
      <c r="B51" s="7" t="s">
        <v>536</v>
      </c>
      <c r="C51" s="8"/>
      <c r="D51" s="8"/>
      <c r="E51" s="8"/>
      <c r="F51" s="8"/>
      <c r="G51" s="8"/>
      <c r="H51" s="8"/>
      <c r="I51" s="8"/>
      <c r="J51" s="8"/>
      <c r="K51" s="8"/>
      <c r="L51" s="8"/>
    </row>
    <row r="52" customFormat="false" ht="15" hidden="false" customHeight="false" outlineLevel="0" collapsed="false">
      <c r="B52" s="9" t="s">
        <v>537</v>
      </c>
      <c r="D52" s="19" t="n">
        <f aca="false">$D$43+$D$44+$D$45</f>
        <v>275</v>
      </c>
    </row>
    <row r="53" customFormat="false" ht="15" hidden="false" customHeight="false" outlineLevel="0" collapsed="false">
      <c r="B53" s="9" t="s">
        <v>303</v>
      </c>
      <c r="C53" s="6" t="s">
        <v>79</v>
      </c>
      <c r="D53" s="23" t="n">
        <f aca="false">$D$52/$D$28</f>
        <v>5.5</v>
      </c>
    </row>
    <row r="54" customFormat="false" ht="15" hidden="false" customHeight="false" outlineLevel="0" collapsed="false">
      <c r="B54" s="9" t="s">
        <v>192</v>
      </c>
      <c r="D54" s="19" t="n">
        <f aca="false">$D$52-$D$40</f>
        <v>265</v>
      </c>
    </row>
    <row r="55" customFormat="false" ht="15" hidden="false" customHeight="false" outlineLevel="0" collapsed="false">
      <c r="B55" s="9" t="s">
        <v>538</v>
      </c>
      <c r="C55" s="6" t="s">
        <v>79</v>
      </c>
      <c r="D55" s="24" t="n">
        <f aca="false">$D$54/$D$28</f>
        <v>5.3</v>
      </c>
    </row>
    <row r="56" customFormat="false" ht="15" hidden="false" customHeight="false" outlineLevel="0" collapsed="false">
      <c r="B56" s="9" t="s">
        <v>539</v>
      </c>
      <c r="D56" s="14" t="n">
        <f aca="false">$D$46/$D$41</f>
        <v>0.421052631578947</v>
      </c>
    </row>
    <row r="57" customFormat="false" ht="15" hidden="false" customHeight="false" outlineLevel="0" collapsed="false">
      <c r="B57" s="9" t="s">
        <v>540</v>
      </c>
      <c r="D57" s="14" t="n">
        <f aca="false">$D$52/$D$41</f>
        <v>0.578947368421053</v>
      </c>
    </row>
    <row r="58" customFormat="false" ht="15" hidden="false" customHeight="false" outlineLevel="0" collapsed="false">
      <c r="B58" s="9" t="s">
        <v>541</v>
      </c>
      <c r="D58" s="14" t="n">
        <f aca="false">$D$52/$D$29</f>
        <v>0.611111111111111</v>
      </c>
    </row>
    <row r="59" customFormat="false" ht="15" hidden="false" customHeight="false" outlineLevel="0" collapsed="false">
      <c r="B59" s="9" t="s">
        <v>542</v>
      </c>
      <c r="D59" s="19" t="n">
        <f aca="false">$D$38+$D$39</f>
        <v>15</v>
      </c>
    </row>
    <row r="60" customFormat="false" ht="15" hidden="false" customHeight="false" outlineLevel="0" collapsed="false">
      <c r="B60" s="9" t="s">
        <v>543</v>
      </c>
      <c r="D60" s="25" t="n">
        <f aca="false">$D$59/$D$29</f>
        <v>0.0333333333333333</v>
      </c>
    </row>
    <row r="61" customFormat="false" ht="15" hidden="false" customHeight="false" outlineLevel="0" collapsed="false">
      <c r="B61" s="9" t="s">
        <v>544</v>
      </c>
      <c r="D61" s="25" t="n">
        <f aca="false">$D$59/$D$46</f>
        <v>0.075</v>
      </c>
    </row>
    <row r="62" customFormat="false" ht="15" hidden="false" customHeight="false" outlineLevel="0" collapsed="false">
      <c r="B62" s="9" t="s">
        <v>545</v>
      </c>
      <c r="D62" s="19" t="n">
        <f aca="false">$D$46+(Assumptions!$D$72-$D$6)*$D$28</f>
        <v>250</v>
      </c>
    </row>
    <row r="63" customFormat="false" ht="15" hidden="false" customHeight="false" outlineLevel="0" collapsed="false">
      <c r="B63" s="7" t="s">
        <v>546</v>
      </c>
      <c r="C63" s="8"/>
      <c r="D63" s="8"/>
      <c r="E63" s="8"/>
      <c r="F63" s="8"/>
      <c r="G63" s="8"/>
      <c r="H63" s="8"/>
      <c r="I63" s="8"/>
      <c r="J63" s="8"/>
      <c r="K63" s="8"/>
      <c r="L63" s="8"/>
    </row>
    <row r="64" customFormat="false" ht="15" hidden="false" customHeight="false" outlineLevel="0" collapsed="false">
      <c r="B64" s="7" t="s">
        <v>178</v>
      </c>
      <c r="E64" s="30" t="n">
        <v>0</v>
      </c>
      <c r="F64" s="30" t="n">
        <v>1</v>
      </c>
      <c r="G64" s="30" t="n">
        <v>2</v>
      </c>
      <c r="H64" s="30" t="n">
        <v>3</v>
      </c>
      <c r="I64" s="30" t="n">
        <v>4</v>
      </c>
      <c r="J64" s="30" t="n">
        <v>5</v>
      </c>
      <c r="K64" s="30" t="n">
        <v>6</v>
      </c>
      <c r="L64" s="30" t="n">
        <v>7</v>
      </c>
    </row>
    <row r="65" customFormat="false" ht="15" hidden="false" customHeight="false" outlineLevel="0" collapsed="false">
      <c r="B65" s="9" t="s">
        <v>547</v>
      </c>
      <c r="E65" s="19" t="n">
        <f aca="false">Assumptions!$D$13</f>
        <v>320</v>
      </c>
      <c r="F65" s="19" t="n">
        <f aca="false">$E$65*(1+$F$24)</f>
        <v>336</v>
      </c>
      <c r="G65" s="19" t="n">
        <f aca="false">$F$65*(1+$G$24)</f>
        <v>356.16</v>
      </c>
      <c r="H65" s="19" t="n">
        <f aca="false">$G$65*(1+$H$24)</f>
        <v>334.7904</v>
      </c>
      <c r="I65" s="19" t="n">
        <f aca="false">$H$65*(1+$I$24)</f>
        <v>358.225728</v>
      </c>
      <c r="J65" s="19" t="n">
        <f aca="false">$I$65*(1+$J$24)</f>
        <v>376.1370144</v>
      </c>
      <c r="K65" s="19" t="n">
        <f aca="false">$J$65*(1+$K$24)</f>
        <v>391.182494976</v>
      </c>
      <c r="L65" s="19" t="n">
        <f aca="false">$K$65*(1+$L$24)</f>
        <v>406.82979477504</v>
      </c>
    </row>
    <row r="66" customFormat="false" ht="15" hidden="false" customHeight="false" outlineLevel="0" collapsed="false">
      <c r="B66" s="9" t="s">
        <v>548</v>
      </c>
      <c r="E66" s="25" t="n">
        <f aca="false">Assumptions!$D$25</f>
        <v>0.15625</v>
      </c>
      <c r="F66" s="25" t="n">
        <f aca="false">Assumptions!$D$25+$D$11*Assumptions!$F$166+$F$25</f>
        <v>0.165625</v>
      </c>
      <c r="G66" s="25" t="n">
        <f aca="false">Assumptions!$D$25+$D$11*Assumptions!$G$166+$G$25</f>
        <v>0.176875</v>
      </c>
      <c r="H66" s="25" t="n">
        <f aca="false">Assumptions!$D$25+$D$11*Assumptions!$H$166+$H$25</f>
        <v>0.154375</v>
      </c>
      <c r="I66" s="25" t="n">
        <f aca="false">Assumptions!$D$25+$D$11*Assumptions!$I$166+$I$25</f>
        <v>0.174375</v>
      </c>
      <c r="J66" s="25" t="n">
        <f aca="false">Assumptions!$D$25+$D$11*Assumptions!$J$166+$J$25</f>
        <v>0.184375</v>
      </c>
      <c r="K66" s="25" t="n">
        <f aca="false">Assumptions!$D$25+$D$11*Assumptions!$K$166+$K$25</f>
        <v>0.184375</v>
      </c>
      <c r="L66" s="25" t="n">
        <f aca="false">Assumptions!$D$25+$D$11*Assumptions!$L$166+$L$25</f>
        <v>0.184375</v>
      </c>
    </row>
    <row r="67" customFormat="false" ht="15" hidden="false" customHeight="false" outlineLevel="0" collapsed="false">
      <c r="B67" s="9" t="s">
        <v>549</v>
      </c>
      <c r="E67" s="19" t="n">
        <f aca="false">$E$65*$E$66</f>
        <v>50</v>
      </c>
      <c r="F67" s="19" t="n">
        <f aca="false">$F$65*$F$66</f>
        <v>55.65</v>
      </c>
      <c r="G67" s="19" t="n">
        <f aca="false">$G$65*$G$66</f>
        <v>62.9958</v>
      </c>
      <c r="H67" s="19" t="n">
        <f aca="false">$H$65*$H$66</f>
        <v>51.683268</v>
      </c>
      <c r="I67" s="19" t="n">
        <f aca="false">$I$65*$I$66</f>
        <v>62.46561132</v>
      </c>
      <c r="J67" s="19" t="n">
        <f aca="false">$J$65*$J$66</f>
        <v>69.35026203</v>
      </c>
      <c r="K67" s="19" t="n">
        <f aca="false">$K$65*$K$66</f>
        <v>72.1242725112</v>
      </c>
      <c r="L67" s="19" t="n">
        <f aca="false">$L$65*$L$66</f>
        <v>75.009243411648</v>
      </c>
    </row>
    <row r="68" customFormat="false" ht="15" hidden="false" customHeight="false" outlineLevel="0" collapsed="false">
      <c r="B68" s="9" t="s">
        <v>550</v>
      </c>
      <c r="E68" s="19" t="n">
        <f aca="false">IF(AND($D$12=1,$E$64&gt;=Assumptions!$D$116),Assumptions!$D$117*(1+Assumptions!$D$123)^($E$64-Assumptions!$D$116),0)</f>
        <v>0</v>
      </c>
      <c r="F68" s="19" t="n">
        <f aca="false">IF(AND($D$12=1,$F$64&gt;=Assumptions!$D$116),Assumptions!$D$117*(1+Assumptions!$D$123)^($F$64-Assumptions!$D$116),0)</f>
        <v>0</v>
      </c>
      <c r="G68" s="19" t="n">
        <f aca="false">IF(AND($D$12=1,$G$64&gt;=Assumptions!$D$116),Assumptions!$D$117*(1+Assumptions!$D$123)^($G$64-Assumptions!$D$116),0)</f>
        <v>60</v>
      </c>
      <c r="H68" s="19" t="n">
        <f aca="false">IF(AND($D$12=1,$H$64&gt;=Assumptions!$D$116),Assumptions!$D$117*(1+Assumptions!$D$123)^($H$64-Assumptions!$D$116),0)</f>
        <v>62.4</v>
      </c>
      <c r="I68" s="19" t="n">
        <f aca="false">IF(AND($D$12=1,$I$64&gt;=Assumptions!$D$116),Assumptions!$D$117*(1+Assumptions!$D$123)^($I$64-Assumptions!$D$116),0)</f>
        <v>64.896</v>
      </c>
      <c r="J68" s="19" t="n">
        <f aca="false">IF(AND($D$12=1,$J$64&gt;=Assumptions!$D$116),Assumptions!$D$117*(1+Assumptions!$D$123)^($J$64-Assumptions!$D$116),0)</f>
        <v>67.49184</v>
      </c>
      <c r="K68" s="19" t="n">
        <f aca="false">IF(AND($D$12=1,$K$64&gt;=Assumptions!$D$116),Assumptions!$D$117*(1+Assumptions!$D$123)^($K$64-Assumptions!$D$116),0)</f>
        <v>70.1915136</v>
      </c>
      <c r="L68" s="19" t="n">
        <f aca="false">IF(AND($D$12=1,$L$64&gt;=Assumptions!$D$116),Assumptions!$D$117*(1+Assumptions!$D$123)^($L$64-Assumptions!$D$116),0)</f>
        <v>72.999174144</v>
      </c>
    </row>
    <row r="69" customFormat="false" ht="15" hidden="false" customHeight="false" outlineLevel="0" collapsed="false">
      <c r="B69" s="9" t="s">
        <v>551</v>
      </c>
      <c r="E69" s="19" t="n">
        <f aca="false">$E$68*Assumptions!$D$118/Assumptions!$D$117</f>
        <v>0</v>
      </c>
      <c r="F69" s="19" t="n">
        <f aca="false">$F$68*Assumptions!$D$118/Assumptions!$D$117</f>
        <v>0</v>
      </c>
      <c r="G69" s="19" t="n">
        <f aca="false">$G$68*Assumptions!$D$118/Assumptions!$D$117</f>
        <v>8</v>
      </c>
      <c r="H69" s="19" t="n">
        <f aca="false">$H$68*Assumptions!$D$118/Assumptions!$D$117</f>
        <v>8.32</v>
      </c>
      <c r="I69" s="19" t="n">
        <f aca="false">$I$68*Assumptions!$D$118/Assumptions!$D$117</f>
        <v>8.6528</v>
      </c>
      <c r="J69" s="19" t="n">
        <f aca="false">$J$68*Assumptions!$D$118/Assumptions!$D$117</f>
        <v>8.998912</v>
      </c>
      <c r="K69" s="19" t="n">
        <f aca="false">$K$68*Assumptions!$D$118/Assumptions!$D$117</f>
        <v>9.35886848</v>
      </c>
      <c r="L69" s="19" t="n">
        <f aca="false">$L$68*Assumptions!$D$118/Assumptions!$D$117</f>
        <v>9.7332232192</v>
      </c>
    </row>
    <row r="70" customFormat="false" ht="15" hidden="false" customHeight="false" outlineLevel="0" collapsed="false">
      <c r="B70" s="9" t="s">
        <v>552</v>
      </c>
      <c r="E70" s="19" t="n">
        <f aca="false">0</f>
        <v>0</v>
      </c>
      <c r="F70" s="19" t="n">
        <f aca="false">IF(AND($D$12=1,$F$64&gt;Assumptions!$D$116),Assumptions!$F$168,0)</f>
        <v>0</v>
      </c>
      <c r="G70" s="19" t="n">
        <f aca="false">IF(AND($D$12=1,$G$64&gt;Assumptions!$D$116),Assumptions!$G$168,0)</f>
        <v>0</v>
      </c>
      <c r="H70" s="19" t="n">
        <f aca="false">IF(AND($D$12=1,$H$64&gt;Assumptions!$D$116),Assumptions!$H$168,0)</f>
        <v>1</v>
      </c>
      <c r="I70" s="19" t="n">
        <f aca="false">IF(AND($D$12=1,$I$64&gt;Assumptions!$D$116),Assumptions!$I$168,0)</f>
        <v>2.5</v>
      </c>
      <c r="J70" s="19" t="n">
        <f aca="false">IF(AND($D$12=1,$J$64&gt;Assumptions!$D$116),Assumptions!$J$168,0)</f>
        <v>3</v>
      </c>
      <c r="K70" s="19" t="n">
        <f aca="false">IF(AND($D$12=1,$K$64&gt;Assumptions!$D$116),Assumptions!$K$168,0)</f>
        <v>3</v>
      </c>
      <c r="L70" s="19" t="n">
        <f aca="false">IF(AND($D$12=1,$L$64&gt;Assumptions!$D$116),Assumptions!$L$168,0)</f>
        <v>3</v>
      </c>
    </row>
    <row r="71" customFormat="false" ht="15" hidden="false" customHeight="false" outlineLevel="0" collapsed="false">
      <c r="B71" s="17" t="s">
        <v>553</v>
      </c>
      <c r="E71" s="18" t="n">
        <f aca="false">$E$65+IF(AND($D$12=1,$E$64&gt;Assumptions!$D$116),$E$68,0)</f>
        <v>320</v>
      </c>
      <c r="F71" s="18" t="n">
        <f aca="false">$F$65+IF(AND($D$12=1,$F$64&gt;Assumptions!$D$116),$F$68,0)</f>
        <v>336</v>
      </c>
      <c r="G71" s="18" t="n">
        <f aca="false">$G$65+IF(AND($D$12=1,$G$64&gt;Assumptions!$D$116),$G$68,0)</f>
        <v>356.16</v>
      </c>
      <c r="H71" s="18" t="n">
        <f aca="false">$H$65+IF(AND($D$12=1,$H$64&gt;Assumptions!$D$116),$H$68,0)</f>
        <v>397.1904</v>
      </c>
      <c r="I71" s="18" t="n">
        <f aca="false">$I$65+IF(AND($D$12=1,$I$64&gt;Assumptions!$D$116),$I$68,0)</f>
        <v>423.121728</v>
      </c>
      <c r="J71" s="18" t="n">
        <f aca="false">$J$65+IF(AND($D$12=1,$J$64&gt;Assumptions!$D$116),$J$68,0)</f>
        <v>443.6288544</v>
      </c>
      <c r="K71" s="18" t="n">
        <f aca="false">$K$65+IF(AND($D$12=1,$K$64&gt;Assumptions!$D$116),$K$68,0)</f>
        <v>461.374008576</v>
      </c>
      <c r="L71" s="18" t="n">
        <f aca="false">$L$65+IF(AND($D$12=1,$L$64&gt;Assumptions!$D$116),$L$68,0)</f>
        <v>479.82896891904</v>
      </c>
    </row>
    <row r="72" customFormat="false" ht="15" hidden="false" customHeight="false" outlineLevel="0" collapsed="false">
      <c r="B72" s="17" t="s">
        <v>554</v>
      </c>
      <c r="E72" s="18" t="n">
        <f aca="false">$E$67+IF(AND($D$12=1,$E$64&gt;Assumptions!$D$116),$E$69+$E$70,0)</f>
        <v>50</v>
      </c>
      <c r="F72" s="18" t="n">
        <f aca="false">$F$67+IF(AND($D$12=1,$F$64&gt;Assumptions!$D$116),$F$69+$F$70,0)</f>
        <v>55.65</v>
      </c>
      <c r="G72" s="18" t="n">
        <f aca="false">$G$67+IF(AND($D$12=1,$G$64&gt;Assumptions!$D$116),$G$69+$G$70,0)</f>
        <v>62.9958</v>
      </c>
      <c r="H72" s="18" t="n">
        <f aca="false">$H$67+IF(AND($D$12=1,$H$64&gt;Assumptions!$D$116),$H$69+$H$70,0)</f>
        <v>61.003268</v>
      </c>
      <c r="I72" s="18" t="n">
        <f aca="false">$I$67+IF(AND($D$12=1,$I$64&gt;Assumptions!$D$116),$I$69+$I$70,0)</f>
        <v>73.61841132</v>
      </c>
      <c r="J72" s="18" t="n">
        <f aca="false">$J$67+IF(AND($D$12=1,$J$64&gt;Assumptions!$D$116),$J$69+$J$70,0)</f>
        <v>81.34917403</v>
      </c>
      <c r="K72" s="18" t="n">
        <f aca="false">$K$67+IF(AND($D$12=1,$K$64&gt;Assumptions!$D$116),$K$69+$K$70,0)</f>
        <v>84.4831409912</v>
      </c>
      <c r="L72" s="18" t="n">
        <f aca="false">$L$67+IF(AND($D$12=1,$L$64&gt;Assumptions!$D$116),$L$69+$L$70,0)</f>
        <v>87.742466630848</v>
      </c>
    </row>
    <row r="73" customFormat="false" ht="15" hidden="false" customHeight="false" outlineLevel="0" collapsed="false">
      <c r="B73" s="9" t="s">
        <v>555</v>
      </c>
      <c r="E73" s="14" t="n">
        <f aca="false">$E$72/$E$71</f>
        <v>0.15625</v>
      </c>
      <c r="F73" s="14" t="n">
        <f aca="false">$F$72/$F$71</f>
        <v>0.165625</v>
      </c>
      <c r="G73" s="14" t="n">
        <f aca="false">$G$72/$G$71</f>
        <v>0.176875</v>
      </c>
      <c r="H73" s="14" t="n">
        <f aca="false">$H$72/$H$71</f>
        <v>0.153586964841044</v>
      </c>
      <c r="I73" s="14" t="n">
        <f aca="false">$I$72/$I$71</f>
        <v>0.173988728179896</v>
      </c>
      <c r="J73" s="14" t="n">
        <f aca="false">$J$72/$J$71</f>
        <v>0.183372143680833</v>
      </c>
      <c r="K73" s="14" t="n">
        <f aca="false">$K$72/$K$71</f>
        <v>0.183112051005976</v>
      </c>
      <c r="L73" s="14" t="n">
        <f aca="false">$L$72/$L$71</f>
        <v>0.182861961895536</v>
      </c>
    </row>
    <row r="74" customFormat="false" ht="15" hidden="false" customHeight="false" outlineLevel="0" collapsed="false">
      <c r="B74" s="9" t="s">
        <v>556</v>
      </c>
      <c r="E74" s="19" t="n">
        <f aca="false">Assumptions!$D$29*$E$71</f>
        <v>11.2</v>
      </c>
      <c r="F74" s="19" t="n">
        <f aca="false">Assumptions!$D$29*$F$71</f>
        <v>11.76</v>
      </c>
      <c r="G74" s="19" t="n">
        <f aca="false">Assumptions!$D$29*$G$71</f>
        <v>12.4656</v>
      </c>
      <c r="H74" s="19" t="n">
        <f aca="false">Assumptions!$D$29*$H$71</f>
        <v>13.901664</v>
      </c>
      <c r="I74" s="19" t="n">
        <f aca="false">Assumptions!$D$29*$I$71</f>
        <v>14.80926048</v>
      </c>
      <c r="J74" s="19" t="n">
        <f aca="false">Assumptions!$D$29*$J$71</f>
        <v>15.527009904</v>
      </c>
      <c r="K74" s="19" t="n">
        <f aca="false">Assumptions!$D$29*$K$71</f>
        <v>16.14809030016</v>
      </c>
      <c r="L74" s="19" t="n">
        <f aca="false">Assumptions!$D$29*$L$71</f>
        <v>16.7940139121664</v>
      </c>
    </row>
    <row r="75" customFormat="false" ht="15" hidden="false" customHeight="false" outlineLevel="0" collapsed="false">
      <c r="B75" s="9" t="s">
        <v>557</v>
      </c>
      <c r="E75" s="19" t="n">
        <f aca="false">Assumptions!$D$30*$E$71</f>
        <v>9.6</v>
      </c>
      <c r="F75" s="19" t="n">
        <f aca="false">Assumptions!$D$30*$F$71</f>
        <v>10.08</v>
      </c>
      <c r="G75" s="19" t="n">
        <f aca="false">Assumptions!$D$30*$G$71</f>
        <v>10.6848</v>
      </c>
      <c r="H75" s="19" t="n">
        <f aca="false">Assumptions!$D$30*$H$71</f>
        <v>11.915712</v>
      </c>
      <c r="I75" s="19" t="n">
        <f aca="false">Assumptions!$D$30*$I$71</f>
        <v>12.69365184</v>
      </c>
      <c r="J75" s="19" t="n">
        <f aca="false">Assumptions!$D$30*$J$71</f>
        <v>13.308865632</v>
      </c>
      <c r="K75" s="19" t="n">
        <f aca="false">Assumptions!$D$30*$K$71</f>
        <v>13.84122025728</v>
      </c>
      <c r="L75" s="19" t="n">
        <f aca="false">Assumptions!$D$30*$L$71</f>
        <v>14.3948690675712</v>
      </c>
    </row>
    <row r="76" customFormat="false" ht="15" hidden="false" customHeight="false" outlineLevel="0" collapsed="false">
      <c r="B76" s="9" t="s">
        <v>558</v>
      </c>
      <c r="E76" s="19" t="n">
        <f aca="false">Assumptions!$D$27*$E$71</f>
        <v>38.4</v>
      </c>
      <c r="F76" s="19" t="n">
        <f aca="false">Assumptions!$D$27*$F$71</f>
        <v>40.32</v>
      </c>
      <c r="G76" s="19" t="n">
        <f aca="false">Assumptions!$D$27*$G$71</f>
        <v>42.7392</v>
      </c>
      <c r="H76" s="19" t="n">
        <f aca="false">Assumptions!$D$27*$H$71</f>
        <v>47.662848</v>
      </c>
      <c r="I76" s="19" t="n">
        <f aca="false">Assumptions!$D$27*$I$71</f>
        <v>50.77460736</v>
      </c>
      <c r="J76" s="19" t="n">
        <f aca="false">Assumptions!$D$27*$J$71</f>
        <v>53.235462528</v>
      </c>
      <c r="K76" s="19" t="n">
        <f aca="false">Assumptions!$D$27*$K$71</f>
        <v>55.36488102912</v>
      </c>
      <c r="L76" s="19" t="n">
        <f aca="false">Assumptions!$D$27*$L$71</f>
        <v>57.5794762702848</v>
      </c>
    </row>
    <row r="77" customFormat="false" ht="15" hidden="false" customHeight="false" outlineLevel="0" collapsed="false">
      <c r="B77" s="9" t="s">
        <v>559</v>
      </c>
      <c r="E77" s="19" t="n">
        <f aca="false">0</f>
        <v>0</v>
      </c>
      <c r="F77" s="19" t="n">
        <f aca="false">IF(AND($D$12=1,$F$64=Assumptions!$D$116),Assumptions!$D$117*Assumptions!$D$27,0)</f>
        <v>0</v>
      </c>
      <c r="G77" s="19" t="n">
        <f aca="false">IF(AND($D$12=1,$G$64=Assumptions!$D$116),Assumptions!$D$117*Assumptions!$D$27,0)</f>
        <v>7.2</v>
      </c>
      <c r="H77" s="19" t="n">
        <f aca="false">IF(AND($D$12=1,$H$64=Assumptions!$D$116),Assumptions!$D$117*Assumptions!$D$27,0)</f>
        <v>0</v>
      </c>
      <c r="I77" s="19" t="n">
        <f aca="false">IF(AND($D$12=1,$I$64=Assumptions!$D$116),Assumptions!$D$117*Assumptions!$D$27,0)</f>
        <v>0</v>
      </c>
      <c r="J77" s="19" t="n">
        <f aca="false">IF(AND($D$12=1,$J$64=Assumptions!$D$116),Assumptions!$D$117*Assumptions!$D$27,0)</f>
        <v>0</v>
      </c>
      <c r="K77" s="19" t="n">
        <f aca="false">IF(AND($D$12=1,$K$64=Assumptions!$D$116),Assumptions!$D$117*Assumptions!$D$27,0)</f>
        <v>0</v>
      </c>
      <c r="L77" s="19" t="n">
        <f aca="false">IF(AND($D$12=1,$L$64=Assumptions!$D$116),Assumptions!$D$117*Assumptions!$D$27,0)</f>
        <v>0</v>
      </c>
    </row>
    <row r="78" customFormat="false" ht="15" hidden="false" customHeight="false" outlineLevel="0" collapsed="false">
      <c r="B78" s="9" t="s">
        <v>560</v>
      </c>
      <c r="E78" s="19" t="n">
        <f aca="false">$E$76+$E$77</f>
        <v>38.4</v>
      </c>
      <c r="F78" s="19" t="n">
        <f aca="false">$F$76+$F$77</f>
        <v>40.32</v>
      </c>
      <c r="G78" s="19" t="n">
        <f aca="false">$G$76+$G$77</f>
        <v>49.9392</v>
      </c>
      <c r="H78" s="19" t="n">
        <f aca="false">$H$76+$H$77</f>
        <v>47.662848</v>
      </c>
      <c r="I78" s="19" t="n">
        <f aca="false">$I$76+$I$77</f>
        <v>50.77460736</v>
      </c>
      <c r="J78" s="19" t="n">
        <f aca="false">$J$76+$J$77</f>
        <v>53.235462528</v>
      </c>
      <c r="K78" s="19" t="n">
        <f aca="false">$K$76+$K$77</f>
        <v>55.36488102912</v>
      </c>
      <c r="L78" s="19" t="n">
        <f aca="false">$L$76+$L$77</f>
        <v>57.5794762702848</v>
      </c>
    </row>
    <row r="79" customFormat="false" ht="15" hidden="false" customHeight="false" outlineLevel="0" collapsed="false">
      <c r="B79" s="9" t="s">
        <v>561</v>
      </c>
      <c r="F79" s="19" t="n">
        <f aca="false">$F$78-$E$78-$F$77</f>
        <v>1.92</v>
      </c>
      <c r="G79" s="19" t="n">
        <f aca="false">$G$78-$F$78-$G$77</f>
        <v>2.4192</v>
      </c>
      <c r="H79" s="19" t="n">
        <f aca="false">$H$78-$G$78-$H$77</f>
        <v>-2.27635200000001</v>
      </c>
      <c r="I79" s="19" t="n">
        <f aca="false">$I$78-$H$78-$I$77</f>
        <v>3.11175936000001</v>
      </c>
      <c r="J79" s="19" t="n">
        <f aca="false">$J$78-$I$78-$J$77</f>
        <v>2.460855168</v>
      </c>
      <c r="K79" s="19" t="n">
        <f aca="false">$K$78-$J$78-$K$77</f>
        <v>2.12941850112</v>
      </c>
      <c r="L79" s="19" t="n">
        <f aca="false">$L$78-$K$78-$L$77</f>
        <v>2.2145952411648</v>
      </c>
    </row>
    <row r="80" customFormat="false" ht="15" hidden="false" customHeight="false" outlineLevel="0" collapsed="false">
      <c r="B80" s="7" t="s">
        <v>562</v>
      </c>
      <c r="C80" s="8"/>
      <c r="D80" s="8"/>
      <c r="E80" s="8"/>
      <c r="F80" s="8"/>
      <c r="G80" s="8"/>
      <c r="H80" s="8"/>
      <c r="I80" s="8"/>
      <c r="J80" s="8"/>
      <c r="K80" s="8"/>
      <c r="L80" s="8"/>
    </row>
    <row r="81" customFormat="false" ht="15" hidden="false" customHeight="false" outlineLevel="0" collapsed="false">
      <c r="B81" s="7" t="s">
        <v>178</v>
      </c>
      <c r="E81" s="30" t="n">
        <v>0</v>
      </c>
      <c r="F81" s="30" t="n">
        <v>1</v>
      </c>
      <c r="G81" s="30" t="n">
        <v>2</v>
      </c>
      <c r="H81" s="30" t="n">
        <v>3</v>
      </c>
      <c r="I81" s="30" t="n">
        <v>4</v>
      </c>
      <c r="J81" s="30" t="n">
        <v>5</v>
      </c>
      <c r="K81" s="30" t="n">
        <v>6</v>
      </c>
      <c r="L81" s="30" t="n">
        <v>7</v>
      </c>
    </row>
    <row r="82" customFormat="false" ht="15" hidden="false" customHeight="false" outlineLevel="0" collapsed="false">
      <c r="B82" s="9" t="s">
        <v>563</v>
      </c>
      <c r="E82" s="19" t="n">
        <f aca="false">0</f>
        <v>0</v>
      </c>
      <c r="F82" s="19" t="n">
        <f aca="false">IF(AND($D$12=1,$F$64=Assumptions!$D$116),Assumptions!$D$121,0)</f>
        <v>0</v>
      </c>
      <c r="G82" s="19" t="n">
        <f aca="false">IF(AND($D$12=1,$G$64=Assumptions!$D$116),Assumptions!$D$121,0)</f>
        <v>52</v>
      </c>
      <c r="H82" s="19" t="n">
        <f aca="false">IF(AND($D$12=1,$H$64=Assumptions!$D$116),Assumptions!$D$121,0)</f>
        <v>0</v>
      </c>
      <c r="I82" s="19" t="n">
        <f aca="false">IF(AND($D$12=1,$I$64=Assumptions!$D$116),Assumptions!$D$121,0)</f>
        <v>0</v>
      </c>
      <c r="J82" s="19" t="n">
        <f aca="false">IF(AND($D$12=1,$J$64=Assumptions!$D$116),Assumptions!$D$121,0)</f>
        <v>0</v>
      </c>
      <c r="K82" s="19" t="n">
        <f aca="false">IF(AND($D$12=1,$K$64=Assumptions!$D$116),Assumptions!$D$121,0)</f>
        <v>0</v>
      </c>
      <c r="L82" s="19" t="n">
        <f aca="false">IF(AND($D$12=1,$L$64=Assumptions!$D$116),Assumptions!$D$121,0)</f>
        <v>0</v>
      </c>
    </row>
    <row r="83" customFormat="false" ht="15" hidden="false" customHeight="false" outlineLevel="0" collapsed="false">
      <c r="B83" s="9" t="s">
        <v>564</v>
      </c>
      <c r="E83" s="19" t="n">
        <f aca="false">0</f>
        <v>0</v>
      </c>
      <c r="F83" s="19" t="n">
        <f aca="false">IF(AND($D$12=1,$F$64=Assumptions!$D$116),Assumptions!$D$122,0)</f>
        <v>0</v>
      </c>
      <c r="G83" s="19" t="n">
        <f aca="false">IF(AND($D$12=1,$G$64=Assumptions!$D$116),Assumptions!$D$122,0)</f>
        <v>1.5</v>
      </c>
      <c r="H83" s="19" t="n">
        <f aca="false">IF(AND($D$12=1,$H$64=Assumptions!$D$116),Assumptions!$D$122,0)</f>
        <v>0</v>
      </c>
      <c r="I83" s="19" t="n">
        <f aca="false">IF(AND($D$12=1,$I$64=Assumptions!$D$116),Assumptions!$D$122,0)</f>
        <v>0</v>
      </c>
      <c r="J83" s="19" t="n">
        <f aca="false">IF(AND($D$12=1,$J$64=Assumptions!$D$116),Assumptions!$D$122,0)</f>
        <v>0</v>
      </c>
      <c r="K83" s="19" t="n">
        <f aca="false">IF(AND($D$12=1,$K$64=Assumptions!$D$116),Assumptions!$D$122,0)</f>
        <v>0</v>
      </c>
      <c r="L83" s="19" t="n">
        <f aca="false">IF(AND($D$12=1,$L$64=Assumptions!$D$116),Assumptions!$D$122,0)</f>
        <v>0</v>
      </c>
    </row>
    <row r="84" customFormat="false" ht="15" hidden="false" customHeight="false" outlineLevel="0" collapsed="false">
      <c r="B84" s="9" t="s">
        <v>565</v>
      </c>
      <c r="E84" s="19" t="n">
        <f aca="false">0</f>
        <v>0</v>
      </c>
      <c r="F84" s="19" t="n">
        <f aca="false">IF(AND($D$12=1,$F$64=Assumptions!$D$116,$D$14=0),Assumptions!$D$125,0)</f>
        <v>0</v>
      </c>
      <c r="G84" s="19" t="n">
        <f aca="false">IF(AND($D$12=1,$G$64=Assumptions!$D$116,$D$14=0),Assumptions!$D$125,0)</f>
        <v>40</v>
      </c>
      <c r="H84" s="19" t="n">
        <f aca="false">IF(AND($D$12=1,$H$64=Assumptions!$D$116,$D$14=0),Assumptions!$D$125,0)</f>
        <v>0</v>
      </c>
      <c r="I84" s="19" t="n">
        <f aca="false">IF(AND($D$12=1,$I$64=Assumptions!$D$116,$D$14=0),Assumptions!$D$125,0)</f>
        <v>0</v>
      </c>
      <c r="J84" s="19" t="n">
        <f aca="false">IF(AND($D$12=1,$J$64=Assumptions!$D$116,$D$14=0),Assumptions!$D$125,0)</f>
        <v>0</v>
      </c>
      <c r="K84" s="19" t="n">
        <f aca="false">IF(AND($D$12=1,$K$64=Assumptions!$D$116,$D$14=0),Assumptions!$D$125,0)</f>
        <v>0</v>
      </c>
      <c r="L84" s="19" t="n">
        <f aca="false">IF(AND($D$12=1,$L$64=Assumptions!$D$116,$D$14=0),Assumptions!$D$125,0)</f>
        <v>0</v>
      </c>
    </row>
    <row r="85" customFormat="false" ht="15" hidden="false" customHeight="false" outlineLevel="0" collapsed="false">
      <c r="B85" s="9" t="s">
        <v>566</v>
      </c>
      <c r="E85" s="19" t="n">
        <f aca="false">0</f>
        <v>0</v>
      </c>
      <c r="F85" s="19" t="n">
        <f aca="false">Assumptions!$D$77*$F$84</f>
        <v>0</v>
      </c>
      <c r="G85" s="19" t="n">
        <f aca="false">Assumptions!$D$77*$G$84</f>
        <v>0.8</v>
      </c>
      <c r="H85" s="19" t="n">
        <f aca="false">Assumptions!$D$77*$H$84</f>
        <v>0</v>
      </c>
      <c r="I85" s="19" t="n">
        <f aca="false">Assumptions!$D$77*$I$84</f>
        <v>0</v>
      </c>
      <c r="J85" s="19" t="n">
        <f aca="false">Assumptions!$D$77*$J$84</f>
        <v>0</v>
      </c>
      <c r="K85" s="19" t="n">
        <f aca="false">Assumptions!$D$77*$K$84</f>
        <v>0</v>
      </c>
      <c r="L85" s="19" t="n">
        <f aca="false">Assumptions!$D$77*$L$84</f>
        <v>0</v>
      </c>
    </row>
    <row r="86" customFormat="false" ht="15" hidden="false" customHeight="false" outlineLevel="0" collapsed="false">
      <c r="B86" s="9" t="s">
        <v>567</v>
      </c>
      <c r="E86" s="19" t="n">
        <f aca="false">0</f>
        <v>0</v>
      </c>
      <c r="F86" s="19" t="n">
        <f aca="false">IF(AND($D$13=1,$F$64=Assumptions!$D$138),Assumptions!$D$139,0)</f>
        <v>0</v>
      </c>
      <c r="G86" s="19" t="n">
        <f aca="false">IF(AND($D$13=1,$G$64=Assumptions!$D$138),Assumptions!$D$139,0)</f>
        <v>0</v>
      </c>
      <c r="H86" s="19" t="n">
        <f aca="false">IF(AND($D$13=1,$H$64=Assumptions!$D$138),Assumptions!$D$139,0)</f>
        <v>0</v>
      </c>
      <c r="I86" s="19" t="n">
        <f aca="false">IF(AND($D$13=1,$I$64=Assumptions!$D$138),Assumptions!$D$139,0)</f>
        <v>0</v>
      </c>
      <c r="J86" s="19" t="n">
        <f aca="false">IF(AND($D$13=1,$J$64=Assumptions!$D$138),Assumptions!$D$139,0)</f>
        <v>0</v>
      </c>
      <c r="K86" s="19" t="n">
        <f aca="false">IF(AND($D$13=1,$K$64=Assumptions!$D$138),Assumptions!$D$139,0)</f>
        <v>0</v>
      </c>
      <c r="L86" s="19" t="n">
        <f aca="false">IF(AND($D$13=1,$L$64=Assumptions!$D$138),Assumptions!$D$139,0)</f>
        <v>0</v>
      </c>
    </row>
    <row r="87" customFormat="false" ht="15" hidden="false" customHeight="false" outlineLevel="0" collapsed="false">
      <c r="B87" s="9" t="s">
        <v>568</v>
      </c>
      <c r="E87" s="19" t="n">
        <f aca="false">0</f>
        <v>0</v>
      </c>
      <c r="F87" s="19" t="n">
        <f aca="false">Assumptions!$D$140*$F$86</f>
        <v>0</v>
      </c>
      <c r="G87" s="19" t="n">
        <f aca="false">Assumptions!$D$140*$G$86</f>
        <v>0</v>
      </c>
      <c r="H87" s="19" t="n">
        <f aca="false">Assumptions!$D$140*$H$86</f>
        <v>0</v>
      </c>
      <c r="I87" s="19" t="n">
        <f aca="false">Assumptions!$D$140*$I$86</f>
        <v>0</v>
      </c>
      <c r="J87" s="19" t="n">
        <f aca="false">Assumptions!$D$140*$J$86</f>
        <v>0</v>
      </c>
      <c r="K87" s="19" t="n">
        <f aca="false">Assumptions!$D$140*$K$86</f>
        <v>0</v>
      </c>
      <c r="L87" s="19" t="n">
        <f aca="false">Assumptions!$D$140*$L$86</f>
        <v>0</v>
      </c>
    </row>
    <row r="88" customFormat="false" ht="15" hidden="false" customHeight="false" outlineLevel="0" collapsed="false">
      <c r="B88" s="9" t="s">
        <v>569</v>
      </c>
      <c r="E88" s="19" t="n">
        <f aca="false">0</f>
        <v>0</v>
      </c>
      <c r="F88" s="19" t="n">
        <f aca="false">$F$86</f>
        <v>0</v>
      </c>
      <c r="G88" s="19" t="n">
        <f aca="false">$G$86</f>
        <v>0</v>
      </c>
      <c r="H88" s="19" t="n">
        <f aca="false">$H$86</f>
        <v>0</v>
      </c>
      <c r="I88" s="19" t="n">
        <f aca="false">$I$86</f>
        <v>0</v>
      </c>
      <c r="J88" s="19" t="n">
        <f aca="false">$J$86</f>
        <v>0</v>
      </c>
      <c r="K88" s="19" t="n">
        <f aca="false">$K$86</f>
        <v>0</v>
      </c>
      <c r="L88" s="19" t="n">
        <f aca="false">$L$86</f>
        <v>0</v>
      </c>
    </row>
    <row r="89" customFormat="false" ht="15" hidden="false" customHeight="false" outlineLevel="0" collapsed="false">
      <c r="B89" s="9" t="s">
        <v>570</v>
      </c>
      <c r="E89" s="38" t="n">
        <f aca="false">0</f>
        <v>0</v>
      </c>
      <c r="F89" s="38" t="n">
        <f aca="false">IF(AND($D$17=1,$F$64=Assumptions!$D$146),Assumptions!$D$147*$E$118,0)</f>
        <v>0</v>
      </c>
      <c r="G89" s="38" t="n">
        <f aca="false">IF(AND($D$17=1,$G$64=Assumptions!$D$146),Assumptions!$D$147*$F$118,0)</f>
        <v>0</v>
      </c>
      <c r="H89" s="38" t="n">
        <f aca="false">IF(AND($D$17=1,$H$64=Assumptions!$D$146),Assumptions!$D$147*$G$118,0)</f>
        <v>0</v>
      </c>
      <c r="I89" s="38" t="n">
        <f aca="false">IF(AND($D$17=1,$I$64=Assumptions!$D$146),Assumptions!$D$147*$H$118,0)</f>
        <v>0</v>
      </c>
      <c r="J89" s="38" t="n">
        <f aca="false">IF(AND($D$17=1,$J$64=Assumptions!$D$146),Assumptions!$D$147*$I$118,0)</f>
        <v>0</v>
      </c>
      <c r="K89" s="38" t="n">
        <f aca="false">IF(AND($D$17=1,$K$64=Assumptions!$D$146),Assumptions!$D$147*$J$118,0)</f>
        <v>0</v>
      </c>
      <c r="L89" s="38" t="n">
        <f aca="false">IF(AND($D$17=1,$L$64=Assumptions!$D$146),Assumptions!$D$147*$K$118,0)</f>
        <v>0</v>
      </c>
    </row>
    <row r="90" customFormat="false" ht="15" hidden="false" customHeight="false" outlineLevel="0" collapsed="false">
      <c r="B90" s="9" t="s">
        <v>571</v>
      </c>
      <c r="E90" s="19" t="n">
        <f aca="false">0</f>
        <v>0</v>
      </c>
      <c r="F90" s="19" t="n">
        <f aca="false">IF(AND($D$16=$F$64,$D$15&lt;&gt;0),$D$15,0)</f>
        <v>0</v>
      </c>
      <c r="G90" s="19" t="n">
        <f aca="false">IF(AND($D$16=$G$64,$D$15&lt;&gt;0),$D$15,0)</f>
        <v>0</v>
      </c>
      <c r="H90" s="19" t="n">
        <f aca="false">IF(AND($D$16=$H$64,$D$15&lt;&gt;0),$D$15,0)</f>
        <v>0</v>
      </c>
      <c r="I90" s="19" t="n">
        <f aca="false">IF(AND($D$16=$I$64,$D$15&lt;&gt;0),$D$15,0)</f>
        <v>0</v>
      </c>
      <c r="J90" s="19" t="n">
        <f aca="false">IF(AND($D$16=$J$64,$D$15&lt;&gt;0),$D$15,0)</f>
        <v>0</v>
      </c>
      <c r="K90" s="19" t="n">
        <f aca="false">IF(AND($D$16=$K$64,$D$15&lt;&gt;0),$D$15,0)</f>
        <v>0</v>
      </c>
      <c r="L90" s="19" t="n">
        <f aca="false">IF(AND($D$16=$L$64,$D$15&lt;&gt;0),$D$15,0)</f>
        <v>0</v>
      </c>
    </row>
    <row r="91" customFormat="false" ht="15" hidden="false" customHeight="false" outlineLevel="0" collapsed="false">
      <c r="B91" s="17" t="s">
        <v>572</v>
      </c>
      <c r="F91" s="18" t="n">
        <f aca="false">$F$72-$F$139-$F$105-$F$75-$F$79-$F$83-$F$87-$F$89</f>
        <v>12.22625</v>
      </c>
      <c r="G91" s="18" t="n">
        <f aca="false">$G$72-$G$139-$G$105-$G$75-$G$79-$G$83-$G$87-$G$89</f>
        <v>16.948938125</v>
      </c>
      <c r="H91" s="18" t="n">
        <f aca="false">$H$72-$H$139-$H$105-$H$75-$H$79-$H$83-$H$87-$H$89</f>
        <v>17.3068135390625</v>
      </c>
      <c r="I91" s="18" t="n">
        <f aca="false">$I$72-$I$139-$I$105-$I$75-$I$79-$I$83-$I$87-$I$89</f>
        <v>22.8818021846445</v>
      </c>
      <c r="J91" s="18" t="n">
        <f aca="false">$J$72-$J$139-$J$105-$J$75-$J$79-$J$83-$J$87-$J$89</f>
        <v>30.5805273095381</v>
      </c>
      <c r="K91" s="18" t="n">
        <f aca="false">$K$72-$K$139-$K$105-$K$75-$K$79-$K$83-$K$87-$K$89</f>
        <v>33.9042627393589</v>
      </c>
      <c r="L91" s="18" t="n">
        <f aca="false">$L$72-$L$139-$L$105-$L$75-$L$79-$L$83-$L$87-$L$89</f>
        <v>36.9661969995212</v>
      </c>
    </row>
    <row r="92" customFormat="false" ht="15" hidden="false" customHeight="false" outlineLevel="0" collapsed="false">
      <c r="B92" s="9" t="s">
        <v>573</v>
      </c>
      <c r="F92" s="19" t="n">
        <f aca="false">$F$75+$F$79</f>
        <v>12</v>
      </c>
      <c r="G92" s="19" t="n">
        <f aca="false">$G$75+$G$79</f>
        <v>13.104</v>
      </c>
      <c r="H92" s="19" t="n">
        <f aca="false">$H$75+$H$79</f>
        <v>9.63935999999999</v>
      </c>
      <c r="I92" s="19" t="n">
        <f aca="false">$I$75+$I$79</f>
        <v>15.8054112</v>
      </c>
      <c r="J92" s="19" t="n">
        <f aca="false">$J$75+$J$79</f>
        <v>15.7697208</v>
      </c>
      <c r="K92" s="19" t="n">
        <f aca="false">$K$75+$K$79</f>
        <v>15.9706387584</v>
      </c>
      <c r="L92" s="19" t="n">
        <f aca="false">$L$75+$L$79</f>
        <v>16.609464308736</v>
      </c>
    </row>
    <row r="93" customFormat="false" ht="15" hidden="false" customHeight="false" outlineLevel="0" collapsed="false">
      <c r="B93" s="7" t="s">
        <v>574</v>
      </c>
      <c r="C93" s="8"/>
      <c r="D93" s="8"/>
      <c r="E93" s="8"/>
      <c r="F93" s="8"/>
      <c r="G93" s="8"/>
      <c r="H93" s="8"/>
      <c r="I93" s="8"/>
      <c r="J93" s="8"/>
      <c r="K93" s="8"/>
      <c r="L93" s="8"/>
    </row>
    <row r="94" customFormat="false" ht="15" hidden="false" customHeight="false" outlineLevel="0" collapsed="false">
      <c r="B94" s="9" t="s">
        <v>575</v>
      </c>
      <c r="F94" s="19" t="n">
        <f aca="false">$E$123</f>
        <v>10</v>
      </c>
      <c r="G94" s="19" t="n">
        <f aca="false">$F$123</f>
        <v>14.988125</v>
      </c>
      <c r="H94" s="19" t="n">
        <f aca="false">$G$123</f>
        <v>13.4435315625</v>
      </c>
      <c r="I94" s="19" t="n">
        <f aca="false">$H$123</f>
        <v>19.0501725507813</v>
      </c>
      <c r="J94" s="19" t="n">
        <f aca="false">$I$123</f>
        <v>31.9614810515694</v>
      </c>
      <c r="K94" s="19" t="n">
        <f aca="false">$J$123</f>
        <v>59.8920083611075</v>
      </c>
      <c r="L94" s="19" t="n">
        <f aca="false">$K$123</f>
        <v>91.1462711004663</v>
      </c>
    </row>
    <row r="95" customFormat="false" ht="15" hidden="false" customHeight="false" outlineLevel="0" collapsed="false">
      <c r="B95" s="9" t="s">
        <v>576</v>
      </c>
      <c r="F95" s="19" t="n">
        <f aca="false">$E$123+$F$91-$F$109-$F$82-$F$85+$F$84+$F$86-$F$88+$F$90</f>
        <v>19.97625</v>
      </c>
      <c r="G95" s="19" t="n">
        <f aca="false">$F$123+$G$91-$G$109-$G$82-$G$85+$G$84+$G$86-$G$88+$G$90</f>
        <v>16.887063125</v>
      </c>
      <c r="H95" s="19" t="n">
        <f aca="false">$G$123+$H$91-$H$109-$H$82-$H$85+$H$84+$H$86-$H$88+$H$90</f>
        <v>28.1003451015625</v>
      </c>
      <c r="I95" s="19" t="n">
        <f aca="false">$H$123+$I$91-$I$109-$I$82-$I$85+$I$84+$I$86-$I$88+$I$90</f>
        <v>39.2819747354258</v>
      </c>
      <c r="J95" s="19" t="n">
        <f aca="false">$I$123+$J$91-$J$109-$J$82-$J$85+$J$84+$J$86-$J$88+$J$90</f>
        <v>59.8920083611075</v>
      </c>
      <c r="K95" s="19" t="n">
        <f aca="false">$J$123+$K$91-$K$109-$K$82-$K$85+$K$84+$K$86-$K$88+$K$90</f>
        <v>91.1462711004663</v>
      </c>
      <c r="L95" s="19" t="n">
        <f aca="false">$K$123+$L$91-$L$109-$L$82-$L$85+$L$84+$L$86-$L$88+$L$90</f>
        <v>125.462468099988</v>
      </c>
    </row>
    <row r="96" customFormat="false" ht="15" hidden="false" customHeight="false" outlineLevel="0" collapsed="false">
      <c r="B96" s="17" t="s">
        <v>577</v>
      </c>
      <c r="F96" s="18" t="n">
        <f aca="false">$F$95+$F$110-$F$111-$F$115</f>
        <v>14.988125</v>
      </c>
      <c r="G96" s="18" t="n">
        <f aca="false">$G$95+$G$110-$G$111-$G$115</f>
        <v>13.4435315625</v>
      </c>
      <c r="H96" s="18" t="n">
        <f aca="false">$H$95+$H$110-$H$111-$H$115</f>
        <v>19.0501725507813</v>
      </c>
      <c r="I96" s="18" t="n">
        <f aca="false">$I$95+$I$110-$I$111-$I$115</f>
        <v>31.9614810515694</v>
      </c>
      <c r="J96" s="18" t="n">
        <f aca="false">$J$95+$J$110-$J$111-$J$115</f>
        <v>59.8920083611075</v>
      </c>
      <c r="K96" s="18" t="n">
        <f aca="false">$K$95+$K$110-$K$111-$K$115</f>
        <v>91.1462711004663</v>
      </c>
      <c r="L96" s="18" t="n">
        <f aca="false">$L$95+$L$110-$L$111-$L$115</f>
        <v>125.462468099988</v>
      </c>
    </row>
    <row r="97" customFormat="false" ht="15" hidden="false" customHeight="false" outlineLevel="0" collapsed="false">
      <c r="B97" s="7" t="s">
        <v>578</v>
      </c>
      <c r="C97" s="8"/>
      <c r="D97" s="8"/>
      <c r="E97" s="8"/>
      <c r="F97" s="8"/>
      <c r="G97" s="8"/>
      <c r="H97" s="8"/>
      <c r="I97" s="8"/>
      <c r="J97" s="8"/>
      <c r="K97" s="8"/>
      <c r="L97" s="8"/>
    </row>
    <row r="98" customFormat="false" ht="15" hidden="false" customHeight="false" outlineLevel="0" collapsed="false">
      <c r="B98" s="7" t="s">
        <v>178</v>
      </c>
      <c r="E98" s="30" t="n">
        <v>0</v>
      </c>
      <c r="F98" s="30" t="n">
        <v>1</v>
      </c>
      <c r="G98" s="30" t="n">
        <v>2</v>
      </c>
      <c r="H98" s="30" t="n">
        <v>3</v>
      </c>
      <c r="I98" s="30" t="n">
        <v>4</v>
      </c>
      <c r="J98" s="30" t="n">
        <v>5</v>
      </c>
      <c r="K98" s="30" t="n">
        <v>6</v>
      </c>
      <c r="L98" s="30" t="n">
        <v>7</v>
      </c>
    </row>
    <row r="99" customFormat="false" ht="15" hidden="false" customHeight="false" outlineLevel="0" collapsed="false">
      <c r="B99" s="9" t="s">
        <v>579</v>
      </c>
      <c r="F99" s="25" t="n">
        <f aca="false">$D$21+IF(AND($D$17=1,$F$64&gt;Assumptions!$D$146),Assumptions!$D$148,0)</f>
        <v>0.045</v>
      </c>
      <c r="G99" s="25" t="n">
        <f aca="false">$D$21+IF(AND($D$17=1,$G$64&gt;Assumptions!$D$146),Assumptions!$D$148,0)</f>
        <v>0.045</v>
      </c>
      <c r="H99" s="25" t="n">
        <f aca="false">$D$21+IF(AND($D$17=1,$H$64&gt;Assumptions!$D$146),Assumptions!$D$148,0)</f>
        <v>0.045</v>
      </c>
      <c r="I99" s="25" t="n">
        <f aca="false">$D$21+IF(AND($D$17=1,$I$64&gt;Assumptions!$D$146),Assumptions!$D$148,0)</f>
        <v>0.045</v>
      </c>
      <c r="J99" s="25" t="n">
        <f aca="false">$D$21+IF(AND($D$17=1,$J$64&gt;Assumptions!$D$146),Assumptions!$D$148,0)</f>
        <v>0.045</v>
      </c>
      <c r="K99" s="25" t="n">
        <f aca="false">$D$21+IF(AND($D$17=1,$K$64&gt;Assumptions!$D$146),Assumptions!$D$148,0)</f>
        <v>0.045</v>
      </c>
      <c r="L99" s="25" t="n">
        <f aca="false">$D$21+IF(AND($D$17=1,$L$64&gt;Assumptions!$D$146),Assumptions!$D$148,0)</f>
        <v>0.045</v>
      </c>
    </row>
    <row r="100" customFormat="false" ht="15" hidden="false" customHeight="false" outlineLevel="0" collapsed="false">
      <c r="B100" s="9" t="s">
        <v>580</v>
      </c>
      <c r="F100" s="25" t="n">
        <f aca="false">$D$18+$F$99</f>
        <v>0.085</v>
      </c>
      <c r="G100" s="25" t="n">
        <f aca="false">$D$18+$G$99</f>
        <v>0.085</v>
      </c>
      <c r="H100" s="25" t="n">
        <f aca="false">$D$18+$H$99</f>
        <v>0.085</v>
      </c>
      <c r="I100" s="25" t="n">
        <f aca="false">$D$18+$I$99</f>
        <v>0.085</v>
      </c>
      <c r="J100" s="25" t="n">
        <f aca="false">$D$18+$J$99</f>
        <v>0.085</v>
      </c>
      <c r="K100" s="25" t="n">
        <f aca="false">$D$18+$K$99</f>
        <v>0.085</v>
      </c>
      <c r="L100" s="25" t="n">
        <f aca="false">$D$18+$L$99</f>
        <v>0.085</v>
      </c>
    </row>
    <row r="101" customFormat="false" ht="15" hidden="false" customHeight="false" outlineLevel="0" collapsed="false">
      <c r="B101" s="9" t="s">
        <v>581</v>
      </c>
      <c r="F101" s="38" t="n">
        <f aca="false">$E$118*$F$100</f>
        <v>19.125</v>
      </c>
      <c r="G101" s="38" t="n">
        <f aca="false">$F$118*$G$100</f>
        <v>18.509759375</v>
      </c>
      <c r="H101" s="38" t="n">
        <f aca="false">$G$118*$H$100</f>
        <v>21.4258091921875</v>
      </c>
      <c r="I101" s="38" t="n">
        <f aca="false">$H$118*$I$100</f>
        <v>20.4312945253711</v>
      </c>
      <c r="J101" s="38" t="n">
        <f aca="false">$I$118*$J$100</f>
        <v>19.5838025622433</v>
      </c>
      <c r="K101" s="38" t="n">
        <f aca="false">$J$118*$K$100</f>
        <v>19.3585525622433</v>
      </c>
      <c r="L101" s="38" t="n">
        <f aca="false">$K$118*$L$100</f>
        <v>19.1333025622433</v>
      </c>
    </row>
    <row r="102" customFormat="false" ht="15" hidden="false" customHeight="false" outlineLevel="0" collapsed="false">
      <c r="B102" s="9" t="s">
        <v>582</v>
      </c>
      <c r="F102" s="38" t="n">
        <f aca="false">$E$120*Assumptions!$D$88</f>
        <v>5.5</v>
      </c>
      <c r="G102" s="38" t="n">
        <f aca="false">$F$120*Assumptions!$D$88</f>
        <v>5.5</v>
      </c>
      <c r="H102" s="38" t="n">
        <f aca="false">$G$120*Assumptions!$D$88</f>
        <v>5.5</v>
      </c>
      <c r="I102" s="38" t="n">
        <f aca="false">$H$120*Assumptions!$D$88</f>
        <v>5.5</v>
      </c>
      <c r="J102" s="38" t="n">
        <f aca="false">$I$120*Assumptions!$D$88</f>
        <v>5.5</v>
      </c>
      <c r="K102" s="38" t="n">
        <f aca="false">$J$120*Assumptions!$D$88</f>
        <v>5.5</v>
      </c>
      <c r="L102" s="38" t="n">
        <f aca="false">$K$120*Assumptions!$D$88</f>
        <v>5.5</v>
      </c>
    </row>
    <row r="103" customFormat="false" ht="15" hidden="false" customHeight="false" outlineLevel="0" collapsed="false">
      <c r="B103" s="9" t="s">
        <v>583</v>
      </c>
      <c r="F103" s="38" t="n">
        <f aca="false">$E$121*($D$18+Assumptions!$D$91)+(Assumptions!$D$90-$E$121)*Assumptions!$D$92</f>
        <v>0.2</v>
      </c>
      <c r="G103" s="38" t="n">
        <f aca="false">$F$121*($D$18+Assumptions!$D$91)+(Assumptions!$D$90-$F$121)*Assumptions!$D$92</f>
        <v>0.2</v>
      </c>
      <c r="H103" s="38" t="n">
        <f aca="false">$G$121*($D$18+Assumptions!$D$91)+(Assumptions!$D$90-$G$121)*Assumptions!$D$92</f>
        <v>0.2</v>
      </c>
      <c r="I103" s="38" t="n">
        <f aca="false">$H$121*($D$18+Assumptions!$D$91)+(Assumptions!$D$90-$H$121)*Assumptions!$D$92</f>
        <v>0.2</v>
      </c>
      <c r="J103" s="38" t="n">
        <f aca="false">$I$121*($D$18+Assumptions!$D$91)+(Assumptions!$D$90-$I$121)*Assumptions!$D$92</f>
        <v>0.2</v>
      </c>
      <c r="K103" s="38" t="n">
        <f aca="false">$J$121*($D$18+Assumptions!$D$91)+(Assumptions!$D$90-$J$121)*Assumptions!$D$92</f>
        <v>0.2</v>
      </c>
      <c r="L103" s="38" t="n">
        <f aca="false">$K$121*($D$18+Assumptions!$D$91)+(Assumptions!$D$90-$K$121)*Assumptions!$D$92</f>
        <v>0.2</v>
      </c>
    </row>
    <row r="104" customFormat="false" ht="15" hidden="false" customHeight="false" outlineLevel="0" collapsed="false">
      <c r="B104" s="9" t="s">
        <v>584</v>
      </c>
      <c r="F104" s="38" t="n">
        <f aca="false">$E$123*Assumptions!$D$9</f>
        <v>0.2</v>
      </c>
      <c r="G104" s="38" t="n">
        <f aca="false">$F$123*Assumptions!$D$9</f>
        <v>0.2997625</v>
      </c>
      <c r="H104" s="38" t="n">
        <f aca="false">$G$123*Assumptions!$D$9</f>
        <v>0.26887063125</v>
      </c>
      <c r="I104" s="38" t="n">
        <f aca="false">$H$123*Assumptions!$D$9</f>
        <v>0.381003451015625</v>
      </c>
      <c r="J104" s="38" t="n">
        <f aca="false">$I$123*Assumptions!$D$9</f>
        <v>0.639229621031387</v>
      </c>
      <c r="K104" s="38" t="n">
        <f aca="false">$J$123*Assumptions!$D$9</f>
        <v>1.19784016722215</v>
      </c>
      <c r="L104" s="38" t="n">
        <f aca="false">$K$123*Assumptions!$D$9</f>
        <v>1.82292542200933</v>
      </c>
    </row>
    <row r="105" customFormat="false" ht="15" hidden="false" customHeight="false" outlineLevel="0" collapsed="false">
      <c r="B105" s="17" t="s">
        <v>585</v>
      </c>
      <c r="F105" s="40" t="n">
        <f aca="false">$F$101+$F$102+$F$103-$F$104</f>
        <v>24.625</v>
      </c>
      <c r="G105" s="40" t="n">
        <f aca="false">$G$101+$G$102+$G$103-$G$104</f>
        <v>23.909996875</v>
      </c>
      <c r="H105" s="40" t="n">
        <f aca="false">$H$101+$H$102+$H$103-$H$104</f>
        <v>26.8569385609375</v>
      </c>
      <c r="I105" s="40" t="n">
        <f aca="false">$I$101+$I$102+$I$103-$I$104</f>
        <v>25.7502910743555</v>
      </c>
      <c r="J105" s="40" t="n">
        <f aca="false">$J$101+$J$102+$J$103-$J$104</f>
        <v>24.6445729412119</v>
      </c>
      <c r="K105" s="40" t="n">
        <f aca="false">$K$101+$K$102+$K$103-$K$104</f>
        <v>23.8607123950211</v>
      </c>
      <c r="L105" s="40" t="n">
        <f aca="false">$L$101+$L$102+$L$103-$L$104</f>
        <v>23.010377140234</v>
      </c>
    </row>
    <row r="106" customFormat="false" ht="15" hidden="false" customHeight="false" outlineLevel="0" collapsed="false">
      <c r="B106" s="9" t="s">
        <v>586</v>
      </c>
      <c r="F106" s="38" t="n">
        <f aca="false">IF($E$149&gt;0,$E$149/MAX(1,Assumptions!$D$86-($F$64-1)),0)</f>
        <v>0.785714285714286</v>
      </c>
      <c r="G106" s="38" t="n">
        <f aca="false">IF($F$149&gt;0,$F$149/MAX(1,Assumptions!$D$86-($G$64-1)),0)</f>
        <v>0.785714285714286</v>
      </c>
      <c r="H106" s="38" t="n">
        <f aca="false">IF($G$149&gt;0,$G$149/MAX(1,Assumptions!$D$86-($H$64-1)),0)</f>
        <v>0.945714285714286</v>
      </c>
      <c r="I106" s="38" t="n">
        <f aca="false">IF($H$149&gt;0,$H$149/MAX(1,Assumptions!$D$86-($I$64-1)),0)</f>
        <v>0.945714285714286</v>
      </c>
      <c r="J106" s="38" t="n">
        <f aca="false">IF($I$149&gt;0,$I$149/MAX(1,Assumptions!$D$86-($J$64-1)),0)</f>
        <v>0.945714285714286</v>
      </c>
      <c r="K106" s="38" t="n">
        <f aca="false">IF($J$149&gt;0,$J$149/MAX(1,Assumptions!$D$86-($K$64-1)),0)</f>
        <v>0.945714285714286</v>
      </c>
      <c r="L106" s="38" t="n">
        <f aca="false">IF($K$149&gt;0,$K$149/MAX(1,Assumptions!$D$86-($L$64-1)),0)</f>
        <v>0.945714285714286</v>
      </c>
    </row>
    <row r="107" customFormat="false" ht="15" hidden="false" customHeight="false" outlineLevel="0" collapsed="false">
      <c r="B107" s="9" t="s">
        <v>587</v>
      </c>
      <c r="F107" s="24" t="n">
        <f aca="false">IF($F$105&lt;&gt;0,$F$72/$F$105,0)</f>
        <v>2.25989847715736</v>
      </c>
      <c r="G107" s="24" t="n">
        <f aca="false">IF($G$105&lt;&gt;0,$G$72/$G$105,0)</f>
        <v>2.63470548864302</v>
      </c>
      <c r="H107" s="24" t="n">
        <f aca="false">IF($H$105&lt;&gt;0,$H$72/$H$105,0)</f>
        <v>2.27141555473963</v>
      </c>
      <c r="I107" s="24" t="n">
        <f aca="false">IF($I$105&lt;&gt;0,$I$72/$I$105,0)</f>
        <v>2.85893511290504</v>
      </c>
      <c r="J107" s="24" t="n">
        <f aca="false">IF($J$105&lt;&gt;0,$J$72/$J$105,0)</f>
        <v>3.30089607249651</v>
      </c>
      <c r="K107" s="24" t="n">
        <f aca="false">IF($K$105&lt;&gt;0,$K$72/$K$105,0)</f>
        <v>3.54067974134874</v>
      </c>
      <c r="L107" s="24" t="n">
        <f aca="false">IF($L$105&lt;&gt;0,$L$72/$L$105,0)</f>
        <v>3.81316942769395</v>
      </c>
    </row>
    <row r="108" customFormat="false" ht="15" hidden="false" customHeight="false" outlineLevel="0" collapsed="false">
      <c r="B108" s="7" t="s">
        <v>588</v>
      </c>
      <c r="C108" s="8"/>
      <c r="D108" s="8"/>
      <c r="E108" s="8"/>
      <c r="F108" s="8"/>
      <c r="G108" s="8"/>
      <c r="H108" s="8"/>
      <c r="I108" s="8"/>
      <c r="J108" s="8"/>
      <c r="K108" s="8"/>
      <c r="L108" s="8"/>
    </row>
    <row r="109" customFormat="false" ht="15" hidden="false" customHeight="false" outlineLevel="0" collapsed="false">
      <c r="B109" s="9" t="s">
        <v>589</v>
      </c>
      <c r="F109" s="38" t="n">
        <f aca="false">IF($D$14=1,0,MIN($E$118,Assumptions!$D$85*$E$119))</f>
        <v>2.25</v>
      </c>
      <c r="G109" s="38" t="n">
        <f aca="false">IF($D$14=1,0,MIN($F$118,Assumptions!$D$85*$F$119))</f>
        <v>2.25</v>
      </c>
      <c r="H109" s="38" t="n">
        <f aca="false">IF($D$14=1,0,MIN($G$118,Assumptions!$D$85*$G$119))</f>
        <v>2.65</v>
      </c>
      <c r="I109" s="38" t="n">
        <f aca="false">IF($D$14=1,0,MIN($H$118,Assumptions!$D$85*$H$119))</f>
        <v>2.65</v>
      </c>
      <c r="J109" s="38" t="n">
        <f aca="false">IF($D$14=1,0,MIN($I$118,Assumptions!$D$85*$I$119))</f>
        <v>2.65</v>
      </c>
      <c r="K109" s="38" t="n">
        <f aca="false">IF($D$14=1,0,MIN($J$118,Assumptions!$D$85*$J$119))</f>
        <v>2.65</v>
      </c>
      <c r="L109" s="38" t="n">
        <f aca="false">IF($D$14=1,0,MIN($K$118,Assumptions!$D$85*$K$119))</f>
        <v>2.65</v>
      </c>
    </row>
    <row r="110" customFormat="false" ht="15" hidden="false" customHeight="false" outlineLevel="0" collapsed="false">
      <c r="B110" s="9" t="s">
        <v>590</v>
      </c>
      <c r="F110" s="19" t="n">
        <f aca="false">IF(AND($F$95&lt;Assumptions!$D$79,$D$14=0),MIN(Assumptions!$D$90-$E$121,Assumptions!$D$79-$F$95),0)</f>
        <v>0</v>
      </c>
      <c r="G110" s="19" t="n">
        <f aca="false">IF(AND($G$95&lt;Assumptions!$D$79,$D$14=0),MIN(Assumptions!$D$90-$F$121,Assumptions!$D$79-$G$95),0)</f>
        <v>0</v>
      </c>
      <c r="H110" s="19" t="n">
        <f aca="false">IF(AND($H$95&lt;Assumptions!$D$79,$D$14=0),MIN(Assumptions!$D$90-$G$121,Assumptions!$D$79-$H$95),0)</f>
        <v>0</v>
      </c>
      <c r="I110" s="19" t="n">
        <f aca="false">IF(AND($I$95&lt;Assumptions!$D$79,$D$14=0),MIN(Assumptions!$D$90-$H$121,Assumptions!$D$79-$I$95),0)</f>
        <v>0</v>
      </c>
      <c r="J110" s="19" t="n">
        <f aca="false">IF(AND($J$95&lt;Assumptions!$D$79,$D$14=0),MIN(Assumptions!$D$90-$I$121,Assumptions!$D$79-$J$95),0)</f>
        <v>0</v>
      </c>
      <c r="K110" s="19" t="n">
        <f aca="false">IF(AND($K$95&lt;Assumptions!$D$79,$D$14=0),MIN(Assumptions!$D$90-$J$121,Assumptions!$D$79-$K$95),0)</f>
        <v>0</v>
      </c>
      <c r="L110" s="19" t="n">
        <f aca="false">IF(AND($L$95&lt;Assumptions!$D$79,$D$14=0),MIN(Assumptions!$D$90-$K$121,Assumptions!$D$79-$L$95),0)</f>
        <v>0</v>
      </c>
    </row>
    <row r="111" customFormat="false" ht="15" hidden="false" customHeight="false" outlineLevel="0" collapsed="false">
      <c r="B111" s="9" t="s">
        <v>591</v>
      </c>
      <c r="F111" s="19" t="n">
        <f aca="false">IF($F$95&gt;=Assumptions!$D$79,MIN($E$121,MAX(0,$F$95-Assumptions!$D$79)),0)</f>
        <v>0</v>
      </c>
      <c r="G111" s="19" t="n">
        <f aca="false">IF($G$95&gt;=Assumptions!$D$79,MIN($F$121,MAX(0,$G$95-Assumptions!$D$79)),0)</f>
        <v>0</v>
      </c>
      <c r="H111" s="19" t="n">
        <f aca="false">IF($H$95&gt;=Assumptions!$D$79,MIN($G$121,MAX(0,$H$95-Assumptions!$D$79)),0)</f>
        <v>0</v>
      </c>
      <c r="I111" s="19" t="n">
        <f aca="false">IF($I$95&gt;=Assumptions!$D$79,MIN($H$121,MAX(0,$I$95-Assumptions!$D$79)),0)</f>
        <v>0</v>
      </c>
      <c r="J111" s="19" t="n">
        <f aca="false">IF($J$95&gt;=Assumptions!$D$79,MIN($I$121,MAX(0,$J$95-Assumptions!$D$79)),0)</f>
        <v>0</v>
      </c>
      <c r="K111" s="19" t="n">
        <f aca="false">IF($K$95&gt;=Assumptions!$D$79,MIN($J$121,MAX(0,$K$95-Assumptions!$D$79)),0)</f>
        <v>0</v>
      </c>
      <c r="L111" s="19" t="n">
        <f aca="false">IF($L$95&gt;=Assumptions!$D$79,MIN($K$121,MAX(0,$L$95-Assumptions!$D$79)),0)</f>
        <v>0</v>
      </c>
    </row>
    <row r="112" customFormat="false" ht="15" hidden="false" customHeight="false" outlineLevel="0" collapsed="false">
      <c r="B112" s="9" t="s">
        <v>592</v>
      </c>
      <c r="F112" s="19" t="n">
        <f aca="false">$F$95+$F$110-$F$111</f>
        <v>19.97625</v>
      </c>
      <c r="G112" s="19" t="n">
        <f aca="false">$G$95+$G$110-$G$111</f>
        <v>16.887063125</v>
      </c>
      <c r="H112" s="19" t="n">
        <f aca="false">$H$95+$H$110-$H$111</f>
        <v>28.1003451015625</v>
      </c>
      <c r="I112" s="19" t="n">
        <f aca="false">$I$95+$I$110-$I$111</f>
        <v>39.2819747354258</v>
      </c>
      <c r="J112" s="19" t="n">
        <f aca="false">$J$95+$J$110-$J$111</f>
        <v>59.8920083611075</v>
      </c>
      <c r="K112" s="19" t="n">
        <f aca="false">$K$95+$K$110-$K$111</f>
        <v>91.1462711004663</v>
      </c>
      <c r="L112" s="19" t="n">
        <f aca="false">$L$95+$L$110-$L$111</f>
        <v>125.462468099988</v>
      </c>
    </row>
    <row r="113" customFormat="false" ht="15" hidden="false" customHeight="false" outlineLevel="0" collapsed="false">
      <c r="B113" s="9" t="s">
        <v>593</v>
      </c>
      <c r="F113" s="29" t="n">
        <f aca="false">IF($E$125&gt;Assumptions!$D$100,Assumptions!$E$100,IF($E$125&gt;Assumptions!$D$101,Assumptions!$E$101,IF($E$125&gt;Assumptions!$D$102,Assumptions!$E$102,0)))</f>
        <v>0.5</v>
      </c>
      <c r="G113" s="29" t="n">
        <f aca="false">IF($F$125&gt;Assumptions!$D$100,Assumptions!$E$100,IF($F$125&gt;Assumptions!$D$101,Assumptions!$E$101,IF($F$125&gt;Assumptions!$D$102,Assumptions!$E$102,0)))</f>
        <v>0.5</v>
      </c>
      <c r="H113" s="29" t="n">
        <f aca="false">IF($G$125&gt;Assumptions!$D$100,Assumptions!$E$100,IF($G$125&gt;Assumptions!$D$101,Assumptions!$E$101,IF($G$125&gt;Assumptions!$D$102,Assumptions!$E$102,0)))</f>
        <v>0.5</v>
      </c>
      <c r="I113" s="29" t="n">
        <f aca="false">IF($H$125&gt;Assumptions!$D$100,Assumptions!$E$100,IF($H$125&gt;Assumptions!$D$101,Assumptions!$E$101,IF($H$125&gt;Assumptions!$D$102,Assumptions!$E$102,0)))</f>
        <v>0.25</v>
      </c>
      <c r="J113" s="29" t="n">
        <f aca="false">IF($I$125&gt;Assumptions!$D$100,Assumptions!$E$100,IF($I$125&gt;Assumptions!$D$101,Assumptions!$E$101,IF($I$125&gt;Assumptions!$D$102,Assumptions!$E$102,0)))</f>
        <v>0</v>
      </c>
      <c r="K113" s="29" t="n">
        <f aca="false">IF($J$125&gt;Assumptions!$D$100,Assumptions!$E$100,IF($J$125&gt;Assumptions!$D$101,Assumptions!$E$101,IF($J$125&gt;Assumptions!$D$102,Assumptions!$E$102,0)))</f>
        <v>0</v>
      </c>
      <c r="L113" s="29" t="n">
        <f aca="false">IF($K$125&gt;Assumptions!$D$100,Assumptions!$E$100,IF($K$125&gt;Assumptions!$D$101,Assumptions!$E$101,IF($K$125&gt;Assumptions!$D$102,Assumptions!$E$102,0)))</f>
        <v>0</v>
      </c>
    </row>
    <row r="114" customFormat="false" ht="15" hidden="false" customHeight="false" outlineLevel="0" collapsed="false">
      <c r="B114" s="9" t="s">
        <v>594</v>
      </c>
      <c r="F114" s="19" t="n">
        <f aca="false">MAX(0,$F$112-Assumptions!$D$79)</f>
        <v>9.97625</v>
      </c>
      <c r="G114" s="19" t="n">
        <f aca="false">MAX(0,$G$112-Assumptions!$D$79)</f>
        <v>6.887063125</v>
      </c>
      <c r="H114" s="19" t="n">
        <f aca="false">MAX(0,$H$112-Assumptions!$D$79)</f>
        <v>18.1003451015625</v>
      </c>
      <c r="I114" s="19" t="n">
        <f aca="false">MAX(0,$I$112-Assumptions!$D$79)</f>
        <v>29.2819747354258</v>
      </c>
      <c r="J114" s="19" t="n">
        <f aca="false">MAX(0,$J$112-Assumptions!$D$79)</f>
        <v>49.8920083611075</v>
      </c>
      <c r="K114" s="19" t="n">
        <f aca="false">MAX(0,$K$112-Assumptions!$D$79)</f>
        <v>81.1462711004663</v>
      </c>
      <c r="L114" s="19" t="n">
        <f aca="false">MAX(0,$L$112-Assumptions!$D$79)</f>
        <v>115.462468099988</v>
      </c>
    </row>
    <row r="115" customFormat="false" ht="15" hidden="false" customHeight="false" outlineLevel="0" collapsed="false">
      <c r="B115" s="17" t="s">
        <v>595</v>
      </c>
      <c r="F115" s="18" t="n">
        <f aca="false">IF(AND($D$19=1,$D$14=0,$E$121-$F$111+$F$110=0),MIN($E$118-$F$109+$F$84,$F$113*$F$114),0)</f>
        <v>4.988125</v>
      </c>
      <c r="G115" s="18" t="n">
        <f aca="false">IF(AND($D$19=1,$D$14=0,$F$121-$G$111+$G$110=0),MIN($F$118-$G$109+$G$84,$G$113*$G$114),0)</f>
        <v>3.4435315625</v>
      </c>
      <c r="H115" s="18" t="n">
        <f aca="false">IF(AND($D$19=1,$D$14=0,$G$121-$H$111+$H$110=0),MIN($G$118-$H$109+$H$84,$H$113*$H$114),0)</f>
        <v>9.05017255078126</v>
      </c>
      <c r="I115" s="18" t="n">
        <f aca="false">IF(AND($D$19=1,$D$14=0,$H$121-$I$111+$I$110=0),MIN($H$118-$I$109+$I$84,$I$113*$I$114),0)</f>
        <v>7.32049368385645</v>
      </c>
      <c r="J115" s="18" t="n">
        <f aca="false">IF(AND($D$19=1,$D$14=0,$I$121-$J$111+$J$110=0),MIN($I$118-$J$109+$J$84,$J$113*$J$114),0)</f>
        <v>0</v>
      </c>
      <c r="K115" s="18" t="n">
        <f aca="false">IF(AND($D$19=1,$D$14=0,$J$121-$K$111+$K$110=0),MIN($J$118-$K$109+$K$84,$K$113*$K$114),0)</f>
        <v>0</v>
      </c>
      <c r="L115" s="18" t="n">
        <f aca="false">IF(AND($D$19=1,$D$14=0,$K$121-$L$111+$L$110=0),MIN($K$118-$L$109+$L$84,$L$113*$L$114),0)</f>
        <v>0</v>
      </c>
    </row>
    <row r="116" customFormat="false" ht="15" hidden="false" customHeight="false" outlineLevel="0" collapsed="false">
      <c r="B116" s="9" t="s">
        <v>596</v>
      </c>
      <c r="F116" s="19" t="n">
        <f aca="false">MAX(0,$F$115-$F$114)</f>
        <v>0</v>
      </c>
      <c r="G116" s="19" t="n">
        <f aca="false">MAX(0,$G$115-$G$114)</f>
        <v>0</v>
      </c>
      <c r="H116" s="19" t="n">
        <f aca="false">MAX(0,$H$115-$H$114)</f>
        <v>0</v>
      </c>
      <c r="I116" s="19" t="n">
        <f aca="false">MAX(0,$I$115-$I$114)</f>
        <v>0</v>
      </c>
      <c r="J116" s="19" t="n">
        <f aca="false">MAX(0,$J$115-$J$114)</f>
        <v>0</v>
      </c>
      <c r="K116" s="19" t="n">
        <f aca="false">MAX(0,$K$115-$K$114)</f>
        <v>0</v>
      </c>
      <c r="L116" s="19" t="n">
        <f aca="false">MAX(0,$L$115-$L$114)</f>
        <v>0</v>
      </c>
    </row>
    <row r="117" customFormat="false" ht="15" hidden="false" customHeight="false" outlineLevel="0" collapsed="false">
      <c r="B117" s="7" t="s">
        <v>597</v>
      </c>
      <c r="C117" s="8"/>
      <c r="D117" s="8"/>
      <c r="E117" s="8"/>
      <c r="F117" s="8"/>
      <c r="G117" s="8"/>
      <c r="H117" s="8"/>
      <c r="I117" s="8"/>
      <c r="J117" s="8"/>
      <c r="K117" s="8"/>
      <c r="L117" s="8"/>
    </row>
    <row r="118" customFormat="false" ht="15" hidden="false" customHeight="false" outlineLevel="0" collapsed="false">
      <c r="B118" s="9" t="s">
        <v>521</v>
      </c>
      <c r="E118" s="19" t="n">
        <f aca="false">$D$32</f>
        <v>225</v>
      </c>
      <c r="F118" s="19" t="n">
        <f aca="false">$E$118-$F$109-$F$115+$F$84+$F$86</f>
        <v>217.761875</v>
      </c>
      <c r="G118" s="19" t="n">
        <f aca="false">$F$118-$G$109-$G$115+$G$84+$G$86</f>
        <v>252.0683434375</v>
      </c>
      <c r="H118" s="19" t="n">
        <f aca="false">$G$118-$H$109-$H$115+$H$84+$H$86</f>
        <v>240.368170886719</v>
      </c>
      <c r="I118" s="19" t="n">
        <f aca="false">$H$118-$I$109-$I$115+$I$84+$I$86</f>
        <v>230.397677202862</v>
      </c>
      <c r="J118" s="19" t="n">
        <f aca="false">$I$118-$J$109-$J$115+$J$84+$J$86</f>
        <v>227.747677202862</v>
      </c>
      <c r="K118" s="19" t="n">
        <f aca="false">$J$118-$K$109-$K$115+$K$84+$K$86</f>
        <v>225.097677202862</v>
      </c>
      <c r="L118" s="19" t="n">
        <f aca="false">$K$118-$L$109-$L$115+$L$84+$L$86</f>
        <v>222.447677202862</v>
      </c>
    </row>
    <row r="119" customFormat="false" ht="15" hidden="false" customHeight="false" outlineLevel="0" collapsed="false">
      <c r="B119" s="9" t="s">
        <v>598</v>
      </c>
      <c r="E119" s="19" t="n">
        <f aca="false">$D$32</f>
        <v>225</v>
      </c>
      <c r="F119" s="19" t="n">
        <f aca="false">$E$119+$F$84+$F$86</f>
        <v>225</v>
      </c>
      <c r="G119" s="19" t="n">
        <f aca="false">$F$119+$G$84+$G$86</f>
        <v>265</v>
      </c>
      <c r="H119" s="19" t="n">
        <f aca="false">$G$119+$H$84+$H$86</f>
        <v>265</v>
      </c>
      <c r="I119" s="19" t="n">
        <f aca="false">$H$119+$I$84+$I$86</f>
        <v>265</v>
      </c>
      <c r="J119" s="19" t="n">
        <f aca="false">$I$119+$J$84+$J$86</f>
        <v>265</v>
      </c>
      <c r="K119" s="19" t="n">
        <f aca="false">$J$119+$K$84+$K$86</f>
        <v>265</v>
      </c>
      <c r="L119" s="19" t="n">
        <f aca="false">$K$119+$L$84+$L$86</f>
        <v>265</v>
      </c>
    </row>
    <row r="120" customFormat="false" ht="15" hidden="false" customHeight="false" outlineLevel="0" collapsed="false">
      <c r="B120" s="9" t="s">
        <v>520</v>
      </c>
      <c r="E120" s="19" t="n">
        <f aca="false">$D$31</f>
        <v>50</v>
      </c>
      <c r="F120" s="19" t="n">
        <f aca="false">$E$120</f>
        <v>50</v>
      </c>
      <c r="G120" s="19" t="n">
        <f aca="false">$F$120</f>
        <v>50</v>
      </c>
      <c r="H120" s="19" t="n">
        <f aca="false">$G$120</f>
        <v>50</v>
      </c>
      <c r="I120" s="19" t="n">
        <f aca="false">$H$120</f>
        <v>50</v>
      </c>
      <c r="J120" s="19" t="n">
        <f aca="false">$I$120</f>
        <v>50</v>
      </c>
      <c r="K120" s="19" t="n">
        <f aca="false">$J$120</f>
        <v>50</v>
      </c>
      <c r="L120" s="19" t="n">
        <f aca="false">$K$120</f>
        <v>50</v>
      </c>
    </row>
    <row r="121" customFormat="false" ht="15" hidden="false" customHeight="false" outlineLevel="0" collapsed="false">
      <c r="B121" s="9" t="s">
        <v>599</v>
      </c>
      <c r="E121" s="19" t="n">
        <f aca="false">0</f>
        <v>0</v>
      </c>
      <c r="F121" s="19" t="n">
        <f aca="false">$E$121+$F$110-$F$111</f>
        <v>0</v>
      </c>
      <c r="G121" s="19" t="n">
        <f aca="false">$F$121+$G$110-$G$111</f>
        <v>0</v>
      </c>
      <c r="H121" s="19" t="n">
        <f aca="false">$G$121+$H$110-$H$111</f>
        <v>0</v>
      </c>
      <c r="I121" s="19" t="n">
        <f aca="false">$H$121+$I$110-$I$111</f>
        <v>0</v>
      </c>
      <c r="J121" s="19" t="n">
        <f aca="false">$I$121+$J$110-$J$111</f>
        <v>0</v>
      </c>
      <c r="K121" s="19" t="n">
        <f aca="false">$J$121+$K$110-$K$111</f>
        <v>0</v>
      </c>
      <c r="L121" s="19" t="n">
        <f aca="false">$K$121+$L$110-$L$111</f>
        <v>0</v>
      </c>
    </row>
    <row r="122" customFormat="false" ht="15" hidden="false" customHeight="false" outlineLevel="0" collapsed="false">
      <c r="B122" s="17" t="s">
        <v>537</v>
      </c>
      <c r="E122" s="18" t="n">
        <f aca="false">$E$118+$E$120+$E$121</f>
        <v>275</v>
      </c>
      <c r="F122" s="18" t="n">
        <f aca="false">$F$118+$F$120+$F$121</f>
        <v>267.761875</v>
      </c>
      <c r="G122" s="18" t="n">
        <f aca="false">$G$118+$G$120+$G$121</f>
        <v>302.0683434375</v>
      </c>
      <c r="H122" s="18" t="n">
        <f aca="false">$H$118+$H$120+$H$121</f>
        <v>290.368170886719</v>
      </c>
      <c r="I122" s="18" t="n">
        <f aca="false">$I$118+$I$120+$I$121</f>
        <v>280.397677202862</v>
      </c>
      <c r="J122" s="18" t="n">
        <f aca="false">$J$118+$J$120+$J$121</f>
        <v>277.747677202862</v>
      </c>
      <c r="K122" s="18" t="n">
        <f aca="false">$K$118+$K$120+$K$121</f>
        <v>275.097677202862</v>
      </c>
      <c r="L122" s="18" t="n">
        <f aca="false">$L$118+$L$120+$L$121</f>
        <v>272.447677202862</v>
      </c>
    </row>
    <row r="123" customFormat="false" ht="15" hidden="false" customHeight="false" outlineLevel="0" collapsed="false">
      <c r="B123" s="9" t="s">
        <v>600</v>
      </c>
      <c r="E123" s="19" t="n">
        <f aca="false">Assumptions!$D$78</f>
        <v>10</v>
      </c>
      <c r="F123" s="19" t="n">
        <f aca="false">$F$112-$F$115</f>
        <v>14.988125</v>
      </c>
      <c r="G123" s="19" t="n">
        <f aca="false">$G$112-$G$115</f>
        <v>13.4435315625</v>
      </c>
      <c r="H123" s="19" t="n">
        <f aca="false">$H$112-$H$115</f>
        <v>19.0501725507813</v>
      </c>
      <c r="I123" s="19" t="n">
        <f aca="false">$I$112-$I$115</f>
        <v>31.9614810515694</v>
      </c>
      <c r="J123" s="19" t="n">
        <f aca="false">$J$112-$J$115</f>
        <v>59.8920083611075</v>
      </c>
      <c r="K123" s="19" t="n">
        <f aca="false">$K$112-$K$115</f>
        <v>91.1462711004663</v>
      </c>
      <c r="L123" s="19" t="n">
        <f aca="false">$L$112-$L$115</f>
        <v>125.462468099988</v>
      </c>
    </row>
    <row r="124" customFormat="false" ht="15" hidden="false" customHeight="false" outlineLevel="0" collapsed="false">
      <c r="B124" s="17" t="s">
        <v>601</v>
      </c>
      <c r="E124" s="18" t="n">
        <f aca="false">$E$122-$E$123</f>
        <v>265</v>
      </c>
      <c r="F124" s="18" t="n">
        <f aca="false">$F$122-$F$123</f>
        <v>252.77375</v>
      </c>
      <c r="G124" s="18" t="n">
        <f aca="false">$G$122-$G$123</f>
        <v>288.624811875</v>
      </c>
      <c r="H124" s="18" t="n">
        <f aca="false">$H$122-$H$123</f>
        <v>271.317998335938</v>
      </c>
      <c r="I124" s="18" t="n">
        <f aca="false">$I$122-$I$123</f>
        <v>248.436196151293</v>
      </c>
      <c r="J124" s="18" t="n">
        <f aca="false">$J$122-$J$123</f>
        <v>217.855668841755</v>
      </c>
      <c r="K124" s="18" t="n">
        <f aca="false">$K$122-$K$123</f>
        <v>183.951406102396</v>
      </c>
      <c r="L124" s="18" t="n">
        <f aca="false">$L$122-$L$123</f>
        <v>146.985209102875</v>
      </c>
    </row>
    <row r="125" customFormat="false" ht="15" hidden="false" customHeight="false" outlineLevel="0" collapsed="false">
      <c r="B125" s="9" t="s">
        <v>538</v>
      </c>
      <c r="E125" s="24" t="n">
        <f aca="false">$E$124/$E$72</f>
        <v>5.3</v>
      </c>
      <c r="F125" s="24" t="n">
        <f aca="false">$F$124/$F$72</f>
        <v>4.54220575022462</v>
      </c>
      <c r="G125" s="24" t="n">
        <f aca="false">$G$124/$G$72</f>
        <v>4.58165166368234</v>
      </c>
      <c r="H125" s="24" t="n">
        <f aca="false">$H$124/$H$72</f>
        <v>4.44759776371222</v>
      </c>
      <c r="I125" s="24" t="n">
        <f aca="false">$I$124/$I$72</f>
        <v>3.37464761459475</v>
      </c>
      <c r="J125" s="24" t="n">
        <f aca="false">$J$124/$J$72</f>
        <v>2.67803172483858</v>
      </c>
      <c r="K125" s="24" t="n">
        <f aca="false">$K$124/$K$72</f>
        <v>2.17737413576464</v>
      </c>
      <c r="L125" s="24" t="n">
        <f aca="false">$L$124/$L$72</f>
        <v>1.67518893355568</v>
      </c>
    </row>
    <row r="126" customFormat="false" ht="15" hidden="false" customHeight="false" outlineLevel="0" collapsed="false">
      <c r="B126" s="9" t="s">
        <v>602</v>
      </c>
      <c r="F126" s="19" t="n">
        <f aca="false">$F$122-($E$122-$F$109-$F$115-$F$111+$F$110+$F$84+$F$86)</f>
        <v>0</v>
      </c>
      <c r="G126" s="19" t="n">
        <f aca="false">$G$122-($F$122-$G$109-$G$115-$G$111+$G$110+$G$84+$G$86)</f>
        <v>0</v>
      </c>
      <c r="H126" s="19" t="n">
        <f aca="false">$H$122-($G$122-$H$109-$H$115-$H$111+$H$110+$H$84+$H$86)</f>
        <v>0</v>
      </c>
      <c r="I126" s="19" t="n">
        <f aca="false">$I$122-($H$122-$I$109-$I$115-$I$111+$I$110+$I$84+$I$86)</f>
        <v>0</v>
      </c>
      <c r="J126" s="19" t="n">
        <f aca="false">$J$122-($I$122-$J$109-$J$115-$J$111+$J$110+$J$84+$J$86)</f>
        <v>0</v>
      </c>
      <c r="K126" s="19" t="n">
        <f aca="false">$K$122-($J$122-$K$109-$K$115-$K$111+$K$110+$K$84+$K$86)</f>
        <v>0</v>
      </c>
      <c r="L126" s="19" t="n">
        <f aca="false">$L$122-($K$122-$L$109-$L$115-$L$111+$L$110+$L$84+$L$86)</f>
        <v>0</v>
      </c>
    </row>
    <row r="127" customFormat="false" ht="15" hidden="false" customHeight="false" outlineLevel="0" collapsed="false">
      <c r="B127" s="7" t="s">
        <v>603</v>
      </c>
      <c r="C127" s="8"/>
      <c r="D127" s="8"/>
      <c r="E127" s="8"/>
      <c r="F127" s="8"/>
      <c r="G127" s="8"/>
      <c r="H127" s="8"/>
      <c r="I127" s="8"/>
      <c r="J127" s="8"/>
      <c r="K127" s="8"/>
      <c r="L127" s="8"/>
    </row>
    <row r="128" customFormat="false" ht="15" hidden="false" customHeight="false" outlineLevel="0" collapsed="false">
      <c r="B128" s="7" t="s">
        <v>178</v>
      </c>
      <c r="E128" s="30" t="n">
        <v>0</v>
      </c>
      <c r="F128" s="30" t="n">
        <v>1</v>
      </c>
      <c r="G128" s="30" t="n">
        <v>2</v>
      </c>
      <c r="H128" s="30" t="n">
        <v>3</v>
      </c>
      <c r="I128" s="30" t="n">
        <v>4</v>
      </c>
      <c r="J128" s="30" t="n">
        <v>5</v>
      </c>
      <c r="K128" s="30" t="n">
        <v>6</v>
      </c>
      <c r="L128" s="30" t="n">
        <v>7</v>
      </c>
    </row>
    <row r="129" customFormat="false" ht="15" hidden="false" customHeight="false" outlineLevel="0" collapsed="false">
      <c r="B129" s="9" t="s">
        <v>604</v>
      </c>
      <c r="F129" s="38" t="n">
        <f aca="false">$F$72-$F$74</f>
        <v>43.89</v>
      </c>
      <c r="G129" s="38" t="n">
        <f aca="false">$G$72-$G$74</f>
        <v>50.5302</v>
      </c>
      <c r="H129" s="38" t="n">
        <f aca="false">$H$72-$H$74</f>
        <v>47.101604</v>
      </c>
      <c r="I129" s="38" t="n">
        <f aca="false">$I$72-$I$74</f>
        <v>58.80915084</v>
      </c>
      <c r="J129" s="38" t="n">
        <f aca="false">$J$72-$J$74</f>
        <v>65.822164126</v>
      </c>
      <c r="K129" s="38" t="n">
        <f aca="false">$K$72-$K$74</f>
        <v>68.33505069104</v>
      </c>
      <c r="L129" s="38" t="n">
        <f aca="false">$L$72-$L$74</f>
        <v>70.9484527186816</v>
      </c>
    </row>
    <row r="130" customFormat="false" ht="15" hidden="false" customHeight="false" outlineLevel="0" collapsed="false">
      <c r="B130" s="9" t="s">
        <v>605</v>
      </c>
      <c r="F130" s="38" t="n">
        <f aca="false">$F$105+$F$106</f>
        <v>25.4107142857143</v>
      </c>
      <c r="G130" s="38" t="n">
        <f aca="false">$G$105+$G$106</f>
        <v>24.6957111607143</v>
      </c>
      <c r="H130" s="38" t="n">
        <f aca="false">$H$105+$H$106</f>
        <v>27.8026528466518</v>
      </c>
      <c r="I130" s="38" t="n">
        <f aca="false">$I$105+$I$106</f>
        <v>26.6960053600697</v>
      </c>
      <c r="J130" s="38" t="n">
        <f aca="false">$J$105+$J$106</f>
        <v>25.5902872269262</v>
      </c>
      <c r="K130" s="38" t="n">
        <f aca="false">$K$105+$K$106</f>
        <v>24.8064266807354</v>
      </c>
      <c r="L130" s="38" t="n">
        <f aca="false">$L$105+$L$106</f>
        <v>23.9560914259482</v>
      </c>
    </row>
    <row r="131" customFormat="false" ht="15" hidden="false" customHeight="false" outlineLevel="0" collapsed="false">
      <c r="B131" s="9" t="s">
        <v>606</v>
      </c>
      <c r="F131" s="38" t="n">
        <f aca="false">$F$129-$F$130-$F$83-$F$87-$F$89</f>
        <v>18.4792857142857</v>
      </c>
      <c r="G131" s="38" t="n">
        <f aca="false">$G$129-$G$130-$G$83-$G$87-$G$89</f>
        <v>24.3344888392857</v>
      </c>
      <c r="H131" s="38" t="n">
        <f aca="false">$H$129-$H$130-$H$83-$H$87-$H$89</f>
        <v>19.2989511533482</v>
      </c>
      <c r="I131" s="38" t="n">
        <f aca="false">$I$129-$I$130-$I$83-$I$87-$I$89</f>
        <v>32.1131454799303</v>
      </c>
      <c r="J131" s="38" t="n">
        <f aca="false">$J$129-$J$130-$J$83-$J$87-$J$89</f>
        <v>40.2318768990738</v>
      </c>
      <c r="K131" s="38" t="n">
        <f aca="false">$K$129-$K$130-$K$83-$K$87-$K$89</f>
        <v>43.5286240103046</v>
      </c>
      <c r="L131" s="38" t="n">
        <f aca="false">$L$129-$L$130-$L$83-$L$87-$L$89</f>
        <v>46.9923612927334</v>
      </c>
    </row>
    <row r="132" customFormat="false" ht="15" hidden="false" customHeight="false" outlineLevel="0" collapsed="false">
      <c r="B132" s="9" t="s">
        <v>607</v>
      </c>
      <c r="F132" s="38" t="n">
        <f aca="false">Assumptions!$D$8*$F$72</f>
        <v>16.695</v>
      </c>
      <c r="G132" s="38" t="n">
        <f aca="false">Assumptions!$D$8*$G$72</f>
        <v>18.89874</v>
      </c>
      <c r="H132" s="38" t="n">
        <f aca="false">Assumptions!$D$8*$H$72</f>
        <v>18.3009804</v>
      </c>
      <c r="I132" s="38" t="n">
        <f aca="false">Assumptions!$D$8*$I$72</f>
        <v>22.085523396</v>
      </c>
      <c r="J132" s="38" t="n">
        <f aca="false">Assumptions!$D$8*$J$72</f>
        <v>24.404752209</v>
      </c>
      <c r="K132" s="38" t="n">
        <f aca="false">Assumptions!$D$8*$K$72</f>
        <v>25.34494229736</v>
      </c>
      <c r="L132" s="38" t="n">
        <f aca="false">Assumptions!$D$8*$L$72</f>
        <v>26.3227399892544</v>
      </c>
    </row>
    <row r="133" customFormat="false" ht="15" hidden="false" customHeight="false" outlineLevel="0" collapsed="false">
      <c r="B133" s="9" t="s">
        <v>608</v>
      </c>
      <c r="F133" s="38" t="n">
        <f aca="false">$F$130+$E$135</f>
        <v>25.4107142857143</v>
      </c>
      <c r="G133" s="38" t="n">
        <f aca="false">$G$130+$F$135</f>
        <v>33.4114254464286</v>
      </c>
      <c r="H133" s="38" t="n">
        <f aca="false">$H$130+$G$135</f>
        <v>42.3153382930803</v>
      </c>
      <c r="I133" s="38" t="n">
        <f aca="false">$I$130+$H$135</f>
        <v>50.7103632531501</v>
      </c>
      <c r="J133" s="38" t="n">
        <f aca="false">$J$130+$I$135</f>
        <v>54.2151270840763</v>
      </c>
      <c r="K133" s="38" t="n">
        <f aca="false">$K$130+$J$135</f>
        <v>54.6168015558117</v>
      </c>
      <c r="L133" s="38" t="n">
        <f aca="false">$L$130+$K$135</f>
        <v>53.2279506843999</v>
      </c>
    </row>
    <row r="134" customFormat="false" ht="15" hidden="false" customHeight="false" outlineLevel="0" collapsed="false">
      <c r="B134" s="9" t="s">
        <v>609</v>
      </c>
      <c r="F134" s="38" t="n">
        <f aca="false">MIN($F$133,$F$132)</f>
        <v>16.695</v>
      </c>
      <c r="G134" s="38" t="n">
        <f aca="false">MIN($G$133,$G$132)</f>
        <v>18.89874</v>
      </c>
      <c r="H134" s="38" t="n">
        <f aca="false">MIN($H$133,$H$132)</f>
        <v>18.3009804</v>
      </c>
      <c r="I134" s="38" t="n">
        <f aca="false">MIN($I$133,$I$132)</f>
        <v>22.085523396</v>
      </c>
      <c r="J134" s="38" t="n">
        <f aca="false">MIN($J$133,$J$132)</f>
        <v>24.404752209</v>
      </c>
      <c r="K134" s="38" t="n">
        <f aca="false">MIN($K$133,$K$132)</f>
        <v>25.34494229736</v>
      </c>
      <c r="L134" s="38" t="n">
        <f aca="false">MIN($L$133,$L$132)</f>
        <v>26.3227399892544</v>
      </c>
    </row>
    <row r="135" customFormat="false" ht="15" hidden="false" customHeight="false" outlineLevel="0" collapsed="false">
      <c r="B135" s="9" t="s">
        <v>610</v>
      </c>
      <c r="E135" s="38" t="n">
        <f aca="false">0</f>
        <v>0</v>
      </c>
      <c r="F135" s="38" t="n">
        <f aca="false">$F$133-$F$134</f>
        <v>8.71571428571428</v>
      </c>
      <c r="G135" s="38" t="n">
        <f aca="false">$G$133-$G$134</f>
        <v>14.5126854464286</v>
      </c>
      <c r="H135" s="38" t="n">
        <f aca="false">$H$133-$H$134</f>
        <v>24.0143578930803</v>
      </c>
      <c r="I135" s="38" t="n">
        <f aca="false">$I$133-$I$134</f>
        <v>28.6248398571501</v>
      </c>
      <c r="J135" s="38" t="n">
        <f aca="false">$J$133-$J$134</f>
        <v>29.8103748750763</v>
      </c>
      <c r="K135" s="38" t="n">
        <f aca="false">$K$133-$K$134</f>
        <v>29.2718592584517</v>
      </c>
      <c r="L135" s="38" t="n">
        <f aca="false">$L$133-$L$134</f>
        <v>26.9052106951455</v>
      </c>
    </row>
    <row r="136" customFormat="false" ht="15" hidden="false" customHeight="false" outlineLevel="0" collapsed="false">
      <c r="B136" s="9" t="s">
        <v>611</v>
      </c>
      <c r="F136" s="38" t="n">
        <f aca="false">$F$129-$F$134-$F$83-$F$87-$F$89</f>
        <v>27.195</v>
      </c>
      <c r="G136" s="38" t="n">
        <f aca="false">$G$129-$G$134-$G$83-$G$87-$G$89</f>
        <v>30.13146</v>
      </c>
      <c r="H136" s="38" t="n">
        <f aca="false">$H$129-$H$134-$H$83-$H$87-$H$89</f>
        <v>28.8006236</v>
      </c>
      <c r="I136" s="38" t="n">
        <f aca="false">$I$129-$I$134-$I$83-$I$87-$I$89</f>
        <v>36.723627444</v>
      </c>
      <c r="J136" s="38" t="n">
        <f aca="false">$J$129-$J$134-$J$83-$J$87-$J$89</f>
        <v>41.417411917</v>
      </c>
      <c r="K136" s="38" t="n">
        <f aca="false">$K$129-$K$134-$K$83-$K$87-$K$89</f>
        <v>42.99010839368</v>
      </c>
      <c r="L136" s="38" t="n">
        <f aca="false">$L$129-$L$134-$L$83-$L$87-$L$89</f>
        <v>44.6257127294272</v>
      </c>
    </row>
    <row r="137" customFormat="false" ht="15" hidden="false" customHeight="false" outlineLevel="0" collapsed="false">
      <c r="B137" s="9" t="s">
        <v>612</v>
      </c>
      <c r="F137" s="38" t="n">
        <f aca="false">IF($F$136&lt;0,0,MIN($E$138,$F$136))</f>
        <v>0</v>
      </c>
      <c r="G137" s="38" t="n">
        <f aca="false">IF($G$136&lt;0,0,MIN($F$138,$G$136))</f>
        <v>0</v>
      </c>
      <c r="H137" s="38" t="n">
        <f aca="false">IF($H$136&lt;0,0,MIN($G$138,$H$136))</f>
        <v>0</v>
      </c>
      <c r="I137" s="38" t="n">
        <f aca="false">IF($I$136&lt;0,0,MIN($H$138,$I$136))</f>
        <v>0</v>
      </c>
      <c r="J137" s="38" t="n">
        <f aca="false">IF($J$136&lt;0,0,MIN($I$138,$J$136))</f>
        <v>0</v>
      </c>
      <c r="K137" s="38" t="n">
        <f aca="false">IF($K$136&lt;0,0,MIN($J$138,$K$136))</f>
        <v>0</v>
      </c>
      <c r="L137" s="38" t="n">
        <f aca="false">IF($L$136&lt;0,0,MIN($K$138,$L$136))</f>
        <v>0</v>
      </c>
    </row>
    <row r="138" customFormat="false" ht="15" hidden="false" customHeight="false" outlineLevel="0" collapsed="false">
      <c r="B138" s="9" t="s">
        <v>613</v>
      </c>
      <c r="E138" s="38" t="n">
        <f aca="false">0</f>
        <v>0</v>
      </c>
      <c r="F138" s="38" t="n">
        <f aca="false">$E$138+MAX(0,-$F$136)-$F$137</f>
        <v>0</v>
      </c>
      <c r="G138" s="38" t="n">
        <f aca="false">$F$138+MAX(0,-$G$136)-$G$137</f>
        <v>0</v>
      </c>
      <c r="H138" s="38" t="n">
        <f aca="false">$G$138+MAX(0,-$H$136)-$H$137</f>
        <v>0</v>
      </c>
      <c r="I138" s="38" t="n">
        <f aca="false">$H$138+MAX(0,-$I$136)-$I$137</f>
        <v>0</v>
      </c>
      <c r="J138" s="38" t="n">
        <f aca="false">$I$138+MAX(0,-$J$136)-$J$137</f>
        <v>0</v>
      </c>
      <c r="K138" s="38" t="n">
        <f aca="false">$J$138+MAX(0,-$K$136)-$K$137</f>
        <v>0</v>
      </c>
      <c r="L138" s="38" t="n">
        <f aca="false">$K$138+MAX(0,-$L$136)-$L$137</f>
        <v>0</v>
      </c>
    </row>
    <row r="139" customFormat="false" ht="15" hidden="false" customHeight="false" outlineLevel="0" collapsed="false">
      <c r="B139" s="17" t="s">
        <v>614</v>
      </c>
      <c r="F139" s="40" t="n">
        <f aca="false">IF($F$136&lt;0,0,Assumptions!$D$7*($F$136-$F$137))</f>
        <v>6.79875</v>
      </c>
      <c r="G139" s="40" t="n">
        <f aca="false">IF($G$136&lt;0,0,Assumptions!$D$7*($G$136-$G$137))</f>
        <v>7.532865</v>
      </c>
      <c r="H139" s="40" t="n">
        <f aca="false">IF($H$136&lt;0,0,Assumptions!$D$7*($H$136-$H$137))</f>
        <v>7.2001559</v>
      </c>
      <c r="I139" s="40" t="n">
        <f aca="false">IF($I$136&lt;0,0,Assumptions!$D$7*($I$136-$I$137))</f>
        <v>9.180906861</v>
      </c>
      <c r="J139" s="40" t="n">
        <f aca="false">IF($J$136&lt;0,0,Assumptions!$D$7*($J$136-$J$137))</f>
        <v>10.35435297925</v>
      </c>
      <c r="K139" s="40" t="n">
        <f aca="false">IF($K$136&lt;0,0,Assumptions!$D$7*($K$136-$K$137))</f>
        <v>10.74752709842</v>
      </c>
      <c r="L139" s="40" t="n">
        <f aca="false">IF($L$136&lt;0,0,Assumptions!$D$7*($L$136-$L$137))</f>
        <v>11.1564281823568</v>
      </c>
    </row>
    <row r="140" customFormat="false" ht="15" hidden="false" customHeight="false" outlineLevel="0" collapsed="false">
      <c r="B140" s="9" t="s">
        <v>615</v>
      </c>
      <c r="F140" s="19" t="n">
        <f aca="false">$F$131-$F$139</f>
        <v>11.6805357142857</v>
      </c>
      <c r="G140" s="19" t="n">
        <f aca="false">$G$131-$G$139</f>
        <v>16.8016238392857</v>
      </c>
      <c r="H140" s="19" t="n">
        <f aca="false">$H$131-$H$139</f>
        <v>12.0987952533482</v>
      </c>
      <c r="I140" s="19" t="n">
        <f aca="false">$I$131-$I$139</f>
        <v>22.9322386189303</v>
      </c>
      <c r="J140" s="19" t="n">
        <f aca="false">$J$131-$J$139</f>
        <v>29.8775239198238</v>
      </c>
      <c r="K140" s="19" t="n">
        <f aca="false">$K$131-$K$139</f>
        <v>32.7810969118846</v>
      </c>
      <c r="L140" s="19" t="n">
        <f aca="false">$L$131-$L$139</f>
        <v>35.8359331103766</v>
      </c>
    </row>
    <row r="141" customFormat="false" ht="15" hidden="false" customHeight="false" outlineLevel="0" collapsed="false">
      <c r="B141" s="9" t="s">
        <v>616</v>
      </c>
      <c r="F141" s="38" t="n">
        <f aca="false">Assumptions!$D$7*($F$129-$F$130)</f>
        <v>4.61982142857143</v>
      </c>
      <c r="G141" s="38" t="n">
        <f aca="false">Assumptions!$D$7*($G$129-$G$130)</f>
        <v>6.45862220982143</v>
      </c>
      <c r="H141" s="38" t="n">
        <f aca="false">Assumptions!$D$7*($H$129-$H$130)</f>
        <v>4.82473778833705</v>
      </c>
      <c r="I141" s="38" t="n">
        <f aca="false">Assumptions!$D$7*($I$129-$I$130)</f>
        <v>8.02828636998256</v>
      </c>
      <c r="J141" s="38" t="n">
        <f aca="false">Assumptions!$D$7*($J$129-$J$130)</f>
        <v>10.0579692247685</v>
      </c>
      <c r="K141" s="38" t="n">
        <f aca="false">Assumptions!$D$7*($K$129-$K$130)</f>
        <v>10.8821560025761</v>
      </c>
      <c r="L141" s="38" t="n">
        <f aca="false">Assumptions!$D$7*($L$129-$L$130)</f>
        <v>11.7480903231833</v>
      </c>
    </row>
    <row r="142" customFormat="false" ht="15" hidden="false" customHeight="false" outlineLevel="0" collapsed="false">
      <c r="B142" s="9" t="s">
        <v>617</v>
      </c>
      <c r="F142" s="38" t="n">
        <f aca="false">$F$139-$F$141</f>
        <v>2.17892857142857</v>
      </c>
      <c r="G142" s="38" t="n">
        <f aca="false">$G$139-$G$141</f>
        <v>1.07424279017857</v>
      </c>
      <c r="H142" s="38" t="n">
        <f aca="false">$H$139-$H$141</f>
        <v>2.37541811166295</v>
      </c>
      <c r="I142" s="38" t="n">
        <f aca="false">$I$139-$I$141</f>
        <v>1.15262049101744</v>
      </c>
      <c r="J142" s="38" t="n">
        <f aca="false">$J$139-$J$141</f>
        <v>0.296383754481546</v>
      </c>
      <c r="K142" s="38" t="n">
        <f aca="false">$K$139-$K$141</f>
        <v>-0.134628904156143</v>
      </c>
      <c r="L142" s="38" t="n">
        <f aca="false">$L$139-$L$141</f>
        <v>-0.591662140826539</v>
      </c>
    </row>
    <row r="143" customFormat="false" ht="15" hidden="false" customHeight="false" outlineLevel="0" collapsed="false">
      <c r="B143" s="7" t="s">
        <v>618</v>
      </c>
      <c r="C143" s="8"/>
      <c r="D143" s="8"/>
      <c r="E143" s="8"/>
      <c r="F143" s="8"/>
      <c r="G143" s="8"/>
      <c r="H143" s="8"/>
      <c r="I143" s="8"/>
      <c r="J143" s="8"/>
      <c r="K143" s="8"/>
      <c r="L143" s="8"/>
    </row>
    <row r="144" customFormat="false" ht="15" hidden="false" customHeight="false" outlineLevel="0" collapsed="false">
      <c r="B144" s="7" t="s">
        <v>178</v>
      </c>
      <c r="E144" s="30" t="n">
        <v>0</v>
      </c>
      <c r="F144" s="30" t="n">
        <v>1</v>
      </c>
      <c r="G144" s="30" t="n">
        <v>2</v>
      </c>
      <c r="H144" s="30" t="n">
        <v>3</v>
      </c>
      <c r="I144" s="30" t="n">
        <v>4</v>
      </c>
      <c r="J144" s="30" t="n">
        <v>5</v>
      </c>
      <c r="K144" s="30" t="n">
        <v>6</v>
      </c>
      <c r="L144" s="30" t="n">
        <v>7</v>
      </c>
    </row>
    <row r="145" customFormat="false" ht="15" hidden="false" customHeight="false" outlineLevel="0" collapsed="false">
      <c r="B145" s="9" t="s">
        <v>600</v>
      </c>
      <c r="E145" s="19" t="n">
        <f aca="false">$E$123</f>
        <v>10</v>
      </c>
      <c r="F145" s="19" t="n">
        <f aca="false">$F$123</f>
        <v>14.988125</v>
      </c>
      <c r="G145" s="19" t="n">
        <f aca="false">$G$123</f>
        <v>13.4435315625</v>
      </c>
      <c r="H145" s="19" t="n">
        <f aca="false">$H$123</f>
        <v>19.0501725507813</v>
      </c>
      <c r="I145" s="19" t="n">
        <f aca="false">$I$123</f>
        <v>31.9614810515694</v>
      </c>
      <c r="J145" s="19" t="n">
        <f aca="false">$J$123</f>
        <v>59.8920083611075</v>
      </c>
      <c r="K145" s="19" t="n">
        <f aca="false">$K$123</f>
        <v>91.1462711004663</v>
      </c>
      <c r="L145" s="19" t="n">
        <f aca="false">$L$123</f>
        <v>125.462468099988</v>
      </c>
    </row>
    <row r="146" customFormat="false" ht="15" hidden="false" customHeight="false" outlineLevel="0" collapsed="false">
      <c r="B146" s="9" t="s">
        <v>619</v>
      </c>
      <c r="E146" s="19" t="n">
        <f aca="false">$E$78</f>
        <v>38.4</v>
      </c>
      <c r="F146" s="19" t="n">
        <f aca="false">$F$78</f>
        <v>40.32</v>
      </c>
      <c r="G146" s="19" t="n">
        <f aca="false">$G$78</f>
        <v>49.9392</v>
      </c>
      <c r="H146" s="19" t="n">
        <f aca="false">$H$78</f>
        <v>47.662848</v>
      </c>
      <c r="I146" s="19" t="n">
        <f aca="false">$I$78</f>
        <v>50.77460736</v>
      </c>
      <c r="J146" s="19" t="n">
        <f aca="false">$J$78</f>
        <v>53.235462528</v>
      </c>
      <c r="K146" s="19" t="n">
        <f aca="false">$K$78</f>
        <v>55.36488102912</v>
      </c>
      <c r="L146" s="19" t="n">
        <f aca="false">$L$78</f>
        <v>57.5794762702848</v>
      </c>
    </row>
    <row r="147" customFormat="false" ht="15" hidden="false" customHeight="false" outlineLevel="0" collapsed="false">
      <c r="B147" s="9" t="s">
        <v>620</v>
      </c>
      <c r="E147" s="19" t="n">
        <f aca="false">Assumptions!$D$28*Assumptions!$D$13</f>
        <v>48</v>
      </c>
      <c r="F147" s="19" t="n">
        <f aca="false">$E$147+$F$75-$F$74+IF(AND($D$12=1,$F$64=Assumptions!$D$116),Assumptions!$D$124*Assumptions!$D$117,0)</f>
        <v>46.32</v>
      </c>
      <c r="G147" s="19" t="n">
        <f aca="false">$F$147+$G$75-$G$74+IF(AND($D$12=1,$G$64=Assumptions!$D$116),Assumptions!$D$124*Assumptions!$D$117,0)</f>
        <v>50.5392</v>
      </c>
      <c r="H147" s="19" t="n">
        <f aca="false">$G$147+$H$75-$H$74+IF(AND($D$12=1,$H$64=Assumptions!$D$116),Assumptions!$D$124*Assumptions!$D$117,0)</f>
        <v>48.553248</v>
      </c>
      <c r="I147" s="19" t="n">
        <f aca="false">$H$147+$I$75-$I$74+IF(AND($D$12=1,$I$64=Assumptions!$D$116),Assumptions!$D$124*Assumptions!$D$117,0)</f>
        <v>46.43763936</v>
      </c>
      <c r="J147" s="19" t="n">
        <f aca="false">$I$147+$J$75-$J$74+IF(AND($D$12=1,$J$64=Assumptions!$D$116),Assumptions!$D$124*Assumptions!$D$117,0)</f>
        <v>44.219495088</v>
      </c>
      <c r="K147" s="19" t="n">
        <f aca="false">$J$147+$K$75-$K$74+IF(AND($D$12=1,$K$64=Assumptions!$D$116),Assumptions!$D$124*Assumptions!$D$117,0)</f>
        <v>41.91262504512</v>
      </c>
      <c r="L147" s="19" t="n">
        <f aca="false">$K$147+$L$75-$L$74+IF(AND($D$12=1,$L$64=Assumptions!$D$116),Assumptions!$D$124*Assumptions!$D$117,0)</f>
        <v>39.5134802005248</v>
      </c>
    </row>
    <row r="148" customFormat="false" ht="15" hidden="false" customHeight="false" outlineLevel="0" collapsed="false">
      <c r="B148" s="9" t="s">
        <v>621</v>
      </c>
      <c r="E148" s="19" t="n">
        <f aca="false">$D$29-$E$78-Assumptions!$D$28*Assumptions!$D$13</f>
        <v>363.6</v>
      </c>
      <c r="F148" s="19" t="n">
        <f aca="false">$E$148+IF($F$82&gt;0,$F$82-Assumptions!$D$117*Assumptions!$D$27-Assumptions!$D$124*Assumptions!$D$117,0)</f>
        <v>363.6</v>
      </c>
      <c r="G148" s="19" t="n">
        <f aca="false">$F$148+IF($G$82&gt;0,$G$82-Assumptions!$D$117*Assumptions!$D$27-Assumptions!$D$124*Assumptions!$D$117,0)</f>
        <v>402.4</v>
      </c>
      <c r="H148" s="19" t="n">
        <f aca="false">$G$148+IF($H$82&gt;0,$H$82-Assumptions!$D$117*Assumptions!$D$27-Assumptions!$D$124*Assumptions!$D$117,0)</f>
        <v>402.4</v>
      </c>
      <c r="I148" s="19" t="n">
        <f aca="false">$H$148+IF($I$82&gt;0,$I$82-Assumptions!$D$117*Assumptions!$D$27-Assumptions!$D$124*Assumptions!$D$117,0)</f>
        <v>402.4</v>
      </c>
      <c r="J148" s="19" t="n">
        <f aca="false">$I$148+IF($J$82&gt;0,$J$82-Assumptions!$D$117*Assumptions!$D$27-Assumptions!$D$124*Assumptions!$D$117,0)</f>
        <v>402.4</v>
      </c>
      <c r="K148" s="19" t="n">
        <f aca="false">$J$148+IF($K$82&gt;0,$K$82-Assumptions!$D$117*Assumptions!$D$27-Assumptions!$D$124*Assumptions!$D$117,0)</f>
        <v>402.4</v>
      </c>
      <c r="L148" s="19" t="n">
        <f aca="false">$K$148+IF($L$82&gt;0,$L$82-Assumptions!$D$117*Assumptions!$D$27-Assumptions!$D$124*Assumptions!$D$117,0)</f>
        <v>402.4</v>
      </c>
    </row>
    <row r="149" customFormat="false" ht="15" hidden="false" customHeight="false" outlineLevel="0" collapsed="false">
      <c r="B149" s="9" t="s">
        <v>622</v>
      </c>
      <c r="E149" s="19" t="n">
        <f aca="false">$D$33</f>
        <v>5.5</v>
      </c>
      <c r="F149" s="19" t="n">
        <f aca="false">$E$149-$F$106+$F$85</f>
        <v>4.71428571428571</v>
      </c>
      <c r="G149" s="19" t="n">
        <f aca="false">$F$149-$G$106+$G$85</f>
        <v>4.72857142857143</v>
      </c>
      <c r="H149" s="19" t="n">
        <f aca="false">$G$149-$H$106+$H$85</f>
        <v>3.78285714285714</v>
      </c>
      <c r="I149" s="19" t="n">
        <f aca="false">$H$149-$I$106+$I$85</f>
        <v>2.83714285714286</v>
      </c>
      <c r="J149" s="19" t="n">
        <f aca="false">$I$149-$J$106+$J$85</f>
        <v>1.89142857142857</v>
      </c>
      <c r="K149" s="19" t="n">
        <f aca="false">$J$149-$K$106+$K$85</f>
        <v>0.945714285714286</v>
      </c>
      <c r="L149" s="19" t="n">
        <f aca="false">$K$149-$L$106+$L$85</f>
        <v>0</v>
      </c>
    </row>
    <row r="150" customFormat="false" ht="15" hidden="false" customHeight="false" outlineLevel="0" collapsed="false">
      <c r="B150" s="17" t="s">
        <v>623</v>
      </c>
      <c r="E150" s="18" t="n">
        <f aca="false">$E$145+$E$146+$E$147+$E$148+$E$149</f>
        <v>465.5</v>
      </c>
      <c r="F150" s="18" t="n">
        <f aca="false">$F$145+$F$146+$F$147+$F$148+$F$149</f>
        <v>469.942410714286</v>
      </c>
      <c r="G150" s="18" t="n">
        <f aca="false">$G$145+$G$146+$G$147+$G$148+$G$149</f>
        <v>521.050502991071</v>
      </c>
      <c r="H150" s="18" t="n">
        <f aca="false">$H$145+$H$146+$H$147+$H$148+$H$149</f>
        <v>521.449125693638</v>
      </c>
      <c r="I150" s="18" t="n">
        <f aca="false">$I$145+$I$146+$I$147+$I$148+$I$149</f>
        <v>534.410870628712</v>
      </c>
      <c r="J150" s="18" t="n">
        <f aca="false">$J$145+$J$146+$J$147+$J$148+$J$149</f>
        <v>561.638394548536</v>
      </c>
      <c r="K150" s="18" t="n">
        <f aca="false">$K$145+$K$146+$K$147+$K$148+$K$149</f>
        <v>591.769491460421</v>
      </c>
      <c r="L150" s="18" t="n">
        <f aca="false">$L$145+$L$146+$L$147+$L$148+$L$149</f>
        <v>624.955424570797</v>
      </c>
    </row>
    <row r="151" customFormat="false" ht="15" hidden="false" customHeight="false" outlineLevel="0" collapsed="false">
      <c r="B151" s="9" t="s">
        <v>291</v>
      </c>
      <c r="E151" s="19" t="n">
        <f aca="false">$E$122</f>
        <v>275</v>
      </c>
      <c r="F151" s="19" t="n">
        <f aca="false">$F$122</f>
        <v>267.761875</v>
      </c>
      <c r="G151" s="19" t="n">
        <f aca="false">$G$122</f>
        <v>302.0683434375</v>
      </c>
      <c r="H151" s="19" t="n">
        <f aca="false">$H$122</f>
        <v>290.368170886719</v>
      </c>
      <c r="I151" s="19" t="n">
        <f aca="false">$I$122</f>
        <v>280.397677202862</v>
      </c>
      <c r="J151" s="19" t="n">
        <f aca="false">$J$122</f>
        <v>277.747677202862</v>
      </c>
      <c r="K151" s="19" t="n">
        <f aca="false">$K$122</f>
        <v>275.097677202862</v>
      </c>
      <c r="L151" s="19" t="n">
        <f aca="false">$L$122</f>
        <v>272.447677202862</v>
      </c>
    </row>
    <row r="152" customFormat="false" ht="15" hidden="false" customHeight="false" outlineLevel="0" collapsed="false">
      <c r="B152" s="9" t="s">
        <v>624</v>
      </c>
      <c r="E152" s="19" t="n">
        <f aca="false">$D$46-Assumptions!$D$76</f>
        <v>190.5</v>
      </c>
      <c r="F152" s="19" t="n">
        <f aca="false">$E$152+$F$140-$F$88+$F$90</f>
        <v>202.180535714286</v>
      </c>
      <c r="G152" s="19" t="n">
        <f aca="false">$F$152+$G$140-$G$88+$G$90</f>
        <v>218.982159553571</v>
      </c>
      <c r="H152" s="19" t="n">
        <f aca="false">$G$152+$H$140-$H$88+$H$90</f>
        <v>231.08095480692</v>
      </c>
      <c r="I152" s="19" t="n">
        <f aca="false">$H$152+$I$140-$I$88+$I$90</f>
        <v>254.01319342585</v>
      </c>
      <c r="J152" s="19" t="n">
        <f aca="false">$I$152+$J$140-$J$88+$J$90</f>
        <v>283.890717345674</v>
      </c>
      <c r="K152" s="19" t="n">
        <f aca="false">$J$152+$K$140-$K$88+$K$90</f>
        <v>316.671814257558</v>
      </c>
      <c r="L152" s="19" t="n">
        <f aca="false">$K$152+$L$140-$L$88+$L$90</f>
        <v>352.507747367935</v>
      </c>
    </row>
    <row r="153" customFormat="false" ht="15" hidden="false" customHeight="false" outlineLevel="0" collapsed="false">
      <c r="B153" s="17" t="s">
        <v>625</v>
      </c>
      <c r="E153" s="18" t="n">
        <f aca="false">$E$151+$E$152</f>
        <v>465.5</v>
      </c>
      <c r="F153" s="18" t="n">
        <f aca="false">$F$151+$F$152</f>
        <v>469.942410714286</v>
      </c>
      <c r="G153" s="18" t="n">
        <f aca="false">$G$151+$G$152</f>
        <v>521.050502991071</v>
      </c>
      <c r="H153" s="18" t="n">
        <f aca="false">$H$151+$H$152</f>
        <v>521.449125693638</v>
      </c>
      <c r="I153" s="18" t="n">
        <f aca="false">$I$151+$I$152</f>
        <v>534.410870628712</v>
      </c>
      <c r="J153" s="18" t="n">
        <f aca="false">$J$151+$J$152</f>
        <v>561.638394548536</v>
      </c>
      <c r="K153" s="18" t="n">
        <f aca="false">$K$151+$K$152</f>
        <v>591.769491460421</v>
      </c>
      <c r="L153" s="18" t="n">
        <f aca="false">$L$151+$L$152</f>
        <v>624.955424570797</v>
      </c>
    </row>
    <row r="154" customFormat="false" ht="15" hidden="false" customHeight="false" outlineLevel="0" collapsed="false">
      <c r="B154" s="9" t="s">
        <v>626</v>
      </c>
      <c r="E154" s="19" t="n">
        <f aca="false">$E$150-$E$153</f>
        <v>0</v>
      </c>
      <c r="F154" s="19" t="n">
        <f aca="false">$F$150-$F$153</f>
        <v>0</v>
      </c>
      <c r="G154" s="19" t="n">
        <f aca="false">$G$150-$G$153</f>
        <v>0</v>
      </c>
      <c r="H154" s="19" t="n">
        <f aca="false">$H$150-$H$153</f>
        <v>0</v>
      </c>
      <c r="I154" s="19" t="n">
        <f aca="false">$I$150-$I$153</f>
        <v>0</v>
      </c>
      <c r="J154" s="19" t="n">
        <f aca="false">$J$150-$J$153</f>
        <v>0</v>
      </c>
      <c r="K154" s="19" t="n">
        <f aca="false">$K$150-$K$153</f>
        <v>0</v>
      </c>
      <c r="L154" s="19" t="n">
        <f aca="false">$L$150-$L$153</f>
        <v>0</v>
      </c>
    </row>
    <row r="155" customFormat="false" ht="15" hidden="false" customHeight="false" outlineLevel="0" collapsed="false">
      <c r="B155" s="7" t="s">
        <v>627</v>
      </c>
      <c r="C155" s="8"/>
      <c r="D155" s="8"/>
      <c r="E155" s="8"/>
      <c r="F155" s="8"/>
      <c r="G155" s="8"/>
      <c r="H155" s="8"/>
      <c r="I155" s="8"/>
      <c r="J155" s="8"/>
      <c r="K155" s="8"/>
      <c r="L155" s="8"/>
    </row>
    <row r="156" customFormat="false" ht="15" hidden="false" customHeight="false" outlineLevel="0" collapsed="false">
      <c r="B156" s="7" t="s">
        <v>178</v>
      </c>
      <c r="E156" s="30" t="n">
        <v>0</v>
      </c>
      <c r="F156" s="30" t="n">
        <v>1</v>
      </c>
      <c r="G156" s="30" t="n">
        <v>2</v>
      </c>
      <c r="H156" s="30" t="n">
        <v>3</v>
      </c>
      <c r="I156" s="30" t="n">
        <v>4</v>
      </c>
      <c r="J156" s="30" t="n">
        <v>5</v>
      </c>
      <c r="K156" s="30" t="n">
        <v>6</v>
      </c>
      <c r="L156" s="30" t="n">
        <v>7</v>
      </c>
    </row>
    <row r="157" customFormat="false" ht="15" hidden="false" customHeight="false" outlineLevel="0" collapsed="false">
      <c r="B157" s="9" t="s">
        <v>628</v>
      </c>
      <c r="F157" s="19" t="n">
        <f aca="false">$F$72+IF(AND($D$12=1,$F$64=Assumptions!$D$116),Assumptions!$D$118,0)</f>
        <v>55.65</v>
      </c>
      <c r="G157" s="19" t="n">
        <f aca="false">$G$72+IF(AND($D$12=1,$G$64=Assumptions!$D$116),Assumptions!$D$118,0)</f>
        <v>70.9958</v>
      </c>
      <c r="H157" s="19" t="n">
        <f aca="false">$H$72+IF(AND($D$12=1,$H$64=Assumptions!$D$116),Assumptions!$D$118,0)</f>
        <v>61.003268</v>
      </c>
      <c r="I157" s="19" t="n">
        <f aca="false">$I$72+IF(AND($D$12=1,$I$64=Assumptions!$D$116),Assumptions!$D$118,0)</f>
        <v>73.61841132</v>
      </c>
      <c r="J157" s="19" t="n">
        <f aca="false">$J$72+IF(AND($D$12=1,$J$64=Assumptions!$D$116),Assumptions!$D$118,0)</f>
        <v>81.34917403</v>
      </c>
      <c r="K157" s="19" t="n">
        <f aca="false">$K$72+IF(AND($D$12=1,$K$64=Assumptions!$D$116),Assumptions!$D$118,0)</f>
        <v>84.4831409912</v>
      </c>
      <c r="L157" s="19" t="n">
        <f aca="false">$L$72+IF(AND($D$12=1,$L$64=Assumptions!$D$116),Assumptions!$D$118,0)</f>
        <v>87.742466630848</v>
      </c>
    </row>
    <row r="158" customFormat="false" ht="15" hidden="false" customHeight="false" outlineLevel="0" collapsed="false">
      <c r="B158" s="9" t="s">
        <v>629</v>
      </c>
      <c r="F158" s="19" t="n">
        <f aca="false">IF(AND($D$12=1,$F$64&gt;=Assumptions!$D$116),MAX(0,MIN(Assumptions!$D$104-IF($F$64&gt;Assumptions!$D$116,$F$70,0),Assumptions!$D$103*$F$157)),0)</f>
        <v>0</v>
      </c>
      <c r="G158" s="19" t="n">
        <f aca="false">IF(AND($D$12=1,$G$64&gt;=Assumptions!$D$116),MAX(0,MIN(Assumptions!$D$104-IF($G$64&gt;Assumptions!$D$116,$G$70,0),Assumptions!$D$103*$G$157)),0)</f>
        <v>3</v>
      </c>
      <c r="H158" s="19" t="n">
        <f aca="false">IF(AND($D$12=1,$H$64&gt;=Assumptions!$D$116),MAX(0,MIN(Assumptions!$D$104-IF($H$64&gt;Assumptions!$D$116,$H$70,0),Assumptions!$D$103*$H$157)),0)</f>
        <v>2</v>
      </c>
      <c r="I158" s="19" t="n">
        <f aca="false">IF(AND($D$12=1,$I$64&gt;=Assumptions!$D$116),MAX(0,MIN(Assumptions!$D$104-IF($I$64&gt;Assumptions!$D$116,$I$70,0),Assumptions!$D$103*$I$157)),0)</f>
        <v>0.5</v>
      </c>
      <c r="J158" s="19" t="n">
        <f aca="false">IF(AND($D$12=1,$J$64&gt;=Assumptions!$D$116),MAX(0,MIN(Assumptions!$D$104-IF($J$64&gt;Assumptions!$D$116,$J$70,0),Assumptions!$D$103*$J$157)),0)</f>
        <v>0</v>
      </c>
      <c r="K158" s="19" t="n">
        <f aca="false">IF(AND($D$12=1,$K$64&gt;=Assumptions!$D$116),MAX(0,MIN(Assumptions!$D$104-IF($K$64&gt;Assumptions!$D$116,$K$70,0),Assumptions!$D$103*$K$157)),0)</f>
        <v>0</v>
      </c>
      <c r="L158" s="19" t="n">
        <f aca="false">IF(AND($D$12=1,$L$64&gt;=Assumptions!$D$116),MAX(0,MIN(Assumptions!$D$104-IF($L$64&gt;Assumptions!$D$116,$L$70,0),Assumptions!$D$103*$L$157)),0)</f>
        <v>0</v>
      </c>
    </row>
    <row r="159" customFormat="false" ht="15" hidden="false" customHeight="false" outlineLevel="0" collapsed="false">
      <c r="B159" s="17" t="s">
        <v>630</v>
      </c>
      <c r="F159" s="18" t="n">
        <f aca="false">$F$157+$F$158+$F$90</f>
        <v>55.65</v>
      </c>
      <c r="G159" s="18" t="n">
        <f aca="false">$G$157+$G$158+$G$90</f>
        <v>73.9958</v>
      </c>
      <c r="H159" s="18" t="n">
        <f aca="false">$H$157+$H$158+$H$90</f>
        <v>63.003268</v>
      </c>
      <c r="I159" s="18" t="n">
        <f aca="false">$I$157+$I$158+$I$90</f>
        <v>74.11841132</v>
      </c>
      <c r="J159" s="18" t="n">
        <f aca="false">$J$157+$J$158+$J$90</f>
        <v>81.34917403</v>
      </c>
      <c r="K159" s="18" t="n">
        <f aca="false">$K$157+$K$158+$K$90</f>
        <v>84.4831409912</v>
      </c>
      <c r="L159" s="18" t="n">
        <f aca="false">$L$157+$L$158+$L$90</f>
        <v>87.742466630848</v>
      </c>
    </row>
    <row r="160" customFormat="false" ht="15" hidden="false" customHeight="false" outlineLevel="0" collapsed="false">
      <c r="B160" s="9" t="s">
        <v>631</v>
      </c>
      <c r="F160" s="19" t="n">
        <f aca="false">$F$124</f>
        <v>252.77375</v>
      </c>
      <c r="G160" s="19" t="n">
        <f aca="false">$G$124</f>
        <v>288.624811875</v>
      </c>
      <c r="H160" s="19" t="n">
        <f aca="false">$H$124</f>
        <v>271.317998335938</v>
      </c>
      <c r="I160" s="19" t="n">
        <f aca="false">$I$124</f>
        <v>248.436196151293</v>
      </c>
      <c r="J160" s="19" t="n">
        <f aca="false">$J$124</f>
        <v>217.855668841755</v>
      </c>
      <c r="K160" s="19" t="n">
        <f aca="false">$K$124</f>
        <v>183.951406102396</v>
      </c>
      <c r="L160" s="19" t="n">
        <f aca="false">$L$124</f>
        <v>146.985209102875</v>
      </c>
    </row>
    <row r="161" customFormat="false" ht="15" hidden="false" customHeight="false" outlineLevel="0" collapsed="false">
      <c r="B161" s="17" t="s">
        <v>632</v>
      </c>
      <c r="F161" s="41" t="n">
        <f aca="false">$F$124/$F$159</f>
        <v>4.54220575022462</v>
      </c>
      <c r="G161" s="41" t="n">
        <f aca="false">$G$124/$G$159</f>
        <v>3.90055667855473</v>
      </c>
      <c r="H161" s="41" t="n">
        <f aca="false">$H$124/$H$159</f>
        <v>4.30641150766874</v>
      </c>
      <c r="I161" s="41" t="n">
        <f aca="false">$I$124/$I$159</f>
        <v>3.35188236939794</v>
      </c>
      <c r="J161" s="41" t="n">
        <f aca="false">$J$124/$J$159</f>
        <v>2.67803172483858</v>
      </c>
      <c r="K161" s="41" t="n">
        <f aca="false">$K$124/$K$159</f>
        <v>2.17737413576464</v>
      </c>
      <c r="L161" s="41" t="n">
        <f aca="false">$L$124/$L$159</f>
        <v>1.67518893355568</v>
      </c>
    </row>
    <row r="162" customFormat="false" ht="15" hidden="false" customHeight="false" outlineLevel="0" collapsed="false">
      <c r="B162" s="9" t="s">
        <v>633</v>
      </c>
      <c r="F162" s="24" t="n">
        <f aca="false">Assumptions!$F$169+IF(AND($D$17=1,$F$64&gt;=Assumptions!$D$146),Assumptions!$D$149,0)</f>
        <v>5.75</v>
      </c>
      <c r="G162" s="24" t="n">
        <f aca="false">Assumptions!$G$169+IF(AND($D$17=1,$G$64&gt;=Assumptions!$D$146),Assumptions!$D$149,0)</f>
        <v>5.25</v>
      </c>
      <c r="H162" s="24" t="n">
        <f aca="false">Assumptions!$H$169+IF(AND($D$17=1,$H$64&gt;=Assumptions!$D$146),Assumptions!$D$149,0)</f>
        <v>4.75</v>
      </c>
      <c r="I162" s="24" t="n">
        <f aca="false">Assumptions!$I$169+IF(AND($D$17=1,$I$64&gt;=Assumptions!$D$146),Assumptions!$D$149,0)</f>
        <v>4.25</v>
      </c>
      <c r="J162" s="24" t="n">
        <f aca="false">Assumptions!$J$169+IF(AND($D$17=1,$J$64&gt;=Assumptions!$D$146),Assumptions!$D$149,0)</f>
        <v>4</v>
      </c>
      <c r="K162" s="24" t="n">
        <f aca="false">Assumptions!$K$169+IF(AND($D$17=1,$K$64&gt;=Assumptions!$D$146),Assumptions!$D$149,0)</f>
        <v>4</v>
      </c>
      <c r="L162" s="24" t="n">
        <f aca="false">Assumptions!$L$169+IF(AND($D$17=1,$L$64&gt;=Assumptions!$D$146),Assumptions!$D$149,0)</f>
        <v>4</v>
      </c>
    </row>
    <row r="163" customFormat="false" ht="15" hidden="false" customHeight="false" outlineLevel="0" collapsed="false">
      <c r="B163" s="9" t="s">
        <v>634</v>
      </c>
      <c r="F163" s="24" t="n">
        <f aca="false">$F$162-$F$161</f>
        <v>1.20779424977538</v>
      </c>
      <c r="G163" s="24" t="n">
        <f aca="false">$G$162-$G$161</f>
        <v>1.34944332144527</v>
      </c>
      <c r="H163" s="24" t="n">
        <f aca="false">$H$162-$H$161</f>
        <v>0.443588492331263</v>
      </c>
      <c r="I163" s="24" t="n">
        <f aca="false">$I$162-$I$161</f>
        <v>0.898117630602058</v>
      </c>
      <c r="J163" s="24" t="n">
        <f aca="false">$J$162-$J$161</f>
        <v>1.32196827516142</v>
      </c>
      <c r="K163" s="24" t="n">
        <f aca="false">$K$162-$K$161</f>
        <v>1.82262586423536</v>
      </c>
      <c r="L163" s="24" t="n">
        <f aca="false">$L$162-$L$161</f>
        <v>2.32481106644432</v>
      </c>
    </row>
    <row r="164" customFormat="false" ht="15" hidden="false" customHeight="false" outlineLevel="0" collapsed="false">
      <c r="B164" s="9" t="s">
        <v>635</v>
      </c>
      <c r="F164" s="14" t="n">
        <f aca="false">1-$F$124/($F$162*$F$159)</f>
        <v>0.210051173873979</v>
      </c>
      <c r="G164" s="14" t="n">
        <f aca="false">1-$G$124/($G$162*$G$159)</f>
        <v>0.257036823132433</v>
      </c>
      <c r="H164" s="14" t="n">
        <f aca="false">1-$H$124/($H$162*$H$159)</f>
        <v>0.093387051017108</v>
      </c>
      <c r="I164" s="14" t="n">
        <f aca="false">1-$I$124/($I$162*$I$159)</f>
        <v>0.211321795435778</v>
      </c>
      <c r="J164" s="14" t="n">
        <f aca="false">1-$J$124/($J$162*$J$159)</f>
        <v>0.330492068790355</v>
      </c>
      <c r="K164" s="14" t="n">
        <f aca="false">1-$K$124/($K$162*$K$159)</f>
        <v>0.455656466058841</v>
      </c>
      <c r="L164" s="14" t="n">
        <f aca="false">1-$L$124/($L$162*$L$159)</f>
        <v>0.581202766611081</v>
      </c>
    </row>
    <row r="165" customFormat="false" ht="15" hidden="false" customHeight="false" outlineLevel="0" collapsed="false">
      <c r="B165" s="9" t="s">
        <v>636</v>
      </c>
      <c r="F165" s="19" t="n">
        <f aca="false">$F$164*$F$159</f>
        <v>11.689347826087</v>
      </c>
      <c r="G165" s="19" t="n">
        <f aca="false">$G$164*$G$159</f>
        <v>19.0196453571429</v>
      </c>
      <c r="H165" s="19" t="n">
        <f aca="false">$H$164*$H$159</f>
        <v>5.88368940296053</v>
      </c>
      <c r="I165" s="19" t="n">
        <f aca="false">$I$164*$I$159</f>
        <v>15.6628357549899</v>
      </c>
      <c r="J165" s="19" t="n">
        <f aca="false">$J$164*$J$159</f>
        <v>26.8852568195613</v>
      </c>
      <c r="K165" s="19" t="n">
        <f aca="false">$K$164*$K$159</f>
        <v>38.495289465601</v>
      </c>
      <c r="L165" s="19" t="n">
        <f aca="false">$L$164*$L$159</f>
        <v>50.9961643551293</v>
      </c>
    </row>
    <row r="166" customFormat="false" ht="15" hidden="false" customHeight="false" outlineLevel="0" collapsed="false">
      <c r="B166" s="9" t="s">
        <v>637</v>
      </c>
      <c r="F166" s="38" t="n">
        <f aca="false">MAX(0,$F$124/Assumptions!$F$169-($F$159-$F$90))</f>
        <v>0</v>
      </c>
      <c r="G166" s="38" t="n">
        <f aca="false">MAX(0,$G$124/Assumptions!$G$169-($G$159-$G$90))</f>
        <v>0</v>
      </c>
      <c r="H166" s="38" t="n">
        <f aca="false">MAX(0,$H$124/Assumptions!$H$169-($H$159-$H$90))</f>
        <v>0</v>
      </c>
      <c r="I166" s="38" t="n">
        <f aca="false">MAX(0,$I$124/Assumptions!$I$169-($I$159-$I$90))</f>
        <v>0</v>
      </c>
      <c r="J166" s="38" t="n">
        <f aca="false">MAX(0,$J$124/Assumptions!$J$169-($J$159-$J$90))</f>
        <v>0</v>
      </c>
      <c r="K166" s="38" t="n">
        <f aca="false">MAX(0,$K$124/Assumptions!$K$169-($K$159-$K$90))</f>
        <v>0</v>
      </c>
      <c r="L166" s="38" t="n">
        <f aca="false">MAX(0,$L$124/Assumptions!$L$169-($L$159-$L$90))</f>
        <v>0</v>
      </c>
    </row>
    <row r="167" customFormat="false" ht="15" hidden="false" customHeight="false" outlineLevel="0" collapsed="false">
      <c r="B167" s="9" t="s">
        <v>638</v>
      </c>
      <c r="F167" s="24" t="n">
        <f aca="false">$F$125-Assumptions!$F$169</f>
        <v>-1.20779424977538</v>
      </c>
      <c r="G167" s="24" t="n">
        <f aca="false">$G$125-Assumptions!$G$169</f>
        <v>-0.66834833631766</v>
      </c>
      <c r="H167" s="24" t="n">
        <f aca="false">$H$125-Assumptions!$H$169</f>
        <v>-0.302402236287776</v>
      </c>
      <c r="I167" s="24" t="n">
        <f aca="false">$I$125-Assumptions!$I$169</f>
        <v>-0.875352385405253</v>
      </c>
      <c r="J167" s="24" t="n">
        <f aca="false">$J$125-Assumptions!$J$169</f>
        <v>-1.32196827516142</v>
      </c>
      <c r="K167" s="24" t="n">
        <f aca="false">$K$125-Assumptions!$K$169</f>
        <v>-1.82262586423536</v>
      </c>
      <c r="L167" s="24" t="n">
        <f aca="false">$L$125-Assumptions!$L$169</f>
        <v>-2.32481106644432</v>
      </c>
    </row>
    <row r="168" customFormat="false" ht="15" hidden="false" customHeight="false" outlineLevel="0" collapsed="false">
      <c r="B168" s="9" t="s">
        <v>639</v>
      </c>
      <c r="F168" s="24" t="n">
        <f aca="false">$F$161-$F$162</f>
        <v>-1.20779424977538</v>
      </c>
      <c r="G168" s="24" t="n">
        <f aca="false">$G$161-$G$162</f>
        <v>-1.34944332144527</v>
      </c>
      <c r="H168" s="24" t="n">
        <f aca="false">$H$161-$H$162</f>
        <v>-0.443588492331263</v>
      </c>
      <c r="I168" s="24" t="n">
        <f aca="false">$I$161-$I$162</f>
        <v>-0.898117630602058</v>
      </c>
      <c r="J168" s="24" t="n">
        <f aca="false">$J$161-$J$162</f>
        <v>-1.32196827516142</v>
      </c>
      <c r="K168" s="24" t="n">
        <f aca="false">$K$161-$K$162</f>
        <v>-1.82262586423536</v>
      </c>
      <c r="L168" s="24" t="n">
        <f aca="false">$L$161-$L$162</f>
        <v>-2.32481106644432</v>
      </c>
    </row>
    <row r="169" customFormat="false" ht="15" hidden="false" customHeight="false" outlineLevel="0" collapsed="false">
      <c r="B169" s="7" t="s">
        <v>640</v>
      </c>
      <c r="C169" s="8"/>
      <c r="D169" s="8"/>
      <c r="E169" s="8"/>
      <c r="F169" s="8"/>
      <c r="G169" s="8"/>
      <c r="H169" s="8"/>
      <c r="I169" s="8"/>
      <c r="J169" s="8"/>
      <c r="K169" s="8"/>
      <c r="L169" s="8"/>
    </row>
    <row r="170" customFormat="false" ht="15" hidden="false" customHeight="false" outlineLevel="0" collapsed="false">
      <c r="B170" s="9" t="s">
        <v>254</v>
      </c>
      <c r="D170" s="33" t="n">
        <f aca="false">$D$10</f>
        <v>5</v>
      </c>
    </row>
    <row r="171" customFormat="false" ht="15" hidden="false" customHeight="false" outlineLevel="0" collapsed="false">
      <c r="B171" s="9" t="s">
        <v>189</v>
      </c>
      <c r="D171" s="19" t="n">
        <f aca="false">INDEX($E$72:$L$72,1,$D$170+1)</f>
        <v>81.34917403</v>
      </c>
    </row>
    <row r="172" customFormat="false" ht="15" hidden="false" customHeight="false" outlineLevel="0" collapsed="false">
      <c r="B172" s="17" t="s">
        <v>641</v>
      </c>
      <c r="D172" s="18" t="n">
        <f aca="false">$D$7*$D$171</f>
        <v>732.14256627</v>
      </c>
    </row>
    <row r="173" customFormat="false" ht="15" hidden="false" customHeight="false" outlineLevel="0" collapsed="false">
      <c r="B173" s="9" t="s">
        <v>642</v>
      </c>
      <c r="D173" s="19" t="n">
        <f aca="false">INDEX($E$124:$L$124,1,$D$170+1)</f>
        <v>217.855668841755</v>
      </c>
    </row>
    <row r="174" customFormat="false" ht="15" hidden="false" customHeight="false" outlineLevel="0" collapsed="false">
      <c r="B174" s="9" t="s">
        <v>643</v>
      </c>
      <c r="D174" s="19" t="n">
        <f aca="false">INDEX($E$118:$L$118,1,$D$170+1)</f>
        <v>227.747677202862</v>
      </c>
    </row>
    <row r="175" customFormat="false" ht="15" hidden="false" customHeight="false" outlineLevel="0" collapsed="false">
      <c r="B175" s="9" t="s">
        <v>644</v>
      </c>
      <c r="D175" s="19" t="n">
        <f aca="false">INDEX($E$120:$L$120,1,$D$170+1)</f>
        <v>50</v>
      </c>
    </row>
    <row r="176" customFormat="false" ht="15" hidden="false" customHeight="false" outlineLevel="0" collapsed="false">
      <c r="B176" s="9" t="s">
        <v>645</v>
      </c>
      <c r="D176" s="19" t="n">
        <f aca="false">INDEX($E$121:$L$121,1,$D$170+1)</f>
        <v>0</v>
      </c>
    </row>
    <row r="177" customFormat="false" ht="15" hidden="false" customHeight="false" outlineLevel="0" collapsed="false">
      <c r="B177" s="9" t="s">
        <v>646</v>
      </c>
      <c r="D177" s="19" t="n">
        <f aca="false">INDEX($E$123:$L$123,1,$D$170+1)</f>
        <v>59.8920083611075</v>
      </c>
    </row>
    <row r="178" customFormat="false" ht="15" hidden="false" customHeight="false" outlineLevel="0" collapsed="false">
      <c r="B178" s="9" t="s">
        <v>647</v>
      </c>
      <c r="D178" s="19" t="n">
        <f aca="false">$D$20*$D$172</f>
        <v>10.98213849405</v>
      </c>
    </row>
    <row r="179" customFormat="false" ht="15" hidden="false" customHeight="false" outlineLevel="0" collapsed="false">
      <c r="B179" s="17" t="s">
        <v>195</v>
      </c>
      <c r="D179" s="18" t="n">
        <f aca="false">$D$172-$D$173-$D$178</f>
        <v>503.304758934195</v>
      </c>
    </row>
    <row r="180" customFormat="false" ht="15" hidden="false" customHeight="false" outlineLevel="0" collapsed="false">
      <c r="B180" s="9" t="s">
        <v>648</v>
      </c>
      <c r="D180" s="19" t="n">
        <f aca="false">$D$171*(1-$D$20)</f>
        <v>80.12893641955</v>
      </c>
    </row>
    <row r="181" customFormat="false" ht="15" hidden="false" customHeight="false" outlineLevel="0" collapsed="false">
      <c r="B181" s="7" t="s">
        <v>649</v>
      </c>
      <c r="C181" s="8"/>
      <c r="D181" s="8"/>
      <c r="E181" s="8"/>
      <c r="F181" s="8"/>
      <c r="G181" s="8"/>
      <c r="H181" s="8"/>
      <c r="I181" s="8"/>
      <c r="J181" s="8"/>
      <c r="K181" s="8"/>
      <c r="L181" s="8"/>
    </row>
    <row r="182" customFormat="false" ht="15" hidden="false" customHeight="false" outlineLevel="0" collapsed="false">
      <c r="B182" s="9" t="s">
        <v>650</v>
      </c>
      <c r="D182" s="42" t="n">
        <f aca="false">$D$46/Assumptions!$D$108</f>
        <v>200</v>
      </c>
    </row>
    <row r="183" customFormat="false" ht="15" hidden="false" customHeight="false" outlineLevel="0" collapsed="false">
      <c r="B183" s="9" t="s">
        <v>651</v>
      </c>
      <c r="D183" s="42" t="n">
        <f aca="false">$D$48/Assumptions!$D$108</f>
        <v>190</v>
      </c>
    </row>
    <row r="184" customFormat="false" ht="15" hidden="false" customHeight="false" outlineLevel="0" collapsed="false">
      <c r="B184" s="9" t="s">
        <v>652</v>
      </c>
      <c r="D184" s="14" t="n">
        <f aca="false">$D$48/$D$46</f>
        <v>0.95</v>
      </c>
    </row>
    <row r="185" customFormat="false" ht="15" hidden="false" customHeight="false" outlineLevel="0" collapsed="false">
      <c r="B185" s="9" t="s">
        <v>653</v>
      </c>
      <c r="D185" s="42" t="n">
        <f aca="false">$D$47/Assumptions!$D$108</f>
        <v>10</v>
      </c>
    </row>
    <row r="186" customFormat="false" ht="15" hidden="false" customHeight="false" outlineLevel="0" collapsed="false">
      <c r="B186" s="9" t="s">
        <v>654</v>
      </c>
      <c r="D186" s="14" t="n">
        <f aca="false">$D$47/$D$46</f>
        <v>0.05</v>
      </c>
    </row>
    <row r="187" customFormat="false" ht="15" hidden="false" customHeight="false" outlineLevel="0" collapsed="false">
      <c r="B187" s="9" t="s">
        <v>655</v>
      </c>
      <c r="D187" s="42" t="n">
        <f aca="false">Assumptions!$D$111/Assumptions!$D$108</f>
        <v>4</v>
      </c>
    </row>
    <row r="188" customFormat="false" ht="15" hidden="false" customHeight="false" outlineLevel="0" collapsed="false">
      <c r="B188" s="9" t="s">
        <v>656</v>
      </c>
      <c r="D188" s="19" t="n">
        <f aca="false">SUMPRODUCT(($E$64:$L$64&lt;=$D$170)*$E$90:$L$90)</f>
        <v>0</v>
      </c>
    </row>
    <row r="189" customFormat="false" ht="15" hidden="false" customHeight="false" outlineLevel="0" collapsed="false">
      <c r="B189" s="9" t="s">
        <v>657</v>
      </c>
      <c r="D189" s="34" t="n">
        <f aca="false">$D$182+$D$188/Assumptions!$D$108</f>
        <v>200</v>
      </c>
    </row>
    <row r="190" customFormat="false" ht="15" hidden="false" customHeight="false" outlineLevel="0" collapsed="false">
      <c r="B190" s="9" t="s">
        <v>658</v>
      </c>
      <c r="D190" s="34" t="n">
        <f aca="false">$D$183+$D$188/Assumptions!$D$108</f>
        <v>190</v>
      </c>
    </row>
    <row r="191" customFormat="false" ht="15" hidden="false" customHeight="false" outlineLevel="0" collapsed="false">
      <c r="B191" s="9" t="s">
        <v>659</v>
      </c>
      <c r="D191" s="34" t="n">
        <f aca="false">$D$182*Assumptions!$D$109/(1-Assumptions!$D$109)</f>
        <v>17.3913043478261</v>
      </c>
    </row>
    <row r="192" customFormat="false" ht="15" hidden="false" customHeight="false" outlineLevel="0" collapsed="false">
      <c r="B192" s="9" t="s">
        <v>660</v>
      </c>
      <c r="D192" s="35" t="n">
        <f aca="false">($D$179+$D$191*Assumptions!$D$108)/($D$189+$D$191)</f>
        <v>2.3952018910973</v>
      </c>
    </row>
    <row r="193" customFormat="false" ht="15" hidden="false" customHeight="false" outlineLevel="0" collapsed="false">
      <c r="B193" s="9" t="s">
        <v>661</v>
      </c>
      <c r="D193" s="19" t="n">
        <f aca="false">SUMPRODUCT(($E$64:$L$64&lt;=$D$170)*$E$218:$L$218)</f>
        <v>0</v>
      </c>
    </row>
    <row r="194" customFormat="false" ht="15" hidden="false" customHeight="false" outlineLevel="0" collapsed="false">
      <c r="B194" s="9" t="s">
        <v>662</v>
      </c>
      <c r="D194" s="24" t="n">
        <f aca="false">($D$193+$D$190*$D$192)/($D$48+$D$188)</f>
        <v>2.3952018910973</v>
      </c>
    </row>
    <row r="195" customFormat="false" ht="15" hidden="false" customHeight="false" outlineLevel="0" collapsed="false">
      <c r="B195" s="9" t="s">
        <v>663</v>
      </c>
      <c r="D195" s="34" t="n">
        <f aca="false">IF($D$194&gt;=Assumptions!$D$110,$D$191,$D$191*0.5)</f>
        <v>17.3913043478261</v>
      </c>
    </row>
    <row r="196" customFormat="false" ht="15" hidden="false" customHeight="false" outlineLevel="0" collapsed="false">
      <c r="B196" s="9" t="s">
        <v>664</v>
      </c>
      <c r="D196" s="35" t="n">
        <f aca="false">($D$179+$D$195*Assumptions!$D$108)/($D$189+$D$195)</f>
        <v>2.3952018910973</v>
      </c>
    </row>
    <row r="197" customFormat="false" ht="15" hidden="false" customHeight="false" outlineLevel="0" collapsed="false">
      <c r="B197" s="9" t="s">
        <v>665</v>
      </c>
      <c r="D197" s="34" t="n">
        <f aca="false">IF($D$196&lt;Assumptions!$D$108,0,$D$195)</f>
        <v>17.3913043478261</v>
      </c>
    </row>
    <row r="198" customFormat="false" ht="15" hidden="false" customHeight="false" outlineLevel="0" collapsed="false">
      <c r="B198" s="17" t="s">
        <v>666</v>
      </c>
      <c r="D198" s="43" t="n">
        <f aca="false">IF($D$196&lt;Assumptions!$D$108,$D$179/$D$189,$D$196)</f>
        <v>2.3952018910973</v>
      </c>
    </row>
    <row r="199" customFormat="false" ht="15" hidden="false" customHeight="false" outlineLevel="0" collapsed="false">
      <c r="B199" s="7" t="s">
        <v>667</v>
      </c>
      <c r="C199" s="8"/>
      <c r="D199" s="8"/>
      <c r="E199" s="8"/>
      <c r="F199" s="8"/>
      <c r="G199" s="8"/>
      <c r="H199" s="8"/>
      <c r="I199" s="8"/>
      <c r="J199" s="8"/>
      <c r="K199" s="8"/>
      <c r="L199" s="8"/>
    </row>
    <row r="200" customFormat="false" ht="15" hidden="false" customHeight="false" outlineLevel="0" collapsed="false">
      <c r="B200" s="17" t="s">
        <v>268</v>
      </c>
      <c r="D200" s="18" t="n">
        <f aca="false">$D$190*$D$198</f>
        <v>455.088359308487</v>
      </c>
    </row>
    <row r="201" customFormat="false" ht="15" hidden="false" customHeight="false" outlineLevel="0" collapsed="false">
      <c r="B201" s="9" t="s">
        <v>668</v>
      </c>
      <c r="D201" s="14" t="n">
        <f aca="false">$D$200/$D$179</f>
        <v>0.904200389982777</v>
      </c>
    </row>
    <row r="202" customFormat="false" ht="15" hidden="false" customHeight="false" outlineLevel="0" collapsed="false">
      <c r="B202" s="9" t="s">
        <v>669</v>
      </c>
      <c r="D202" s="19" t="n">
        <f aca="false">$D$185*$D$198</f>
        <v>23.952018910973</v>
      </c>
    </row>
    <row r="203" customFormat="false" ht="15" hidden="false" customHeight="false" outlineLevel="0" collapsed="false">
      <c r="B203" s="9" t="s">
        <v>670</v>
      </c>
      <c r="D203" s="19" t="n">
        <f aca="false">$D$197*MAX(0,$D$198-Assumptions!$D$108)</f>
        <v>24.2643807147356</v>
      </c>
    </row>
    <row r="204" customFormat="false" ht="15" hidden="false" customHeight="false" outlineLevel="0" collapsed="false">
      <c r="B204" s="9" t="s">
        <v>671</v>
      </c>
      <c r="D204" s="19" t="n">
        <f aca="false">$D$200+$D$202+$D$203-$D$179</f>
        <v>0</v>
      </c>
    </row>
    <row r="205" customFormat="false" ht="15" hidden="false" customHeight="false" outlineLevel="0" collapsed="false">
      <c r="B205" s="9" t="s">
        <v>672</v>
      </c>
      <c r="D205" s="19" t="n">
        <f aca="false">$D$202+$D$203</f>
        <v>48.2163996257086</v>
      </c>
    </row>
    <row r="206" customFormat="false" ht="15" hidden="false" customHeight="false" outlineLevel="0" collapsed="false">
      <c r="B206" s="9" t="s">
        <v>673</v>
      </c>
      <c r="D206" s="24" t="n">
        <f aca="false">$D$205/$D$47</f>
        <v>4.82163996257086</v>
      </c>
    </row>
    <row r="207" customFormat="false" ht="15" hidden="false" customHeight="false" outlineLevel="0" collapsed="false">
      <c r="B207" s="9" t="s">
        <v>674</v>
      </c>
      <c r="D207" s="19" t="n">
        <f aca="false">$D$187*$D$198</f>
        <v>9.5808075643892</v>
      </c>
    </row>
    <row r="208" customFormat="false" ht="15" hidden="false" customHeight="false" outlineLevel="0" collapsed="false">
      <c r="B208" s="9" t="s">
        <v>675</v>
      </c>
      <c r="D208" s="19" t="n">
        <f aca="false">$D$203*Assumptions!$D$112</f>
        <v>8.49253325015747</v>
      </c>
    </row>
    <row r="209" customFormat="false" ht="15" hidden="false" customHeight="false" outlineLevel="0" collapsed="false">
      <c r="B209" s="9" t="s">
        <v>676</v>
      </c>
      <c r="D209" s="19" t="n">
        <f aca="false">$D$207+$D$208</f>
        <v>18.0733408145467</v>
      </c>
    </row>
    <row r="210" customFormat="false" ht="15" hidden="false" customHeight="false" outlineLevel="0" collapsed="false">
      <c r="B210" s="9" t="s">
        <v>677</v>
      </c>
      <c r="D210" s="24" t="n">
        <f aca="false">$D$209/Assumptions!$D$111</f>
        <v>4.51833520363667</v>
      </c>
    </row>
    <row r="211" customFormat="false" ht="15" hidden="false" customHeight="false" outlineLevel="0" collapsed="false">
      <c r="B211" s="9" t="s">
        <v>678</v>
      </c>
      <c r="D211" s="19" t="n">
        <f aca="false">$D$179*$D$190/$D$189</f>
        <v>478.139520987486</v>
      </c>
    </row>
    <row r="212" customFormat="false" ht="15" hidden="false" customHeight="false" outlineLevel="0" collapsed="false">
      <c r="B212" s="9" t="s">
        <v>679</v>
      </c>
      <c r="D212" s="19" t="n">
        <f aca="false">$D$211-$D$200</f>
        <v>23.0511616789988</v>
      </c>
    </row>
    <row r="213" customFormat="false" ht="15" hidden="false" customHeight="false" outlineLevel="0" collapsed="false">
      <c r="B213" s="7" t="s">
        <v>680</v>
      </c>
      <c r="C213" s="8"/>
      <c r="D213" s="8"/>
      <c r="E213" s="8"/>
      <c r="F213" s="8"/>
      <c r="G213" s="8"/>
      <c r="H213" s="8"/>
      <c r="I213" s="8"/>
      <c r="J213" s="8"/>
      <c r="K213" s="8"/>
      <c r="L213" s="8"/>
    </row>
    <row r="214" customFormat="false" ht="15" hidden="false" customHeight="false" outlineLevel="0" collapsed="false">
      <c r="B214" s="7" t="s">
        <v>178</v>
      </c>
      <c r="E214" s="30" t="n">
        <v>0</v>
      </c>
      <c r="F214" s="30" t="n">
        <v>1</v>
      </c>
      <c r="G214" s="30" t="n">
        <v>2</v>
      </c>
      <c r="H214" s="30" t="n">
        <v>3</v>
      </c>
      <c r="I214" s="30" t="n">
        <v>4</v>
      </c>
      <c r="J214" s="30" t="n">
        <v>5</v>
      </c>
      <c r="K214" s="30" t="n">
        <v>6</v>
      </c>
      <c r="L214" s="30" t="n">
        <v>7</v>
      </c>
    </row>
    <row r="215" customFormat="false" ht="15" hidden="false" customHeight="false" outlineLevel="0" collapsed="false">
      <c r="B215" s="9" t="s">
        <v>681</v>
      </c>
      <c r="E215" s="19" t="n">
        <f aca="false">0</f>
        <v>0</v>
      </c>
      <c r="F215" s="19" t="n">
        <f aca="false">$E$215+$F$90</f>
        <v>0</v>
      </c>
      <c r="G215" s="19" t="n">
        <f aca="false">$F$215+$G$90</f>
        <v>0</v>
      </c>
      <c r="H215" s="19" t="n">
        <f aca="false">$G$215+$H$90</f>
        <v>0</v>
      </c>
      <c r="I215" s="19" t="n">
        <f aca="false">$H$215+$I$90</f>
        <v>0</v>
      </c>
      <c r="J215" s="19" t="n">
        <f aca="false">$I$215+$J$90</f>
        <v>0</v>
      </c>
      <c r="K215" s="19" t="n">
        <f aca="false">$J$215+$K$90</f>
        <v>0</v>
      </c>
      <c r="L215" s="19" t="n">
        <f aca="false">$K$215+$L$90</f>
        <v>0</v>
      </c>
    </row>
    <row r="216" customFormat="false" ht="15" hidden="false" customHeight="false" outlineLevel="0" collapsed="false">
      <c r="B216" s="9" t="s">
        <v>682</v>
      </c>
      <c r="E216" s="34" t="n">
        <f aca="false">$D$183+$E$215/Assumptions!$D$108</f>
        <v>190</v>
      </c>
      <c r="F216" s="34" t="n">
        <f aca="false">$D$183+$F$215/Assumptions!$D$108</f>
        <v>190</v>
      </c>
      <c r="G216" s="34" t="n">
        <f aca="false">$D$183+$G$215/Assumptions!$D$108</f>
        <v>190</v>
      </c>
      <c r="H216" s="34" t="n">
        <f aca="false">$D$183+$H$215/Assumptions!$D$108</f>
        <v>190</v>
      </c>
      <c r="I216" s="34" t="n">
        <f aca="false">$D$183+$I$215/Assumptions!$D$108</f>
        <v>190</v>
      </c>
      <c r="J216" s="34" t="n">
        <f aca="false">$D$183+$J$215/Assumptions!$D$108</f>
        <v>190</v>
      </c>
      <c r="K216" s="34" t="n">
        <f aca="false">$D$183+$K$215/Assumptions!$D$108</f>
        <v>190</v>
      </c>
      <c r="L216" s="34" t="n">
        <f aca="false">$D$183+$L$215/Assumptions!$D$108</f>
        <v>190</v>
      </c>
    </row>
    <row r="217" customFormat="false" ht="15" hidden="false" customHeight="false" outlineLevel="0" collapsed="false">
      <c r="B217" s="9" t="s">
        <v>683</v>
      </c>
      <c r="E217" s="34" t="n">
        <f aca="false">$D$182+$E$215/Assumptions!$D$108</f>
        <v>200</v>
      </c>
      <c r="F217" s="34" t="n">
        <f aca="false">$D$182+$F$215/Assumptions!$D$108</f>
        <v>200</v>
      </c>
      <c r="G217" s="34" t="n">
        <f aca="false">$D$182+$G$215/Assumptions!$D$108</f>
        <v>200</v>
      </c>
      <c r="H217" s="34" t="n">
        <f aca="false">$D$182+$H$215/Assumptions!$D$108</f>
        <v>200</v>
      </c>
      <c r="I217" s="34" t="n">
        <f aca="false">$D$182+$I$215/Assumptions!$D$108</f>
        <v>200</v>
      </c>
      <c r="J217" s="34" t="n">
        <f aca="false">$D$182+$J$215/Assumptions!$D$108</f>
        <v>200</v>
      </c>
      <c r="K217" s="34" t="n">
        <f aca="false">$D$182+$K$215/Assumptions!$D$108</f>
        <v>200</v>
      </c>
      <c r="L217" s="34" t="n">
        <f aca="false">$D$182+$L$215/Assumptions!$D$108</f>
        <v>200</v>
      </c>
    </row>
    <row r="218" customFormat="false" ht="15" hidden="false" customHeight="false" outlineLevel="0" collapsed="false">
      <c r="B218" s="9" t="s">
        <v>684</v>
      </c>
      <c r="E218" s="19" t="n">
        <f aca="false">0</f>
        <v>0</v>
      </c>
      <c r="F218" s="19" t="n">
        <f aca="false">$F$88*$F$216/$F$217-$F$90</f>
        <v>0</v>
      </c>
      <c r="G218" s="19" t="n">
        <f aca="false">$G$88*$G$216/$G$217-$G$90</f>
        <v>0</v>
      </c>
      <c r="H218" s="19" t="n">
        <f aca="false">$H$88*$H$216/$H$217-$H$90</f>
        <v>0</v>
      </c>
      <c r="I218" s="19" t="n">
        <f aca="false">$I$88*$I$216/$I$217-$I$90</f>
        <v>0</v>
      </c>
      <c r="J218" s="19" t="n">
        <f aca="false">$J$88*$J$216/$J$217-$J$90</f>
        <v>0</v>
      </c>
      <c r="K218" s="19" t="n">
        <f aca="false">$K$88*$K$216/$K$217-$K$90</f>
        <v>0</v>
      </c>
      <c r="L218" s="19" t="n">
        <f aca="false">$L$88*$L$216/$L$217-$L$90</f>
        <v>0</v>
      </c>
    </row>
    <row r="219" customFormat="false" ht="15" hidden="false" customHeight="false" outlineLevel="0" collapsed="false">
      <c r="B219" s="17" t="s">
        <v>685</v>
      </c>
      <c r="E219" s="18" t="n">
        <f aca="false">-$D$48</f>
        <v>-190</v>
      </c>
      <c r="F219" s="18" t="n">
        <f aca="false">IF($F$64&lt;=$D$170,$F$218+IF($F$64=$D$170,$D$200,0),0)</f>
        <v>0</v>
      </c>
      <c r="G219" s="18" t="n">
        <f aca="false">IF($G$64&lt;=$D$170,$G$218+IF($G$64=$D$170,$D$200,0),0)</f>
        <v>0</v>
      </c>
      <c r="H219" s="18" t="n">
        <f aca="false">IF($H$64&lt;=$D$170,$H$218+IF($H$64=$D$170,$D$200,0),0)</f>
        <v>0</v>
      </c>
      <c r="I219" s="18" t="n">
        <f aca="false">IF($I$64&lt;=$D$170,$I$218+IF($I$64=$D$170,$D$200,0),0)</f>
        <v>0</v>
      </c>
      <c r="J219" s="18" t="n">
        <f aca="false">IF($J$64&lt;=$D$170,$J$218+IF($J$64=$D$170,$D$200,0),0)</f>
        <v>455.088359308487</v>
      </c>
      <c r="K219" s="18" t="n">
        <f aca="false">IF($K$64&lt;=$D$170,$K$218+IF($K$64=$D$170,$D$200,0),0)</f>
        <v>0</v>
      </c>
      <c r="L219" s="18" t="n">
        <f aca="false">IF($L$64&lt;=$D$170,$L$218+IF($L$64=$D$170,$D$200,0),0)</f>
        <v>0</v>
      </c>
    </row>
    <row r="220" customFormat="false" ht="15" hidden="false" customHeight="false" outlineLevel="0" collapsed="false">
      <c r="B220" s="9" t="s">
        <v>686</v>
      </c>
      <c r="E220" s="19" t="n">
        <f aca="false">-$D$46</f>
        <v>-200</v>
      </c>
      <c r="F220" s="19" t="n">
        <f aca="false">IF($F$64&lt;=$D$170,$F$88-$F$90+IF($F$64=$D$170,$D$179,0),0)</f>
        <v>0</v>
      </c>
      <c r="G220" s="19" t="n">
        <f aca="false">IF($G$64&lt;=$D$170,$G$88-$G$90+IF($G$64=$D$170,$D$179,0),0)</f>
        <v>0</v>
      </c>
      <c r="H220" s="19" t="n">
        <f aca="false">IF($H$64&lt;=$D$170,$H$88-$H$90+IF($H$64=$D$170,$D$179,0),0)</f>
        <v>0</v>
      </c>
      <c r="I220" s="19" t="n">
        <f aca="false">IF($I$64&lt;=$D$170,$I$88-$I$90+IF($I$64=$D$170,$D$179,0),0)</f>
        <v>0</v>
      </c>
      <c r="J220" s="19" t="n">
        <f aca="false">IF($J$64&lt;=$D$170,$J$88-$J$90+IF($J$64=$D$170,$D$179,0),0)</f>
        <v>503.304758934195</v>
      </c>
      <c r="K220" s="19" t="n">
        <f aca="false">IF($K$64&lt;=$D$170,$K$88-$K$90+IF($K$64=$D$170,$D$179,0),0)</f>
        <v>0</v>
      </c>
      <c r="L220" s="19" t="n">
        <f aca="false">IF($L$64&lt;=$D$170,$L$88-$L$90+IF($L$64=$D$170,$D$179,0),0)</f>
        <v>0</v>
      </c>
    </row>
    <row r="221" customFormat="false" ht="15" hidden="false" customHeight="false" outlineLevel="0" collapsed="false">
      <c r="B221" s="9" t="s">
        <v>687</v>
      </c>
      <c r="E221" s="44" t="n">
        <f aca="false">Assumptions!$D$10</f>
        <v>46203</v>
      </c>
      <c r="F221" s="44" t="n">
        <f aca="false">DATE(YEAR(Assumptions!$D$10)+$F$64,MONTH(Assumptions!$D$10),DAY(Assumptions!$D$10))</f>
        <v>46568</v>
      </c>
      <c r="G221" s="44" t="n">
        <f aca="false">DATE(YEAR(Assumptions!$D$10)+$G$64,MONTH(Assumptions!$D$10),DAY(Assumptions!$D$10))</f>
        <v>46934</v>
      </c>
      <c r="H221" s="44" t="n">
        <f aca="false">DATE(YEAR(Assumptions!$D$10)+$H$64,MONTH(Assumptions!$D$10),DAY(Assumptions!$D$10))</f>
        <v>47299</v>
      </c>
      <c r="I221" s="44" t="n">
        <f aca="false">DATE(YEAR(Assumptions!$D$10)+$I$64,MONTH(Assumptions!$D$10),DAY(Assumptions!$D$10))</f>
        <v>47664</v>
      </c>
      <c r="J221" s="44" t="n">
        <f aca="false">DATE(YEAR(Assumptions!$D$10)+$J$64,MONTH(Assumptions!$D$10),DAY(Assumptions!$D$10))</f>
        <v>48029</v>
      </c>
      <c r="K221" s="44" t="n">
        <f aca="false">DATE(YEAR(Assumptions!$D$10)+$K$64,MONTH(Assumptions!$D$10),DAY(Assumptions!$D$10))</f>
        <v>48395</v>
      </c>
      <c r="L221" s="44" t="n">
        <f aca="false">DATE(YEAR(Assumptions!$D$10)+$L$64,MONTH(Assumptions!$D$10),DAY(Assumptions!$D$10))</f>
        <v>48760</v>
      </c>
    </row>
    <row r="223" customFormat="false" ht="15" hidden="false" customHeight="false" outlineLevel="0" collapsed="false">
      <c r="B223" s="17" t="s">
        <v>688</v>
      </c>
      <c r="D223" s="45" t="n">
        <f aca="false">IRR($E$219:$L$219,0.1)</f>
        <v>0.190881161363862</v>
      </c>
    </row>
    <row r="224" customFormat="false" ht="15" hidden="false" customHeight="false" outlineLevel="0" collapsed="false">
      <c r="B224" s="9" t="s">
        <v>689</v>
      </c>
      <c r="D224" s="25" t="n">
        <f aca="false">XIRR($E$219:$L$219,$E$221:$L$221,0.1)</f>
        <v>0.19076723515757</v>
      </c>
    </row>
    <row r="225" customFormat="false" ht="15" hidden="false" customHeight="false" outlineLevel="0" collapsed="false">
      <c r="B225" s="17" t="s">
        <v>690</v>
      </c>
      <c r="D225" s="41" t="n">
        <f aca="false">SUMIF($E$219:$L$219,"&gt;0")/-SUMIF($E$219:$L$219,"&lt;0")</f>
        <v>2.3952018910973</v>
      </c>
    </row>
    <row r="226" customFormat="false" ht="15" hidden="false" customHeight="false" outlineLevel="0" collapsed="false">
      <c r="B226" s="9" t="s">
        <v>691</v>
      </c>
      <c r="D226" s="19" t="n">
        <f aca="false">-SUMIF($E$219:$L$219,"&lt;0")</f>
        <v>190</v>
      </c>
    </row>
    <row r="227" customFormat="false" ht="15" hidden="false" customHeight="false" outlineLevel="0" collapsed="false">
      <c r="B227" s="9" t="s">
        <v>692</v>
      </c>
      <c r="D227" s="25" t="n">
        <f aca="false">IRR($E$220:$L$220,0.1)</f>
        <v>0.202708023474131</v>
      </c>
    </row>
    <row r="228" customFormat="false" ht="15" hidden="false" customHeight="false" outlineLevel="0" collapsed="false">
      <c r="B228" s="9" t="s">
        <v>693</v>
      </c>
      <c r="D228" s="24" t="n">
        <f aca="false">SUMIF($E$220:$L$220,"&gt;0")/-SUMIF($E$220:$L$220,"&lt;0")</f>
        <v>2.51652379467098</v>
      </c>
    </row>
    <row r="229" customFormat="false" ht="15" hidden="false" customHeight="false" outlineLevel="0" collapsed="false">
      <c r="B229" s="9" t="s">
        <v>694</v>
      </c>
      <c r="D229" s="19" t="n">
        <f aca="false">SUM($E$220:$L$220)</f>
        <v>303.304758934195</v>
      </c>
    </row>
    <row r="230" customFormat="false" ht="15" hidden="false" customHeight="false" outlineLevel="0" collapsed="false">
      <c r="B230" s="7" t="s">
        <v>695</v>
      </c>
      <c r="C230" s="8"/>
      <c r="D230" s="8"/>
      <c r="E230" s="8"/>
      <c r="F230" s="8"/>
      <c r="G230" s="8"/>
      <c r="H230" s="8"/>
      <c r="I230" s="8"/>
      <c r="J230" s="8"/>
      <c r="K230" s="8"/>
      <c r="L230" s="8"/>
    </row>
    <row r="231" customFormat="false" ht="15" hidden="false" customHeight="false" outlineLevel="0" collapsed="false">
      <c r="B231" s="9" t="s">
        <v>696</v>
      </c>
      <c r="D231" s="19" t="n">
        <f aca="false">SUMPRODUCT(($F$64:$L$64&lt;=$D$170)*$F$91:$L$91)</f>
        <v>99.9443311582452</v>
      </c>
    </row>
    <row r="232" customFormat="false" ht="15" hidden="false" customHeight="false" outlineLevel="0" collapsed="false">
      <c r="B232" s="9" t="s">
        <v>697</v>
      </c>
      <c r="D232" s="19" t="n">
        <f aca="false">SUMPRODUCT(($F$64:$L$64&lt;=$D$170)*$F$105:$L$105)</f>
        <v>125.786799451505</v>
      </c>
    </row>
    <row r="233" customFormat="false" ht="15" hidden="false" customHeight="false" outlineLevel="0" collapsed="false">
      <c r="B233" s="9" t="s">
        <v>698</v>
      </c>
      <c r="D233" s="19" t="n">
        <f aca="false">SUMPRODUCT(($F$64:$L$64&lt;=$D$170)*$F$139:$L$139)</f>
        <v>41.06703074025</v>
      </c>
    </row>
    <row r="234" customFormat="false" ht="15" hidden="false" customHeight="false" outlineLevel="0" collapsed="false">
      <c r="B234" s="9" t="s">
        <v>699</v>
      </c>
      <c r="D234" s="38" t="n">
        <f aca="false">SUMPRODUCT(($F$64:$L$64&lt;=$D$170)*$F$109:$L$109)</f>
        <v>12.45</v>
      </c>
    </row>
    <row r="235" customFormat="false" ht="15" hidden="false" customHeight="false" outlineLevel="0" collapsed="false">
      <c r="B235" s="9" t="s">
        <v>700</v>
      </c>
      <c r="D235" s="19" t="n">
        <f aca="false">SUMPRODUCT(($F$64:$L$64&lt;=$D$170)*$F$115:$L$115)</f>
        <v>24.8023227971377</v>
      </c>
    </row>
    <row r="236" customFormat="false" ht="15" hidden="false" customHeight="false" outlineLevel="0" collapsed="false">
      <c r="B236" s="9" t="s">
        <v>701</v>
      </c>
      <c r="D236" s="19" t="n">
        <f aca="false">SUMPRODUCT(($F$64:$L$64&lt;=$D$170)*$F$88:$L$88)</f>
        <v>0</v>
      </c>
    </row>
    <row r="237" customFormat="false" ht="15" hidden="false" customHeight="false" outlineLevel="0" collapsed="false">
      <c r="B237" s="9" t="s">
        <v>702</v>
      </c>
      <c r="D237" s="19" t="n">
        <f aca="false">$D$234+$D$235</f>
        <v>37.2523227971377</v>
      </c>
    </row>
    <row r="238" customFormat="false" ht="15" hidden="false" customHeight="false" outlineLevel="0" collapsed="false">
      <c r="B238" s="9" t="s">
        <v>703</v>
      </c>
      <c r="D238" s="19" t="n">
        <f aca="false">$D$54-$D$173</f>
        <v>47.1443311582452</v>
      </c>
    </row>
    <row r="239" customFormat="false" ht="15" hidden="false" customHeight="false" outlineLevel="0" collapsed="false">
      <c r="B239" s="9" t="s">
        <v>704</v>
      </c>
      <c r="D239" s="25" t="n">
        <f aca="false">($D$171/$D$28)^(1/$D$170)-1</f>
        <v>0.102241170708101</v>
      </c>
    </row>
    <row r="240" customFormat="false" ht="15" hidden="false" customHeight="false" outlineLevel="0" collapsed="false">
      <c r="B240" s="9" t="s">
        <v>705</v>
      </c>
      <c r="D240" s="25" t="n">
        <f aca="false">(INDEX($E$71:$L$71,1,$D$170+1)/Assumptions!$D$13)^(1/$D$170)-1</f>
        <v>0.0675149393296168</v>
      </c>
    </row>
    <row r="241" customFormat="false" ht="15" hidden="false" customHeight="false" outlineLevel="0" collapsed="false">
      <c r="B241" s="9" t="s">
        <v>233</v>
      </c>
      <c r="D241" s="19" t="n">
        <f aca="false">$D$172-$D$29</f>
        <v>282.14256627</v>
      </c>
    </row>
    <row r="242" customFormat="false" ht="15" hidden="false" customHeight="false" outlineLevel="0" collapsed="false">
      <c r="B242" s="9" t="s">
        <v>234</v>
      </c>
      <c r="D242" s="14" t="n">
        <f aca="false">$D$172/$D$29-1</f>
        <v>0.6269834806</v>
      </c>
    </row>
    <row r="243" customFormat="false" ht="15" hidden="false" customHeight="false" outlineLevel="0" collapsed="false">
      <c r="B243" s="9" t="s">
        <v>235</v>
      </c>
      <c r="D243" s="25" t="n">
        <f aca="false">($D$172/$D$29)^(1/$D$170)-1</f>
        <v>0.102241170708101</v>
      </c>
    </row>
    <row r="244" customFormat="false" ht="15" hidden="false" customHeight="false" outlineLevel="0" collapsed="false">
      <c r="B244" s="9" t="s">
        <v>236</v>
      </c>
      <c r="D244" s="14" t="n">
        <f aca="false">$D$179/$D$46-1</f>
        <v>1.51652379467098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6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0"/>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730</v>
      </c>
    </row>
    <row r="3" customFormat="false" ht="15" hidden="false" customHeight="false" outlineLevel="0" collapsed="false">
      <c r="B3" s="6" t="s">
        <v>731</v>
      </c>
    </row>
    <row r="4" customFormat="false" ht="15" hidden="false" customHeight="false" outlineLevel="0" collapsed="false">
      <c r="C4" s="17" t="s">
        <v>732</v>
      </c>
      <c r="E4" s="46" t="n">
        <f aca="false">ROWS(I10:I684)</f>
        <v>675</v>
      </c>
    </row>
    <row r="5" customFormat="false" ht="15" hidden="false" customHeight="false" outlineLevel="0" collapsed="false">
      <c r="C5" s="17" t="s">
        <v>733</v>
      </c>
      <c r="E5" s="46" t="n">
        <f aca="false">COUNTIF(I10:I684,"PASS")</f>
        <v>675</v>
      </c>
    </row>
    <row r="6" customFormat="false" ht="15" hidden="false" customHeight="false" outlineLevel="0" collapsed="false">
      <c r="C6" s="17" t="s">
        <v>734</v>
      </c>
      <c r="E6" s="46" t="n">
        <f aca="false">COUNTIF(I10:I684,"FAIL")</f>
        <v>0</v>
      </c>
    </row>
    <row r="7" customFormat="false" ht="15" hidden="false" customHeight="false" outlineLevel="0" collapsed="false">
      <c r="C7" s="17" t="s">
        <v>735</v>
      </c>
      <c r="D7" s="17"/>
      <c r="E7" s="47" t="str">
        <f aca="false">IFERROR(IF(AND(E5=E4,E6=0,SUMPRODUCT(--ISERROR(F10:F684))=0),"PASS","FAIL"),"FAIL")</f>
        <v>PASS</v>
      </c>
    </row>
    <row r="9" customFormat="false" ht="21.75" hidden="false" customHeight="true" outlineLevel="0" collapsed="false">
      <c r="B9" s="15" t="s">
        <v>736</v>
      </c>
      <c r="C9" s="16" t="s">
        <v>366</v>
      </c>
      <c r="D9" s="16" t="s">
        <v>737</v>
      </c>
      <c r="E9" s="16" t="s">
        <v>738</v>
      </c>
      <c r="F9" s="16" t="s">
        <v>739</v>
      </c>
      <c r="G9" s="16" t="s">
        <v>740</v>
      </c>
      <c r="H9" s="16" t="s">
        <v>741</v>
      </c>
      <c r="I9" s="16" t="s">
        <v>742</v>
      </c>
    </row>
    <row r="10" customFormat="false" ht="15" hidden="false" customHeight="false" outlineLevel="0" collapsed="false">
      <c r="B10" s="48" t="n">
        <v>1</v>
      </c>
      <c r="C10" s="9" t="s">
        <v>743</v>
      </c>
      <c r="D10" s="9" t="s">
        <v>744</v>
      </c>
      <c r="E10" s="49" t="n">
        <v>100</v>
      </c>
      <c r="F10" s="34" t="n">
        <f aca="false">Toy_Company!$D$7</f>
        <v>100</v>
      </c>
      <c r="G10" s="50" t="n">
        <f aca="false">IFERROR(IF(ISNUMBER(F10),F10-E10,"n/a"),"n/a")</f>
        <v>0</v>
      </c>
      <c r="H10" s="51" t="n">
        <v>0.500000001</v>
      </c>
      <c r="I10" s="47" t="str">
        <f aca="false">IFERROR(IF(ISNUMBER(F10),IF(ABS(F10-E10)&lt;=H10,"PASS","FAIL"),"FAIL"),"FAIL")</f>
        <v>PASS</v>
      </c>
    </row>
    <row r="11" customFormat="false" ht="15" hidden="false" customHeight="false" outlineLevel="0" collapsed="false">
      <c r="B11" s="48" t="n">
        <v>2</v>
      </c>
      <c r="C11" s="9" t="s">
        <v>743</v>
      </c>
      <c r="D11" s="9" t="s">
        <v>745</v>
      </c>
      <c r="E11" s="49" t="n">
        <v>10</v>
      </c>
      <c r="F11" s="34" t="n">
        <f aca="false">Toy_Company!$D$8</f>
        <v>10</v>
      </c>
      <c r="G11" s="50" t="n">
        <f aca="false">IFERROR(IF(ISNUMBER(F11),F11-E11,"n/a"),"n/a")</f>
        <v>0</v>
      </c>
      <c r="H11" s="51" t="n">
        <v>0.500000001</v>
      </c>
      <c r="I11" s="47" t="str">
        <f aca="false">IFERROR(IF(ISNUMBER(F11),IF(ABS(F11-E11)&lt;=H11,"PASS","FAIL"),"FAIL"),"FAIL")</f>
        <v>PASS</v>
      </c>
    </row>
    <row r="12" customFormat="false" ht="15" hidden="false" customHeight="false" outlineLevel="0" collapsed="false">
      <c r="B12" s="48" t="n">
        <v>3</v>
      </c>
      <c r="C12" s="9" t="s">
        <v>743</v>
      </c>
      <c r="D12" s="9" t="s">
        <v>746</v>
      </c>
      <c r="E12" s="52" t="n">
        <v>10</v>
      </c>
      <c r="F12" s="53" t="n">
        <f aca="false">Toy_Company!$D$13</f>
        <v>10</v>
      </c>
      <c r="G12" s="50" t="n">
        <f aca="false">IFERROR(IF(ISNUMBER(F12),F12-E12,"n/a"),"n/a")</f>
        <v>0</v>
      </c>
      <c r="H12" s="51" t="n">
        <v>0.050000001</v>
      </c>
      <c r="I12" s="47" t="str">
        <f aca="false">IFERROR(IF(ISNUMBER(F12),IF(ABS(F12-E12)&lt;=H12,"PASS","FAIL"),"FAIL"),"FAIL")</f>
        <v>PASS</v>
      </c>
    </row>
    <row r="13" customFormat="false" ht="15" hidden="false" customHeight="false" outlineLevel="0" collapsed="false">
      <c r="B13" s="48" t="n">
        <v>4</v>
      </c>
      <c r="C13" s="9" t="s">
        <v>743</v>
      </c>
      <c r="D13" s="9" t="s">
        <v>747</v>
      </c>
      <c r="E13" s="49" t="n">
        <v>60</v>
      </c>
      <c r="F13" s="34" t="n">
        <f aca="false">Toy_Company!$D$9</f>
        <v>60</v>
      </c>
      <c r="G13" s="50" t="n">
        <f aca="false">IFERROR(IF(ISNUMBER(F13),F13-E13,"n/a"),"n/a")</f>
        <v>0</v>
      </c>
      <c r="H13" s="51" t="n">
        <v>0.500000001</v>
      </c>
      <c r="I13" s="47" t="str">
        <f aca="false">IFERROR(IF(ISNUMBER(F13),IF(ABS(F13-E13)&lt;=H13,"PASS","FAIL"),"FAIL"),"FAIL")</f>
        <v>PASS</v>
      </c>
    </row>
    <row r="14" customFormat="false" ht="15" hidden="false" customHeight="false" outlineLevel="0" collapsed="false">
      <c r="B14" s="48" t="n">
        <v>5</v>
      </c>
      <c r="C14" s="9" t="s">
        <v>743</v>
      </c>
      <c r="D14" s="9" t="s">
        <v>748</v>
      </c>
      <c r="E14" s="49" t="n">
        <v>40</v>
      </c>
      <c r="F14" s="34" t="n">
        <f aca="false">Toy_Company!$D$16</f>
        <v>40</v>
      </c>
      <c r="G14" s="50" t="n">
        <f aca="false">IFERROR(IF(ISNUMBER(F14),F14-E14,"n/a"),"n/a")</f>
        <v>0</v>
      </c>
      <c r="H14" s="51" t="n">
        <v>0.500000001</v>
      </c>
      <c r="I14" s="47" t="str">
        <f aca="false">IFERROR(IF(ISNUMBER(F14),IF(ABS(F14-E14)&lt;=H14,"PASS","FAIL"),"FAIL"),"FAIL")</f>
        <v>PASS</v>
      </c>
    </row>
    <row r="15" customFormat="false" ht="15" hidden="false" customHeight="false" outlineLevel="0" collapsed="false">
      <c r="B15" s="48" t="n">
        <v>6</v>
      </c>
      <c r="C15" s="9" t="s">
        <v>743</v>
      </c>
      <c r="D15" s="9" t="s">
        <v>749</v>
      </c>
      <c r="E15" s="11" t="n">
        <v>0.25</v>
      </c>
      <c r="F15" s="25" t="n">
        <f aca="false">Toy_Company!$D$10</f>
        <v>0.25</v>
      </c>
      <c r="G15" s="50" t="n">
        <f aca="false">IFERROR(IF(ISNUMBER(F15),F15-E15,"n/a"),"n/a")</f>
        <v>0</v>
      </c>
      <c r="H15" s="51" t="n">
        <v>0.005000001</v>
      </c>
      <c r="I15" s="47" t="str">
        <f aca="false">IFERROR(IF(ISNUMBER(F15),IF(ABS(F15-E15)&lt;=H15,"PASS","FAIL"),"FAIL"),"FAIL")</f>
        <v>PASS</v>
      </c>
    </row>
    <row r="16" customFormat="false" ht="15" hidden="false" customHeight="false" outlineLevel="0" collapsed="false">
      <c r="B16" s="48" t="n">
        <v>7</v>
      </c>
      <c r="C16" s="9" t="s">
        <v>743</v>
      </c>
      <c r="D16" s="9" t="s">
        <v>750</v>
      </c>
      <c r="E16" s="52" t="n">
        <v>12.5</v>
      </c>
      <c r="F16" s="53" t="n">
        <f aca="false">Toy_Company!$D$17</f>
        <v>12.5</v>
      </c>
      <c r="G16" s="50" t="n">
        <f aca="false">IFERROR(IF(ISNUMBER(F16),F16-E16,"n/a"),"n/a")</f>
        <v>0</v>
      </c>
      <c r="H16" s="51" t="n">
        <v>0.050000001</v>
      </c>
      <c r="I16" s="47" t="str">
        <f aca="false">IFERROR(IF(ISNUMBER(F16),IF(ABS(F16-E16)&lt;=H16,"PASS","FAIL"),"FAIL"),"FAIL")</f>
        <v>PASS</v>
      </c>
    </row>
    <row r="17" customFormat="false" ht="15" hidden="false" customHeight="false" outlineLevel="0" collapsed="false">
      <c r="B17" s="48" t="n">
        <v>8</v>
      </c>
      <c r="C17" s="9" t="s">
        <v>743</v>
      </c>
      <c r="D17" s="9" t="s">
        <v>751</v>
      </c>
      <c r="E17" s="49" t="n">
        <v>15</v>
      </c>
      <c r="F17" s="34" t="n">
        <f aca="false">Toy_Company!$D$11</f>
        <v>15</v>
      </c>
      <c r="G17" s="50" t="n">
        <f aca="false">IFERROR(IF(ISNUMBER(F17),F17-E17,"n/a"),"n/a")</f>
        <v>0</v>
      </c>
      <c r="H17" s="51" t="n">
        <v>0.500000001</v>
      </c>
      <c r="I17" s="47" t="str">
        <f aca="false">IFERROR(IF(ISNUMBER(F17),IF(ABS(F17-E17)&lt;=H17,"PASS","FAIL"),"FAIL"),"FAIL")</f>
        <v>PASS</v>
      </c>
    </row>
    <row r="18" customFormat="false" ht="15" hidden="false" customHeight="false" outlineLevel="0" collapsed="false">
      <c r="B18" s="48" t="n">
        <v>9</v>
      </c>
      <c r="C18" s="9" t="s">
        <v>743</v>
      </c>
      <c r="D18" s="9" t="s">
        <v>752</v>
      </c>
      <c r="E18" s="49" t="n">
        <v>45</v>
      </c>
      <c r="F18" s="34" t="n">
        <f aca="false">Toy_Company!$D$19</f>
        <v>45</v>
      </c>
      <c r="G18" s="50" t="n">
        <f aca="false">IFERROR(IF(ISNUMBER(F18),F18-E18,"n/a"),"n/a")</f>
        <v>0</v>
      </c>
      <c r="H18" s="51" t="n">
        <v>0.500000001</v>
      </c>
      <c r="I18" s="47" t="str">
        <f aca="false">IFERROR(IF(ISNUMBER(F18),IF(ABS(F18-E18)&lt;=H18,"PASS","FAIL"),"FAIL"),"FAIL")</f>
        <v>PASS</v>
      </c>
    </row>
    <row r="19" customFormat="false" ht="15" hidden="false" customHeight="false" outlineLevel="0" collapsed="false">
      <c r="B19" s="48" t="n">
        <v>10</v>
      </c>
      <c r="C19" s="9" t="s">
        <v>743</v>
      </c>
      <c r="D19" s="9" t="s">
        <v>753</v>
      </c>
      <c r="E19" s="52" t="n">
        <v>10</v>
      </c>
      <c r="F19" s="53" t="n">
        <f aca="false">Toy_Company!$D$14</f>
        <v>10</v>
      </c>
      <c r="G19" s="50" t="n">
        <f aca="false">IFERROR(IF(ISNUMBER(F19),F19-E19,"n/a"),"n/a")</f>
        <v>0</v>
      </c>
      <c r="H19" s="51" t="n">
        <v>0.050000001</v>
      </c>
      <c r="I19" s="47" t="str">
        <f aca="false">IFERROR(IF(ISNUMBER(F19),IF(ABS(F19-E19)&lt;=H19,"PASS","FAIL"),"FAIL"),"FAIL")</f>
        <v>PASS</v>
      </c>
    </row>
    <row r="20" customFormat="false" ht="15" hidden="false" customHeight="false" outlineLevel="0" collapsed="false">
      <c r="B20" s="48" t="n">
        <v>11</v>
      </c>
      <c r="C20" s="9" t="s">
        <v>743</v>
      </c>
      <c r="D20" s="9" t="s">
        <v>754</v>
      </c>
      <c r="E20" s="49" t="n">
        <v>125</v>
      </c>
      <c r="F20" s="34" t="n">
        <f aca="false">Toy_Company!$D$18</f>
        <v>125</v>
      </c>
      <c r="G20" s="50" t="n">
        <f aca="false">IFERROR(IF(ISNUMBER(F20),F20-E20,"n/a"),"n/a")</f>
        <v>0</v>
      </c>
      <c r="H20" s="51" t="n">
        <v>0.500000001</v>
      </c>
      <c r="I20" s="47" t="str">
        <f aca="false">IFERROR(IF(ISNUMBER(F20),IF(ABS(F20-E20)&lt;=H20,"PASS","FAIL"),"FAIL"),"FAIL")</f>
        <v>PASS</v>
      </c>
    </row>
    <row r="21" customFormat="false" ht="15" hidden="false" customHeight="false" outlineLevel="0" collapsed="false">
      <c r="B21" s="48" t="n">
        <v>12</v>
      </c>
      <c r="C21" s="9" t="s">
        <v>743</v>
      </c>
      <c r="D21" s="9" t="s">
        <v>755</v>
      </c>
      <c r="E21" s="49" t="n">
        <v>80</v>
      </c>
      <c r="F21" s="34" t="n">
        <f aca="false">Toy_Company!$D$20</f>
        <v>80</v>
      </c>
      <c r="G21" s="50" t="n">
        <f aca="false">IFERROR(IF(ISNUMBER(F21),F21-E21,"n/a"),"n/a")</f>
        <v>0</v>
      </c>
      <c r="H21" s="51" t="n">
        <v>0.500000001</v>
      </c>
      <c r="I21" s="47" t="str">
        <f aca="false">IFERROR(IF(ISNUMBER(F21),IF(ABS(F21-E21)&lt;=H21,"PASS","FAIL"),"FAIL"),"FAIL")</f>
        <v>PASS</v>
      </c>
    </row>
    <row r="22" customFormat="false" ht="15" hidden="false" customHeight="false" outlineLevel="0" collapsed="false">
      <c r="B22" s="48" t="n">
        <v>13</v>
      </c>
      <c r="C22" s="9" t="s">
        <v>743</v>
      </c>
      <c r="D22" s="9" t="s">
        <v>756</v>
      </c>
      <c r="E22" s="54" t="n">
        <v>2</v>
      </c>
      <c r="F22" s="55" t="n">
        <f aca="false">Toy_Company!$D$21</f>
        <v>2</v>
      </c>
      <c r="G22" s="50" t="n">
        <f aca="false">IFERROR(IF(ISNUMBER(F22),F22-E22,"n/a"),"n/a")</f>
        <v>0</v>
      </c>
      <c r="H22" s="51" t="n">
        <v>0.005000001</v>
      </c>
      <c r="I22" s="47" t="str">
        <f aca="false">IFERROR(IF(ISNUMBER(F22),IF(ABS(F22-E22)&lt;=H22,"PASS","FAIL"),"FAIL"),"FAIL")</f>
        <v>PASS</v>
      </c>
    </row>
    <row r="23" customFormat="false" ht="15" hidden="false" customHeight="false" outlineLevel="0" collapsed="false">
      <c r="B23" s="48" t="n">
        <v>14</v>
      </c>
      <c r="C23" s="9" t="s">
        <v>743</v>
      </c>
      <c r="D23" s="9" t="s">
        <v>757</v>
      </c>
      <c r="E23" s="10" t="n">
        <v>0.1487</v>
      </c>
      <c r="F23" s="56" t="n">
        <f aca="false">Toy_Company!$D$22</f>
        <v>0.148698354997035</v>
      </c>
      <c r="G23" s="50" t="n">
        <f aca="false">IFERROR(IF(ISNUMBER(F23),F23-E23,"n/a"),"n/a")</f>
        <v>-1.64500296490067E-006</v>
      </c>
      <c r="H23" s="51" t="n">
        <v>5.0001E-005</v>
      </c>
      <c r="I23" s="47" t="str">
        <f aca="false">IFERROR(IF(ISNUMBER(F23),IF(ABS(F23-E23)&lt;=H23,"PASS","FAIL"),"FAIL"),"FAIL")</f>
        <v>PASS</v>
      </c>
    </row>
    <row r="24" customFormat="false" ht="15" hidden="false" customHeight="false" outlineLevel="0" collapsed="false">
      <c r="B24" s="48" t="n">
        <v>15</v>
      </c>
      <c r="C24" s="9" t="s">
        <v>743</v>
      </c>
      <c r="D24" s="9" t="s">
        <v>758</v>
      </c>
      <c r="E24" s="49" t="n">
        <v>100</v>
      </c>
      <c r="F24" s="34" t="n">
        <f aca="false">Toy_Company!$D$7</f>
        <v>100</v>
      </c>
      <c r="G24" s="50" t="n">
        <f aca="false">IFERROR(IF(ISNUMBER(F24),F24-E24,"n/a"),"n/a")</f>
        <v>0</v>
      </c>
      <c r="H24" s="51" t="n">
        <v>0.500000001</v>
      </c>
      <c r="I24" s="47" t="str">
        <f aca="false">IFERROR(IF(ISNUMBER(F24),IF(ABS(F24-E24)&lt;=H24,"PASS","FAIL"),"FAIL"),"FAIL")</f>
        <v>PASS</v>
      </c>
    </row>
    <row r="25" customFormat="false" ht="15" hidden="false" customHeight="false" outlineLevel="0" collapsed="false">
      <c r="B25" s="48" t="n">
        <v>16</v>
      </c>
      <c r="C25" s="9" t="s">
        <v>743</v>
      </c>
      <c r="D25" s="9" t="s">
        <v>759</v>
      </c>
      <c r="E25" s="49" t="n">
        <v>15</v>
      </c>
      <c r="F25" s="34" t="n">
        <f aca="false">Toy_Company!$D$11</f>
        <v>15</v>
      </c>
      <c r="G25" s="50" t="n">
        <f aca="false">IFERROR(IF(ISNUMBER(F25),F25-E25,"n/a"),"n/a")</f>
        <v>0</v>
      </c>
      <c r="H25" s="51" t="n">
        <v>0.500000001</v>
      </c>
      <c r="I25" s="47" t="str">
        <f aca="false">IFERROR(IF(ISNUMBER(F25),IF(ABS(F25-E25)&lt;=H25,"PASS","FAIL"),"FAIL"),"FAIL")</f>
        <v>PASS</v>
      </c>
    </row>
    <row r="26" customFormat="false" ht="15" hidden="false" customHeight="false" outlineLevel="0" collapsed="false">
      <c r="B26" s="48" t="n">
        <v>17</v>
      </c>
      <c r="C26" s="9" t="s">
        <v>743</v>
      </c>
      <c r="D26" s="9" t="s">
        <v>760</v>
      </c>
      <c r="E26" s="54" t="n">
        <v>1.4</v>
      </c>
      <c r="F26" s="55" t="n">
        <f aca="false">Toy_Company!$D$24</f>
        <v>1.4</v>
      </c>
      <c r="G26" s="50" t="n">
        <f aca="false">IFERROR(IF(ISNUMBER(F26),F26-E26,"n/a"),"n/a")</f>
        <v>0</v>
      </c>
      <c r="H26" s="51" t="n">
        <v>0.005000001</v>
      </c>
      <c r="I26" s="47" t="str">
        <f aca="false">IFERROR(IF(ISNUMBER(F26),IF(ABS(F26-E26)&lt;=H26,"PASS","FAIL"),"FAIL"),"FAIL")</f>
        <v>PASS</v>
      </c>
    </row>
    <row r="27" customFormat="false" ht="15" hidden="false" customHeight="false" outlineLevel="0" collapsed="false">
      <c r="B27" s="48" t="n">
        <v>18</v>
      </c>
      <c r="C27" s="9" t="s">
        <v>743</v>
      </c>
      <c r="D27" s="9" t="s">
        <v>761</v>
      </c>
      <c r="E27" s="10" t="n">
        <v>0.0696</v>
      </c>
      <c r="F27" s="56" t="n">
        <f aca="false">Toy_Company!$D$25</f>
        <v>0.0696103757250688</v>
      </c>
      <c r="G27" s="50" t="n">
        <f aca="false">IFERROR(IF(ISNUMBER(F27),F27-E27,"n/a"),"n/a")</f>
        <v>1.03757250687897E-005</v>
      </c>
      <c r="H27" s="51" t="n">
        <v>5.0001E-005</v>
      </c>
      <c r="I27" s="47" t="str">
        <f aca="false">IFERROR(IF(ISNUMBER(F27),IF(ABS(F27-E27)&lt;=H27,"PASS","FAIL"),"FAIL"),"FAIL")</f>
        <v>PASS</v>
      </c>
    </row>
    <row r="28" customFormat="false" ht="15" hidden="false" customHeight="false" outlineLevel="0" collapsed="false">
      <c r="B28" s="48" t="n">
        <v>19</v>
      </c>
      <c r="C28" s="9" t="s">
        <v>743</v>
      </c>
      <c r="D28" s="9" t="s">
        <v>762</v>
      </c>
      <c r="E28" s="52" t="n">
        <v>8</v>
      </c>
      <c r="F28" s="53" t="n">
        <f aca="false">Toy_Company!$E$14</f>
        <v>8</v>
      </c>
      <c r="G28" s="50" t="n">
        <f aca="false">IFERROR(IF(ISNUMBER(F28),F28-E28,"n/a"),"n/a")</f>
        <v>0</v>
      </c>
      <c r="H28" s="51" t="n">
        <v>0.050000001</v>
      </c>
      <c r="I28" s="47" t="str">
        <f aca="false">IFERROR(IF(ISNUMBER(F28),IF(ABS(F28-E28)&lt;=H28,"PASS","FAIL"),"FAIL"),"FAIL")</f>
        <v>PASS</v>
      </c>
    </row>
    <row r="29" customFormat="false" ht="15" hidden="false" customHeight="false" outlineLevel="0" collapsed="false">
      <c r="B29" s="48" t="n">
        <v>20</v>
      </c>
      <c r="C29" s="9" t="s">
        <v>743</v>
      </c>
      <c r="D29" s="9" t="s">
        <v>763</v>
      </c>
      <c r="E29" s="49" t="n">
        <v>100</v>
      </c>
      <c r="F29" s="34" t="n">
        <f aca="false">Toy_Company!$E$18</f>
        <v>100</v>
      </c>
      <c r="G29" s="50" t="n">
        <f aca="false">IFERROR(IF(ISNUMBER(F29),F29-E29,"n/a"),"n/a")</f>
        <v>0</v>
      </c>
      <c r="H29" s="51" t="n">
        <v>0.500000001</v>
      </c>
      <c r="I29" s="47" t="str">
        <f aca="false">IFERROR(IF(ISNUMBER(F29),IF(ABS(F29-E29)&lt;=H29,"PASS","FAIL"),"FAIL"),"FAIL")</f>
        <v>PASS</v>
      </c>
    </row>
    <row r="30" customFormat="false" ht="15" hidden="false" customHeight="false" outlineLevel="0" collapsed="false">
      <c r="B30" s="48" t="n">
        <v>21</v>
      </c>
      <c r="C30" s="9" t="s">
        <v>743</v>
      </c>
      <c r="D30" s="9" t="s">
        <v>764</v>
      </c>
      <c r="E30" s="49" t="n">
        <v>55</v>
      </c>
      <c r="F30" s="34" t="n">
        <f aca="false">Toy_Company!$E$20</f>
        <v>55</v>
      </c>
      <c r="G30" s="50" t="n">
        <f aca="false">IFERROR(IF(ISNUMBER(F30),F30-E30,"n/a"),"n/a")</f>
        <v>0</v>
      </c>
      <c r="H30" s="51" t="n">
        <v>0.500000001</v>
      </c>
      <c r="I30" s="47" t="str">
        <f aca="false">IFERROR(IF(ISNUMBER(F30),IF(ABS(F30-E30)&lt;=H30,"PASS","FAIL"),"FAIL"),"FAIL")</f>
        <v>PASS</v>
      </c>
    </row>
    <row r="31" customFormat="false" ht="15" hidden="false" customHeight="false" outlineLevel="0" collapsed="false">
      <c r="B31" s="48" t="n">
        <v>22</v>
      </c>
      <c r="C31" s="9" t="s">
        <v>743</v>
      </c>
      <c r="D31" s="9" t="s">
        <v>765</v>
      </c>
      <c r="E31" s="57" t="n">
        <v>1.375</v>
      </c>
      <c r="F31" s="58" t="n">
        <f aca="false">Toy_Company!$E$21</f>
        <v>1.375</v>
      </c>
      <c r="G31" s="50" t="n">
        <f aca="false">IFERROR(IF(ISNUMBER(F31),F31-E31,"n/a"),"n/a")</f>
        <v>0</v>
      </c>
      <c r="H31" s="51" t="n">
        <v>0.000500001</v>
      </c>
      <c r="I31" s="47" t="str">
        <f aca="false">IFERROR(IF(ISNUMBER(F31),IF(ABS(F31-E31)&lt;=H31,"PASS","FAIL"),"FAIL"),"FAIL")</f>
        <v>PASS</v>
      </c>
    </row>
    <row r="32" customFormat="false" ht="15" hidden="false" customHeight="false" outlineLevel="0" collapsed="false">
      <c r="B32" s="48" t="n">
        <v>23</v>
      </c>
      <c r="C32" s="9" t="s">
        <v>743</v>
      </c>
      <c r="D32" s="9" t="s">
        <v>766</v>
      </c>
      <c r="E32" s="10" t="n">
        <v>0.0658</v>
      </c>
      <c r="F32" s="56" t="n">
        <f aca="false">Toy_Company!$E$22</f>
        <v>0.0657627566354742</v>
      </c>
      <c r="G32" s="50" t="n">
        <f aca="false">IFERROR(IF(ISNUMBER(F32),F32-E32,"n/a"),"n/a")</f>
        <v>-3.72433645258463E-005</v>
      </c>
      <c r="H32" s="51" t="n">
        <v>5.0001E-005</v>
      </c>
      <c r="I32" s="47" t="str">
        <f aca="false">IFERROR(IF(ISNUMBER(F32),IF(ABS(F32-E32)&lt;=H32,"PASS","FAIL"),"FAIL"),"FAIL")</f>
        <v>PASS</v>
      </c>
    </row>
    <row r="33" customFormat="false" ht="15" hidden="false" customHeight="false" outlineLevel="0" collapsed="false">
      <c r="B33" s="48" t="n">
        <v>24</v>
      </c>
      <c r="C33" s="9" t="s">
        <v>743</v>
      </c>
      <c r="D33" s="9" t="s">
        <v>767</v>
      </c>
      <c r="E33" s="54" t="n">
        <v>1.15</v>
      </c>
      <c r="F33" s="55" t="n">
        <f aca="false">Toy_Company!$E$24</f>
        <v>1.15</v>
      </c>
      <c r="G33" s="50" t="n">
        <f aca="false">IFERROR(IF(ISNUMBER(F33),F33-E33,"n/a"),"n/a")</f>
        <v>0</v>
      </c>
      <c r="H33" s="51" t="n">
        <v>0.005000001</v>
      </c>
      <c r="I33" s="47" t="str">
        <f aca="false">IFERROR(IF(ISNUMBER(F33),IF(ABS(F33-E33)&lt;=H33,"PASS","FAIL"),"FAIL"),"FAIL")</f>
        <v>PASS</v>
      </c>
    </row>
    <row r="34" customFormat="false" ht="15" hidden="false" customHeight="false" outlineLevel="0" collapsed="false">
      <c r="B34" s="48" t="n">
        <v>25</v>
      </c>
      <c r="C34" s="9" t="s">
        <v>743</v>
      </c>
      <c r="D34" s="9" t="s">
        <v>768</v>
      </c>
      <c r="E34" s="10" t="n">
        <v>0.0283</v>
      </c>
      <c r="F34" s="56" t="n">
        <f aca="false">Toy_Company!$E$25</f>
        <v>0.0283467221002136</v>
      </c>
      <c r="G34" s="50" t="n">
        <f aca="false">IFERROR(IF(ISNUMBER(F34),F34-E34,"n/a"),"n/a")</f>
        <v>4.67221002136073E-005</v>
      </c>
      <c r="H34" s="51" t="n">
        <v>5.0001E-005</v>
      </c>
      <c r="I34" s="47" t="str">
        <f aca="false">IFERROR(IF(ISNUMBER(F34),IF(ABS(F34-E34)&lt;=H34,"PASS","FAIL"),"FAIL"),"FAIL")</f>
        <v>PASS</v>
      </c>
    </row>
    <row r="35" customFormat="false" ht="15" hidden="false" customHeight="false" outlineLevel="0" collapsed="false">
      <c r="B35" s="48" t="n">
        <v>26</v>
      </c>
      <c r="C35" s="9" t="s">
        <v>743</v>
      </c>
      <c r="D35" s="9" t="s">
        <v>769</v>
      </c>
      <c r="E35" s="49" t="n">
        <v>10</v>
      </c>
      <c r="F35" s="34" t="n">
        <f aca="false">Toy_Company!$F$17</f>
        <v>10</v>
      </c>
      <c r="G35" s="50" t="n">
        <f aca="false">IFERROR(IF(ISNUMBER(F35),F35-E35,"n/a"),"n/a")</f>
        <v>0</v>
      </c>
      <c r="H35" s="51" t="n">
        <v>0.500000001</v>
      </c>
      <c r="I35" s="47" t="str">
        <f aca="false">IFERROR(IF(ISNUMBER(F35),IF(ABS(F35-E35)&lt;=H35,"PASS","FAIL"),"FAIL"),"FAIL")</f>
        <v>PASS</v>
      </c>
    </row>
    <row r="36" customFormat="false" ht="15" hidden="false" customHeight="false" outlineLevel="0" collapsed="false">
      <c r="B36" s="48" t="n">
        <v>27</v>
      </c>
      <c r="C36" s="9" t="s">
        <v>743</v>
      </c>
      <c r="D36" s="9" t="s">
        <v>770</v>
      </c>
      <c r="E36" s="52" t="n">
        <v>10</v>
      </c>
      <c r="F36" s="53" t="n">
        <f aca="false">Toy_Company!$F$14</f>
        <v>10</v>
      </c>
      <c r="G36" s="50" t="n">
        <f aca="false">IFERROR(IF(ISNUMBER(F36),F36-E36,"n/a"),"n/a")</f>
        <v>0</v>
      </c>
      <c r="H36" s="51" t="n">
        <v>0.050000001</v>
      </c>
      <c r="I36" s="47" t="str">
        <f aca="false">IFERROR(IF(ISNUMBER(F36),IF(ABS(F36-E36)&lt;=H36,"PASS","FAIL"),"FAIL"),"FAIL")</f>
        <v>PASS</v>
      </c>
    </row>
    <row r="37" customFormat="false" ht="15" hidden="false" customHeight="false" outlineLevel="0" collapsed="false">
      <c r="B37" s="48" t="n">
        <v>28</v>
      </c>
      <c r="C37" s="9" t="s">
        <v>743</v>
      </c>
      <c r="D37" s="9" t="s">
        <v>771</v>
      </c>
      <c r="E37" s="49" t="n">
        <v>55</v>
      </c>
      <c r="F37" s="34" t="n">
        <f aca="false">Toy_Company!$F$20</f>
        <v>55</v>
      </c>
      <c r="G37" s="50" t="n">
        <f aca="false">IFERROR(IF(ISNUMBER(F37),F37-E37,"n/a"),"n/a")</f>
        <v>0</v>
      </c>
      <c r="H37" s="51" t="n">
        <v>0.500000001</v>
      </c>
      <c r="I37" s="47" t="str">
        <f aca="false">IFERROR(IF(ISNUMBER(F37),IF(ABS(F37-E37)&lt;=H37,"PASS","FAIL"),"FAIL"),"FAIL")</f>
        <v>PASS</v>
      </c>
    </row>
    <row r="38" customFormat="false" ht="15" hidden="false" customHeight="false" outlineLevel="0" collapsed="false">
      <c r="B38" s="48" t="n">
        <v>29</v>
      </c>
      <c r="C38" s="9" t="s">
        <v>743</v>
      </c>
      <c r="D38" s="9" t="s">
        <v>772</v>
      </c>
      <c r="E38" s="57" t="n">
        <v>1.375</v>
      </c>
      <c r="F38" s="58" t="n">
        <f aca="false">Toy_Company!$F$21</f>
        <v>1.375</v>
      </c>
      <c r="G38" s="50" t="n">
        <f aca="false">IFERROR(IF(ISNUMBER(F38),F38-E38,"n/a"),"n/a")</f>
        <v>0</v>
      </c>
      <c r="H38" s="51" t="n">
        <v>0.000500001</v>
      </c>
      <c r="I38" s="47" t="str">
        <f aca="false">IFERROR(IF(ISNUMBER(F38),IF(ABS(F38-E38)&lt;=H38,"PASS","FAIL"),"FAIL"),"FAIL")</f>
        <v>PASS</v>
      </c>
    </row>
    <row r="39" customFormat="false" ht="15" hidden="false" customHeight="false" outlineLevel="0" collapsed="false">
      <c r="B39" s="48" t="n">
        <v>30</v>
      </c>
      <c r="C39" s="9" t="s">
        <v>743</v>
      </c>
      <c r="D39" s="9" t="s">
        <v>773</v>
      </c>
      <c r="E39" s="49" t="n">
        <v>15</v>
      </c>
      <c r="F39" s="34" t="n">
        <f aca="false">Toy_Company!$F$11</f>
        <v>15</v>
      </c>
      <c r="G39" s="50" t="n">
        <f aca="false">IFERROR(IF(ISNUMBER(F39),F39-E39,"n/a"),"n/a")</f>
        <v>0</v>
      </c>
      <c r="H39" s="51" t="n">
        <v>0.500000001</v>
      </c>
      <c r="I39" s="47" t="str">
        <f aca="false">IFERROR(IF(ISNUMBER(F39),IF(ABS(F39-E39)&lt;=H39,"PASS","FAIL"),"FAIL"),"FAIL")</f>
        <v>PASS</v>
      </c>
    </row>
    <row r="40" customFormat="false" ht="15" hidden="false" customHeight="false" outlineLevel="0" collapsed="false">
      <c r="B40" s="48" t="n">
        <v>31</v>
      </c>
      <c r="C40" s="9" t="s">
        <v>743</v>
      </c>
      <c r="D40" s="9" t="s">
        <v>774</v>
      </c>
      <c r="E40" s="10" t="n">
        <v>0.0658</v>
      </c>
      <c r="F40" s="56" t="n">
        <f aca="false">Toy_Company!$F$22</f>
        <v>0.0657627566354742</v>
      </c>
      <c r="G40" s="50" t="n">
        <f aca="false">IFERROR(IF(ISNUMBER(F40),F40-E40,"n/a"),"n/a")</f>
        <v>-3.72433645258463E-005</v>
      </c>
      <c r="H40" s="51" t="n">
        <v>5.0001E-005</v>
      </c>
      <c r="I40" s="47" t="str">
        <f aca="false">IFERROR(IF(ISNUMBER(F40),IF(ABS(F40-E40)&lt;=H40,"PASS","FAIL"),"FAIL"),"FAIL")</f>
        <v>PASS</v>
      </c>
    </row>
    <row r="41" customFormat="false" ht="15" hidden="false" customHeight="false" outlineLevel="0" collapsed="false">
      <c r="B41" s="48" t="n">
        <v>32</v>
      </c>
      <c r="C41" s="9" t="s">
        <v>743</v>
      </c>
      <c r="D41" s="9" t="s">
        <v>775</v>
      </c>
      <c r="E41" s="11" t="n">
        <v>0.25</v>
      </c>
      <c r="F41" s="25" t="n">
        <f aca="false">Toy_Company!$D$27</f>
        <v>0.25</v>
      </c>
      <c r="G41" s="50" t="n">
        <f aca="false">IFERROR(IF(ISNUMBER(F41),F41-E41,"n/a"),"n/a")</f>
        <v>0</v>
      </c>
      <c r="H41" s="51" t="n">
        <v>0.005000001</v>
      </c>
      <c r="I41" s="47" t="str">
        <f aca="false">IFERROR(IF(ISNUMBER(F41),IF(ABS(F41-E41)&lt;=H41,"PASS","FAIL"),"FAIL"),"FAIL")</f>
        <v>PASS</v>
      </c>
    </row>
    <row r="42" customFormat="false" ht="15" hidden="false" customHeight="false" outlineLevel="0" collapsed="false">
      <c r="B42" s="48" t="n">
        <v>33</v>
      </c>
      <c r="C42" s="9" t="s">
        <v>743</v>
      </c>
      <c r="D42" s="9" t="s">
        <v>776</v>
      </c>
      <c r="E42" s="11" t="n">
        <v>1</v>
      </c>
      <c r="F42" s="25" t="n">
        <f aca="false">Toy_Company!$D$28</f>
        <v>1</v>
      </c>
      <c r="G42" s="50" t="n">
        <f aca="false">IFERROR(IF(ISNUMBER(F42),F42-E42,"n/a"),"n/a")</f>
        <v>0</v>
      </c>
      <c r="H42" s="51" t="n">
        <v>0.005000001</v>
      </c>
      <c r="I42" s="47" t="str">
        <f aca="false">IFERROR(IF(ISNUMBER(F42),IF(ABS(F42-E42)&lt;=H42,"PASS","FAIL"),"FAIL"),"FAIL")</f>
        <v>PASS</v>
      </c>
    </row>
    <row r="43" customFormat="false" ht="15" hidden="false" customHeight="false" outlineLevel="0" collapsed="false">
      <c r="B43" s="48" t="n">
        <v>34</v>
      </c>
      <c r="C43" s="9" t="s">
        <v>743</v>
      </c>
      <c r="D43" s="9" t="s">
        <v>777</v>
      </c>
      <c r="E43" s="11" t="n">
        <v>0.2</v>
      </c>
      <c r="F43" s="25" t="n">
        <f aca="false">Toy_Company!$D$29</f>
        <v>0.2</v>
      </c>
      <c r="G43" s="50" t="n">
        <f aca="false">IFERROR(IF(ISNUMBER(F43),F43-E43,"n/a"),"n/a")</f>
        <v>0</v>
      </c>
      <c r="H43" s="51" t="n">
        <v>0.005000001</v>
      </c>
      <c r="I43" s="47" t="str">
        <f aca="false">IFERROR(IF(ISNUMBER(F43),IF(ABS(F43-E43)&lt;=H43,"PASS","FAIL"),"FAIL"),"FAIL")</f>
        <v>PASS</v>
      </c>
    </row>
    <row r="44" customFormat="false" ht="15" hidden="false" customHeight="false" outlineLevel="0" collapsed="false">
      <c r="B44" s="48" t="n">
        <v>35</v>
      </c>
      <c r="C44" s="9" t="s">
        <v>743</v>
      </c>
      <c r="D44" s="9" t="s">
        <v>778</v>
      </c>
      <c r="E44" s="49" t="n">
        <v>80</v>
      </c>
      <c r="F44" s="34" t="n">
        <f aca="false">Toy_Company!$D$30</f>
        <v>80</v>
      </c>
      <c r="G44" s="50" t="n">
        <f aca="false">IFERROR(IF(ISNUMBER(F44),F44-E44,"n/a"),"n/a")</f>
        <v>0</v>
      </c>
      <c r="H44" s="51" t="n">
        <v>0.500000001</v>
      </c>
      <c r="I44" s="47" t="str">
        <f aca="false">IFERROR(IF(ISNUMBER(F44),IF(ABS(F44-E44)&lt;=H44,"PASS","FAIL"),"FAIL"),"FAIL")</f>
        <v>PASS</v>
      </c>
    </row>
    <row r="45" customFormat="false" ht="15" hidden="false" customHeight="false" outlineLevel="0" collapsed="false">
      <c r="B45" s="48" t="n">
        <v>36</v>
      </c>
      <c r="C45" s="9" t="s">
        <v>743</v>
      </c>
      <c r="D45" s="9" t="s">
        <v>779</v>
      </c>
      <c r="E45" s="49" t="n">
        <v>35</v>
      </c>
      <c r="F45" s="34" t="n">
        <f aca="false">Toy_Company!$D$31</f>
        <v>35</v>
      </c>
      <c r="G45" s="50" t="n">
        <f aca="false">IFERROR(IF(ISNUMBER(F45),F45-E45,"n/a"),"n/a")</f>
        <v>0</v>
      </c>
      <c r="H45" s="51" t="n">
        <v>0.500000001</v>
      </c>
      <c r="I45" s="47" t="str">
        <f aca="false">IFERROR(IF(ISNUMBER(F45),IF(ABS(F45-E45)&lt;=H45,"PASS","FAIL"),"FAIL"),"FAIL")</f>
        <v>PASS</v>
      </c>
    </row>
    <row r="46" customFormat="false" ht="15" hidden="false" customHeight="false" outlineLevel="0" collapsed="false">
      <c r="B46" s="48" t="n">
        <v>37</v>
      </c>
      <c r="C46" s="9" t="s">
        <v>743</v>
      </c>
      <c r="D46" s="9" t="s">
        <v>780</v>
      </c>
      <c r="E46" s="49" t="n">
        <v>40</v>
      </c>
      <c r="F46" s="34" t="n">
        <f aca="false">Toy_Company!$D$16</f>
        <v>40</v>
      </c>
      <c r="G46" s="50" t="n">
        <f aca="false">IFERROR(IF(ISNUMBER(F46),F46-E46,"n/a"),"n/a")</f>
        <v>0</v>
      </c>
      <c r="H46" s="51" t="n">
        <v>0.500000001</v>
      </c>
      <c r="I46" s="47" t="str">
        <f aca="false">IFERROR(IF(ISNUMBER(F46),IF(ABS(F46-E46)&lt;=H46,"PASS","FAIL"),"FAIL"),"FAIL")</f>
        <v>PASS</v>
      </c>
    </row>
    <row r="47" customFormat="false" ht="15" hidden="false" customHeight="false" outlineLevel="0" collapsed="false">
      <c r="B47" s="48" t="n">
        <v>38</v>
      </c>
      <c r="C47" s="9" t="s">
        <v>743</v>
      </c>
      <c r="D47" s="9" t="s">
        <v>781</v>
      </c>
      <c r="E47" s="49" t="n">
        <v>20</v>
      </c>
      <c r="F47" s="34" t="n">
        <f aca="false">Toy_Company!$D$32</f>
        <v>20</v>
      </c>
      <c r="G47" s="50" t="n">
        <f aca="false">IFERROR(IF(ISNUMBER(F47),F47-E47,"n/a"),"n/a")</f>
        <v>0</v>
      </c>
      <c r="H47" s="51" t="n">
        <v>0.500000001</v>
      </c>
      <c r="I47" s="47" t="str">
        <f aca="false">IFERROR(IF(ISNUMBER(F47),IF(ABS(F47-E47)&lt;=H47,"PASS","FAIL"),"FAIL"),"FAIL")</f>
        <v>PASS</v>
      </c>
    </row>
    <row r="48" customFormat="false" ht="15" hidden="false" customHeight="false" outlineLevel="0" collapsed="false">
      <c r="B48" s="48" t="n">
        <v>39</v>
      </c>
      <c r="C48" s="9" t="s">
        <v>743</v>
      </c>
      <c r="D48" s="9" t="s">
        <v>782</v>
      </c>
      <c r="E48" s="11" t="n">
        <v>0.5</v>
      </c>
      <c r="F48" s="25" t="n">
        <f aca="false">Toy_Company!$D$33</f>
        <v>0.5</v>
      </c>
      <c r="G48" s="50" t="n">
        <f aca="false">IFERROR(IF(ISNUMBER(F48),F48-E48,"n/a"),"n/a")</f>
        <v>0</v>
      </c>
      <c r="H48" s="51" t="n">
        <v>0.005000001</v>
      </c>
      <c r="I48" s="47" t="str">
        <f aca="false">IFERROR(IF(ISNUMBER(F48),IF(ABS(F48-E48)&lt;=H48,"PASS","FAIL"),"FAIL"),"FAIL")</f>
        <v>PASS</v>
      </c>
    </row>
    <row r="49" customFormat="false" ht="30" hidden="false" customHeight="true" outlineLevel="0" collapsed="false">
      <c r="B49" s="48" t="n">
        <v>40</v>
      </c>
      <c r="C49" s="9" t="s">
        <v>743</v>
      </c>
      <c r="D49" s="37" t="s">
        <v>783</v>
      </c>
      <c r="E49" s="59" t="s">
        <v>784</v>
      </c>
      <c r="F49" s="60" t="str">
        <f aca="false">IFERROR(IF(ABS((Toy_Company!$D$20-Toy_Company!$D$16)-((Toy_Company!$D$18-Toy_Company!$D$7)+Toy_Company!$D$11))&lt;0.000001,"holds","does not hold"),"error")</f>
        <v>holds</v>
      </c>
      <c r="G49" s="9"/>
      <c r="H49" s="9"/>
      <c r="I49" s="47" t="str">
        <f aca="false">IFERROR(IF(ABS((Toy_Company!$D$20-Toy_Company!$D$16)-((Toy_Company!$D$18-Toy_Company!$D$7)+Toy_Company!$D$11))&lt;0.000001,"PASS","FAIL"),"FAIL")</f>
        <v>PASS</v>
      </c>
    </row>
    <row r="50" customFormat="false" ht="15" hidden="false" customHeight="true" outlineLevel="0" collapsed="false">
      <c r="B50" s="48" t="n">
        <v>41</v>
      </c>
      <c r="C50" s="9" t="s">
        <v>307</v>
      </c>
      <c r="D50" s="37" t="s">
        <v>785</v>
      </c>
      <c r="E50" s="59" t="s">
        <v>784</v>
      </c>
      <c r="F50" s="60" t="str">
        <f aca="false">IFERROR(IF(ABS(Case_Base!$D$50)&lt;0.000001,"holds","does not hold"),"error")</f>
        <v>holds</v>
      </c>
      <c r="G50" s="9"/>
      <c r="H50" s="9"/>
      <c r="I50" s="47" t="str">
        <f aca="false">IFERROR(IF(ABS(Case_Base!$D$50)&lt;0.000001,"PASS","FAIL"),"FAIL")</f>
        <v>PASS</v>
      </c>
    </row>
    <row r="51" customFormat="false" ht="15" hidden="false" customHeight="true" outlineLevel="0" collapsed="false">
      <c r="B51" s="48" t="n">
        <v>42</v>
      </c>
      <c r="C51" s="9" t="s">
        <v>307</v>
      </c>
      <c r="D51" s="37" t="s">
        <v>786</v>
      </c>
      <c r="E51" s="59" t="s">
        <v>784</v>
      </c>
      <c r="F51" s="60" t="str">
        <f aca="false">IFERROR(IF(SUMPRODUCT(ABS(Case_Base!$E$154:$L$154))&lt;0.000001,"holds","does not hold"),"error")</f>
        <v>holds</v>
      </c>
      <c r="G51" s="9"/>
      <c r="H51" s="9"/>
      <c r="I51" s="47" t="str">
        <f aca="false">IFERROR(IF(SUMPRODUCT(ABS(Case_Base!$E$154:$L$154))&lt;0.000001,"PASS","FAIL"),"FAIL")</f>
        <v>PASS</v>
      </c>
    </row>
    <row r="52" customFormat="false" ht="15" hidden="false" customHeight="true" outlineLevel="0" collapsed="false">
      <c r="B52" s="48" t="n">
        <v>43</v>
      </c>
      <c r="C52" s="9" t="s">
        <v>307</v>
      </c>
      <c r="D52" s="37" t="s">
        <v>787</v>
      </c>
      <c r="E52" s="59" t="s">
        <v>784</v>
      </c>
      <c r="F52" s="60" t="str">
        <f aca="false">IFERROR(IF(SUMPRODUCT(ABS(Case_Base!$F$126:$L$126))&lt;0.000001,"holds","does not hold"),"error")</f>
        <v>holds</v>
      </c>
      <c r="G52" s="9"/>
      <c r="H52" s="9"/>
      <c r="I52" s="47" t="str">
        <f aca="false">IFERROR(IF(SUMPRODUCT(ABS(Case_Base!$F$126:$L$126))&lt;0.000001,"PASS","FAIL"),"FAIL")</f>
        <v>PASS</v>
      </c>
    </row>
    <row r="53" customFormat="false" ht="15" hidden="false" customHeight="true" outlineLevel="0" collapsed="false">
      <c r="B53" s="48" t="n">
        <v>44</v>
      </c>
      <c r="C53" s="9" t="s">
        <v>307</v>
      </c>
      <c r="D53" s="37" t="s">
        <v>788</v>
      </c>
      <c r="E53" s="59" t="s">
        <v>784</v>
      </c>
      <c r="F53" s="60" t="str">
        <f aca="false">IFERROR(IF(SUM(Case_Base!$F$116:$L$116)&lt;0.000001,"holds","does not hold"),"error")</f>
        <v>holds</v>
      </c>
      <c r="G53" s="9"/>
      <c r="H53" s="9"/>
      <c r="I53" s="47" t="str">
        <f aca="false">IFERROR(IF(SUM(Case_Base!$F$116:$L$116)&lt;0.000001,"PASS","FAIL"),"FAIL")</f>
        <v>PASS</v>
      </c>
    </row>
    <row r="54" customFormat="false" ht="30" hidden="false" customHeight="true" outlineLevel="0" collapsed="false">
      <c r="B54" s="48" t="n">
        <v>45</v>
      </c>
      <c r="C54" s="9" t="s">
        <v>307</v>
      </c>
      <c r="D54" s="37" t="s">
        <v>789</v>
      </c>
      <c r="E54" s="59" t="s">
        <v>784</v>
      </c>
      <c r="F54" s="60" t="str">
        <f aca="false">IFERROR(IF(OR(Case_Base!$D$14=1,SUMPRODUCT(--(Case_Base!$F$123:$L$123&lt;Assumptions!$D$79-0.000001),--(Case_Base!$F$121:$L$121&lt;Assumptions!$D$90-0.000001))=0),"holds","does not hold"),"error")</f>
        <v>holds</v>
      </c>
      <c r="G54" s="9"/>
      <c r="H54" s="9"/>
      <c r="I54" s="47" t="str">
        <f aca="false">IFERROR(IF(OR(Case_Base!$D$14=1,SUMPRODUCT(--(Case_Base!$F$123:$L$123&lt;Assumptions!$D$79-0.000001),--(Case_Base!$F$121:$L$121&lt;Assumptions!$D$90-0.000001))=0),"PASS","FAIL"),"FAIL")</f>
        <v>PASS</v>
      </c>
    </row>
    <row r="55" customFormat="false" ht="15" hidden="false" customHeight="true" outlineLevel="0" collapsed="false">
      <c r="B55" s="48" t="n">
        <v>46</v>
      </c>
      <c r="C55" s="9" t="s">
        <v>307</v>
      </c>
      <c r="D55" s="37" t="s">
        <v>790</v>
      </c>
      <c r="E55" s="59" t="s">
        <v>784</v>
      </c>
      <c r="F55" s="60" t="str">
        <f aca="false">IFERROR(IF(ABS(Case_Base!$H$163-(Case_Base!$H$162-Case_Base!$H$161))&lt;0.000001,"holds","does not hold"),"error")</f>
        <v>holds</v>
      </c>
      <c r="G55" s="9"/>
      <c r="H55" s="9"/>
      <c r="I55" s="47" t="str">
        <f aca="false">IFERROR(IF(ABS(Case_Base!$H$163-(Case_Base!$H$162-Case_Base!$H$161))&lt;0.000001,"PASS","FAIL"),"FAIL")</f>
        <v>PASS</v>
      </c>
    </row>
    <row r="56" customFormat="false" ht="15" hidden="false" customHeight="true" outlineLevel="0" collapsed="false">
      <c r="B56" s="48" t="n">
        <v>47</v>
      </c>
      <c r="C56" s="9" t="s">
        <v>307</v>
      </c>
      <c r="D56" s="37" t="s">
        <v>791</v>
      </c>
      <c r="E56" s="59" t="s">
        <v>784</v>
      </c>
      <c r="F56" s="60" t="str">
        <f aca="false">IFERROR(IF(ABS(Case_Base!$D$204)&lt;0.000001,"holds","does not hold"),"error")</f>
        <v>holds</v>
      </c>
      <c r="G56" s="9"/>
      <c r="H56" s="9"/>
      <c r="I56" s="47" t="str">
        <f aca="false">IFERROR(IF(ABS(Case_Base!$D$204)&lt;0.000001,"PASS","FAIL"),"FAIL")</f>
        <v>PASS</v>
      </c>
    </row>
    <row r="57" customFormat="false" ht="15" hidden="false" customHeight="true" outlineLevel="0" collapsed="false">
      <c r="B57" s="48" t="n">
        <v>48</v>
      </c>
      <c r="C57" s="9" t="s">
        <v>307</v>
      </c>
      <c r="D57" s="37" t="s">
        <v>792</v>
      </c>
      <c r="E57" s="59" t="s">
        <v>784</v>
      </c>
      <c r="F57" s="60" t="str">
        <f aca="false">IFERROR(IF(ABS(Case_Base!$D$224-Case_Base!$D$223)&lt;=0.0005,"holds","does not hold"),"error")</f>
        <v>holds</v>
      </c>
      <c r="G57" s="9"/>
      <c r="H57" s="9"/>
      <c r="I57" s="47" t="str">
        <f aca="false">IFERROR(IF(ABS(Case_Base!$D$224-Case_Base!$D$223)&lt;=0.0005,"PASS","FAIL"),"FAIL")</f>
        <v>PASS</v>
      </c>
    </row>
    <row r="58" customFormat="false" ht="15" hidden="false" customHeight="true" outlineLevel="0" collapsed="false">
      <c r="B58" s="48" t="n">
        <v>49</v>
      </c>
      <c r="C58" s="9" t="s">
        <v>307</v>
      </c>
      <c r="D58" s="37" t="s">
        <v>793</v>
      </c>
      <c r="E58" s="59" t="s">
        <v>784</v>
      </c>
      <c r="F58" s="60" t="str">
        <f aca="false">IFERROR(IF(ABS(Case_Base!$D$225-SUMIF(Case_Base!$E$219:$L$219,"&gt;0")/Case_Base!$D$226)&lt;0.000001,"holds","does not hold"),"error")</f>
        <v>holds</v>
      </c>
      <c r="G58" s="9"/>
      <c r="H58" s="9"/>
      <c r="I58" s="47" t="str">
        <f aca="false">IFERROR(IF(ABS(Case_Base!$D$225-SUMIF(Case_Base!$E$219:$L$219,"&gt;0")/Case_Base!$D$226)&lt;0.000001,"PASS","FAIL"),"FAIL")</f>
        <v>PASS</v>
      </c>
    </row>
    <row r="59" customFormat="false" ht="15" hidden="false" customHeight="true" outlineLevel="0" collapsed="false">
      <c r="B59" s="48" t="n">
        <v>50</v>
      </c>
      <c r="C59" s="9" t="s">
        <v>374</v>
      </c>
      <c r="D59" s="37" t="s">
        <v>794</v>
      </c>
      <c r="E59" s="59" t="s">
        <v>784</v>
      </c>
      <c r="F59" s="60" t="str">
        <f aca="false">IFERROR(IF(ABS(Case_Unitranche!$D$50)&lt;0.000001,"holds","does not hold"),"error")</f>
        <v>holds</v>
      </c>
      <c r="G59" s="9"/>
      <c r="H59" s="9"/>
      <c r="I59" s="47" t="str">
        <f aca="false">IFERROR(IF(ABS(Case_Unitranche!$D$50)&lt;0.000001,"PASS","FAIL"),"FAIL")</f>
        <v>PASS</v>
      </c>
    </row>
    <row r="60" customFormat="false" ht="15" hidden="false" customHeight="true" outlineLevel="0" collapsed="false">
      <c r="B60" s="48" t="n">
        <v>51</v>
      </c>
      <c r="C60" s="9" t="s">
        <v>374</v>
      </c>
      <c r="D60" s="37" t="s">
        <v>795</v>
      </c>
      <c r="E60" s="59" t="s">
        <v>784</v>
      </c>
      <c r="F60" s="60" t="str">
        <f aca="false">IFERROR(IF(SUMPRODUCT(ABS(Case_Unitranche!$E$154:$L$154))&lt;0.000001,"holds","does not hold"),"error")</f>
        <v>holds</v>
      </c>
      <c r="G60" s="9"/>
      <c r="H60" s="9"/>
      <c r="I60" s="47" t="str">
        <f aca="false">IFERROR(IF(SUMPRODUCT(ABS(Case_Unitranche!$E$154:$L$154))&lt;0.000001,"PASS","FAIL"),"FAIL")</f>
        <v>PASS</v>
      </c>
    </row>
    <row r="61" customFormat="false" ht="15" hidden="false" customHeight="true" outlineLevel="0" collapsed="false">
      <c r="B61" s="48" t="n">
        <v>52</v>
      </c>
      <c r="C61" s="9" t="s">
        <v>374</v>
      </c>
      <c r="D61" s="37" t="s">
        <v>796</v>
      </c>
      <c r="E61" s="59" t="s">
        <v>784</v>
      </c>
      <c r="F61" s="60" t="str">
        <f aca="false">IFERROR(IF(SUMPRODUCT(ABS(Case_Unitranche!$F$126:$L$126))&lt;0.000001,"holds","does not hold"),"error")</f>
        <v>holds</v>
      </c>
      <c r="G61" s="9"/>
      <c r="H61" s="9"/>
      <c r="I61" s="47" t="str">
        <f aca="false">IFERROR(IF(SUMPRODUCT(ABS(Case_Unitranche!$F$126:$L$126))&lt;0.000001,"PASS","FAIL"),"FAIL")</f>
        <v>PASS</v>
      </c>
    </row>
    <row r="62" customFormat="false" ht="15" hidden="false" customHeight="true" outlineLevel="0" collapsed="false">
      <c r="B62" s="48" t="n">
        <v>53</v>
      </c>
      <c r="C62" s="9" t="s">
        <v>374</v>
      </c>
      <c r="D62" s="37" t="s">
        <v>797</v>
      </c>
      <c r="E62" s="59" t="s">
        <v>784</v>
      </c>
      <c r="F62" s="60" t="str">
        <f aca="false">IFERROR(IF(SUM(Case_Unitranche!$F$116:$L$116)&lt;0.000001,"holds","does not hold"),"error")</f>
        <v>holds</v>
      </c>
      <c r="G62" s="9"/>
      <c r="H62" s="9"/>
      <c r="I62" s="47" t="str">
        <f aca="false">IFERROR(IF(SUM(Case_Unitranche!$F$116:$L$116)&lt;0.000001,"PASS","FAIL"),"FAIL")</f>
        <v>PASS</v>
      </c>
    </row>
    <row r="63" customFormat="false" ht="30" hidden="false" customHeight="true" outlineLevel="0" collapsed="false">
      <c r="B63" s="48" t="n">
        <v>54</v>
      </c>
      <c r="C63" s="9" t="s">
        <v>374</v>
      </c>
      <c r="D63" s="37" t="s">
        <v>798</v>
      </c>
      <c r="E63" s="59" t="s">
        <v>784</v>
      </c>
      <c r="F63" s="60" t="str">
        <f aca="false">IFERROR(IF(OR(Case_Unitranche!$D$14=1,SUMPRODUCT(--(Case_Unitranche!$F$123:$L$123&lt;Assumptions!$D$79-0.000001),--(Case_Unitranche!$F$121:$L$121&lt;Assumptions!$D$90-0.000001))=0),"holds","does not hold"),"error")</f>
        <v>holds</v>
      </c>
      <c r="G63" s="9"/>
      <c r="H63" s="9"/>
      <c r="I63" s="47" t="str">
        <f aca="false">IFERROR(IF(OR(Case_Unitranche!$D$14=1,SUMPRODUCT(--(Case_Unitranche!$F$123:$L$123&lt;Assumptions!$D$79-0.000001),--(Case_Unitranche!$F$121:$L$121&lt;Assumptions!$D$90-0.000001))=0),"PASS","FAIL"),"FAIL")</f>
        <v>PASS</v>
      </c>
    </row>
    <row r="64" customFormat="false" ht="15" hidden="false" customHeight="true" outlineLevel="0" collapsed="false">
      <c r="B64" s="48" t="n">
        <v>55</v>
      </c>
      <c r="C64" s="9" t="s">
        <v>374</v>
      </c>
      <c r="D64" s="37" t="s">
        <v>799</v>
      </c>
      <c r="E64" s="59" t="s">
        <v>784</v>
      </c>
      <c r="F64" s="60" t="str">
        <f aca="false">IFERROR(IF(ABS(Case_Unitranche!$H$163-(Case_Unitranche!$H$162-Case_Unitranche!$H$161))&lt;0.000001,"holds","does not hold"),"error")</f>
        <v>holds</v>
      </c>
      <c r="G64" s="9"/>
      <c r="H64" s="9"/>
      <c r="I64" s="47" t="str">
        <f aca="false">IFERROR(IF(ABS(Case_Unitranche!$H$163-(Case_Unitranche!$H$162-Case_Unitranche!$H$161))&lt;0.000001,"PASS","FAIL"),"FAIL")</f>
        <v>PASS</v>
      </c>
    </row>
    <row r="65" customFormat="false" ht="15" hidden="false" customHeight="true" outlineLevel="0" collapsed="false">
      <c r="B65" s="48" t="n">
        <v>56</v>
      </c>
      <c r="C65" s="9" t="s">
        <v>374</v>
      </c>
      <c r="D65" s="37" t="s">
        <v>800</v>
      </c>
      <c r="E65" s="59" t="s">
        <v>784</v>
      </c>
      <c r="F65" s="60" t="str">
        <f aca="false">IFERROR(IF(ABS(Case_Unitranche!$D$204)&lt;0.000001,"holds","does not hold"),"error")</f>
        <v>holds</v>
      </c>
      <c r="G65" s="9"/>
      <c r="H65" s="9"/>
      <c r="I65" s="47" t="str">
        <f aca="false">IFERROR(IF(ABS(Case_Unitranche!$D$204)&lt;0.000001,"PASS","FAIL"),"FAIL")</f>
        <v>PASS</v>
      </c>
    </row>
    <row r="66" customFormat="false" ht="15" hidden="false" customHeight="true" outlineLevel="0" collapsed="false">
      <c r="B66" s="48" t="n">
        <v>57</v>
      </c>
      <c r="C66" s="9" t="s">
        <v>374</v>
      </c>
      <c r="D66" s="37" t="s">
        <v>801</v>
      </c>
      <c r="E66" s="59" t="s">
        <v>784</v>
      </c>
      <c r="F66" s="60" t="str">
        <f aca="false">IFERROR(IF(ABS(Case_Unitranche!$D$224-Case_Unitranche!$D$223)&lt;=0.0005,"holds","does not hold"),"error")</f>
        <v>holds</v>
      </c>
      <c r="G66" s="9"/>
      <c r="H66" s="9"/>
      <c r="I66" s="47" t="str">
        <f aca="false">IFERROR(IF(ABS(Case_Unitranche!$D$224-Case_Unitranche!$D$223)&lt;=0.0005,"PASS","FAIL"),"FAIL")</f>
        <v>PASS</v>
      </c>
    </row>
    <row r="67" customFormat="false" ht="15" hidden="false" customHeight="true" outlineLevel="0" collapsed="false">
      <c r="B67" s="48" t="n">
        <v>58</v>
      </c>
      <c r="C67" s="9" t="s">
        <v>374</v>
      </c>
      <c r="D67" s="37" t="s">
        <v>802</v>
      </c>
      <c r="E67" s="59" t="s">
        <v>784</v>
      </c>
      <c r="F67" s="60" t="str">
        <f aca="false">IFERROR(IF(ABS(Case_Unitranche!$D$225-SUMIF(Case_Unitranche!$E$219:$L$219,"&gt;0")/Case_Unitranche!$D$226)&lt;0.000001,"holds","does not hold"),"error")</f>
        <v>holds</v>
      </c>
      <c r="G67" s="9"/>
      <c r="H67" s="9"/>
      <c r="I67" s="47" t="str">
        <f aca="false">IFERROR(IF(ABS(Case_Unitranche!$D$225-SUMIF(Case_Unitranche!$E$219:$L$219,"&gt;0")/Case_Unitranche!$D$226)&lt;0.000001,"PASS","FAIL"),"FAIL")</f>
        <v>PASS</v>
      </c>
    </row>
    <row r="68" customFormat="false" ht="15" hidden="false" customHeight="true" outlineLevel="0" collapsed="false">
      <c r="B68" s="48" t="n">
        <v>59</v>
      </c>
      <c r="C68" s="9" t="s">
        <v>376</v>
      </c>
      <c r="D68" s="37" t="s">
        <v>803</v>
      </c>
      <c r="E68" s="59" t="s">
        <v>784</v>
      </c>
      <c r="F68" s="60" t="str">
        <f aca="false">IFERROR(IF(ABS(Case_Rates_Up!$D$50)&lt;0.000001,"holds","does not hold"),"error")</f>
        <v>holds</v>
      </c>
      <c r="G68" s="9"/>
      <c r="H68" s="9"/>
      <c r="I68" s="47" t="str">
        <f aca="false">IFERROR(IF(ABS(Case_Rates_Up!$D$50)&lt;0.000001,"PASS","FAIL"),"FAIL")</f>
        <v>PASS</v>
      </c>
    </row>
    <row r="69" customFormat="false" ht="15" hidden="false" customHeight="true" outlineLevel="0" collapsed="false">
      <c r="B69" s="48" t="n">
        <v>60</v>
      </c>
      <c r="C69" s="9" t="s">
        <v>376</v>
      </c>
      <c r="D69" s="37" t="s">
        <v>804</v>
      </c>
      <c r="E69" s="59" t="s">
        <v>784</v>
      </c>
      <c r="F69" s="60" t="str">
        <f aca="false">IFERROR(IF(SUMPRODUCT(ABS(Case_Rates_Up!$E$154:$L$154))&lt;0.000001,"holds","does not hold"),"error")</f>
        <v>holds</v>
      </c>
      <c r="G69" s="9"/>
      <c r="H69" s="9"/>
      <c r="I69" s="47" t="str">
        <f aca="false">IFERROR(IF(SUMPRODUCT(ABS(Case_Rates_Up!$E$154:$L$154))&lt;0.000001,"PASS","FAIL"),"FAIL")</f>
        <v>PASS</v>
      </c>
    </row>
    <row r="70" customFormat="false" ht="15" hidden="false" customHeight="true" outlineLevel="0" collapsed="false">
      <c r="B70" s="48" t="n">
        <v>61</v>
      </c>
      <c r="C70" s="9" t="s">
        <v>376</v>
      </c>
      <c r="D70" s="37" t="s">
        <v>805</v>
      </c>
      <c r="E70" s="59" t="s">
        <v>784</v>
      </c>
      <c r="F70" s="60" t="str">
        <f aca="false">IFERROR(IF(SUMPRODUCT(ABS(Case_Rates_Up!$F$126:$L$126))&lt;0.000001,"holds","does not hold"),"error")</f>
        <v>holds</v>
      </c>
      <c r="G70" s="9"/>
      <c r="H70" s="9"/>
      <c r="I70" s="47" t="str">
        <f aca="false">IFERROR(IF(SUMPRODUCT(ABS(Case_Rates_Up!$F$126:$L$126))&lt;0.000001,"PASS","FAIL"),"FAIL")</f>
        <v>PASS</v>
      </c>
    </row>
    <row r="71" customFormat="false" ht="15" hidden="false" customHeight="true" outlineLevel="0" collapsed="false">
      <c r="B71" s="48" t="n">
        <v>62</v>
      </c>
      <c r="C71" s="9" t="s">
        <v>376</v>
      </c>
      <c r="D71" s="37" t="s">
        <v>806</v>
      </c>
      <c r="E71" s="59" t="s">
        <v>784</v>
      </c>
      <c r="F71" s="60" t="str">
        <f aca="false">IFERROR(IF(SUM(Case_Rates_Up!$F$116:$L$116)&lt;0.000001,"holds","does not hold"),"error")</f>
        <v>holds</v>
      </c>
      <c r="G71" s="9"/>
      <c r="H71" s="9"/>
      <c r="I71" s="47" t="str">
        <f aca="false">IFERROR(IF(SUM(Case_Rates_Up!$F$116:$L$116)&lt;0.000001,"PASS","FAIL"),"FAIL")</f>
        <v>PASS</v>
      </c>
    </row>
    <row r="72" customFormat="false" ht="30" hidden="false" customHeight="true" outlineLevel="0" collapsed="false">
      <c r="B72" s="48" t="n">
        <v>63</v>
      </c>
      <c r="C72" s="9" t="s">
        <v>376</v>
      </c>
      <c r="D72" s="37" t="s">
        <v>807</v>
      </c>
      <c r="E72" s="59" t="s">
        <v>784</v>
      </c>
      <c r="F72" s="60" t="str">
        <f aca="false">IFERROR(IF(OR(Case_Rates_Up!$D$14=1,SUMPRODUCT(--(Case_Rates_Up!$F$123:$L$123&lt;Assumptions!$D$79-0.000001),--(Case_Rates_Up!$F$121:$L$121&lt;Assumptions!$D$90-0.000001))=0),"holds","does not hold"),"error")</f>
        <v>holds</v>
      </c>
      <c r="G72" s="9"/>
      <c r="H72" s="9"/>
      <c r="I72" s="47" t="str">
        <f aca="false">IFERROR(IF(OR(Case_Rates_Up!$D$14=1,SUMPRODUCT(--(Case_Rates_Up!$F$123:$L$123&lt;Assumptions!$D$79-0.000001),--(Case_Rates_Up!$F$121:$L$121&lt;Assumptions!$D$90-0.000001))=0),"PASS","FAIL"),"FAIL")</f>
        <v>PASS</v>
      </c>
    </row>
    <row r="73" customFormat="false" ht="15" hidden="false" customHeight="true" outlineLevel="0" collapsed="false">
      <c r="B73" s="48" t="n">
        <v>64</v>
      </c>
      <c r="C73" s="9" t="s">
        <v>376</v>
      </c>
      <c r="D73" s="37" t="s">
        <v>808</v>
      </c>
      <c r="E73" s="59" t="s">
        <v>784</v>
      </c>
      <c r="F73" s="60" t="str">
        <f aca="false">IFERROR(IF(ABS(Case_Rates_Up!$H$163-(Case_Rates_Up!$H$162-Case_Rates_Up!$H$161))&lt;0.000001,"holds","does not hold"),"error")</f>
        <v>holds</v>
      </c>
      <c r="G73" s="9"/>
      <c r="H73" s="9"/>
      <c r="I73" s="47" t="str">
        <f aca="false">IFERROR(IF(ABS(Case_Rates_Up!$H$163-(Case_Rates_Up!$H$162-Case_Rates_Up!$H$161))&lt;0.000001,"PASS","FAIL"),"FAIL")</f>
        <v>PASS</v>
      </c>
    </row>
    <row r="74" customFormat="false" ht="15" hidden="false" customHeight="true" outlineLevel="0" collapsed="false">
      <c r="B74" s="48" t="n">
        <v>65</v>
      </c>
      <c r="C74" s="9" t="s">
        <v>376</v>
      </c>
      <c r="D74" s="37" t="s">
        <v>809</v>
      </c>
      <c r="E74" s="59" t="s">
        <v>784</v>
      </c>
      <c r="F74" s="60" t="str">
        <f aca="false">IFERROR(IF(ABS(Case_Rates_Up!$D$204)&lt;0.000001,"holds","does not hold"),"error")</f>
        <v>holds</v>
      </c>
      <c r="G74" s="9"/>
      <c r="H74" s="9"/>
      <c r="I74" s="47" t="str">
        <f aca="false">IFERROR(IF(ABS(Case_Rates_Up!$D$204)&lt;0.000001,"PASS","FAIL"),"FAIL")</f>
        <v>PASS</v>
      </c>
    </row>
    <row r="75" customFormat="false" ht="30" hidden="false" customHeight="true" outlineLevel="0" collapsed="false">
      <c r="B75" s="48" t="n">
        <v>66</v>
      </c>
      <c r="C75" s="9" t="s">
        <v>376</v>
      </c>
      <c r="D75" s="37" t="s">
        <v>810</v>
      </c>
      <c r="E75" s="59" t="s">
        <v>784</v>
      </c>
      <c r="F75" s="60" t="str">
        <f aca="false">IFERROR(IF(ABS(Case_Rates_Up!$D$224-Case_Rates_Up!$D$223)&lt;=0.0005,"holds","does not hold"),"error")</f>
        <v>holds</v>
      </c>
      <c r="G75" s="9"/>
      <c r="H75" s="9"/>
      <c r="I75" s="47" t="str">
        <f aca="false">IFERROR(IF(ABS(Case_Rates_Up!$D$224-Case_Rates_Up!$D$223)&lt;=0.0005,"PASS","FAIL"),"FAIL")</f>
        <v>PASS</v>
      </c>
    </row>
    <row r="76" customFormat="false" ht="15" hidden="false" customHeight="true" outlineLevel="0" collapsed="false">
      <c r="B76" s="48" t="n">
        <v>67</v>
      </c>
      <c r="C76" s="9" t="s">
        <v>376</v>
      </c>
      <c r="D76" s="37" t="s">
        <v>811</v>
      </c>
      <c r="E76" s="59" t="s">
        <v>784</v>
      </c>
      <c r="F76" s="60" t="str">
        <f aca="false">IFERROR(IF(ABS(Case_Rates_Up!$D$225-SUMIF(Case_Rates_Up!$E$219:$L$219,"&gt;0")/Case_Rates_Up!$D$226)&lt;0.000001,"holds","does not hold"),"error")</f>
        <v>holds</v>
      </c>
      <c r="G76" s="9"/>
      <c r="H76" s="9"/>
      <c r="I76" s="47" t="str">
        <f aca="false">IFERROR(IF(ABS(Case_Rates_Up!$D$225-SUMIF(Case_Rates_Up!$E$219:$L$219,"&gt;0")/Case_Rates_Up!$D$226)&lt;0.000001,"PASS","FAIL"),"FAIL")</f>
        <v>PASS</v>
      </c>
    </row>
    <row r="77" customFormat="false" ht="15" hidden="false" customHeight="true" outlineLevel="0" collapsed="false">
      <c r="B77" s="48" t="n">
        <v>68</v>
      </c>
      <c r="C77" s="9" t="s">
        <v>378</v>
      </c>
      <c r="D77" s="37" t="s">
        <v>812</v>
      </c>
      <c r="E77" s="59" t="s">
        <v>784</v>
      </c>
      <c r="F77" s="60" t="str">
        <f aca="false">IFERROR(IF(ABS(Case_No_Addon!$D$50)&lt;0.000001,"holds","does not hold"),"error")</f>
        <v>holds</v>
      </c>
      <c r="G77" s="9"/>
      <c r="H77" s="9"/>
      <c r="I77" s="47" t="str">
        <f aca="false">IFERROR(IF(ABS(Case_No_Addon!$D$50)&lt;0.000001,"PASS","FAIL"),"FAIL")</f>
        <v>PASS</v>
      </c>
    </row>
    <row r="78" customFormat="false" ht="15" hidden="false" customHeight="true" outlineLevel="0" collapsed="false">
      <c r="B78" s="48" t="n">
        <v>69</v>
      </c>
      <c r="C78" s="9" t="s">
        <v>378</v>
      </c>
      <c r="D78" s="37" t="s">
        <v>813</v>
      </c>
      <c r="E78" s="59" t="s">
        <v>784</v>
      </c>
      <c r="F78" s="60" t="str">
        <f aca="false">IFERROR(IF(SUMPRODUCT(ABS(Case_No_Addon!$E$154:$L$154))&lt;0.000001,"holds","does not hold"),"error")</f>
        <v>holds</v>
      </c>
      <c r="G78" s="9"/>
      <c r="H78" s="9"/>
      <c r="I78" s="47" t="str">
        <f aca="false">IFERROR(IF(SUMPRODUCT(ABS(Case_No_Addon!$E$154:$L$154))&lt;0.000001,"PASS","FAIL"),"FAIL")</f>
        <v>PASS</v>
      </c>
    </row>
    <row r="79" customFormat="false" ht="15" hidden="false" customHeight="true" outlineLevel="0" collapsed="false">
      <c r="B79" s="48" t="n">
        <v>70</v>
      </c>
      <c r="C79" s="9" t="s">
        <v>378</v>
      </c>
      <c r="D79" s="37" t="s">
        <v>814</v>
      </c>
      <c r="E79" s="59" t="s">
        <v>784</v>
      </c>
      <c r="F79" s="60" t="str">
        <f aca="false">IFERROR(IF(SUMPRODUCT(ABS(Case_No_Addon!$F$126:$L$126))&lt;0.000001,"holds","does not hold"),"error")</f>
        <v>holds</v>
      </c>
      <c r="G79" s="9"/>
      <c r="H79" s="9"/>
      <c r="I79" s="47" t="str">
        <f aca="false">IFERROR(IF(SUMPRODUCT(ABS(Case_No_Addon!$F$126:$L$126))&lt;0.000001,"PASS","FAIL"),"FAIL")</f>
        <v>PASS</v>
      </c>
    </row>
    <row r="80" customFormat="false" ht="15" hidden="false" customHeight="true" outlineLevel="0" collapsed="false">
      <c r="B80" s="48" t="n">
        <v>71</v>
      </c>
      <c r="C80" s="9" t="s">
        <v>378</v>
      </c>
      <c r="D80" s="37" t="s">
        <v>815</v>
      </c>
      <c r="E80" s="59" t="s">
        <v>784</v>
      </c>
      <c r="F80" s="60" t="str">
        <f aca="false">IFERROR(IF(SUM(Case_No_Addon!$F$116:$L$116)&lt;0.000001,"holds","does not hold"),"error")</f>
        <v>holds</v>
      </c>
      <c r="G80" s="9"/>
      <c r="H80" s="9"/>
      <c r="I80" s="47" t="str">
        <f aca="false">IFERROR(IF(SUM(Case_No_Addon!$F$116:$L$116)&lt;0.000001,"PASS","FAIL"),"FAIL")</f>
        <v>PASS</v>
      </c>
    </row>
    <row r="81" customFormat="false" ht="30" hidden="false" customHeight="true" outlineLevel="0" collapsed="false">
      <c r="B81" s="48" t="n">
        <v>72</v>
      </c>
      <c r="C81" s="9" t="s">
        <v>378</v>
      </c>
      <c r="D81" s="37" t="s">
        <v>816</v>
      </c>
      <c r="E81" s="59" t="s">
        <v>784</v>
      </c>
      <c r="F81" s="60" t="str">
        <f aca="false">IFERROR(IF(OR(Case_No_Addon!$D$14=1,SUMPRODUCT(--(Case_No_Addon!$F$123:$L$123&lt;Assumptions!$D$79-0.000001),--(Case_No_Addon!$F$121:$L$121&lt;Assumptions!$D$90-0.000001))=0),"holds","does not hold"),"error")</f>
        <v>holds</v>
      </c>
      <c r="G81" s="9"/>
      <c r="H81" s="9"/>
      <c r="I81" s="47" t="str">
        <f aca="false">IFERROR(IF(OR(Case_No_Addon!$D$14=1,SUMPRODUCT(--(Case_No_Addon!$F$123:$L$123&lt;Assumptions!$D$79-0.000001),--(Case_No_Addon!$F$121:$L$121&lt;Assumptions!$D$90-0.000001))=0),"PASS","FAIL"),"FAIL")</f>
        <v>PASS</v>
      </c>
    </row>
    <row r="82" customFormat="false" ht="15" hidden="false" customHeight="true" outlineLevel="0" collapsed="false">
      <c r="B82" s="48" t="n">
        <v>73</v>
      </c>
      <c r="C82" s="9" t="s">
        <v>378</v>
      </c>
      <c r="D82" s="37" t="s">
        <v>817</v>
      </c>
      <c r="E82" s="59" t="s">
        <v>784</v>
      </c>
      <c r="F82" s="60" t="str">
        <f aca="false">IFERROR(IF(ABS(Case_No_Addon!$H$163-(Case_No_Addon!$H$162-Case_No_Addon!$H$161))&lt;0.000001,"holds","does not hold"),"error")</f>
        <v>holds</v>
      </c>
      <c r="G82" s="9"/>
      <c r="H82" s="9"/>
      <c r="I82" s="47" t="str">
        <f aca="false">IFERROR(IF(ABS(Case_No_Addon!$H$163-(Case_No_Addon!$H$162-Case_No_Addon!$H$161))&lt;0.000001,"PASS","FAIL"),"FAIL")</f>
        <v>PASS</v>
      </c>
    </row>
    <row r="83" customFormat="false" ht="15" hidden="false" customHeight="true" outlineLevel="0" collapsed="false">
      <c r="B83" s="48" t="n">
        <v>74</v>
      </c>
      <c r="C83" s="9" t="s">
        <v>378</v>
      </c>
      <c r="D83" s="37" t="s">
        <v>818</v>
      </c>
      <c r="E83" s="59" t="s">
        <v>784</v>
      </c>
      <c r="F83" s="60" t="str">
        <f aca="false">IFERROR(IF(ABS(Case_No_Addon!$D$204)&lt;0.000001,"holds","does not hold"),"error")</f>
        <v>holds</v>
      </c>
      <c r="G83" s="9"/>
      <c r="H83" s="9"/>
      <c r="I83" s="47" t="str">
        <f aca="false">IFERROR(IF(ABS(Case_No_Addon!$D$204)&lt;0.000001,"PASS","FAIL"),"FAIL")</f>
        <v>PASS</v>
      </c>
    </row>
    <row r="84" customFormat="false" ht="30" hidden="false" customHeight="true" outlineLevel="0" collapsed="false">
      <c r="B84" s="48" t="n">
        <v>75</v>
      </c>
      <c r="C84" s="9" t="s">
        <v>378</v>
      </c>
      <c r="D84" s="37" t="s">
        <v>819</v>
      </c>
      <c r="E84" s="59" t="s">
        <v>784</v>
      </c>
      <c r="F84" s="60" t="str">
        <f aca="false">IFERROR(IF(ABS(Case_No_Addon!$D$224-Case_No_Addon!$D$223)&lt;=0.0005,"holds","does not hold"),"error")</f>
        <v>holds</v>
      </c>
      <c r="G84" s="9"/>
      <c r="H84" s="9"/>
      <c r="I84" s="47" t="str">
        <f aca="false">IFERROR(IF(ABS(Case_No_Addon!$D$224-Case_No_Addon!$D$223)&lt;=0.0005,"PASS","FAIL"),"FAIL")</f>
        <v>PASS</v>
      </c>
    </row>
    <row r="85" customFormat="false" ht="15" hidden="false" customHeight="true" outlineLevel="0" collapsed="false">
      <c r="B85" s="48" t="n">
        <v>76</v>
      </c>
      <c r="C85" s="9" t="s">
        <v>378</v>
      </c>
      <c r="D85" s="37" t="s">
        <v>820</v>
      </c>
      <c r="E85" s="59" t="s">
        <v>784</v>
      </c>
      <c r="F85" s="60" t="str">
        <f aca="false">IFERROR(IF(ABS(Case_No_Addon!$D$225-SUMIF(Case_No_Addon!$E$219:$L$219,"&gt;0")/Case_No_Addon!$D$226)&lt;0.000001,"holds","does not hold"),"error")</f>
        <v>holds</v>
      </c>
      <c r="G85" s="9"/>
      <c r="H85" s="9"/>
      <c r="I85" s="47" t="str">
        <f aca="false">IFERROR(IF(ABS(Case_No_Addon!$D$225-SUMIF(Case_No_Addon!$E$219:$L$219,"&gt;0")/Case_No_Addon!$D$226)&lt;0.000001,"PASS","FAIL"),"FAIL")</f>
        <v>PASS</v>
      </c>
    </row>
    <row r="86" customFormat="false" ht="15" hidden="false" customHeight="true" outlineLevel="0" collapsed="false">
      <c r="B86" s="48" t="n">
        <v>77</v>
      </c>
      <c r="C86" s="9" t="s">
        <v>380</v>
      </c>
      <c r="D86" s="37" t="s">
        <v>821</v>
      </c>
      <c r="E86" s="59" t="s">
        <v>784</v>
      </c>
      <c r="F86" s="60" t="str">
        <f aca="false">IFERROR(IF(ABS(Case_No_Bad_Year!$D$50)&lt;0.000001,"holds","does not hold"),"error")</f>
        <v>holds</v>
      </c>
      <c r="G86" s="9"/>
      <c r="H86" s="9"/>
      <c r="I86" s="47" t="str">
        <f aca="false">IFERROR(IF(ABS(Case_No_Bad_Year!$D$50)&lt;0.000001,"PASS","FAIL"),"FAIL")</f>
        <v>PASS</v>
      </c>
    </row>
    <row r="87" customFormat="false" ht="15" hidden="false" customHeight="true" outlineLevel="0" collapsed="false">
      <c r="B87" s="48" t="n">
        <v>78</v>
      </c>
      <c r="C87" s="9" t="s">
        <v>380</v>
      </c>
      <c r="D87" s="37" t="s">
        <v>822</v>
      </c>
      <c r="E87" s="59" t="s">
        <v>784</v>
      </c>
      <c r="F87" s="60" t="str">
        <f aca="false">IFERROR(IF(SUMPRODUCT(ABS(Case_No_Bad_Year!$E$154:$L$154))&lt;0.000001,"holds","does not hold"),"error")</f>
        <v>holds</v>
      </c>
      <c r="G87" s="9"/>
      <c r="H87" s="9"/>
      <c r="I87" s="47" t="str">
        <f aca="false">IFERROR(IF(SUMPRODUCT(ABS(Case_No_Bad_Year!$E$154:$L$154))&lt;0.000001,"PASS","FAIL"),"FAIL")</f>
        <v>PASS</v>
      </c>
    </row>
    <row r="88" customFormat="false" ht="15" hidden="false" customHeight="true" outlineLevel="0" collapsed="false">
      <c r="B88" s="48" t="n">
        <v>79</v>
      </c>
      <c r="C88" s="9" t="s">
        <v>380</v>
      </c>
      <c r="D88" s="37" t="s">
        <v>823</v>
      </c>
      <c r="E88" s="59" t="s">
        <v>784</v>
      </c>
      <c r="F88" s="60" t="str">
        <f aca="false">IFERROR(IF(SUMPRODUCT(ABS(Case_No_Bad_Year!$F$126:$L$126))&lt;0.000001,"holds","does not hold"),"error")</f>
        <v>holds</v>
      </c>
      <c r="G88" s="9"/>
      <c r="H88" s="9"/>
      <c r="I88" s="47" t="str">
        <f aca="false">IFERROR(IF(SUMPRODUCT(ABS(Case_No_Bad_Year!$F$126:$L$126))&lt;0.000001,"PASS","FAIL"),"FAIL")</f>
        <v>PASS</v>
      </c>
    </row>
    <row r="89" customFormat="false" ht="15" hidden="false" customHeight="true" outlineLevel="0" collapsed="false">
      <c r="B89" s="48" t="n">
        <v>80</v>
      </c>
      <c r="C89" s="9" t="s">
        <v>380</v>
      </c>
      <c r="D89" s="37" t="s">
        <v>824</v>
      </c>
      <c r="E89" s="59" t="s">
        <v>784</v>
      </c>
      <c r="F89" s="60" t="str">
        <f aca="false">IFERROR(IF(SUM(Case_No_Bad_Year!$F$116:$L$116)&lt;0.000001,"holds","does not hold"),"error")</f>
        <v>holds</v>
      </c>
      <c r="G89" s="9"/>
      <c r="H89" s="9"/>
      <c r="I89" s="47" t="str">
        <f aca="false">IFERROR(IF(SUM(Case_No_Bad_Year!$F$116:$L$116)&lt;0.000001,"PASS","FAIL"),"FAIL")</f>
        <v>PASS</v>
      </c>
    </row>
    <row r="90" customFormat="false" ht="30" hidden="false" customHeight="true" outlineLevel="0" collapsed="false">
      <c r="B90" s="48" t="n">
        <v>81</v>
      </c>
      <c r="C90" s="9" t="s">
        <v>380</v>
      </c>
      <c r="D90" s="37" t="s">
        <v>825</v>
      </c>
      <c r="E90" s="59" t="s">
        <v>784</v>
      </c>
      <c r="F90" s="60" t="str">
        <f aca="false">IFERROR(IF(OR(Case_No_Bad_Year!$D$14=1,SUMPRODUCT(--(Case_No_Bad_Year!$F$123:$L$123&lt;Assumptions!$D$79-0.000001),--(Case_No_Bad_Year!$F$121:$L$121&lt;Assumptions!$D$90-0.000001))=0),"holds","does not hold"),"error")</f>
        <v>holds</v>
      </c>
      <c r="G90" s="9"/>
      <c r="H90" s="9"/>
      <c r="I90" s="47" t="str">
        <f aca="false">IFERROR(IF(OR(Case_No_Bad_Year!$D$14=1,SUMPRODUCT(--(Case_No_Bad_Year!$F$123:$L$123&lt;Assumptions!$D$79-0.000001),--(Case_No_Bad_Year!$F$121:$L$121&lt;Assumptions!$D$90-0.000001))=0),"PASS","FAIL"),"FAIL")</f>
        <v>PASS</v>
      </c>
    </row>
    <row r="91" customFormat="false" ht="15" hidden="false" customHeight="true" outlineLevel="0" collapsed="false">
      <c r="B91" s="48" t="n">
        <v>82</v>
      </c>
      <c r="C91" s="9" t="s">
        <v>380</v>
      </c>
      <c r="D91" s="37" t="s">
        <v>826</v>
      </c>
      <c r="E91" s="59" t="s">
        <v>784</v>
      </c>
      <c r="F91" s="60" t="str">
        <f aca="false">IFERROR(IF(ABS(Case_No_Bad_Year!$H$163-(Case_No_Bad_Year!$H$162-Case_No_Bad_Year!$H$161))&lt;0.000001,"holds","does not hold"),"error")</f>
        <v>holds</v>
      </c>
      <c r="G91" s="9"/>
      <c r="H91" s="9"/>
      <c r="I91" s="47" t="str">
        <f aca="false">IFERROR(IF(ABS(Case_No_Bad_Year!$H$163-(Case_No_Bad_Year!$H$162-Case_No_Bad_Year!$H$161))&lt;0.000001,"PASS","FAIL"),"FAIL")</f>
        <v>PASS</v>
      </c>
    </row>
    <row r="92" customFormat="false" ht="15" hidden="false" customHeight="true" outlineLevel="0" collapsed="false">
      <c r="B92" s="48" t="n">
        <v>83</v>
      </c>
      <c r="C92" s="9" t="s">
        <v>380</v>
      </c>
      <c r="D92" s="37" t="s">
        <v>827</v>
      </c>
      <c r="E92" s="59" t="s">
        <v>784</v>
      </c>
      <c r="F92" s="60" t="str">
        <f aca="false">IFERROR(IF(ABS(Case_No_Bad_Year!$D$204)&lt;0.000001,"holds","does not hold"),"error")</f>
        <v>holds</v>
      </c>
      <c r="G92" s="9"/>
      <c r="H92" s="9"/>
      <c r="I92" s="47" t="str">
        <f aca="false">IFERROR(IF(ABS(Case_No_Bad_Year!$D$204)&lt;0.000001,"PASS","FAIL"),"FAIL")</f>
        <v>PASS</v>
      </c>
    </row>
    <row r="93" customFormat="false" ht="30" hidden="false" customHeight="true" outlineLevel="0" collapsed="false">
      <c r="B93" s="48" t="n">
        <v>84</v>
      </c>
      <c r="C93" s="9" t="s">
        <v>380</v>
      </c>
      <c r="D93" s="37" t="s">
        <v>828</v>
      </c>
      <c r="E93" s="59" t="s">
        <v>784</v>
      </c>
      <c r="F93" s="60" t="str">
        <f aca="false">IFERROR(IF(ABS(Case_No_Bad_Year!$D$224-Case_No_Bad_Year!$D$223)&lt;=0.0005,"holds","does not hold"),"error")</f>
        <v>holds</v>
      </c>
      <c r="G93" s="9"/>
      <c r="H93" s="9"/>
      <c r="I93" s="47" t="str">
        <f aca="false">IFERROR(IF(ABS(Case_No_Bad_Year!$D$224-Case_No_Bad_Year!$D$223)&lt;=0.0005,"PASS","FAIL"),"FAIL")</f>
        <v>PASS</v>
      </c>
    </row>
    <row r="94" customFormat="false" ht="15" hidden="false" customHeight="true" outlineLevel="0" collapsed="false">
      <c r="B94" s="48" t="n">
        <v>85</v>
      </c>
      <c r="C94" s="9" t="s">
        <v>380</v>
      </c>
      <c r="D94" s="37" t="s">
        <v>829</v>
      </c>
      <c r="E94" s="59" t="s">
        <v>784</v>
      </c>
      <c r="F94" s="60" t="str">
        <f aca="false">IFERROR(IF(ABS(Case_No_Bad_Year!$D$225-SUMIF(Case_No_Bad_Year!$E$219:$L$219,"&gt;0")/Case_No_Bad_Year!$D$226)&lt;0.000001,"holds","does not hold"),"error")</f>
        <v>holds</v>
      </c>
      <c r="G94" s="9"/>
      <c r="H94" s="9"/>
      <c r="I94" s="47" t="str">
        <f aca="false">IFERROR(IF(ABS(Case_No_Bad_Year!$D$225-SUMIF(Case_No_Bad_Year!$E$219:$L$219,"&gt;0")/Case_No_Bad_Year!$D$226)&lt;0.000001,"PASS","FAIL"),"FAIL")</f>
        <v>PASS</v>
      </c>
    </row>
    <row r="95" customFormat="false" ht="15" hidden="false" customHeight="true" outlineLevel="0" collapsed="false">
      <c r="B95" s="48" t="n">
        <v>86</v>
      </c>
      <c r="C95" s="9" t="s">
        <v>382</v>
      </c>
      <c r="D95" s="37" t="s">
        <v>830</v>
      </c>
      <c r="E95" s="59" t="s">
        <v>784</v>
      </c>
      <c r="F95" s="60" t="str">
        <f aca="false">IFERROR(IF(ABS(Case_Deeper_Bad_Year!$D$50)&lt;0.000001,"holds","does not hold"),"error")</f>
        <v>holds</v>
      </c>
      <c r="G95" s="9"/>
      <c r="H95" s="9"/>
      <c r="I95" s="47" t="str">
        <f aca="false">IFERROR(IF(ABS(Case_Deeper_Bad_Year!$D$50)&lt;0.000001,"PASS","FAIL"),"FAIL")</f>
        <v>PASS</v>
      </c>
    </row>
    <row r="96" customFormat="false" ht="15" hidden="false" customHeight="true" outlineLevel="0" collapsed="false">
      <c r="B96" s="48" t="n">
        <v>87</v>
      </c>
      <c r="C96" s="9" t="s">
        <v>382</v>
      </c>
      <c r="D96" s="37" t="s">
        <v>831</v>
      </c>
      <c r="E96" s="59" t="s">
        <v>784</v>
      </c>
      <c r="F96" s="60" t="str">
        <f aca="false">IFERROR(IF(SUMPRODUCT(ABS(Case_Deeper_Bad_Year!$E$154:$L$154))&lt;0.000001,"holds","does not hold"),"error")</f>
        <v>holds</v>
      </c>
      <c r="G96" s="9"/>
      <c r="H96" s="9"/>
      <c r="I96" s="47" t="str">
        <f aca="false">IFERROR(IF(SUMPRODUCT(ABS(Case_Deeper_Bad_Year!$E$154:$L$154))&lt;0.000001,"PASS","FAIL"),"FAIL")</f>
        <v>PASS</v>
      </c>
    </row>
    <row r="97" customFormat="false" ht="15" hidden="false" customHeight="true" outlineLevel="0" collapsed="false">
      <c r="B97" s="48" t="n">
        <v>88</v>
      </c>
      <c r="C97" s="9" t="s">
        <v>382</v>
      </c>
      <c r="D97" s="37" t="s">
        <v>832</v>
      </c>
      <c r="E97" s="59" t="s">
        <v>784</v>
      </c>
      <c r="F97" s="60" t="str">
        <f aca="false">IFERROR(IF(SUMPRODUCT(ABS(Case_Deeper_Bad_Year!$F$126:$L$126))&lt;0.000001,"holds","does not hold"),"error")</f>
        <v>holds</v>
      </c>
      <c r="G97" s="9"/>
      <c r="H97" s="9"/>
      <c r="I97" s="47" t="str">
        <f aca="false">IFERROR(IF(SUMPRODUCT(ABS(Case_Deeper_Bad_Year!$F$126:$L$126))&lt;0.000001,"PASS","FAIL"),"FAIL")</f>
        <v>PASS</v>
      </c>
    </row>
    <row r="98" customFormat="false" ht="15" hidden="false" customHeight="true" outlineLevel="0" collapsed="false">
      <c r="B98" s="48" t="n">
        <v>89</v>
      </c>
      <c r="C98" s="9" t="s">
        <v>382</v>
      </c>
      <c r="D98" s="37" t="s">
        <v>833</v>
      </c>
      <c r="E98" s="59" t="s">
        <v>784</v>
      </c>
      <c r="F98" s="60" t="str">
        <f aca="false">IFERROR(IF(SUM(Case_Deeper_Bad_Year!$F$116:$L$116)&lt;0.000001,"holds","does not hold"),"error")</f>
        <v>holds</v>
      </c>
      <c r="G98" s="9"/>
      <c r="H98" s="9"/>
      <c r="I98" s="47" t="str">
        <f aca="false">IFERROR(IF(SUM(Case_Deeper_Bad_Year!$F$116:$L$116)&lt;0.000001,"PASS","FAIL"),"FAIL")</f>
        <v>PASS</v>
      </c>
    </row>
    <row r="99" customFormat="false" ht="30" hidden="false" customHeight="true" outlineLevel="0" collapsed="false">
      <c r="B99" s="48" t="n">
        <v>90</v>
      </c>
      <c r="C99" s="9" t="s">
        <v>382</v>
      </c>
      <c r="D99" s="37" t="s">
        <v>834</v>
      </c>
      <c r="E99" s="59" t="s">
        <v>784</v>
      </c>
      <c r="F99" s="60" t="str">
        <f aca="false">IFERROR(IF(OR(Case_Deeper_Bad_Year!$D$14=1,SUMPRODUCT(--(Case_Deeper_Bad_Year!$F$123:$L$123&lt;Assumptions!$D$79-0.000001),--(Case_Deeper_Bad_Year!$F$121:$L$121&lt;Assumptions!$D$90-0.000001))=0),"holds","does not hold"),"error")</f>
        <v>holds</v>
      </c>
      <c r="G99" s="9"/>
      <c r="H99" s="9"/>
      <c r="I99" s="47" t="str">
        <f aca="false">IFERROR(IF(OR(Case_Deeper_Bad_Year!$D$14=1,SUMPRODUCT(--(Case_Deeper_Bad_Year!$F$123:$L$123&lt;Assumptions!$D$79-0.000001),--(Case_Deeper_Bad_Year!$F$121:$L$121&lt;Assumptions!$D$90-0.000001))=0),"PASS","FAIL"),"FAIL")</f>
        <v>PASS</v>
      </c>
    </row>
    <row r="100" customFormat="false" ht="15" hidden="false" customHeight="true" outlineLevel="0" collapsed="false">
      <c r="B100" s="48" t="n">
        <v>91</v>
      </c>
      <c r="C100" s="9" t="s">
        <v>382</v>
      </c>
      <c r="D100" s="37" t="s">
        <v>835</v>
      </c>
      <c r="E100" s="59" t="s">
        <v>784</v>
      </c>
      <c r="F100" s="60" t="str">
        <f aca="false">IFERROR(IF(ABS(Case_Deeper_Bad_Year!$H$163-(Case_Deeper_Bad_Year!$H$162-Case_Deeper_Bad_Year!$H$161))&lt;0.000001,"holds","does not hold"),"error")</f>
        <v>holds</v>
      </c>
      <c r="G100" s="9"/>
      <c r="H100" s="9"/>
      <c r="I100" s="47" t="str">
        <f aca="false">IFERROR(IF(ABS(Case_Deeper_Bad_Year!$H$163-(Case_Deeper_Bad_Year!$H$162-Case_Deeper_Bad_Year!$H$161))&lt;0.000001,"PASS","FAIL"),"FAIL")</f>
        <v>PASS</v>
      </c>
    </row>
    <row r="101" customFormat="false" ht="15" hidden="false" customHeight="true" outlineLevel="0" collapsed="false">
      <c r="B101" s="48" t="n">
        <v>92</v>
      </c>
      <c r="C101" s="9" t="s">
        <v>382</v>
      </c>
      <c r="D101" s="37" t="s">
        <v>836</v>
      </c>
      <c r="E101" s="59" t="s">
        <v>784</v>
      </c>
      <c r="F101" s="60" t="str">
        <f aca="false">IFERROR(IF(ABS(Case_Deeper_Bad_Year!$D$204)&lt;0.000001,"holds","does not hold"),"error")</f>
        <v>holds</v>
      </c>
      <c r="G101" s="9"/>
      <c r="H101" s="9"/>
      <c r="I101" s="47" t="str">
        <f aca="false">IFERROR(IF(ABS(Case_Deeper_Bad_Year!$D$204)&lt;0.000001,"PASS","FAIL"),"FAIL")</f>
        <v>PASS</v>
      </c>
    </row>
    <row r="102" customFormat="false" ht="30" hidden="false" customHeight="true" outlineLevel="0" collapsed="false">
      <c r="B102" s="48" t="n">
        <v>93</v>
      </c>
      <c r="C102" s="9" t="s">
        <v>382</v>
      </c>
      <c r="D102" s="37" t="s">
        <v>837</v>
      </c>
      <c r="E102" s="59" t="s">
        <v>784</v>
      </c>
      <c r="F102" s="60" t="str">
        <f aca="false">IFERROR(IF(ABS(Case_Deeper_Bad_Year!$D$224-Case_Deeper_Bad_Year!$D$223)&lt;=0.0005,"holds","does not hold"),"error")</f>
        <v>holds</v>
      </c>
      <c r="G102" s="9"/>
      <c r="H102" s="9"/>
      <c r="I102" s="47" t="str">
        <f aca="false">IFERROR(IF(ABS(Case_Deeper_Bad_Year!$D$224-Case_Deeper_Bad_Year!$D$223)&lt;=0.0005,"PASS","FAIL"),"FAIL")</f>
        <v>PASS</v>
      </c>
    </row>
    <row r="103" customFormat="false" ht="15" hidden="false" customHeight="true" outlineLevel="0" collapsed="false">
      <c r="B103" s="48" t="n">
        <v>94</v>
      </c>
      <c r="C103" s="9" t="s">
        <v>382</v>
      </c>
      <c r="D103" s="37" t="s">
        <v>838</v>
      </c>
      <c r="E103" s="59" t="s">
        <v>784</v>
      </c>
      <c r="F103" s="60" t="str">
        <f aca="false">IFERROR(IF(ABS(Case_Deeper_Bad_Year!$D$225-SUMIF(Case_Deeper_Bad_Year!$E$219:$L$219,"&gt;0")/Case_Deeper_Bad_Year!$D$226)&lt;0.000001,"holds","does not hold"),"error")</f>
        <v>holds</v>
      </c>
      <c r="G103" s="9"/>
      <c r="H103" s="9"/>
      <c r="I103" s="47" t="str">
        <f aca="false">IFERROR(IF(ABS(Case_Deeper_Bad_Year!$D$225-SUMIF(Case_Deeper_Bad_Year!$E$219:$L$219,"&gt;0")/Case_Deeper_Bad_Year!$D$226)&lt;0.000001,"PASS","FAIL"),"FAIL")</f>
        <v>PASS</v>
      </c>
    </row>
    <row r="104" customFormat="false" ht="15" hidden="false" customHeight="true" outlineLevel="0" collapsed="false">
      <c r="B104" s="48" t="n">
        <v>95</v>
      </c>
      <c r="C104" s="9" t="s">
        <v>384</v>
      </c>
      <c r="D104" s="37" t="s">
        <v>839</v>
      </c>
      <c r="E104" s="59" t="s">
        <v>784</v>
      </c>
      <c r="F104" s="60" t="str">
        <f aca="false">IFERROR(IF(ABS(Case_Equity_Cure!$D$50)&lt;0.000001,"holds","does not hold"),"error")</f>
        <v>holds</v>
      </c>
      <c r="G104" s="9"/>
      <c r="H104" s="9"/>
      <c r="I104" s="47" t="str">
        <f aca="false">IFERROR(IF(ABS(Case_Equity_Cure!$D$50)&lt;0.000001,"PASS","FAIL"),"FAIL")</f>
        <v>PASS</v>
      </c>
    </row>
    <row r="105" customFormat="false" ht="15" hidden="false" customHeight="true" outlineLevel="0" collapsed="false">
      <c r="B105" s="48" t="n">
        <v>96</v>
      </c>
      <c r="C105" s="9" t="s">
        <v>384</v>
      </c>
      <c r="D105" s="37" t="s">
        <v>840</v>
      </c>
      <c r="E105" s="59" t="s">
        <v>784</v>
      </c>
      <c r="F105" s="60" t="str">
        <f aca="false">IFERROR(IF(SUMPRODUCT(ABS(Case_Equity_Cure!$E$154:$L$154))&lt;0.000001,"holds","does not hold"),"error")</f>
        <v>holds</v>
      </c>
      <c r="G105" s="9"/>
      <c r="H105" s="9"/>
      <c r="I105" s="47" t="str">
        <f aca="false">IFERROR(IF(SUMPRODUCT(ABS(Case_Equity_Cure!$E$154:$L$154))&lt;0.000001,"PASS","FAIL"),"FAIL")</f>
        <v>PASS</v>
      </c>
    </row>
    <row r="106" customFormat="false" ht="15" hidden="false" customHeight="true" outlineLevel="0" collapsed="false">
      <c r="B106" s="48" t="n">
        <v>97</v>
      </c>
      <c r="C106" s="9" t="s">
        <v>384</v>
      </c>
      <c r="D106" s="37" t="s">
        <v>841</v>
      </c>
      <c r="E106" s="59" t="s">
        <v>784</v>
      </c>
      <c r="F106" s="60" t="str">
        <f aca="false">IFERROR(IF(SUMPRODUCT(ABS(Case_Equity_Cure!$F$126:$L$126))&lt;0.000001,"holds","does not hold"),"error")</f>
        <v>holds</v>
      </c>
      <c r="G106" s="9"/>
      <c r="H106" s="9"/>
      <c r="I106" s="47" t="str">
        <f aca="false">IFERROR(IF(SUMPRODUCT(ABS(Case_Equity_Cure!$F$126:$L$126))&lt;0.000001,"PASS","FAIL"),"FAIL")</f>
        <v>PASS</v>
      </c>
    </row>
    <row r="107" customFormat="false" ht="15" hidden="false" customHeight="true" outlineLevel="0" collapsed="false">
      <c r="B107" s="48" t="n">
        <v>98</v>
      </c>
      <c r="C107" s="9" t="s">
        <v>384</v>
      </c>
      <c r="D107" s="37" t="s">
        <v>842</v>
      </c>
      <c r="E107" s="59" t="s">
        <v>784</v>
      </c>
      <c r="F107" s="60" t="str">
        <f aca="false">IFERROR(IF(SUM(Case_Equity_Cure!$F$116:$L$116)&lt;0.000001,"holds","does not hold"),"error")</f>
        <v>holds</v>
      </c>
      <c r="G107" s="9"/>
      <c r="H107" s="9"/>
      <c r="I107" s="47" t="str">
        <f aca="false">IFERROR(IF(SUM(Case_Equity_Cure!$F$116:$L$116)&lt;0.000001,"PASS","FAIL"),"FAIL")</f>
        <v>PASS</v>
      </c>
    </row>
    <row r="108" customFormat="false" ht="30" hidden="false" customHeight="true" outlineLevel="0" collapsed="false">
      <c r="B108" s="48" t="n">
        <v>99</v>
      </c>
      <c r="C108" s="9" t="s">
        <v>384</v>
      </c>
      <c r="D108" s="37" t="s">
        <v>843</v>
      </c>
      <c r="E108" s="59" t="s">
        <v>784</v>
      </c>
      <c r="F108" s="60" t="str">
        <f aca="false">IFERROR(IF(OR(Case_Equity_Cure!$D$14=1,SUMPRODUCT(--(Case_Equity_Cure!$F$123:$L$123&lt;Assumptions!$D$79-0.000001),--(Case_Equity_Cure!$F$121:$L$121&lt;Assumptions!$D$90-0.000001))=0),"holds","does not hold"),"error")</f>
        <v>holds</v>
      </c>
      <c r="G108" s="9"/>
      <c r="H108" s="9"/>
      <c r="I108" s="47" t="str">
        <f aca="false">IFERROR(IF(OR(Case_Equity_Cure!$D$14=1,SUMPRODUCT(--(Case_Equity_Cure!$F$123:$L$123&lt;Assumptions!$D$79-0.000001),--(Case_Equity_Cure!$F$121:$L$121&lt;Assumptions!$D$90-0.000001))=0),"PASS","FAIL"),"FAIL")</f>
        <v>PASS</v>
      </c>
    </row>
    <row r="109" customFormat="false" ht="15" hidden="false" customHeight="true" outlineLevel="0" collapsed="false">
      <c r="B109" s="48" t="n">
        <v>100</v>
      </c>
      <c r="C109" s="9" t="s">
        <v>384</v>
      </c>
      <c r="D109" s="37" t="s">
        <v>844</v>
      </c>
      <c r="E109" s="59" t="s">
        <v>784</v>
      </c>
      <c r="F109" s="60" t="str">
        <f aca="false">IFERROR(IF(ABS(Case_Equity_Cure!$H$163-(Case_Equity_Cure!$H$162-Case_Equity_Cure!$H$161))&lt;0.000001,"holds","does not hold"),"error")</f>
        <v>holds</v>
      </c>
      <c r="G109" s="9"/>
      <c r="H109" s="9"/>
      <c r="I109" s="47" t="str">
        <f aca="false">IFERROR(IF(ABS(Case_Equity_Cure!$H$163-(Case_Equity_Cure!$H$162-Case_Equity_Cure!$H$161))&lt;0.000001,"PASS","FAIL"),"FAIL")</f>
        <v>PASS</v>
      </c>
    </row>
    <row r="110" customFormat="false" ht="15" hidden="false" customHeight="true" outlineLevel="0" collapsed="false">
      <c r="B110" s="48" t="n">
        <v>101</v>
      </c>
      <c r="C110" s="9" t="s">
        <v>384</v>
      </c>
      <c r="D110" s="37" t="s">
        <v>845</v>
      </c>
      <c r="E110" s="59" t="s">
        <v>784</v>
      </c>
      <c r="F110" s="60" t="str">
        <f aca="false">IFERROR(IF(ABS(Case_Equity_Cure!$D$204)&lt;0.000001,"holds","does not hold"),"error")</f>
        <v>holds</v>
      </c>
      <c r="G110" s="9"/>
      <c r="H110" s="9"/>
      <c r="I110" s="47" t="str">
        <f aca="false">IFERROR(IF(ABS(Case_Equity_Cure!$D$204)&lt;0.000001,"PASS","FAIL"),"FAIL")</f>
        <v>PASS</v>
      </c>
    </row>
    <row r="111" customFormat="false" ht="15" hidden="false" customHeight="true" outlineLevel="0" collapsed="false">
      <c r="B111" s="48" t="n">
        <v>102</v>
      </c>
      <c r="C111" s="9" t="s">
        <v>384</v>
      </c>
      <c r="D111" s="37" t="s">
        <v>846</v>
      </c>
      <c r="E111" s="59" t="s">
        <v>784</v>
      </c>
      <c r="F111" s="60" t="str">
        <f aca="false">IFERROR(IF(ABS(Case_Equity_Cure!$D$224-Case_Equity_Cure!$D$223)&lt;=0.0005,"holds","does not hold"),"error")</f>
        <v>holds</v>
      </c>
      <c r="G111" s="9"/>
      <c r="H111" s="9"/>
      <c r="I111" s="47" t="str">
        <f aca="false">IFERROR(IF(ABS(Case_Equity_Cure!$D$224-Case_Equity_Cure!$D$223)&lt;=0.0005,"PASS","FAIL"),"FAIL")</f>
        <v>PASS</v>
      </c>
    </row>
    <row r="112" customFormat="false" ht="15" hidden="false" customHeight="true" outlineLevel="0" collapsed="false">
      <c r="B112" s="48" t="n">
        <v>103</v>
      </c>
      <c r="C112" s="9" t="s">
        <v>384</v>
      </c>
      <c r="D112" s="37" t="s">
        <v>847</v>
      </c>
      <c r="E112" s="59" t="s">
        <v>784</v>
      </c>
      <c r="F112" s="60" t="str">
        <f aca="false">IFERROR(IF(ABS(Case_Equity_Cure!$D$225-SUMIF(Case_Equity_Cure!$E$219:$L$219,"&gt;0")/Case_Equity_Cure!$D$226)&lt;0.000001,"holds","does not hold"),"error")</f>
        <v>holds</v>
      </c>
      <c r="G112" s="9"/>
      <c r="H112" s="9"/>
      <c r="I112" s="47" t="str">
        <f aca="false">IFERROR(IF(ABS(Case_Equity_Cure!$D$225-SUMIF(Case_Equity_Cure!$E$219:$L$219,"&gt;0")/Case_Equity_Cure!$D$226)&lt;0.000001,"PASS","FAIL"),"FAIL")</f>
        <v>PASS</v>
      </c>
    </row>
    <row r="113" customFormat="false" ht="15" hidden="false" customHeight="true" outlineLevel="0" collapsed="false">
      <c r="B113" s="48" t="n">
        <v>104</v>
      </c>
      <c r="C113" s="9" t="s">
        <v>386</v>
      </c>
      <c r="D113" s="37" t="s">
        <v>848</v>
      </c>
      <c r="E113" s="59" t="s">
        <v>784</v>
      </c>
      <c r="F113" s="60" t="str">
        <f aca="false">IFERROR(IF(ABS(Case_Amend_Extend!$D$50)&lt;0.000001,"holds","does not hold"),"error")</f>
        <v>holds</v>
      </c>
      <c r="G113" s="9"/>
      <c r="H113" s="9"/>
      <c r="I113" s="47" t="str">
        <f aca="false">IFERROR(IF(ABS(Case_Amend_Extend!$D$50)&lt;0.000001,"PASS","FAIL"),"FAIL")</f>
        <v>PASS</v>
      </c>
    </row>
    <row r="114" customFormat="false" ht="15" hidden="false" customHeight="true" outlineLevel="0" collapsed="false">
      <c r="B114" s="48" t="n">
        <v>105</v>
      </c>
      <c r="C114" s="9" t="s">
        <v>386</v>
      </c>
      <c r="D114" s="37" t="s">
        <v>849</v>
      </c>
      <c r="E114" s="59" t="s">
        <v>784</v>
      </c>
      <c r="F114" s="60" t="str">
        <f aca="false">IFERROR(IF(SUMPRODUCT(ABS(Case_Amend_Extend!$E$154:$L$154))&lt;0.000001,"holds","does not hold"),"error")</f>
        <v>holds</v>
      </c>
      <c r="G114" s="9"/>
      <c r="H114" s="9"/>
      <c r="I114" s="47" t="str">
        <f aca="false">IFERROR(IF(SUMPRODUCT(ABS(Case_Amend_Extend!$E$154:$L$154))&lt;0.000001,"PASS","FAIL"),"FAIL")</f>
        <v>PASS</v>
      </c>
    </row>
    <row r="115" customFormat="false" ht="15" hidden="false" customHeight="true" outlineLevel="0" collapsed="false">
      <c r="B115" s="48" t="n">
        <v>106</v>
      </c>
      <c r="C115" s="9" t="s">
        <v>386</v>
      </c>
      <c r="D115" s="37" t="s">
        <v>850</v>
      </c>
      <c r="E115" s="59" t="s">
        <v>784</v>
      </c>
      <c r="F115" s="60" t="str">
        <f aca="false">IFERROR(IF(SUMPRODUCT(ABS(Case_Amend_Extend!$F$126:$L$126))&lt;0.000001,"holds","does not hold"),"error")</f>
        <v>holds</v>
      </c>
      <c r="G115" s="9"/>
      <c r="H115" s="9"/>
      <c r="I115" s="47" t="str">
        <f aca="false">IFERROR(IF(SUMPRODUCT(ABS(Case_Amend_Extend!$F$126:$L$126))&lt;0.000001,"PASS","FAIL"),"FAIL")</f>
        <v>PASS</v>
      </c>
    </row>
    <row r="116" customFormat="false" ht="15" hidden="false" customHeight="true" outlineLevel="0" collapsed="false">
      <c r="B116" s="48" t="n">
        <v>107</v>
      </c>
      <c r="C116" s="9" t="s">
        <v>386</v>
      </c>
      <c r="D116" s="37" t="s">
        <v>851</v>
      </c>
      <c r="E116" s="59" t="s">
        <v>784</v>
      </c>
      <c r="F116" s="60" t="str">
        <f aca="false">IFERROR(IF(SUM(Case_Amend_Extend!$F$116:$L$116)&lt;0.000001,"holds","does not hold"),"error")</f>
        <v>holds</v>
      </c>
      <c r="G116" s="9"/>
      <c r="H116" s="9"/>
      <c r="I116" s="47" t="str">
        <f aca="false">IFERROR(IF(SUM(Case_Amend_Extend!$F$116:$L$116)&lt;0.000001,"PASS","FAIL"),"FAIL")</f>
        <v>PASS</v>
      </c>
    </row>
    <row r="117" customFormat="false" ht="30" hidden="false" customHeight="true" outlineLevel="0" collapsed="false">
      <c r="B117" s="48" t="n">
        <v>108</v>
      </c>
      <c r="C117" s="9" t="s">
        <v>386</v>
      </c>
      <c r="D117" s="37" t="s">
        <v>852</v>
      </c>
      <c r="E117" s="59" t="s">
        <v>784</v>
      </c>
      <c r="F117" s="60" t="str">
        <f aca="false">IFERROR(IF(OR(Case_Amend_Extend!$D$14=1,SUMPRODUCT(--(Case_Amend_Extend!$F$123:$L$123&lt;Assumptions!$D$79-0.000001),--(Case_Amend_Extend!$F$121:$L$121&lt;Assumptions!$D$90-0.000001))=0),"holds","does not hold"),"error")</f>
        <v>holds</v>
      </c>
      <c r="G117" s="9"/>
      <c r="H117" s="9"/>
      <c r="I117" s="47" t="str">
        <f aca="false">IFERROR(IF(OR(Case_Amend_Extend!$D$14=1,SUMPRODUCT(--(Case_Amend_Extend!$F$123:$L$123&lt;Assumptions!$D$79-0.000001),--(Case_Amend_Extend!$F$121:$L$121&lt;Assumptions!$D$90-0.000001))=0),"PASS","FAIL"),"FAIL")</f>
        <v>PASS</v>
      </c>
    </row>
    <row r="118" customFormat="false" ht="15" hidden="false" customHeight="true" outlineLevel="0" collapsed="false">
      <c r="B118" s="48" t="n">
        <v>109</v>
      </c>
      <c r="C118" s="9" t="s">
        <v>386</v>
      </c>
      <c r="D118" s="37" t="s">
        <v>853</v>
      </c>
      <c r="E118" s="59" t="s">
        <v>784</v>
      </c>
      <c r="F118" s="60" t="str">
        <f aca="false">IFERROR(IF(ABS(Case_Amend_Extend!$H$163-(Case_Amend_Extend!$H$162-Case_Amend_Extend!$H$161))&lt;0.000001,"holds","does not hold"),"error")</f>
        <v>holds</v>
      </c>
      <c r="G118" s="9"/>
      <c r="H118" s="9"/>
      <c r="I118" s="47" t="str">
        <f aca="false">IFERROR(IF(ABS(Case_Amend_Extend!$H$163-(Case_Amend_Extend!$H$162-Case_Amend_Extend!$H$161))&lt;0.000001,"PASS","FAIL"),"FAIL")</f>
        <v>PASS</v>
      </c>
    </row>
    <row r="119" customFormat="false" ht="15" hidden="false" customHeight="true" outlineLevel="0" collapsed="false">
      <c r="B119" s="48" t="n">
        <v>110</v>
      </c>
      <c r="C119" s="9" t="s">
        <v>386</v>
      </c>
      <c r="D119" s="37" t="s">
        <v>854</v>
      </c>
      <c r="E119" s="59" t="s">
        <v>784</v>
      </c>
      <c r="F119" s="60" t="str">
        <f aca="false">IFERROR(IF(ABS(Case_Amend_Extend!$D$204)&lt;0.000001,"holds","does not hold"),"error")</f>
        <v>holds</v>
      </c>
      <c r="G119" s="9"/>
      <c r="H119" s="9"/>
      <c r="I119" s="47" t="str">
        <f aca="false">IFERROR(IF(ABS(Case_Amend_Extend!$D$204)&lt;0.000001,"PASS","FAIL"),"FAIL")</f>
        <v>PASS</v>
      </c>
    </row>
    <row r="120" customFormat="false" ht="15" hidden="false" customHeight="true" outlineLevel="0" collapsed="false">
      <c r="B120" s="48" t="n">
        <v>111</v>
      </c>
      <c r="C120" s="9" t="s">
        <v>386</v>
      </c>
      <c r="D120" s="37" t="s">
        <v>855</v>
      </c>
      <c r="E120" s="59" t="s">
        <v>784</v>
      </c>
      <c r="F120" s="60" t="str">
        <f aca="false">IFERROR(IF(ABS(Case_Amend_Extend!$D$224-Case_Amend_Extend!$D$223)&lt;=0.0005,"holds","does not hold"),"error")</f>
        <v>holds</v>
      </c>
      <c r="G120" s="9"/>
      <c r="H120" s="9"/>
      <c r="I120" s="47" t="str">
        <f aca="false">IFERROR(IF(ABS(Case_Amend_Extend!$D$224-Case_Amend_Extend!$D$223)&lt;=0.0005,"PASS","FAIL"),"FAIL")</f>
        <v>PASS</v>
      </c>
    </row>
    <row r="121" customFormat="false" ht="15" hidden="false" customHeight="true" outlineLevel="0" collapsed="false">
      <c r="B121" s="48" t="n">
        <v>112</v>
      </c>
      <c r="C121" s="9" t="s">
        <v>386</v>
      </c>
      <c r="D121" s="37" t="s">
        <v>856</v>
      </c>
      <c r="E121" s="59" t="s">
        <v>784</v>
      </c>
      <c r="F121" s="60" t="str">
        <f aca="false">IFERROR(IF(ABS(Case_Amend_Extend!$D$225-SUMIF(Case_Amend_Extend!$E$219:$L$219,"&gt;0")/Case_Amend_Extend!$D$226)&lt;0.000001,"holds","does not hold"),"error")</f>
        <v>holds</v>
      </c>
      <c r="G121" s="9"/>
      <c r="H121" s="9"/>
      <c r="I121" s="47" t="str">
        <f aca="false">IFERROR(IF(ABS(Case_Amend_Extend!$D$225-SUMIF(Case_Amend_Extend!$E$219:$L$219,"&gt;0")/Case_Amend_Extend!$D$226)&lt;0.000001,"PASS","FAIL"),"FAIL")</f>
        <v>PASS</v>
      </c>
    </row>
    <row r="122" customFormat="false" ht="15" hidden="false" customHeight="true" outlineLevel="0" collapsed="false">
      <c r="B122" s="48" t="n">
        <v>113</v>
      </c>
      <c r="C122" s="9" t="s">
        <v>388</v>
      </c>
      <c r="D122" s="37" t="s">
        <v>857</v>
      </c>
      <c r="E122" s="59" t="s">
        <v>784</v>
      </c>
      <c r="F122" s="60" t="str">
        <f aca="false">IFERROR(IF(ABS(Case_Recap!$D$50)&lt;0.000001,"holds","does not hold"),"error")</f>
        <v>holds</v>
      </c>
      <c r="G122" s="9"/>
      <c r="H122" s="9"/>
      <c r="I122" s="47" t="str">
        <f aca="false">IFERROR(IF(ABS(Case_Recap!$D$50)&lt;0.000001,"PASS","FAIL"),"FAIL")</f>
        <v>PASS</v>
      </c>
    </row>
    <row r="123" customFormat="false" ht="15" hidden="false" customHeight="true" outlineLevel="0" collapsed="false">
      <c r="B123" s="48" t="n">
        <v>114</v>
      </c>
      <c r="C123" s="9" t="s">
        <v>388</v>
      </c>
      <c r="D123" s="37" t="s">
        <v>858</v>
      </c>
      <c r="E123" s="59" t="s">
        <v>784</v>
      </c>
      <c r="F123" s="60" t="str">
        <f aca="false">IFERROR(IF(SUMPRODUCT(ABS(Case_Recap!$E$154:$L$154))&lt;0.000001,"holds","does not hold"),"error")</f>
        <v>holds</v>
      </c>
      <c r="G123" s="9"/>
      <c r="H123" s="9"/>
      <c r="I123" s="47" t="str">
        <f aca="false">IFERROR(IF(SUMPRODUCT(ABS(Case_Recap!$E$154:$L$154))&lt;0.000001,"PASS","FAIL"),"FAIL")</f>
        <v>PASS</v>
      </c>
    </row>
    <row r="124" customFormat="false" ht="15" hidden="false" customHeight="true" outlineLevel="0" collapsed="false">
      <c r="B124" s="48" t="n">
        <v>115</v>
      </c>
      <c r="C124" s="9" t="s">
        <v>388</v>
      </c>
      <c r="D124" s="37" t="s">
        <v>859</v>
      </c>
      <c r="E124" s="59" t="s">
        <v>784</v>
      </c>
      <c r="F124" s="60" t="str">
        <f aca="false">IFERROR(IF(SUMPRODUCT(ABS(Case_Recap!$F$126:$L$126))&lt;0.000001,"holds","does not hold"),"error")</f>
        <v>holds</v>
      </c>
      <c r="G124" s="9"/>
      <c r="H124" s="9"/>
      <c r="I124" s="47" t="str">
        <f aca="false">IFERROR(IF(SUMPRODUCT(ABS(Case_Recap!$F$126:$L$126))&lt;0.000001,"PASS","FAIL"),"FAIL")</f>
        <v>PASS</v>
      </c>
    </row>
    <row r="125" customFormat="false" ht="15" hidden="false" customHeight="true" outlineLevel="0" collapsed="false">
      <c r="B125" s="48" t="n">
        <v>116</v>
      </c>
      <c r="C125" s="9" t="s">
        <v>388</v>
      </c>
      <c r="D125" s="37" t="s">
        <v>860</v>
      </c>
      <c r="E125" s="59" t="s">
        <v>784</v>
      </c>
      <c r="F125" s="60" t="str">
        <f aca="false">IFERROR(IF(SUM(Case_Recap!$F$116:$L$116)&lt;0.000001,"holds","does not hold"),"error")</f>
        <v>holds</v>
      </c>
      <c r="G125" s="9"/>
      <c r="H125" s="9"/>
      <c r="I125" s="47" t="str">
        <f aca="false">IFERROR(IF(SUM(Case_Recap!$F$116:$L$116)&lt;0.000001,"PASS","FAIL"),"FAIL")</f>
        <v>PASS</v>
      </c>
    </row>
    <row r="126" customFormat="false" ht="30" hidden="false" customHeight="true" outlineLevel="0" collapsed="false">
      <c r="B126" s="48" t="n">
        <v>117</v>
      </c>
      <c r="C126" s="9" t="s">
        <v>388</v>
      </c>
      <c r="D126" s="37" t="s">
        <v>861</v>
      </c>
      <c r="E126" s="59" t="s">
        <v>784</v>
      </c>
      <c r="F126" s="60" t="str">
        <f aca="false">IFERROR(IF(OR(Case_Recap!$D$14=1,SUMPRODUCT(--(Case_Recap!$F$123:$L$123&lt;Assumptions!$D$79-0.000001),--(Case_Recap!$F$121:$L$121&lt;Assumptions!$D$90-0.000001))=0),"holds","does not hold"),"error")</f>
        <v>holds</v>
      </c>
      <c r="G126" s="9"/>
      <c r="H126" s="9"/>
      <c r="I126" s="47" t="str">
        <f aca="false">IFERROR(IF(OR(Case_Recap!$D$14=1,SUMPRODUCT(--(Case_Recap!$F$123:$L$123&lt;Assumptions!$D$79-0.000001),--(Case_Recap!$F$121:$L$121&lt;Assumptions!$D$90-0.000001))=0),"PASS","FAIL"),"FAIL")</f>
        <v>PASS</v>
      </c>
    </row>
    <row r="127" customFormat="false" ht="15" hidden="false" customHeight="true" outlineLevel="0" collapsed="false">
      <c r="B127" s="48" t="n">
        <v>118</v>
      </c>
      <c r="C127" s="9" t="s">
        <v>388</v>
      </c>
      <c r="D127" s="37" t="s">
        <v>862</v>
      </c>
      <c r="E127" s="59" t="s">
        <v>784</v>
      </c>
      <c r="F127" s="60" t="str">
        <f aca="false">IFERROR(IF(ABS(Case_Recap!$H$163-(Case_Recap!$H$162-Case_Recap!$H$161))&lt;0.000001,"holds","does not hold"),"error")</f>
        <v>holds</v>
      </c>
      <c r="G127" s="9"/>
      <c r="H127" s="9"/>
      <c r="I127" s="47" t="str">
        <f aca="false">IFERROR(IF(ABS(Case_Recap!$H$163-(Case_Recap!$H$162-Case_Recap!$H$161))&lt;0.000001,"PASS","FAIL"),"FAIL")</f>
        <v>PASS</v>
      </c>
    </row>
    <row r="128" customFormat="false" ht="15" hidden="false" customHeight="true" outlineLevel="0" collapsed="false">
      <c r="B128" s="48" t="n">
        <v>119</v>
      </c>
      <c r="C128" s="9" t="s">
        <v>388</v>
      </c>
      <c r="D128" s="37" t="s">
        <v>863</v>
      </c>
      <c r="E128" s="59" t="s">
        <v>784</v>
      </c>
      <c r="F128" s="60" t="str">
        <f aca="false">IFERROR(IF(ABS(Case_Recap!$D$204)&lt;0.000001,"holds","does not hold"),"error")</f>
        <v>holds</v>
      </c>
      <c r="G128" s="9"/>
      <c r="H128" s="9"/>
      <c r="I128" s="47" t="str">
        <f aca="false">IFERROR(IF(ABS(Case_Recap!$D$204)&lt;0.000001,"PASS","FAIL"),"FAIL")</f>
        <v>PASS</v>
      </c>
    </row>
    <row r="129" customFormat="false" ht="30" hidden="false" customHeight="true" outlineLevel="0" collapsed="false">
      <c r="B129" s="48" t="n">
        <v>120</v>
      </c>
      <c r="C129" s="9" t="s">
        <v>388</v>
      </c>
      <c r="D129" s="37" t="s">
        <v>864</v>
      </c>
      <c r="E129" s="59" t="s">
        <v>784</v>
      </c>
      <c r="F129" s="60" t="str">
        <f aca="false">IFERROR(IF(ABS(Case_Recap!$D$224-Case_Recap!$D$223)&lt;=0.0005,"holds","does not hold"),"error")</f>
        <v>holds</v>
      </c>
      <c r="G129" s="9"/>
      <c r="H129" s="9"/>
      <c r="I129" s="47" t="str">
        <f aca="false">IFERROR(IF(ABS(Case_Recap!$D$224-Case_Recap!$D$223)&lt;=0.0005,"PASS","FAIL"),"FAIL")</f>
        <v>PASS</v>
      </c>
    </row>
    <row r="130" customFormat="false" ht="15" hidden="false" customHeight="true" outlineLevel="0" collapsed="false">
      <c r="B130" s="48" t="n">
        <v>121</v>
      </c>
      <c r="C130" s="9" t="s">
        <v>388</v>
      </c>
      <c r="D130" s="37" t="s">
        <v>865</v>
      </c>
      <c r="E130" s="59" t="s">
        <v>784</v>
      </c>
      <c r="F130" s="60" t="str">
        <f aca="false">IFERROR(IF(ABS(Case_Recap!$D$225-SUMIF(Case_Recap!$E$219:$L$219,"&gt;0")/Case_Recap!$D$226)&lt;0.000001,"holds","does not hold"),"error")</f>
        <v>holds</v>
      </c>
      <c r="G130" s="9"/>
      <c r="H130" s="9"/>
      <c r="I130" s="47" t="str">
        <f aca="false">IFERROR(IF(ABS(Case_Recap!$D$225-SUMIF(Case_Recap!$E$219:$L$219,"&gt;0")/Case_Recap!$D$226)&lt;0.000001,"PASS","FAIL"),"FAIL")</f>
        <v>PASS</v>
      </c>
    </row>
    <row r="131" customFormat="false" ht="15" hidden="false" customHeight="true" outlineLevel="0" collapsed="false">
      <c r="B131" s="48" t="n">
        <v>122</v>
      </c>
      <c r="C131" s="9" t="s">
        <v>390</v>
      </c>
      <c r="D131" s="37" t="s">
        <v>866</v>
      </c>
      <c r="E131" s="59" t="s">
        <v>784</v>
      </c>
      <c r="F131" s="60" t="str">
        <f aca="false">IFERROR(IF(ABS(Case_Recap_Exit_7x!$D$50)&lt;0.000001,"holds","does not hold"),"error")</f>
        <v>holds</v>
      </c>
      <c r="G131" s="9"/>
      <c r="H131" s="9"/>
      <c r="I131" s="47" t="str">
        <f aca="false">IFERROR(IF(ABS(Case_Recap_Exit_7x!$D$50)&lt;0.000001,"PASS","FAIL"),"FAIL")</f>
        <v>PASS</v>
      </c>
    </row>
    <row r="132" customFormat="false" ht="15" hidden="false" customHeight="true" outlineLevel="0" collapsed="false">
      <c r="B132" s="48" t="n">
        <v>123</v>
      </c>
      <c r="C132" s="9" t="s">
        <v>390</v>
      </c>
      <c r="D132" s="37" t="s">
        <v>867</v>
      </c>
      <c r="E132" s="59" t="s">
        <v>784</v>
      </c>
      <c r="F132" s="60" t="str">
        <f aca="false">IFERROR(IF(SUMPRODUCT(ABS(Case_Recap_Exit_7x!$E$154:$L$154))&lt;0.000001,"holds","does not hold"),"error")</f>
        <v>holds</v>
      </c>
      <c r="G132" s="9"/>
      <c r="H132" s="9"/>
      <c r="I132" s="47" t="str">
        <f aca="false">IFERROR(IF(SUMPRODUCT(ABS(Case_Recap_Exit_7x!$E$154:$L$154))&lt;0.000001,"PASS","FAIL"),"FAIL")</f>
        <v>PASS</v>
      </c>
    </row>
    <row r="133" customFormat="false" ht="15" hidden="false" customHeight="true" outlineLevel="0" collapsed="false">
      <c r="B133" s="48" t="n">
        <v>124</v>
      </c>
      <c r="C133" s="9" t="s">
        <v>390</v>
      </c>
      <c r="D133" s="37" t="s">
        <v>868</v>
      </c>
      <c r="E133" s="59" t="s">
        <v>784</v>
      </c>
      <c r="F133" s="60" t="str">
        <f aca="false">IFERROR(IF(SUMPRODUCT(ABS(Case_Recap_Exit_7x!$F$126:$L$126))&lt;0.000001,"holds","does not hold"),"error")</f>
        <v>holds</v>
      </c>
      <c r="G133" s="9"/>
      <c r="H133" s="9"/>
      <c r="I133" s="47" t="str">
        <f aca="false">IFERROR(IF(SUMPRODUCT(ABS(Case_Recap_Exit_7x!$F$126:$L$126))&lt;0.000001,"PASS","FAIL"),"FAIL")</f>
        <v>PASS</v>
      </c>
    </row>
    <row r="134" customFormat="false" ht="15" hidden="false" customHeight="true" outlineLevel="0" collapsed="false">
      <c r="B134" s="48" t="n">
        <v>125</v>
      </c>
      <c r="C134" s="9" t="s">
        <v>390</v>
      </c>
      <c r="D134" s="37" t="s">
        <v>869</v>
      </c>
      <c r="E134" s="59" t="s">
        <v>784</v>
      </c>
      <c r="F134" s="60" t="str">
        <f aca="false">IFERROR(IF(SUM(Case_Recap_Exit_7x!$F$116:$L$116)&lt;0.000001,"holds","does not hold"),"error")</f>
        <v>holds</v>
      </c>
      <c r="G134" s="9"/>
      <c r="H134" s="9"/>
      <c r="I134" s="47" t="str">
        <f aca="false">IFERROR(IF(SUM(Case_Recap_Exit_7x!$F$116:$L$116)&lt;0.000001,"PASS","FAIL"),"FAIL")</f>
        <v>PASS</v>
      </c>
    </row>
    <row r="135" customFormat="false" ht="30" hidden="false" customHeight="true" outlineLevel="0" collapsed="false">
      <c r="B135" s="48" t="n">
        <v>126</v>
      </c>
      <c r="C135" s="9" t="s">
        <v>390</v>
      </c>
      <c r="D135" s="37" t="s">
        <v>870</v>
      </c>
      <c r="E135" s="59" t="s">
        <v>784</v>
      </c>
      <c r="F135" s="60" t="str">
        <f aca="false">IFERROR(IF(OR(Case_Recap_Exit_7x!$D$14=1,SUMPRODUCT(--(Case_Recap_Exit_7x!$F$123:$L$123&lt;Assumptions!$D$79-0.000001),--(Case_Recap_Exit_7x!$F$121:$L$121&lt;Assumptions!$D$90-0.000001))=0),"holds","does not hold"),"error")</f>
        <v>holds</v>
      </c>
      <c r="G135" s="9"/>
      <c r="H135" s="9"/>
      <c r="I135" s="47" t="str">
        <f aca="false">IFERROR(IF(OR(Case_Recap_Exit_7x!$D$14=1,SUMPRODUCT(--(Case_Recap_Exit_7x!$F$123:$L$123&lt;Assumptions!$D$79-0.000001),--(Case_Recap_Exit_7x!$F$121:$L$121&lt;Assumptions!$D$90-0.000001))=0),"PASS","FAIL"),"FAIL")</f>
        <v>PASS</v>
      </c>
    </row>
    <row r="136" customFormat="false" ht="15" hidden="false" customHeight="true" outlineLevel="0" collapsed="false">
      <c r="B136" s="48" t="n">
        <v>127</v>
      </c>
      <c r="C136" s="9" t="s">
        <v>390</v>
      </c>
      <c r="D136" s="37" t="s">
        <v>871</v>
      </c>
      <c r="E136" s="59" t="s">
        <v>784</v>
      </c>
      <c r="F136" s="60" t="str">
        <f aca="false">IFERROR(IF(ABS(Case_Recap_Exit_7x!$H$163-(Case_Recap_Exit_7x!$H$162-Case_Recap_Exit_7x!$H$161))&lt;0.000001,"holds","does not hold"),"error")</f>
        <v>holds</v>
      </c>
      <c r="G136" s="9"/>
      <c r="H136" s="9"/>
      <c r="I136" s="47" t="str">
        <f aca="false">IFERROR(IF(ABS(Case_Recap_Exit_7x!$H$163-(Case_Recap_Exit_7x!$H$162-Case_Recap_Exit_7x!$H$161))&lt;0.000001,"PASS","FAIL"),"FAIL")</f>
        <v>PASS</v>
      </c>
    </row>
    <row r="137" customFormat="false" ht="15" hidden="false" customHeight="true" outlineLevel="0" collapsed="false">
      <c r="B137" s="48" t="n">
        <v>128</v>
      </c>
      <c r="C137" s="9" t="s">
        <v>390</v>
      </c>
      <c r="D137" s="37" t="s">
        <v>872</v>
      </c>
      <c r="E137" s="59" t="s">
        <v>784</v>
      </c>
      <c r="F137" s="60" t="str">
        <f aca="false">IFERROR(IF(ABS(Case_Recap_Exit_7x!$D$204)&lt;0.000001,"holds","does not hold"),"error")</f>
        <v>holds</v>
      </c>
      <c r="G137" s="9"/>
      <c r="H137" s="9"/>
      <c r="I137" s="47" t="str">
        <f aca="false">IFERROR(IF(ABS(Case_Recap_Exit_7x!$D$204)&lt;0.000001,"PASS","FAIL"),"FAIL")</f>
        <v>PASS</v>
      </c>
    </row>
    <row r="138" customFormat="false" ht="30" hidden="false" customHeight="true" outlineLevel="0" collapsed="false">
      <c r="B138" s="48" t="n">
        <v>129</v>
      </c>
      <c r="C138" s="9" t="s">
        <v>390</v>
      </c>
      <c r="D138" s="37" t="s">
        <v>873</v>
      </c>
      <c r="E138" s="59" t="s">
        <v>784</v>
      </c>
      <c r="F138" s="60" t="str">
        <f aca="false">IFERROR(IF(ABS(Case_Recap_Exit_7x!$D$224-Case_Recap_Exit_7x!$D$223)&lt;=0.0005,"holds","does not hold"),"error")</f>
        <v>holds</v>
      </c>
      <c r="G138" s="9"/>
      <c r="H138" s="9"/>
      <c r="I138" s="47" t="str">
        <f aca="false">IFERROR(IF(ABS(Case_Recap_Exit_7x!$D$224-Case_Recap_Exit_7x!$D$223)&lt;=0.0005,"PASS","FAIL"),"FAIL")</f>
        <v>PASS</v>
      </c>
    </row>
    <row r="139" customFormat="false" ht="15" hidden="false" customHeight="true" outlineLevel="0" collapsed="false">
      <c r="B139" s="48" t="n">
        <v>130</v>
      </c>
      <c r="C139" s="9" t="s">
        <v>390</v>
      </c>
      <c r="D139" s="37" t="s">
        <v>874</v>
      </c>
      <c r="E139" s="59" t="s">
        <v>784</v>
      </c>
      <c r="F139" s="60" t="str">
        <f aca="false">IFERROR(IF(ABS(Case_Recap_Exit_7x!$D$225-SUMIF(Case_Recap_Exit_7x!$E$219:$L$219,"&gt;0")/Case_Recap_Exit_7x!$D$226)&lt;0.000001,"holds","does not hold"),"error")</f>
        <v>holds</v>
      </c>
      <c r="G139" s="9"/>
      <c r="H139" s="9"/>
      <c r="I139" s="47" t="str">
        <f aca="false">IFERROR(IF(ABS(Case_Recap_Exit_7x!$D$225-SUMIF(Case_Recap_Exit_7x!$E$219:$L$219,"&gt;0")/Case_Recap_Exit_7x!$D$226)&lt;0.000001,"PASS","FAIL"),"FAIL")</f>
        <v>PASS</v>
      </c>
    </row>
    <row r="140" customFormat="false" ht="15" hidden="false" customHeight="true" outlineLevel="0" collapsed="false">
      <c r="B140" s="48" t="n">
        <v>131</v>
      </c>
      <c r="C140" s="9" t="s">
        <v>392</v>
      </c>
      <c r="D140" s="37" t="s">
        <v>875</v>
      </c>
      <c r="E140" s="59" t="s">
        <v>784</v>
      </c>
      <c r="F140" s="60" t="str">
        <f aca="false">IFERROR(IF(ABS(Case_Downside!$D$50)&lt;0.000001,"holds","does not hold"),"error")</f>
        <v>holds</v>
      </c>
      <c r="G140" s="9"/>
      <c r="H140" s="9"/>
      <c r="I140" s="47" t="str">
        <f aca="false">IFERROR(IF(ABS(Case_Downside!$D$50)&lt;0.000001,"PASS","FAIL"),"FAIL")</f>
        <v>PASS</v>
      </c>
    </row>
    <row r="141" customFormat="false" ht="15" hidden="false" customHeight="true" outlineLevel="0" collapsed="false">
      <c r="B141" s="48" t="n">
        <v>132</v>
      </c>
      <c r="C141" s="9" t="s">
        <v>392</v>
      </c>
      <c r="D141" s="37" t="s">
        <v>876</v>
      </c>
      <c r="E141" s="59" t="s">
        <v>784</v>
      </c>
      <c r="F141" s="60" t="str">
        <f aca="false">IFERROR(IF(SUMPRODUCT(ABS(Case_Downside!$E$154:$L$154))&lt;0.000001,"holds","does not hold"),"error")</f>
        <v>holds</v>
      </c>
      <c r="G141" s="9"/>
      <c r="H141" s="9"/>
      <c r="I141" s="47" t="str">
        <f aca="false">IFERROR(IF(SUMPRODUCT(ABS(Case_Downside!$E$154:$L$154))&lt;0.000001,"PASS","FAIL"),"FAIL")</f>
        <v>PASS</v>
      </c>
    </row>
    <row r="142" customFormat="false" ht="15" hidden="false" customHeight="true" outlineLevel="0" collapsed="false">
      <c r="B142" s="48" t="n">
        <v>133</v>
      </c>
      <c r="C142" s="9" t="s">
        <v>392</v>
      </c>
      <c r="D142" s="37" t="s">
        <v>877</v>
      </c>
      <c r="E142" s="59" t="s">
        <v>784</v>
      </c>
      <c r="F142" s="60" t="str">
        <f aca="false">IFERROR(IF(SUMPRODUCT(ABS(Case_Downside!$F$126:$L$126))&lt;0.000001,"holds","does not hold"),"error")</f>
        <v>holds</v>
      </c>
      <c r="G142" s="9"/>
      <c r="H142" s="9"/>
      <c r="I142" s="47" t="str">
        <f aca="false">IFERROR(IF(SUMPRODUCT(ABS(Case_Downside!$F$126:$L$126))&lt;0.000001,"PASS","FAIL"),"FAIL")</f>
        <v>PASS</v>
      </c>
    </row>
    <row r="143" customFormat="false" ht="15" hidden="false" customHeight="true" outlineLevel="0" collapsed="false">
      <c r="B143" s="48" t="n">
        <v>134</v>
      </c>
      <c r="C143" s="9" t="s">
        <v>392</v>
      </c>
      <c r="D143" s="37" t="s">
        <v>878</v>
      </c>
      <c r="E143" s="59" t="s">
        <v>784</v>
      </c>
      <c r="F143" s="60" t="str">
        <f aca="false">IFERROR(IF(SUM(Case_Downside!$F$116:$L$116)&lt;0.000001,"holds","does not hold"),"error")</f>
        <v>holds</v>
      </c>
      <c r="G143" s="9"/>
      <c r="H143" s="9"/>
      <c r="I143" s="47" t="str">
        <f aca="false">IFERROR(IF(SUM(Case_Downside!$F$116:$L$116)&lt;0.000001,"PASS","FAIL"),"FAIL")</f>
        <v>PASS</v>
      </c>
    </row>
    <row r="144" customFormat="false" ht="30" hidden="false" customHeight="true" outlineLevel="0" collapsed="false">
      <c r="B144" s="48" t="n">
        <v>135</v>
      </c>
      <c r="C144" s="9" t="s">
        <v>392</v>
      </c>
      <c r="D144" s="37" t="s">
        <v>879</v>
      </c>
      <c r="E144" s="59" t="s">
        <v>784</v>
      </c>
      <c r="F144" s="60" t="str">
        <f aca="false">IFERROR(IF(OR(Case_Downside!$D$14=1,SUMPRODUCT(--(Case_Downside!$F$123:$L$123&lt;Assumptions!$D$79-0.000001),--(Case_Downside!$F$121:$L$121&lt;Assumptions!$D$90-0.000001))=0),"holds","does not hold"),"error")</f>
        <v>holds</v>
      </c>
      <c r="G144" s="9"/>
      <c r="H144" s="9"/>
      <c r="I144" s="47" t="str">
        <f aca="false">IFERROR(IF(OR(Case_Downside!$D$14=1,SUMPRODUCT(--(Case_Downside!$F$123:$L$123&lt;Assumptions!$D$79-0.000001),--(Case_Downside!$F$121:$L$121&lt;Assumptions!$D$90-0.000001))=0),"PASS","FAIL"),"FAIL")</f>
        <v>PASS</v>
      </c>
    </row>
    <row r="145" customFormat="false" ht="15" hidden="false" customHeight="true" outlineLevel="0" collapsed="false">
      <c r="B145" s="48" t="n">
        <v>136</v>
      </c>
      <c r="C145" s="9" t="s">
        <v>392</v>
      </c>
      <c r="D145" s="37" t="s">
        <v>880</v>
      </c>
      <c r="E145" s="59" t="s">
        <v>784</v>
      </c>
      <c r="F145" s="60" t="str">
        <f aca="false">IFERROR(IF(ABS(Case_Downside!$H$163-(Case_Downside!$H$162-Case_Downside!$H$161))&lt;0.000001,"holds","does not hold"),"error")</f>
        <v>holds</v>
      </c>
      <c r="G145" s="9"/>
      <c r="H145" s="9"/>
      <c r="I145" s="47" t="str">
        <f aca="false">IFERROR(IF(ABS(Case_Downside!$H$163-(Case_Downside!$H$162-Case_Downside!$H$161))&lt;0.000001,"PASS","FAIL"),"FAIL")</f>
        <v>PASS</v>
      </c>
    </row>
    <row r="146" customFormat="false" ht="15" hidden="false" customHeight="true" outlineLevel="0" collapsed="false">
      <c r="B146" s="48" t="n">
        <v>137</v>
      </c>
      <c r="C146" s="9" t="s">
        <v>392</v>
      </c>
      <c r="D146" s="37" t="s">
        <v>881</v>
      </c>
      <c r="E146" s="59" t="s">
        <v>784</v>
      </c>
      <c r="F146" s="60" t="str">
        <f aca="false">IFERROR(IF(ABS(Case_Downside!$D$204)&lt;0.000001,"holds","does not hold"),"error")</f>
        <v>holds</v>
      </c>
      <c r="G146" s="9"/>
      <c r="H146" s="9"/>
      <c r="I146" s="47" t="str">
        <f aca="false">IFERROR(IF(ABS(Case_Downside!$D$204)&lt;0.000001,"PASS","FAIL"),"FAIL")</f>
        <v>PASS</v>
      </c>
    </row>
    <row r="147" customFormat="false" ht="15" hidden="false" customHeight="true" outlineLevel="0" collapsed="false">
      <c r="B147" s="48" t="n">
        <v>138</v>
      </c>
      <c r="C147" s="9" t="s">
        <v>392</v>
      </c>
      <c r="D147" s="37" t="s">
        <v>882</v>
      </c>
      <c r="E147" s="59" t="s">
        <v>784</v>
      </c>
      <c r="F147" s="60" t="str">
        <f aca="false">IFERROR(IF(ABS(Case_Downside!$D$224-Case_Downside!$D$223)&lt;=0.0005,"holds","does not hold"),"error")</f>
        <v>holds</v>
      </c>
      <c r="G147" s="9"/>
      <c r="H147" s="9"/>
      <c r="I147" s="47" t="str">
        <f aca="false">IFERROR(IF(ABS(Case_Downside!$D$224-Case_Downside!$D$223)&lt;=0.0005,"PASS","FAIL"),"FAIL")</f>
        <v>PASS</v>
      </c>
    </row>
    <row r="148" customFormat="false" ht="15" hidden="false" customHeight="true" outlineLevel="0" collapsed="false">
      <c r="B148" s="48" t="n">
        <v>139</v>
      </c>
      <c r="C148" s="9" t="s">
        <v>392</v>
      </c>
      <c r="D148" s="37" t="s">
        <v>883</v>
      </c>
      <c r="E148" s="59" t="s">
        <v>784</v>
      </c>
      <c r="F148" s="60" t="str">
        <f aca="false">IFERROR(IF(ABS(Case_Downside!$D$225-SUMIF(Case_Downside!$E$219:$L$219,"&gt;0")/Case_Downside!$D$226)&lt;0.000001,"holds","does not hold"),"error")</f>
        <v>holds</v>
      </c>
      <c r="G148" s="9"/>
      <c r="H148" s="9"/>
      <c r="I148" s="47" t="str">
        <f aca="false">IFERROR(IF(ABS(Case_Downside!$D$225-SUMIF(Case_Downside!$E$219:$L$219,"&gt;0")/Case_Downside!$D$226)&lt;0.000001,"PASS","FAIL"),"FAIL")</f>
        <v>PASS</v>
      </c>
    </row>
    <row r="149" customFormat="false" ht="15" hidden="false" customHeight="true" outlineLevel="0" collapsed="false">
      <c r="B149" s="48" t="n">
        <v>140</v>
      </c>
      <c r="C149" s="9" t="s">
        <v>394</v>
      </c>
      <c r="D149" s="37" t="s">
        <v>884</v>
      </c>
      <c r="E149" s="59" t="s">
        <v>784</v>
      </c>
      <c r="F149" s="60" t="str">
        <f aca="false">IFERROR(IF(ABS(Case_No_Sweep!$D$50)&lt;0.000001,"holds","does not hold"),"error")</f>
        <v>holds</v>
      </c>
      <c r="G149" s="9"/>
      <c r="H149" s="9"/>
      <c r="I149" s="47" t="str">
        <f aca="false">IFERROR(IF(ABS(Case_No_Sweep!$D$50)&lt;0.000001,"PASS","FAIL"),"FAIL")</f>
        <v>PASS</v>
      </c>
    </row>
    <row r="150" customFormat="false" ht="15" hidden="false" customHeight="true" outlineLevel="0" collapsed="false">
      <c r="B150" s="48" t="n">
        <v>141</v>
      </c>
      <c r="C150" s="9" t="s">
        <v>394</v>
      </c>
      <c r="D150" s="37" t="s">
        <v>885</v>
      </c>
      <c r="E150" s="59" t="s">
        <v>784</v>
      </c>
      <c r="F150" s="60" t="str">
        <f aca="false">IFERROR(IF(SUMPRODUCT(ABS(Case_No_Sweep!$E$154:$L$154))&lt;0.000001,"holds","does not hold"),"error")</f>
        <v>holds</v>
      </c>
      <c r="G150" s="9"/>
      <c r="H150" s="9"/>
      <c r="I150" s="47" t="str">
        <f aca="false">IFERROR(IF(SUMPRODUCT(ABS(Case_No_Sweep!$E$154:$L$154))&lt;0.000001,"PASS","FAIL"),"FAIL")</f>
        <v>PASS</v>
      </c>
    </row>
    <row r="151" customFormat="false" ht="15" hidden="false" customHeight="true" outlineLevel="0" collapsed="false">
      <c r="B151" s="48" t="n">
        <v>142</v>
      </c>
      <c r="C151" s="9" t="s">
        <v>394</v>
      </c>
      <c r="D151" s="37" t="s">
        <v>886</v>
      </c>
      <c r="E151" s="59" t="s">
        <v>784</v>
      </c>
      <c r="F151" s="60" t="str">
        <f aca="false">IFERROR(IF(SUMPRODUCT(ABS(Case_No_Sweep!$F$126:$L$126))&lt;0.000001,"holds","does not hold"),"error")</f>
        <v>holds</v>
      </c>
      <c r="G151" s="9"/>
      <c r="H151" s="9"/>
      <c r="I151" s="47" t="str">
        <f aca="false">IFERROR(IF(SUMPRODUCT(ABS(Case_No_Sweep!$F$126:$L$126))&lt;0.000001,"PASS","FAIL"),"FAIL")</f>
        <v>PASS</v>
      </c>
    </row>
    <row r="152" customFormat="false" ht="15" hidden="false" customHeight="true" outlineLevel="0" collapsed="false">
      <c r="B152" s="48" t="n">
        <v>143</v>
      </c>
      <c r="C152" s="9" t="s">
        <v>394</v>
      </c>
      <c r="D152" s="37" t="s">
        <v>887</v>
      </c>
      <c r="E152" s="59" t="s">
        <v>784</v>
      </c>
      <c r="F152" s="60" t="str">
        <f aca="false">IFERROR(IF(SUM(Case_No_Sweep!$F$116:$L$116)&lt;0.000001,"holds","does not hold"),"error")</f>
        <v>holds</v>
      </c>
      <c r="G152" s="9"/>
      <c r="H152" s="9"/>
      <c r="I152" s="47" t="str">
        <f aca="false">IFERROR(IF(SUM(Case_No_Sweep!$F$116:$L$116)&lt;0.000001,"PASS","FAIL"),"FAIL")</f>
        <v>PASS</v>
      </c>
    </row>
    <row r="153" customFormat="false" ht="30" hidden="false" customHeight="true" outlineLevel="0" collapsed="false">
      <c r="B153" s="48" t="n">
        <v>144</v>
      </c>
      <c r="C153" s="9" t="s">
        <v>394</v>
      </c>
      <c r="D153" s="37" t="s">
        <v>888</v>
      </c>
      <c r="E153" s="59" t="s">
        <v>784</v>
      </c>
      <c r="F153" s="60" t="str">
        <f aca="false">IFERROR(IF(OR(Case_No_Sweep!$D$14=1,SUMPRODUCT(--(Case_No_Sweep!$F$123:$L$123&lt;Assumptions!$D$79-0.000001),--(Case_No_Sweep!$F$121:$L$121&lt;Assumptions!$D$90-0.000001))=0),"holds","does not hold"),"error")</f>
        <v>holds</v>
      </c>
      <c r="G153" s="9"/>
      <c r="H153" s="9"/>
      <c r="I153" s="47" t="str">
        <f aca="false">IFERROR(IF(OR(Case_No_Sweep!$D$14=1,SUMPRODUCT(--(Case_No_Sweep!$F$123:$L$123&lt;Assumptions!$D$79-0.000001),--(Case_No_Sweep!$F$121:$L$121&lt;Assumptions!$D$90-0.000001))=0),"PASS","FAIL"),"FAIL")</f>
        <v>PASS</v>
      </c>
    </row>
    <row r="154" customFormat="false" ht="15" hidden="false" customHeight="true" outlineLevel="0" collapsed="false">
      <c r="B154" s="48" t="n">
        <v>145</v>
      </c>
      <c r="C154" s="9" t="s">
        <v>394</v>
      </c>
      <c r="D154" s="37" t="s">
        <v>889</v>
      </c>
      <c r="E154" s="59" t="s">
        <v>784</v>
      </c>
      <c r="F154" s="60" t="str">
        <f aca="false">IFERROR(IF(ABS(Case_No_Sweep!$H$163-(Case_No_Sweep!$H$162-Case_No_Sweep!$H$161))&lt;0.000001,"holds","does not hold"),"error")</f>
        <v>holds</v>
      </c>
      <c r="G154" s="9"/>
      <c r="H154" s="9"/>
      <c r="I154" s="47" t="str">
        <f aca="false">IFERROR(IF(ABS(Case_No_Sweep!$H$163-(Case_No_Sweep!$H$162-Case_No_Sweep!$H$161))&lt;0.000001,"PASS","FAIL"),"FAIL")</f>
        <v>PASS</v>
      </c>
    </row>
    <row r="155" customFormat="false" ht="15" hidden="false" customHeight="true" outlineLevel="0" collapsed="false">
      <c r="B155" s="48" t="n">
        <v>146</v>
      </c>
      <c r="C155" s="9" t="s">
        <v>394</v>
      </c>
      <c r="D155" s="37" t="s">
        <v>890</v>
      </c>
      <c r="E155" s="59" t="s">
        <v>784</v>
      </c>
      <c r="F155" s="60" t="str">
        <f aca="false">IFERROR(IF(ABS(Case_No_Sweep!$D$204)&lt;0.000001,"holds","does not hold"),"error")</f>
        <v>holds</v>
      </c>
      <c r="G155" s="9"/>
      <c r="H155" s="9"/>
      <c r="I155" s="47" t="str">
        <f aca="false">IFERROR(IF(ABS(Case_No_Sweep!$D$204)&lt;0.000001,"PASS","FAIL"),"FAIL")</f>
        <v>PASS</v>
      </c>
    </row>
    <row r="156" customFormat="false" ht="30" hidden="false" customHeight="true" outlineLevel="0" collapsed="false">
      <c r="B156" s="48" t="n">
        <v>147</v>
      </c>
      <c r="C156" s="9" t="s">
        <v>394</v>
      </c>
      <c r="D156" s="37" t="s">
        <v>891</v>
      </c>
      <c r="E156" s="59" t="s">
        <v>784</v>
      </c>
      <c r="F156" s="60" t="str">
        <f aca="false">IFERROR(IF(ABS(Case_No_Sweep!$D$224-Case_No_Sweep!$D$223)&lt;=0.0005,"holds","does not hold"),"error")</f>
        <v>holds</v>
      </c>
      <c r="G156" s="9"/>
      <c r="H156" s="9"/>
      <c r="I156" s="47" t="str">
        <f aca="false">IFERROR(IF(ABS(Case_No_Sweep!$D$224-Case_No_Sweep!$D$223)&lt;=0.0005,"PASS","FAIL"),"FAIL")</f>
        <v>PASS</v>
      </c>
    </row>
    <row r="157" customFormat="false" ht="15" hidden="false" customHeight="true" outlineLevel="0" collapsed="false">
      <c r="B157" s="48" t="n">
        <v>148</v>
      </c>
      <c r="C157" s="9" t="s">
        <v>394</v>
      </c>
      <c r="D157" s="37" t="s">
        <v>892</v>
      </c>
      <c r="E157" s="59" t="s">
        <v>784</v>
      </c>
      <c r="F157" s="60" t="str">
        <f aca="false">IFERROR(IF(ABS(Case_No_Sweep!$D$225-SUMIF(Case_No_Sweep!$E$219:$L$219,"&gt;0")/Case_No_Sweep!$D$226)&lt;0.000001,"holds","does not hold"),"error")</f>
        <v>holds</v>
      </c>
      <c r="G157" s="9"/>
      <c r="H157" s="9"/>
      <c r="I157" s="47" t="str">
        <f aca="false">IFERROR(IF(ABS(Case_No_Sweep!$D$225-SUMIF(Case_No_Sweep!$E$219:$L$219,"&gt;0")/Case_No_Sweep!$D$226)&lt;0.000001,"PASS","FAIL"),"FAIL")</f>
        <v>PASS</v>
      </c>
    </row>
    <row r="158" customFormat="false" ht="15" hidden="false" customHeight="true" outlineLevel="0" collapsed="false">
      <c r="B158" s="48" t="n">
        <v>149</v>
      </c>
      <c r="C158" s="9" t="s">
        <v>396</v>
      </c>
      <c r="D158" s="37" t="s">
        <v>893</v>
      </c>
      <c r="E158" s="59" t="s">
        <v>784</v>
      </c>
      <c r="F158" s="60" t="str">
        <f aca="false">IFERROR(IF(ABS(Case_All_Equity!$D$50)&lt;0.000001,"holds","does not hold"),"error")</f>
        <v>holds</v>
      </c>
      <c r="G158" s="9"/>
      <c r="H158" s="9"/>
      <c r="I158" s="47" t="str">
        <f aca="false">IFERROR(IF(ABS(Case_All_Equity!$D$50)&lt;0.000001,"PASS","FAIL"),"FAIL")</f>
        <v>PASS</v>
      </c>
    </row>
    <row r="159" customFormat="false" ht="15" hidden="false" customHeight="true" outlineLevel="0" collapsed="false">
      <c r="B159" s="48" t="n">
        <v>150</v>
      </c>
      <c r="C159" s="9" t="s">
        <v>396</v>
      </c>
      <c r="D159" s="37" t="s">
        <v>894</v>
      </c>
      <c r="E159" s="59" t="s">
        <v>784</v>
      </c>
      <c r="F159" s="60" t="str">
        <f aca="false">IFERROR(IF(SUMPRODUCT(ABS(Case_All_Equity!$E$154:$L$154))&lt;0.000001,"holds","does not hold"),"error")</f>
        <v>holds</v>
      </c>
      <c r="G159" s="9"/>
      <c r="H159" s="9"/>
      <c r="I159" s="47" t="str">
        <f aca="false">IFERROR(IF(SUMPRODUCT(ABS(Case_All_Equity!$E$154:$L$154))&lt;0.000001,"PASS","FAIL"),"FAIL")</f>
        <v>PASS</v>
      </c>
    </row>
    <row r="160" customFormat="false" ht="15" hidden="false" customHeight="true" outlineLevel="0" collapsed="false">
      <c r="B160" s="48" t="n">
        <v>151</v>
      </c>
      <c r="C160" s="9" t="s">
        <v>396</v>
      </c>
      <c r="D160" s="37" t="s">
        <v>895</v>
      </c>
      <c r="E160" s="59" t="s">
        <v>784</v>
      </c>
      <c r="F160" s="60" t="str">
        <f aca="false">IFERROR(IF(SUMPRODUCT(ABS(Case_All_Equity!$F$126:$L$126))&lt;0.000001,"holds","does not hold"),"error")</f>
        <v>holds</v>
      </c>
      <c r="G160" s="9"/>
      <c r="H160" s="9"/>
      <c r="I160" s="47" t="str">
        <f aca="false">IFERROR(IF(SUMPRODUCT(ABS(Case_All_Equity!$F$126:$L$126))&lt;0.000001,"PASS","FAIL"),"FAIL")</f>
        <v>PASS</v>
      </c>
    </row>
    <row r="161" customFormat="false" ht="15" hidden="false" customHeight="true" outlineLevel="0" collapsed="false">
      <c r="B161" s="48" t="n">
        <v>152</v>
      </c>
      <c r="C161" s="9" t="s">
        <v>396</v>
      </c>
      <c r="D161" s="37" t="s">
        <v>896</v>
      </c>
      <c r="E161" s="59" t="s">
        <v>784</v>
      </c>
      <c r="F161" s="60" t="str">
        <f aca="false">IFERROR(IF(SUM(Case_All_Equity!$F$116:$L$116)&lt;0.000001,"holds","does not hold"),"error")</f>
        <v>holds</v>
      </c>
      <c r="G161" s="9"/>
      <c r="H161" s="9"/>
      <c r="I161" s="47" t="str">
        <f aca="false">IFERROR(IF(SUM(Case_All_Equity!$F$116:$L$116)&lt;0.000001,"PASS","FAIL"),"FAIL")</f>
        <v>PASS</v>
      </c>
    </row>
    <row r="162" customFormat="false" ht="30" hidden="false" customHeight="true" outlineLevel="0" collapsed="false">
      <c r="B162" s="48" t="n">
        <v>153</v>
      </c>
      <c r="C162" s="9" t="s">
        <v>396</v>
      </c>
      <c r="D162" s="37" t="s">
        <v>897</v>
      </c>
      <c r="E162" s="59" t="s">
        <v>784</v>
      </c>
      <c r="F162" s="60" t="str">
        <f aca="false">IFERROR(IF(OR(Case_All_Equity!$D$14=1,SUMPRODUCT(--(Case_All_Equity!$F$123:$L$123&lt;Assumptions!$D$79-0.000001),--(Case_All_Equity!$F$121:$L$121&lt;Assumptions!$D$90-0.000001))=0),"holds","does not hold"),"error")</f>
        <v>holds</v>
      </c>
      <c r="G162" s="9"/>
      <c r="H162" s="9"/>
      <c r="I162" s="47" t="str">
        <f aca="false">IFERROR(IF(OR(Case_All_Equity!$D$14=1,SUMPRODUCT(--(Case_All_Equity!$F$123:$L$123&lt;Assumptions!$D$79-0.000001),--(Case_All_Equity!$F$121:$L$121&lt;Assumptions!$D$90-0.000001))=0),"PASS","FAIL"),"FAIL")</f>
        <v>PASS</v>
      </c>
    </row>
    <row r="163" customFormat="false" ht="15" hidden="false" customHeight="true" outlineLevel="0" collapsed="false">
      <c r="B163" s="48" t="n">
        <v>154</v>
      </c>
      <c r="C163" s="9" t="s">
        <v>396</v>
      </c>
      <c r="D163" s="37" t="s">
        <v>898</v>
      </c>
      <c r="E163" s="59" t="s">
        <v>784</v>
      </c>
      <c r="F163" s="60" t="str">
        <f aca="false">IFERROR(IF(ABS(Case_All_Equity!$H$163-(Case_All_Equity!$H$162-Case_All_Equity!$H$161))&lt;0.000001,"holds","does not hold"),"error")</f>
        <v>holds</v>
      </c>
      <c r="G163" s="9"/>
      <c r="H163" s="9"/>
      <c r="I163" s="47" t="str">
        <f aca="false">IFERROR(IF(ABS(Case_All_Equity!$H$163-(Case_All_Equity!$H$162-Case_All_Equity!$H$161))&lt;0.000001,"PASS","FAIL"),"FAIL")</f>
        <v>PASS</v>
      </c>
    </row>
    <row r="164" customFormat="false" ht="15" hidden="false" customHeight="true" outlineLevel="0" collapsed="false">
      <c r="B164" s="48" t="n">
        <v>155</v>
      </c>
      <c r="C164" s="9" t="s">
        <v>396</v>
      </c>
      <c r="D164" s="37" t="s">
        <v>899</v>
      </c>
      <c r="E164" s="59" t="s">
        <v>784</v>
      </c>
      <c r="F164" s="60" t="str">
        <f aca="false">IFERROR(IF(ABS(Case_All_Equity!$D$204)&lt;0.000001,"holds","does not hold"),"error")</f>
        <v>holds</v>
      </c>
      <c r="G164" s="9"/>
      <c r="H164" s="9"/>
      <c r="I164" s="47" t="str">
        <f aca="false">IFERROR(IF(ABS(Case_All_Equity!$D$204)&lt;0.000001,"PASS","FAIL"),"FAIL")</f>
        <v>PASS</v>
      </c>
    </row>
    <row r="165" customFormat="false" ht="30" hidden="false" customHeight="true" outlineLevel="0" collapsed="false">
      <c r="B165" s="48" t="n">
        <v>156</v>
      </c>
      <c r="C165" s="9" t="s">
        <v>396</v>
      </c>
      <c r="D165" s="37" t="s">
        <v>900</v>
      </c>
      <c r="E165" s="59" t="s">
        <v>784</v>
      </c>
      <c r="F165" s="60" t="str">
        <f aca="false">IFERROR(IF(ABS(Case_All_Equity!$D$224-Case_All_Equity!$D$223)&lt;=0.0005,"holds","does not hold"),"error")</f>
        <v>holds</v>
      </c>
      <c r="G165" s="9"/>
      <c r="H165" s="9"/>
      <c r="I165" s="47" t="str">
        <f aca="false">IFERROR(IF(ABS(Case_All_Equity!$D$224-Case_All_Equity!$D$223)&lt;=0.0005,"PASS","FAIL"),"FAIL")</f>
        <v>PASS</v>
      </c>
    </row>
    <row r="166" customFormat="false" ht="15" hidden="false" customHeight="true" outlineLevel="0" collapsed="false">
      <c r="B166" s="48" t="n">
        <v>157</v>
      </c>
      <c r="C166" s="9" t="s">
        <v>396</v>
      </c>
      <c r="D166" s="37" t="s">
        <v>901</v>
      </c>
      <c r="E166" s="59" t="s">
        <v>784</v>
      </c>
      <c r="F166" s="60" t="str">
        <f aca="false">IFERROR(IF(ABS(Case_All_Equity!$D$225-SUMIF(Case_All_Equity!$E$219:$L$219,"&gt;0")/Case_All_Equity!$D$226)&lt;0.000001,"holds","does not hold"),"error")</f>
        <v>holds</v>
      </c>
      <c r="G166" s="9"/>
      <c r="H166" s="9"/>
      <c r="I166" s="47" t="str">
        <f aca="false">IFERROR(IF(ABS(Case_All_Equity!$D$225-SUMIF(Case_All_Equity!$E$219:$L$219,"&gt;0")/Case_All_Equity!$D$226)&lt;0.000001,"PASS","FAIL"),"FAIL")</f>
        <v>PASS</v>
      </c>
    </row>
    <row r="167" customFormat="false" ht="15" hidden="false" customHeight="true" outlineLevel="0" collapsed="false">
      <c r="B167" s="48" t="n">
        <v>158</v>
      </c>
      <c r="C167" s="9" t="s">
        <v>295</v>
      </c>
      <c r="D167" s="37" t="s">
        <v>902</v>
      </c>
      <c r="E167" s="59" t="s">
        <v>784</v>
      </c>
      <c r="F167" s="60" t="str">
        <f aca="false">IFERROR(IF(ABS('Sens_Wrong_8.0x'!$D$50)&lt;0.000001,"holds","does not hold"),"error")</f>
        <v>holds</v>
      </c>
      <c r="G167" s="9"/>
      <c r="H167" s="9"/>
      <c r="I167" s="47" t="str">
        <f aca="false">IFERROR(IF(ABS('Sens_Wrong_8.0x'!$D$50)&lt;0.000001,"PASS","FAIL"),"FAIL")</f>
        <v>PASS</v>
      </c>
    </row>
    <row r="168" customFormat="false" ht="15" hidden="false" customHeight="true" outlineLevel="0" collapsed="false">
      <c r="B168" s="48" t="n">
        <v>159</v>
      </c>
      <c r="C168" s="9" t="s">
        <v>295</v>
      </c>
      <c r="D168" s="37" t="s">
        <v>903</v>
      </c>
      <c r="E168" s="59" t="s">
        <v>784</v>
      </c>
      <c r="F168" s="60" t="str">
        <f aca="false">IFERROR(IF(SUMPRODUCT(ABS('Sens_Wrong_8.0x'!$E$154:$L$154))&lt;0.000001,"holds","does not hold"),"error")</f>
        <v>holds</v>
      </c>
      <c r="G168" s="9"/>
      <c r="H168" s="9"/>
      <c r="I168" s="47" t="str">
        <f aca="false">IFERROR(IF(SUMPRODUCT(ABS('Sens_Wrong_8.0x'!$E$154:$L$154))&lt;0.000001,"PASS","FAIL"),"FAIL")</f>
        <v>PASS</v>
      </c>
    </row>
    <row r="169" customFormat="false" ht="15" hidden="false" customHeight="true" outlineLevel="0" collapsed="false">
      <c r="B169" s="48" t="n">
        <v>160</v>
      </c>
      <c r="C169" s="9" t="s">
        <v>295</v>
      </c>
      <c r="D169" s="37" t="s">
        <v>904</v>
      </c>
      <c r="E169" s="59" t="s">
        <v>784</v>
      </c>
      <c r="F169" s="60" t="str">
        <f aca="false">IFERROR(IF(SUMPRODUCT(ABS('Sens_Wrong_8.0x'!$F$126:$L$126))&lt;0.000001,"holds","does not hold"),"error")</f>
        <v>holds</v>
      </c>
      <c r="G169" s="9"/>
      <c r="H169" s="9"/>
      <c r="I169" s="47" t="str">
        <f aca="false">IFERROR(IF(SUMPRODUCT(ABS('Sens_Wrong_8.0x'!$F$126:$L$126))&lt;0.000001,"PASS","FAIL"),"FAIL")</f>
        <v>PASS</v>
      </c>
    </row>
    <row r="170" customFormat="false" ht="15" hidden="false" customHeight="true" outlineLevel="0" collapsed="false">
      <c r="B170" s="48" t="n">
        <v>161</v>
      </c>
      <c r="C170" s="9" t="s">
        <v>295</v>
      </c>
      <c r="D170" s="37" t="s">
        <v>905</v>
      </c>
      <c r="E170" s="59" t="s">
        <v>784</v>
      </c>
      <c r="F170" s="60" t="str">
        <f aca="false">IFERROR(IF(SUM('Sens_Wrong_8.0x'!$F$116:$L$116)&lt;0.000001,"holds","does not hold"),"error")</f>
        <v>holds</v>
      </c>
      <c r="G170" s="9"/>
      <c r="H170" s="9"/>
      <c r="I170" s="47" t="str">
        <f aca="false">IFERROR(IF(SUM('Sens_Wrong_8.0x'!$F$116:$L$116)&lt;0.000001,"PASS","FAIL"),"FAIL")</f>
        <v>PASS</v>
      </c>
    </row>
    <row r="171" customFormat="false" ht="30" hidden="false" customHeight="true" outlineLevel="0" collapsed="false">
      <c r="B171" s="48" t="n">
        <v>162</v>
      </c>
      <c r="C171" s="9" t="s">
        <v>295</v>
      </c>
      <c r="D171" s="37" t="s">
        <v>906</v>
      </c>
      <c r="E171" s="59" t="s">
        <v>784</v>
      </c>
      <c r="F171" s="60" t="str">
        <f aca="false">IFERROR(IF(OR('Sens_Wrong_8.0x'!$D$14=1,SUMPRODUCT(--('Sens_Wrong_8.0x'!$F$123:$L$123&lt;Assumptions!$D$79-0.000001),--('Sens_Wrong_8.0x'!$F$121:$L$121&lt;Assumptions!$D$90-0.000001))=0),"holds","does not hold"),"error")</f>
        <v>holds</v>
      </c>
      <c r="G171" s="9"/>
      <c r="H171" s="9"/>
      <c r="I171" s="47" t="str">
        <f aca="false">IFERROR(IF(OR('Sens_Wrong_8.0x'!$D$14=1,SUMPRODUCT(--('Sens_Wrong_8.0x'!$F$123:$L$123&lt;Assumptions!$D$79-0.000001),--('Sens_Wrong_8.0x'!$F$121:$L$121&lt;Assumptions!$D$90-0.000001))=0),"PASS","FAIL"),"FAIL")</f>
        <v>PASS</v>
      </c>
    </row>
    <row r="172" customFormat="false" ht="15" hidden="false" customHeight="true" outlineLevel="0" collapsed="false">
      <c r="B172" s="48" t="n">
        <v>163</v>
      </c>
      <c r="C172" s="9" t="s">
        <v>295</v>
      </c>
      <c r="D172" s="37" t="s">
        <v>907</v>
      </c>
      <c r="E172" s="59" t="s">
        <v>784</v>
      </c>
      <c r="F172" s="60" t="str">
        <f aca="false">IFERROR(IF(ABS('Sens_Wrong_8.0x'!$H$163-('Sens_Wrong_8.0x'!$H$162-'Sens_Wrong_8.0x'!$H$161))&lt;0.000001,"holds","does not hold"),"error")</f>
        <v>holds</v>
      </c>
      <c r="G172" s="9"/>
      <c r="H172" s="9"/>
      <c r="I172" s="47" t="str">
        <f aca="false">IFERROR(IF(ABS('Sens_Wrong_8.0x'!$H$163-('Sens_Wrong_8.0x'!$H$162-'Sens_Wrong_8.0x'!$H$161))&lt;0.000001,"PASS","FAIL"),"FAIL")</f>
        <v>PASS</v>
      </c>
    </row>
    <row r="173" customFormat="false" ht="15" hidden="false" customHeight="true" outlineLevel="0" collapsed="false">
      <c r="B173" s="48" t="n">
        <v>164</v>
      </c>
      <c r="C173" s="9" t="s">
        <v>295</v>
      </c>
      <c r="D173" s="37" t="s">
        <v>908</v>
      </c>
      <c r="E173" s="59" t="s">
        <v>784</v>
      </c>
      <c r="F173" s="60" t="str">
        <f aca="false">IFERROR(IF(ABS('Sens_Wrong_8.0x'!$D$204)&lt;0.000001,"holds","does not hold"),"error")</f>
        <v>holds</v>
      </c>
      <c r="G173" s="9"/>
      <c r="H173" s="9"/>
      <c r="I173" s="47" t="str">
        <f aca="false">IFERROR(IF(ABS('Sens_Wrong_8.0x'!$D$204)&lt;0.000001,"PASS","FAIL"),"FAIL")</f>
        <v>PASS</v>
      </c>
    </row>
    <row r="174" customFormat="false" ht="15" hidden="false" customHeight="true" outlineLevel="0" collapsed="false">
      <c r="B174" s="48" t="n">
        <v>165</v>
      </c>
      <c r="C174" s="9" t="s">
        <v>295</v>
      </c>
      <c r="D174" s="37" t="s">
        <v>909</v>
      </c>
      <c r="E174" s="59" t="s">
        <v>784</v>
      </c>
      <c r="F174" s="60" t="str">
        <f aca="false">IFERROR(IF(ABS('Sens_Wrong_8.0x'!$D$224-'Sens_Wrong_8.0x'!$D$223)&lt;=0.0005,"holds","does not hold"),"error")</f>
        <v>holds</v>
      </c>
      <c r="G174" s="9"/>
      <c r="H174" s="9"/>
      <c r="I174" s="47" t="str">
        <f aca="false">IFERROR(IF(ABS('Sens_Wrong_8.0x'!$D$224-'Sens_Wrong_8.0x'!$D$223)&lt;=0.0005,"PASS","FAIL"),"FAIL")</f>
        <v>PASS</v>
      </c>
    </row>
    <row r="175" customFormat="false" ht="15" hidden="false" customHeight="true" outlineLevel="0" collapsed="false">
      <c r="B175" s="48" t="n">
        <v>166</v>
      </c>
      <c r="C175" s="9" t="s">
        <v>295</v>
      </c>
      <c r="D175" s="37" t="s">
        <v>910</v>
      </c>
      <c r="E175" s="59" t="s">
        <v>784</v>
      </c>
      <c r="F175" s="60" t="str">
        <f aca="false">IFERROR(IF(ABS('Sens_Wrong_8.0x'!$D$225-SUMIF('Sens_Wrong_8.0x'!$E$219:$L$219,"&gt;0")/'Sens_Wrong_8.0x'!$D$226)&lt;0.000001,"holds","does not hold"),"error")</f>
        <v>holds</v>
      </c>
      <c r="G175" s="9"/>
      <c r="H175" s="9"/>
      <c r="I175" s="47" t="str">
        <f aca="false">IFERROR(IF(ABS('Sens_Wrong_8.0x'!$D$225-SUMIF('Sens_Wrong_8.0x'!$E$219:$L$219,"&gt;0")/'Sens_Wrong_8.0x'!$D$226)&lt;0.000001,"PASS","FAIL"),"FAIL")</f>
        <v>PASS</v>
      </c>
    </row>
    <row r="176" customFormat="false" ht="15" hidden="false" customHeight="true" outlineLevel="0" collapsed="false">
      <c r="B176" s="48" t="n">
        <v>167</v>
      </c>
      <c r="C176" s="9" t="s">
        <v>296</v>
      </c>
      <c r="D176" s="37" t="s">
        <v>911</v>
      </c>
      <c r="E176" s="59" t="s">
        <v>784</v>
      </c>
      <c r="F176" s="60" t="str">
        <f aca="false">IFERROR(IF(ABS('Sens_Wrong_8.5x'!$D$50)&lt;0.000001,"holds","does not hold"),"error")</f>
        <v>holds</v>
      </c>
      <c r="G176" s="9"/>
      <c r="H176" s="9"/>
      <c r="I176" s="47" t="str">
        <f aca="false">IFERROR(IF(ABS('Sens_Wrong_8.5x'!$D$50)&lt;0.000001,"PASS","FAIL"),"FAIL")</f>
        <v>PASS</v>
      </c>
    </row>
    <row r="177" customFormat="false" ht="15" hidden="false" customHeight="true" outlineLevel="0" collapsed="false">
      <c r="B177" s="48" t="n">
        <v>168</v>
      </c>
      <c r="C177" s="9" t="s">
        <v>296</v>
      </c>
      <c r="D177" s="37" t="s">
        <v>912</v>
      </c>
      <c r="E177" s="59" t="s">
        <v>784</v>
      </c>
      <c r="F177" s="60" t="str">
        <f aca="false">IFERROR(IF(SUMPRODUCT(ABS('Sens_Wrong_8.5x'!$E$154:$L$154))&lt;0.000001,"holds","does not hold"),"error")</f>
        <v>holds</v>
      </c>
      <c r="G177" s="9"/>
      <c r="H177" s="9"/>
      <c r="I177" s="47" t="str">
        <f aca="false">IFERROR(IF(SUMPRODUCT(ABS('Sens_Wrong_8.5x'!$E$154:$L$154))&lt;0.000001,"PASS","FAIL"),"FAIL")</f>
        <v>PASS</v>
      </c>
    </row>
    <row r="178" customFormat="false" ht="15" hidden="false" customHeight="true" outlineLevel="0" collapsed="false">
      <c r="B178" s="48" t="n">
        <v>169</v>
      </c>
      <c r="C178" s="9" t="s">
        <v>296</v>
      </c>
      <c r="D178" s="37" t="s">
        <v>913</v>
      </c>
      <c r="E178" s="59" t="s">
        <v>784</v>
      </c>
      <c r="F178" s="60" t="str">
        <f aca="false">IFERROR(IF(SUMPRODUCT(ABS('Sens_Wrong_8.5x'!$F$126:$L$126))&lt;0.000001,"holds","does not hold"),"error")</f>
        <v>holds</v>
      </c>
      <c r="G178" s="9"/>
      <c r="H178" s="9"/>
      <c r="I178" s="47" t="str">
        <f aca="false">IFERROR(IF(SUMPRODUCT(ABS('Sens_Wrong_8.5x'!$F$126:$L$126))&lt;0.000001,"PASS","FAIL"),"FAIL")</f>
        <v>PASS</v>
      </c>
    </row>
    <row r="179" customFormat="false" ht="15" hidden="false" customHeight="true" outlineLevel="0" collapsed="false">
      <c r="B179" s="48" t="n">
        <v>170</v>
      </c>
      <c r="C179" s="9" t="s">
        <v>296</v>
      </c>
      <c r="D179" s="37" t="s">
        <v>914</v>
      </c>
      <c r="E179" s="59" t="s">
        <v>784</v>
      </c>
      <c r="F179" s="60" t="str">
        <f aca="false">IFERROR(IF(SUM('Sens_Wrong_8.5x'!$F$116:$L$116)&lt;0.000001,"holds","does not hold"),"error")</f>
        <v>holds</v>
      </c>
      <c r="G179" s="9"/>
      <c r="H179" s="9"/>
      <c r="I179" s="47" t="str">
        <f aca="false">IFERROR(IF(SUM('Sens_Wrong_8.5x'!$F$116:$L$116)&lt;0.000001,"PASS","FAIL"),"FAIL")</f>
        <v>PASS</v>
      </c>
    </row>
    <row r="180" customFormat="false" ht="30" hidden="false" customHeight="true" outlineLevel="0" collapsed="false">
      <c r="B180" s="48" t="n">
        <v>171</v>
      </c>
      <c r="C180" s="9" t="s">
        <v>296</v>
      </c>
      <c r="D180" s="37" t="s">
        <v>915</v>
      </c>
      <c r="E180" s="59" t="s">
        <v>784</v>
      </c>
      <c r="F180" s="60" t="str">
        <f aca="false">IFERROR(IF(OR('Sens_Wrong_8.5x'!$D$14=1,SUMPRODUCT(--('Sens_Wrong_8.5x'!$F$123:$L$123&lt;Assumptions!$D$79-0.000001),--('Sens_Wrong_8.5x'!$F$121:$L$121&lt;Assumptions!$D$90-0.000001))=0),"holds","does not hold"),"error")</f>
        <v>holds</v>
      </c>
      <c r="G180" s="9"/>
      <c r="H180" s="9"/>
      <c r="I180" s="47" t="str">
        <f aca="false">IFERROR(IF(OR('Sens_Wrong_8.5x'!$D$14=1,SUMPRODUCT(--('Sens_Wrong_8.5x'!$F$123:$L$123&lt;Assumptions!$D$79-0.000001),--('Sens_Wrong_8.5x'!$F$121:$L$121&lt;Assumptions!$D$90-0.000001))=0),"PASS","FAIL"),"FAIL")</f>
        <v>PASS</v>
      </c>
    </row>
    <row r="181" customFormat="false" ht="15" hidden="false" customHeight="true" outlineLevel="0" collapsed="false">
      <c r="B181" s="48" t="n">
        <v>172</v>
      </c>
      <c r="C181" s="9" t="s">
        <v>296</v>
      </c>
      <c r="D181" s="37" t="s">
        <v>916</v>
      </c>
      <c r="E181" s="59" t="s">
        <v>784</v>
      </c>
      <c r="F181" s="60" t="str">
        <f aca="false">IFERROR(IF(ABS('Sens_Wrong_8.5x'!$H$163-('Sens_Wrong_8.5x'!$H$162-'Sens_Wrong_8.5x'!$H$161))&lt;0.000001,"holds","does not hold"),"error")</f>
        <v>holds</v>
      </c>
      <c r="G181" s="9"/>
      <c r="H181" s="9"/>
      <c r="I181" s="47" t="str">
        <f aca="false">IFERROR(IF(ABS('Sens_Wrong_8.5x'!$H$163-('Sens_Wrong_8.5x'!$H$162-'Sens_Wrong_8.5x'!$H$161))&lt;0.000001,"PASS","FAIL"),"FAIL")</f>
        <v>PASS</v>
      </c>
    </row>
    <row r="182" customFormat="false" ht="15" hidden="false" customHeight="true" outlineLevel="0" collapsed="false">
      <c r="B182" s="48" t="n">
        <v>173</v>
      </c>
      <c r="C182" s="9" t="s">
        <v>296</v>
      </c>
      <c r="D182" s="37" t="s">
        <v>917</v>
      </c>
      <c r="E182" s="59" t="s">
        <v>784</v>
      </c>
      <c r="F182" s="60" t="str">
        <f aca="false">IFERROR(IF(ABS('Sens_Wrong_8.5x'!$D$204)&lt;0.000001,"holds","does not hold"),"error")</f>
        <v>holds</v>
      </c>
      <c r="G182" s="9"/>
      <c r="H182" s="9"/>
      <c r="I182" s="47" t="str">
        <f aca="false">IFERROR(IF(ABS('Sens_Wrong_8.5x'!$D$204)&lt;0.000001,"PASS","FAIL"),"FAIL")</f>
        <v>PASS</v>
      </c>
    </row>
    <row r="183" customFormat="false" ht="15" hidden="false" customHeight="true" outlineLevel="0" collapsed="false">
      <c r="B183" s="48" t="n">
        <v>174</v>
      </c>
      <c r="C183" s="9" t="s">
        <v>296</v>
      </c>
      <c r="D183" s="37" t="s">
        <v>918</v>
      </c>
      <c r="E183" s="59" t="s">
        <v>784</v>
      </c>
      <c r="F183" s="60" t="str">
        <f aca="false">IFERROR(IF(ABS('Sens_Wrong_8.5x'!$D$224-'Sens_Wrong_8.5x'!$D$223)&lt;=0.0005,"holds","does not hold"),"error")</f>
        <v>holds</v>
      </c>
      <c r="G183" s="9"/>
      <c r="H183" s="9"/>
      <c r="I183" s="47" t="str">
        <f aca="false">IFERROR(IF(ABS('Sens_Wrong_8.5x'!$D$224-'Sens_Wrong_8.5x'!$D$223)&lt;=0.0005,"PASS","FAIL"),"FAIL")</f>
        <v>PASS</v>
      </c>
    </row>
    <row r="184" customFormat="false" ht="15" hidden="false" customHeight="true" outlineLevel="0" collapsed="false">
      <c r="B184" s="48" t="n">
        <v>175</v>
      </c>
      <c r="C184" s="9" t="s">
        <v>296</v>
      </c>
      <c r="D184" s="37" t="s">
        <v>919</v>
      </c>
      <c r="E184" s="59" t="s">
        <v>784</v>
      </c>
      <c r="F184" s="60" t="str">
        <f aca="false">IFERROR(IF(ABS('Sens_Wrong_8.5x'!$D$225-SUMIF('Sens_Wrong_8.5x'!$E$219:$L$219,"&gt;0")/'Sens_Wrong_8.5x'!$D$226)&lt;0.000001,"holds","does not hold"),"error")</f>
        <v>holds</v>
      </c>
      <c r="G184" s="9"/>
      <c r="H184" s="9"/>
      <c r="I184" s="47" t="str">
        <f aca="false">IFERROR(IF(ABS('Sens_Wrong_8.5x'!$D$225-SUMIF('Sens_Wrong_8.5x'!$E$219:$L$219,"&gt;0")/'Sens_Wrong_8.5x'!$D$226)&lt;0.000001,"PASS","FAIL"),"FAIL")</f>
        <v>PASS</v>
      </c>
    </row>
    <row r="185" customFormat="false" ht="15" hidden="false" customHeight="true" outlineLevel="0" collapsed="false">
      <c r="B185" s="48" t="n">
        <v>176</v>
      </c>
      <c r="C185" s="9" t="s">
        <v>297</v>
      </c>
      <c r="D185" s="37" t="s">
        <v>920</v>
      </c>
      <c r="E185" s="59" t="s">
        <v>784</v>
      </c>
      <c r="F185" s="60" t="str">
        <f aca="false">IFERROR(IF(ABS('Sens_Wrong_9.0x'!$D$50)&lt;0.000001,"holds","does not hold"),"error")</f>
        <v>holds</v>
      </c>
      <c r="G185" s="9"/>
      <c r="H185" s="9"/>
      <c r="I185" s="47" t="str">
        <f aca="false">IFERROR(IF(ABS('Sens_Wrong_9.0x'!$D$50)&lt;0.000001,"PASS","FAIL"),"FAIL")</f>
        <v>PASS</v>
      </c>
    </row>
    <row r="186" customFormat="false" ht="15" hidden="false" customHeight="true" outlineLevel="0" collapsed="false">
      <c r="B186" s="48" t="n">
        <v>177</v>
      </c>
      <c r="C186" s="9" t="s">
        <v>297</v>
      </c>
      <c r="D186" s="37" t="s">
        <v>921</v>
      </c>
      <c r="E186" s="59" t="s">
        <v>784</v>
      </c>
      <c r="F186" s="60" t="str">
        <f aca="false">IFERROR(IF(SUMPRODUCT(ABS('Sens_Wrong_9.0x'!$E$154:$L$154))&lt;0.000001,"holds","does not hold"),"error")</f>
        <v>holds</v>
      </c>
      <c r="G186" s="9"/>
      <c r="H186" s="9"/>
      <c r="I186" s="47" t="str">
        <f aca="false">IFERROR(IF(SUMPRODUCT(ABS('Sens_Wrong_9.0x'!$E$154:$L$154))&lt;0.000001,"PASS","FAIL"),"FAIL")</f>
        <v>PASS</v>
      </c>
    </row>
    <row r="187" customFormat="false" ht="15" hidden="false" customHeight="true" outlineLevel="0" collapsed="false">
      <c r="B187" s="48" t="n">
        <v>178</v>
      </c>
      <c r="C187" s="9" t="s">
        <v>297</v>
      </c>
      <c r="D187" s="37" t="s">
        <v>922</v>
      </c>
      <c r="E187" s="59" t="s">
        <v>784</v>
      </c>
      <c r="F187" s="60" t="str">
        <f aca="false">IFERROR(IF(SUMPRODUCT(ABS('Sens_Wrong_9.0x'!$F$126:$L$126))&lt;0.000001,"holds","does not hold"),"error")</f>
        <v>holds</v>
      </c>
      <c r="G187" s="9"/>
      <c r="H187" s="9"/>
      <c r="I187" s="47" t="str">
        <f aca="false">IFERROR(IF(SUMPRODUCT(ABS('Sens_Wrong_9.0x'!$F$126:$L$126))&lt;0.000001,"PASS","FAIL"),"FAIL")</f>
        <v>PASS</v>
      </c>
    </row>
    <row r="188" customFormat="false" ht="15" hidden="false" customHeight="true" outlineLevel="0" collapsed="false">
      <c r="B188" s="48" t="n">
        <v>179</v>
      </c>
      <c r="C188" s="9" t="s">
        <v>297</v>
      </c>
      <c r="D188" s="37" t="s">
        <v>923</v>
      </c>
      <c r="E188" s="59" t="s">
        <v>784</v>
      </c>
      <c r="F188" s="60" t="str">
        <f aca="false">IFERROR(IF(SUM('Sens_Wrong_9.0x'!$F$116:$L$116)&lt;0.000001,"holds","does not hold"),"error")</f>
        <v>holds</v>
      </c>
      <c r="G188" s="9"/>
      <c r="H188" s="9"/>
      <c r="I188" s="47" t="str">
        <f aca="false">IFERROR(IF(SUM('Sens_Wrong_9.0x'!$F$116:$L$116)&lt;0.000001,"PASS","FAIL"),"FAIL")</f>
        <v>PASS</v>
      </c>
    </row>
    <row r="189" customFormat="false" ht="30" hidden="false" customHeight="true" outlineLevel="0" collapsed="false">
      <c r="B189" s="48" t="n">
        <v>180</v>
      </c>
      <c r="C189" s="9" t="s">
        <v>297</v>
      </c>
      <c r="D189" s="37" t="s">
        <v>924</v>
      </c>
      <c r="E189" s="59" t="s">
        <v>784</v>
      </c>
      <c r="F189" s="60" t="str">
        <f aca="false">IFERROR(IF(OR('Sens_Wrong_9.0x'!$D$14=1,SUMPRODUCT(--('Sens_Wrong_9.0x'!$F$123:$L$123&lt;Assumptions!$D$79-0.000001),--('Sens_Wrong_9.0x'!$F$121:$L$121&lt;Assumptions!$D$90-0.000001))=0),"holds","does not hold"),"error")</f>
        <v>holds</v>
      </c>
      <c r="G189" s="9"/>
      <c r="H189" s="9"/>
      <c r="I189" s="47" t="str">
        <f aca="false">IFERROR(IF(OR('Sens_Wrong_9.0x'!$D$14=1,SUMPRODUCT(--('Sens_Wrong_9.0x'!$F$123:$L$123&lt;Assumptions!$D$79-0.000001),--('Sens_Wrong_9.0x'!$F$121:$L$121&lt;Assumptions!$D$90-0.000001))=0),"PASS","FAIL"),"FAIL")</f>
        <v>PASS</v>
      </c>
    </row>
    <row r="190" customFormat="false" ht="15" hidden="false" customHeight="true" outlineLevel="0" collapsed="false">
      <c r="B190" s="48" t="n">
        <v>181</v>
      </c>
      <c r="C190" s="9" t="s">
        <v>297</v>
      </c>
      <c r="D190" s="37" t="s">
        <v>925</v>
      </c>
      <c r="E190" s="59" t="s">
        <v>784</v>
      </c>
      <c r="F190" s="60" t="str">
        <f aca="false">IFERROR(IF(ABS('Sens_Wrong_9.0x'!$H$163-('Sens_Wrong_9.0x'!$H$162-'Sens_Wrong_9.0x'!$H$161))&lt;0.000001,"holds","does not hold"),"error")</f>
        <v>holds</v>
      </c>
      <c r="G190" s="9"/>
      <c r="H190" s="9"/>
      <c r="I190" s="47" t="str">
        <f aca="false">IFERROR(IF(ABS('Sens_Wrong_9.0x'!$H$163-('Sens_Wrong_9.0x'!$H$162-'Sens_Wrong_9.0x'!$H$161))&lt;0.000001,"PASS","FAIL"),"FAIL")</f>
        <v>PASS</v>
      </c>
    </row>
    <row r="191" customFormat="false" ht="15" hidden="false" customHeight="true" outlineLevel="0" collapsed="false">
      <c r="B191" s="48" t="n">
        <v>182</v>
      </c>
      <c r="C191" s="9" t="s">
        <v>297</v>
      </c>
      <c r="D191" s="37" t="s">
        <v>926</v>
      </c>
      <c r="E191" s="59" t="s">
        <v>784</v>
      </c>
      <c r="F191" s="60" t="str">
        <f aca="false">IFERROR(IF(ABS('Sens_Wrong_9.0x'!$D$204)&lt;0.000001,"holds","does not hold"),"error")</f>
        <v>holds</v>
      </c>
      <c r="G191" s="9"/>
      <c r="H191" s="9"/>
      <c r="I191" s="47" t="str">
        <f aca="false">IFERROR(IF(ABS('Sens_Wrong_9.0x'!$D$204)&lt;0.000001,"PASS","FAIL"),"FAIL")</f>
        <v>PASS</v>
      </c>
    </row>
    <row r="192" customFormat="false" ht="15" hidden="false" customHeight="true" outlineLevel="0" collapsed="false">
      <c r="B192" s="48" t="n">
        <v>183</v>
      </c>
      <c r="C192" s="9" t="s">
        <v>297</v>
      </c>
      <c r="D192" s="37" t="s">
        <v>927</v>
      </c>
      <c r="E192" s="59" t="s">
        <v>784</v>
      </c>
      <c r="F192" s="60" t="str">
        <f aca="false">IFERROR(IF(ABS('Sens_Wrong_9.0x'!$D$224-'Sens_Wrong_9.0x'!$D$223)&lt;=0.0005,"holds","does not hold"),"error")</f>
        <v>holds</v>
      </c>
      <c r="G192" s="9"/>
      <c r="H192" s="9"/>
      <c r="I192" s="47" t="str">
        <f aca="false">IFERROR(IF(ABS('Sens_Wrong_9.0x'!$D$224-'Sens_Wrong_9.0x'!$D$223)&lt;=0.0005,"PASS","FAIL"),"FAIL")</f>
        <v>PASS</v>
      </c>
    </row>
    <row r="193" customFormat="false" ht="15" hidden="false" customHeight="true" outlineLevel="0" collapsed="false">
      <c r="B193" s="48" t="n">
        <v>184</v>
      </c>
      <c r="C193" s="9" t="s">
        <v>297</v>
      </c>
      <c r="D193" s="37" t="s">
        <v>928</v>
      </c>
      <c r="E193" s="59" t="s">
        <v>784</v>
      </c>
      <c r="F193" s="60" t="str">
        <f aca="false">IFERROR(IF(ABS('Sens_Wrong_9.0x'!$D$225-SUMIF('Sens_Wrong_9.0x'!$E$219:$L$219,"&gt;0")/'Sens_Wrong_9.0x'!$D$226)&lt;0.000001,"holds","does not hold"),"error")</f>
        <v>holds</v>
      </c>
      <c r="G193" s="9"/>
      <c r="H193" s="9"/>
      <c r="I193" s="47" t="str">
        <f aca="false">IFERROR(IF(ABS('Sens_Wrong_9.0x'!$D$225-SUMIF('Sens_Wrong_9.0x'!$E$219:$L$219,"&gt;0")/'Sens_Wrong_9.0x'!$D$226)&lt;0.000001,"PASS","FAIL"),"FAIL")</f>
        <v>PASS</v>
      </c>
    </row>
    <row r="194" customFormat="false" ht="15" hidden="false" customHeight="true" outlineLevel="0" collapsed="false">
      <c r="B194" s="48" t="n">
        <v>185</v>
      </c>
      <c r="C194" s="9" t="s">
        <v>298</v>
      </c>
      <c r="D194" s="37" t="s">
        <v>929</v>
      </c>
      <c r="E194" s="59" t="s">
        <v>784</v>
      </c>
      <c r="F194" s="60" t="str">
        <f aca="false">IFERROR(IF(ABS('Sens_Wrong_9.5x'!$D$50)&lt;0.000001,"holds","does not hold"),"error")</f>
        <v>holds</v>
      </c>
      <c r="G194" s="9"/>
      <c r="H194" s="9"/>
      <c r="I194" s="47" t="str">
        <f aca="false">IFERROR(IF(ABS('Sens_Wrong_9.5x'!$D$50)&lt;0.000001,"PASS","FAIL"),"FAIL")</f>
        <v>PASS</v>
      </c>
    </row>
    <row r="195" customFormat="false" ht="15" hidden="false" customHeight="true" outlineLevel="0" collapsed="false">
      <c r="B195" s="48" t="n">
        <v>186</v>
      </c>
      <c r="C195" s="9" t="s">
        <v>298</v>
      </c>
      <c r="D195" s="37" t="s">
        <v>930</v>
      </c>
      <c r="E195" s="59" t="s">
        <v>784</v>
      </c>
      <c r="F195" s="60" t="str">
        <f aca="false">IFERROR(IF(SUMPRODUCT(ABS('Sens_Wrong_9.5x'!$E$154:$L$154))&lt;0.000001,"holds","does not hold"),"error")</f>
        <v>holds</v>
      </c>
      <c r="G195" s="9"/>
      <c r="H195" s="9"/>
      <c r="I195" s="47" t="str">
        <f aca="false">IFERROR(IF(SUMPRODUCT(ABS('Sens_Wrong_9.5x'!$E$154:$L$154))&lt;0.000001,"PASS","FAIL"),"FAIL")</f>
        <v>PASS</v>
      </c>
    </row>
    <row r="196" customFormat="false" ht="15" hidden="false" customHeight="true" outlineLevel="0" collapsed="false">
      <c r="B196" s="48" t="n">
        <v>187</v>
      </c>
      <c r="C196" s="9" t="s">
        <v>298</v>
      </c>
      <c r="D196" s="37" t="s">
        <v>931</v>
      </c>
      <c r="E196" s="59" t="s">
        <v>784</v>
      </c>
      <c r="F196" s="60" t="str">
        <f aca="false">IFERROR(IF(SUMPRODUCT(ABS('Sens_Wrong_9.5x'!$F$126:$L$126))&lt;0.000001,"holds","does not hold"),"error")</f>
        <v>holds</v>
      </c>
      <c r="G196" s="9"/>
      <c r="H196" s="9"/>
      <c r="I196" s="47" t="str">
        <f aca="false">IFERROR(IF(SUMPRODUCT(ABS('Sens_Wrong_9.5x'!$F$126:$L$126))&lt;0.000001,"PASS","FAIL"),"FAIL")</f>
        <v>PASS</v>
      </c>
    </row>
    <row r="197" customFormat="false" ht="15" hidden="false" customHeight="true" outlineLevel="0" collapsed="false">
      <c r="B197" s="48" t="n">
        <v>188</v>
      </c>
      <c r="C197" s="9" t="s">
        <v>298</v>
      </c>
      <c r="D197" s="37" t="s">
        <v>932</v>
      </c>
      <c r="E197" s="59" t="s">
        <v>784</v>
      </c>
      <c r="F197" s="60" t="str">
        <f aca="false">IFERROR(IF(SUM('Sens_Wrong_9.5x'!$F$116:$L$116)&lt;0.000001,"holds","does not hold"),"error")</f>
        <v>holds</v>
      </c>
      <c r="G197" s="9"/>
      <c r="H197" s="9"/>
      <c r="I197" s="47" t="str">
        <f aca="false">IFERROR(IF(SUM('Sens_Wrong_9.5x'!$F$116:$L$116)&lt;0.000001,"PASS","FAIL"),"FAIL")</f>
        <v>PASS</v>
      </c>
    </row>
    <row r="198" customFormat="false" ht="30" hidden="false" customHeight="true" outlineLevel="0" collapsed="false">
      <c r="B198" s="48" t="n">
        <v>189</v>
      </c>
      <c r="C198" s="9" t="s">
        <v>298</v>
      </c>
      <c r="D198" s="37" t="s">
        <v>933</v>
      </c>
      <c r="E198" s="59" t="s">
        <v>784</v>
      </c>
      <c r="F198" s="60" t="str">
        <f aca="false">IFERROR(IF(OR('Sens_Wrong_9.5x'!$D$14=1,SUMPRODUCT(--('Sens_Wrong_9.5x'!$F$123:$L$123&lt;Assumptions!$D$79-0.000001),--('Sens_Wrong_9.5x'!$F$121:$L$121&lt;Assumptions!$D$90-0.000001))=0),"holds","does not hold"),"error")</f>
        <v>holds</v>
      </c>
      <c r="G198" s="9"/>
      <c r="H198" s="9"/>
      <c r="I198" s="47" t="str">
        <f aca="false">IFERROR(IF(OR('Sens_Wrong_9.5x'!$D$14=1,SUMPRODUCT(--('Sens_Wrong_9.5x'!$F$123:$L$123&lt;Assumptions!$D$79-0.000001),--('Sens_Wrong_9.5x'!$F$121:$L$121&lt;Assumptions!$D$90-0.000001))=0),"PASS","FAIL"),"FAIL")</f>
        <v>PASS</v>
      </c>
    </row>
    <row r="199" customFormat="false" ht="15" hidden="false" customHeight="true" outlineLevel="0" collapsed="false">
      <c r="B199" s="48" t="n">
        <v>190</v>
      </c>
      <c r="C199" s="9" t="s">
        <v>298</v>
      </c>
      <c r="D199" s="37" t="s">
        <v>934</v>
      </c>
      <c r="E199" s="59" t="s">
        <v>784</v>
      </c>
      <c r="F199" s="60" t="str">
        <f aca="false">IFERROR(IF(ABS('Sens_Wrong_9.5x'!$H$163-('Sens_Wrong_9.5x'!$H$162-'Sens_Wrong_9.5x'!$H$161))&lt;0.000001,"holds","does not hold"),"error")</f>
        <v>holds</v>
      </c>
      <c r="G199" s="9"/>
      <c r="H199" s="9"/>
      <c r="I199" s="47" t="str">
        <f aca="false">IFERROR(IF(ABS('Sens_Wrong_9.5x'!$H$163-('Sens_Wrong_9.5x'!$H$162-'Sens_Wrong_9.5x'!$H$161))&lt;0.000001,"PASS","FAIL"),"FAIL")</f>
        <v>PASS</v>
      </c>
    </row>
    <row r="200" customFormat="false" ht="15" hidden="false" customHeight="true" outlineLevel="0" collapsed="false">
      <c r="B200" s="48" t="n">
        <v>191</v>
      </c>
      <c r="C200" s="9" t="s">
        <v>298</v>
      </c>
      <c r="D200" s="37" t="s">
        <v>935</v>
      </c>
      <c r="E200" s="59" t="s">
        <v>784</v>
      </c>
      <c r="F200" s="60" t="str">
        <f aca="false">IFERROR(IF(ABS('Sens_Wrong_9.5x'!$D$204)&lt;0.000001,"holds","does not hold"),"error")</f>
        <v>holds</v>
      </c>
      <c r="G200" s="9"/>
      <c r="H200" s="9"/>
      <c r="I200" s="47" t="str">
        <f aca="false">IFERROR(IF(ABS('Sens_Wrong_9.5x'!$D$204)&lt;0.000001,"PASS","FAIL"),"FAIL")</f>
        <v>PASS</v>
      </c>
    </row>
    <row r="201" customFormat="false" ht="15" hidden="false" customHeight="true" outlineLevel="0" collapsed="false">
      <c r="B201" s="48" t="n">
        <v>192</v>
      </c>
      <c r="C201" s="9" t="s">
        <v>298</v>
      </c>
      <c r="D201" s="37" t="s">
        <v>936</v>
      </c>
      <c r="E201" s="59" t="s">
        <v>784</v>
      </c>
      <c r="F201" s="60" t="str">
        <f aca="false">IFERROR(IF(ABS('Sens_Wrong_9.5x'!$D$224-'Sens_Wrong_9.5x'!$D$223)&lt;=0.0005,"holds","does not hold"),"error")</f>
        <v>holds</v>
      </c>
      <c r="G201" s="9"/>
      <c r="H201" s="9"/>
      <c r="I201" s="47" t="str">
        <f aca="false">IFERROR(IF(ABS('Sens_Wrong_9.5x'!$D$224-'Sens_Wrong_9.5x'!$D$223)&lt;=0.0005,"PASS","FAIL"),"FAIL")</f>
        <v>PASS</v>
      </c>
    </row>
    <row r="202" customFormat="false" ht="15" hidden="false" customHeight="true" outlineLevel="0" collapsed="false">
      <c r="B202" s="48" t="n">
        <v>193</v>
      </c>
      <c r="C202" s="9" t="s">
        <v>298</v>
      </c>
      <c r="D202" s="37" t="s">
        <v>937</v>
      </c>
      <c r="E202" s="59" t="s">
        <v>784</v>
      </c>
      <c r="F202" s="60" t="str">
        <f aca="false">IFERROR(IF(ABS('Sens_Wrong_9.5x'!$D$225-SUMIF('Sens_Wrong_9.5x'!$E$219:$L$219,"&gt;0")/'Sens_Wrong_9.5x'!$D$226)&lt;0.000001,"holds","does not hold"),"error")</f>
        <v>holds</v>
      </c>
      <c r="G202" s="9"/>
      <c r="H202" s="9"/>
      <c r="I202" s="47" t="str">
        <f aca="false">IFERROR(IF(ABS('Sens_Wrong_9.5x'!$D$225-SUMIF('Sens_Wrong_9.5x'!$E$219:$L$219,"&gt;0")/'Sens_Wrong_9.5x'!$D$226)&lt;0.000001,"PASS","FAIL"),"FAIL")</f>
        <v>PASS</v>
      </c>
    </row>
    <row r="203" customFormat="false" ht="15" hidden="false" customHeight="true" outlineLevel="0" collapsed="false">
      <c r="B203" s="48" t="n">
        <v>194</v>
      </c>
      <c r="C203" s="9" t="s">
        <v>299</v>
      </c>
      <c r="D203" s="37" t="s">
        <v>938</v>
      </c>
      <c r="E203" s="59" t="s">
        <v>784</v>
      </c>
      <c r="F203" s="60" t="str">
        <f aca="false">IFERROR(IF(ABS('Sens_Wrong_10.0x'!$D$50)&lt;0.000001,"holds","does not hold"),"error")</f>
        <v>holds</v>
      </c>
      <c r="G203" s="9"/>
      <c r="H203" s="9"/>
      <c r="I203" s="47" t="str">
        <f aca="false">IFERROR(IF(ABS('Sens_Wrong_10.0x'!$D$50)&lt;0.000001,"PASS","FAIL"),"FAIL")</f>
        <v>PASS</v>
      </c>
    </row>
    <row r="204" customFormat="false" ht="15" hidden="false" customHeight="true" outlineLevel="0" collapsed="false">
      <c r="B204" s="48" t="n">
        <v>195</v>
      </c>
      <c r="C204" s="9" t="s">
        <v>299</v>
      </c>
      <c r="D204" s="37" t="s">
        <v>939</v>
      </c>
      <c r="E204" s="59" t="s">
        <v>784</v>
      </c>
      <c r="F204" s="60" t="str">
        <f aca="false">IFERROR(IF(SUMPRODUCT(ABS('Sens_Wrong_10.0x'!$E$154:$L$154))&lt;0.000001,"holds","does not hold"),"error")</f>
        <v>holds</v>
      </c>
      <c r="G204" s="9"/>
      <c r="H204" s="9"/>
      <c r="I204" s="47" t="str">
        <f aca="false">IFERROR(IF(SUMPRODUCT(ABS('Sens_Wrong_10.0x'!$E$154:$L$154))&lt;0.000001,"PASS","FAIL"),"FAIL")</f>
        <v>PASS</v>
      </c>
    </row>
    <row r="205" customFormat="false" ht="15" hidden="false" customHeight="true" outlineLevel="0" collapsed="false">
      <c r="B205" s="48" t="n">
        <v>196</v>
      </c>
      <c r="C205" s="9" t="s">
        <v>299</v>
      </c>
      <c r="D205" s="37" t="s">
        <v>940</v>
      </c>
      <c r="E205" s="59" t="s">
        <v>784</v>
      </c>
      <c r="F205" s="60" t="str">
        <f aca="false">IFERROR(IF(SUMPRODUCT(ABS('Sens_Wrong_10.0x'!$F$126:$L$126))&lt;0.000001,"holds","does not hold"),"error")</f>
        <v>holds</v>
      </c>
      <c r="G205" s="9"/>
      <c r="H205" s="9"/>
      <c r="I205" s="47" t="str">
        <f aca="false">IFERROR(IF(SUMPRODUCT(ABS('Sens_Wrong_10.0x'!$F$126:$L$126))&lt;0.000001,"PASS","FAIL"),"FAIL")</f>
        <v>PASS</v>
      </c>
    </row>
    <row r="206" customFormat="false" ht="15" hidden="false" customHeight="true" outlineLevel="0" collapsed="false">
      <c r="B206" s="48" t="n">
        <v>197</v>
      </c>
      <c r="C206" s="9" t="s">
        <v>299</v>
      </c>
      <c r="D206" s="37" t="s">
        <v>941</v>
      </c>
      <c r="E206" s="59" t="s">
        <v>784</v>
      </c>
      <c r="F206" s="60" t="str">
        <f aca="false">IFERROR(IF(SUM('Sens_Wrong_10.0x'!$F$116:$L$116)&lt;0.000001,"holds","does not hold"),"error")</f>
        <v>holds</v>
      </c>
      <c r="G206" s="9"/>
      <c r="H206" s="9"/>
      <c r="I206" s="47" t="str">
        <f aca="false">IFERROR(IF(SUM('Sens_Wrong_10.0x'!$F$116:$L$116)&lt;0.000001,"PASS","FAIL"),"FAIL")</f>
        <v>PASS</v>
      </c>
    </row>
    <row r="207" customFormat="false" ht="30" hidden="false" customHeight="true" outlineLevel="0" collapsed="false">
      <c r="B207" s="48" t="n">
        <v>198</v>
      </c>
      <c r="C207" s="9" t="s">
        <v>299</v>
      </c>
      <c r="D207" s="37" t="s">
        <v>942</v>
      </c>
      <c r="E207" s="59" t="s">
        <v>784</v>
      </c>
      <c r="F207" s="60" t="str">
        <f aca="false">IFERROR(IF(OR('Sens_Wrong_10.0x'!$D$14=1,SUMPRODUCT(--('Sens_Wrong_10.0x'!$F$123:$L$123&lt;Assumptions!$D$79-0.000001),--('Sens_Wrong_10.0x'!$F$121:$L$121&lt;Assumptions!$D$90-0.000001))=0),"holds","does not hold"),"error")</f>
        <v>holds</v>
      </c>
      <c r="G207" s="9"/>
      <c r="H207" s="9"/>
      <c r="I207" s="47" t="str">
        <f aca="false">IFERROR(IF(OR('Sens_Wrong_10.0x'!$D$14=1,SUMPRODUCT(--('Sens_Wrong_10.0x'!$F$123:$L$123&lt;Assumptions!$D$79-0.000001),--('Sens_Wrong_10.0x'!$F$121:$L$121&lt;Assumptions!$D$90-0.000001))=0),"PASS","FAIL"),"FAIL")</f>
        <v>PASS</v>
      </c>
    </row>
    <row r="208" customFormat="false" ht="15" hidden="false" customHeight="true" outlineLevel="0" collapsed="false">
      <c r="B208" s="48" t="n">
        <v>199</v>
      </c>
      <c r="C208" s="9" t="s">
        <v>299</v>
      </c>
      <c r="D208" s="37" t="s">
        <v>943</v>
      </c>
      <c r="E208" s="59" t="s">
        <v>784</v>
      </c>
      <c r="F208" s="60" t="str">
        <f aca="false">IFERROR(IF(ABS('Sens_Wrong_10.0x'!$H$163-('Sens_Wrong_10.0x'!$H$162-'Sens_Wrong_10.0x'!$H$161))&lt;0.000001,"holds","does not hold"),"error")</f>
        <v>holds</v>
      </c>
      <c r="G208" s="9"/>
      <c r="H208" s="9"/>
      <c r="I208" s="47" t="str">
        <f aca="false">IFERROR(IF(ABS('Sens_Wrong_10.0x'!$H$163-('Sens_Wrong_10.0x'!$H$162-'Sens_Wrong_10.0x'!$H$161))&lt;0.000001,"PASS","FAIL"),"FAIL")</f>
        <v>PASS</v>
      </c>
    </row>
    <row r="209" customFormat="false" ht="15" hidden="false" customHeight="true" outlineLevel="0" collapsed="false">
      <c r="B209" s="48" t="n">
        <v>200</v>
      </c>
      <c r="C209" s="9" t="s">
        <v>299</v>
      </c>
      <c r="D209" s="37" t="s">
        <v>944</v>
      </c>
      <c r="E209" s="59" t="s">
        <v>784</v>
      </c>
      <c r="F209" s="60" t="str">
        <f aca="false">IFERROR(IF(ABS('Sens_Wrong_10.0x'!$D$204)&lt;0.000001,"holds","does not hold"),"error")</f>
        <v>holds</v>
      </c>
      <c r="G209" s="9"/>
      <c r="H209" s="9"/>
      <c r="I209" s="47" t="str">
        <f aca="false">IFERROR(IF(ABS('Sens_Wrong_10.0x'!$D$204)&lt;0.000001,"PASS","FAIL"),"FAIL")</f>
        <v>PASS</v>
      </c>
    </row>
    <row r="210" customFormat="false" ht="30" hidden="false" customHeight="true" outlineLevel="0" collapsed="false">
      <c r="B210" s="48" t="n">
        <v>201</v>
      </c>
      <c r="C210" s="9" t="s">
        <v>299</v>
      </c>
      <c r="D210" s="37" t="s">
        <v>945</v>
      </c>
      <c r="E210" s="59" t="s">
        <v>784</v>
      </c>
      <c r="F210" s="60" t="str">
        <f aca="false">IFERROR(IF(ABS('Sens_Wrong_10.0x'!$D$224-'Sens_Wrong_10.0x'!$D$223)&lt;=0.0005,"holds","does not hold"),"error")</f>
        <v>holds</v>
      </c>
      <c r="G210" s="9"/>
      <c r="H210" s="9"/>
      <c r="I210" s="47" t="str">
        <f aca="false">IFERROR(IF(ABS('Sens_Wrong_10.0x'!$D$224-'Sens_Wrong_10.0x'!$D$223)&lt;=0.0005,"PASS","FAIL"),"FAIL")</f>
        <v>PASS</v>
      </c>
    </row>
    <row r="211" customFormat="false" ht="15" hidden="false" customHeight="true" outlineLevel="0" collapsed="false">
      <c r="B211" s="48" t="n">
        <v>202</v>
      </c>
      <c r="C211" s="9" t="s">
        <v>299</v>
      </c>
      <c r="D211" s="37" t="s">
        <v>946</v>
      </c>
      <c r="E211" s="59" t="s">
        <v>784</v>
      </c>
      <c r="F211" s="60" t="str">
        <f aca="false">IFERROR(IF(ABS('Sens_Wrong_10.0x'!$D$225-SUMIF('Sens_Wrong_10.0x'!$E$219:$L$219,"&gt;0")/'Sens_Wrong_10.0x'!$D$226)&lt;0.000001,"holds","does not hold"),"error")</f>
        <v>holds</v>
      </c>
      <c r="G211" s="9"/>
      <c r="H211" s="9"/>
      <c r="I211" s="47" t="str">
        <f aca="false">IFERROR(IF(ABS('Sens_Wrong_10.0x'!$D$225-SUMIF('Sens_Wrong_10.0x'!$E$219:$L$219,"&gt;0")/'Sens_Wrong_10.0x'!$D$226)&lt;0.000001,"PASS","FAIL"),"FAIL")</f>
        <v>PASS</v>
      </c>
    </row>
    <row r="212" customFormat="false" ht="15" hidden="false" customHeight="true" outlineLevel="0" collapsed="false">
      <c r="B212" s="48" t="n">
        <v>203</v>
      </c>
      <c r="C212" s="9" t="s">
        <v>305</v>
      </c>
      <c r="D212" s="37" t="s">
        <v>947</v>
      </c>
      <c r="E212" s="59" t="s">
        <v>784</v>
      </c>
      <c r="F212" s="60" t="str">
        <f aca="false">IFERROR(IF(ABS('Sens_Leverage_4.5x'!$D$50)&lt;0.000001,"holds","does not hold"),"error")</f>
        <v>holds</v>
      </c>
      <c r="G212" s="9"/>
      <c r="H212" s="9"/>
      <c r="I212" s="47" t="str">
        <f aca="false">IFERROR(IF(ABS('Sens_Leverage_4.5x'!$D$50)&lt;0.000001,"PASS","FAIL"),"FAIL")</f>
        <v>PASS</v>
      </c>
    </row>
    <row r="213" customFormat="false" ht="15" hidden="false" customHeight="true" outlineLevel="0" collapsed="false">
      <c r="B213" s="48" t="n">
        <v>204</v>
      </c>
      <c r="C213" s="9" t="s">
        <v>305</v>
      </c>
      <c r="D213" s="37" t="s">
        <v>948</v>
      </c>
      <c r="E213" s="59" t="s">
        <v>784</v>
      </c>
      <c r="F213" s="60" t="str">
        <f aca="false">IFERROR(IF(SUMPRODUCT(ABS('Sens_Leverage_4.5x'!$E$154:$L$154))&lt;0.000001,"holds","does not hold"),"error")</f>
        <v>holds</v>
      </c>
      <c r="G213" s="9"/>
      <c r="H213" s="9"/>
      <c r="I213" s="47" t="str">
        <f aca="false">IFERROR(IF(SUMPRODUCT(ABS('Sens_Leverage_4.5x'!$E$154:$L$154))&lt;0.000001,"PASS","FAIL"),"FAIL")</f>
        <v>PASS</v>
      </c>
    </row>
    <row r="214" customFormat="false" ht="15" hidden="false" customHeight="true" outlineLevel="0" collapsed="false">
      <c r="B214" s="48" t="n">
        <v>205</v>
      </c>
      <c r="C214" s="9" t="s">
        <v>305</v>
      </c>
      <c r="D214" s="37" t="s">
        <v>949</v>
      </c>
      <c r="E214" s="59" t="s">
        <v>784</v>
      </c>
      <c r="F214" s="60" t="str">
        <f aca="false">IFERROR(IF(SUMPRODUCT(ABS('Sens_Leverage_4.5x'!$F$126:$L$126))&lt;0.000001,"holds","does not hold"),"error")</f>
        <v>holds</v>
      </c>
      <c r="G214" s="9"/>
      <c r="H214" s="9"/>
      <c r="I214" s="47" t="str">
        <f aca="false">IFERROR(IF(SUMPRODUCT(ABS('Sens_Leverage_4.5x'!$F$126:$L$126))&lt;0.000001,"PASS","FAIL"),"FAIL")</f>
        <v>PASS</v>
      </c>
    </row>
    <row r="215" customFormat="false" ht="15" hidden="false" customHeight="true" outlineLevel="0" collapsed="false">
      <c r="B215" s="48" t="n">
        <v>206</v>
      </c>
      <c r="C215" s="9" t="s">
        <v>305</v>
      </c>
      <c r="D215" s="37" t="s">
        <v>950</v>
      </c>
      <c r="E215" s="59" t="s">
        <v>784</v>
      </c>
      <c r="F215" s="60" t="str">
        <f aca="false">IFERROR(IF(SUM('Sens_Leverage_4.5x'!$F$116:$L$116)&lt;0.000001,"holds","does not hold"),"error")</f>
        <v>holds</v>
      </c>
      <c r="G215" s="9"/>
      <c r="H215" s="9"/>
      <c r="I215" s="47" t="str">
        <f aca="false">IFERROR(IF(SUM('Sens_Leverage_4.5x'!$F$116:$L$116)&lt;0.000001,"PASS","FAIL"),"FAIL")</f>
        <v>PASS</v>
      </c>
    </row>
    <row r="216" customFormat="false" ht="30" hidden="false" customHeight="true" outlineLevel="0" collapsed="false">
      <c r="B216" s="48" t="n">
        <v>207</v>
      </c>
      <c r="C216" s="9" t="s">
        <v>305</v>
      </c>
      <c r="D216" s="37" t="s">
        <v>951</v>
      </c>
      <c r="E216" s="59" t="s">
        <v>784</v>
      </c>
      <c r="F216" s="60" t="str">
        <f aca="false">IFERROR(IF(OR('Sens_Leverage_4.5x'!$D$14=1,SUMPRODUCT(--('Sens_Leverage_4.5x'!$F$123:$L$123&lt;Assumptions!$D$79-0.000001),--('Sens_Leverage_4.5x'!$F$121:$L$121&lt;Assumptions!$D$90-0.000001))=0),"holds","does not hold"),"error")</f>
        <v>holds</v>
      </c>
      <c r="G216" s="9"/>
      <c r="H216" s="9"/>
      <c r="I216" s="47" t="str">
        <f aca="false">IFERROR(IF(OR('Sens_Leverage_4.5x'!$D$14=1,SUMPRODUCT(--('Sens_Leverage_4.5x'!$F$123:$L$123&lt;Assumptions!$D$79-0.000001),--('Sens_Leverage_4.5x'!$F$121:$L$121&lt;Assumptions!$D$90-0.000001))=0),"PASS","FAIL"),"FAIL")</f>
        <v>PASS</v>
      </c>
    </row>
    <row r="217" customFormat="false" ht="15" hidden="false" customHeight="true" outlineLevel="0" collapsed="false">
      <c r="B217" s="48" t="n">
        <v>208</v>
      </c>
      <c r="C217" s="9" t="s">
        <v>305</v>
      </c>
      <c r="D217" s="37" t="s">
        <v>952</v>
      </c>
      <c r="E217" s="59" t="s">
        <v>784</v>
      </c>
      <c r="F217" s="60" t="str">
        <f aca="false">IFERROR(IF(ABS('Sens_Leverage_4.5x'!$H$163-('Sens_Leverage_4.5x'!$H$162-'Sens_Leverage_4.5x'!$H$161))&lt;0.000001,"holds","does not hold"),"error")</f>
        <v>holds</v>
      </c>
      <c r="G217" s="9"/>
      <c r="H217" s="9"/>
      <c r="I217" s="47" t="str">
        <f aca="false">IFERROR(IF(ABS('Sens_Leverage_4.5x'!$H$163-('Sens_Leverage_4.5x'!$H$162-'Sens_Leverage_4.5x'!$H$161))&lt;0.000001,"PASS","FAIL"),"FAIL")</f>
        <v>PASS</v>
      </c>
    </row>
    <row r="218" customFormat="false" ht="15" hidden="false" customHeight="true" outlineLevel="0" collapsed="false">
      <c r="B218" s="48" t="n">
        <v>209</v>
      </c>
      <c r="C218" s="9" t="s">
        <v>305</v>
      </c>
      <c r="D218" s="37" t="s">
        <v>953</v>
      </c>
      <c r="E218" s="59" t="s">
        <v>784</v>
      </c>
      <c r="F218" s="60" t="str">
        <f aca="false">IFERROR(IF(ABS('Sens_Leverage_4.5x'!$D$204)&lt;0.000001,"holds","does not hold"),"error")</f>
        <v>holds</v>
      </c>
      <c r="G218" s="9"/>
      <c r="H218" s="9"/>
      <c r="I218" s="47" t="str">
        <f aca="false">IFERROR(IF(ABS('Sens_Leverage_4.5x'!$D$204)&lt;0.000001,"PASS","FAIL"),"FAIL")</f>
        <v>PASS</v>
      </c>
    </row>
    <row r="219" customFormat="false" ht="15" hidden="false" customHeight="true" outlineLevel="0" collapsed="false">
      <c r="B219" s="48" t="n">
        <v>210</v>
      </c>
      <c r="C219" s="9" t="s">
        <v>305</v>
      </c>
      <c r="D219" s="37" t="s">
        <v>954</v>
      </c>
      <c r="E219" s="59" t="s">
        <v>784</v>
      </c>
      <c r="F219" s="60" t="str">
        <f aca="false">IFERROR(IF(ABS('Sens_Leverage_4.5x'!$D$224-'Sens_Leverage_4.5x'!$D$223)&lt;=0.0005,"holds","does not hold"),"error")</f>
        <v>holds</v>
      </c>
      <c r="G219" s="9"/>
      <c r="H219" s="9"/>
      <c r="I219" s="47" t="str">
        <f aca="false">IFERROR(IF(ABS('Sens_Leverage_4.5x'!$D$224-'Sens_Leverage_4.5x'!$D$223)&lt;=0.0005,"PASS","FAIL"),"FAIL")</f>
        <v>PASS</v>
      </c>
    </row>
    <row r="220" customFormat="false" ht="15" hidden="false" customHeight="true" outlineLevel="0" collapsed="false">
      <c r="B220" s="48" t="n">
        <v>211</v>
      </c>
      <c r="C220" s="9" t="s">
        <v>305</v>
      </c>
      <c r="D220" s="37" t="s">
        <v>955</v>
      </c>
      <c r="E220" s="59" t="s">
        <v>784</v>
      </c>
      <c r="F220" s="60" t="str">
        <f aca="false">IFERROR(IF(ABS('Sens_Leverage_4.5x'!$D$225-SUMIF('Sens_Leverage_4.5x'!$E$219:$L$219,"&gt;0")/'Sens_Leverage_4.5x'!$D$226)&lt;0.000001,"holds","does not hold"),"error")</f>
        <v>holds</v>
      </c>
      <c r="G220" s="9"/>
      <c r="H220" s="9"/>
      <c r="I220" s="47" t="str">
        <f aca="false">IFERROR(IF(ABS('Sens_Leverage_4.5x'!$D$225-SUMIF('Sens_Leverage_4.5x'!$E$219:$L$219,"&gt;0")/'Sens_Leverage_4.5x'!$D$226)&lt;0.000001,"PASS","FAIL"),"FAIL")</f>
        <v>PASS</v>
      </c>
    </row>
    <row r="221" customFormat="false" ht="15" hidden="false" customHeight="true" outlineLevel="0" collapsed="false">
      <c r="B221" s="48" t="n">
        <v>212</v>
      </c>
      <c r="C221" s="9" t="s">
        <v>306</v>
      </c>
      <c r="D221" s="37" t="s">
        <v>956</v>
      </c>
      <c r="E221" s="59" t="s">
        <v>784</v>
      </c>
      <c r="F221" s="60" t="str">
        <f aca="false">IFERROR(IF(ABS('Sens_Leverage_5.0x'!$D$50)&lt;0.000001,"holds","does not hold"),"error")</f>
        <v>holds</v>
      </c>
      <c r="G221" s="9"/>
      <c r="H221" s="9"/>
      <c r="I221" s="47" t="str">
        <f aca="false">IFERROR(IF(ABS('Sens_Leverage_5.0x'!$D$50)&lt;0.000001,"PASS","FAIL"),"FAIL")</f>
        <v>PASS</v>
      </c>
    </row>
    <row r="222" customFormat="false" ht="15" hidden="false" customHeight="true" outlineLevel="0" collapsed="false">
      <c r="B222" s="48" t="n">
        <v>213</v>
      </c>
      <c r="C222" s="9" t="s">
        <v>306</v>
      </c>
      <c r="D222" s="37" t="s">
        <v>957</v>
      </c>
      <c r="E222" s="59" t="s">
        <v>784</v>
      </c>
      <c r="F222" s="60" t="str">
        <f aca="false">IFERROR(IF(SUMPRODUCT(ABS('Sens_Leverage_5.0x'!$E$154:$L$154))&lt;0.000001,"holds","does not hold"),"error")</f>
        <v>holds</v>
      </c>
      <c r="G222" s="9"/>
      <c r="H222" s="9"/>
      <c r="I222" s="47" t="str">
        <f aca="false">IFERROR(IF(SUMPRODUCT(ABS('Sens_Leverage_5.0x'!$E$154:$L$154))&lt;0.000001,"PASS","FAIL"),"FAIL")</f>
        <v>PASS</v>
      </c>
    </row>
    <row r="223" customFormat="false" ht="15" hidden="false" customHeight="true" outlineLevel="0" collapsed="false">
      <c r="B223" s="48" t="n">
        <v>214</v>
      </c>
      <c r="C223" s="9" t="s">
        <v>306</v>
      </c>
      <c r="D223" s="37" t="s">
        <v>958</v>
      </c>
      <c r="E223" s="59" t="s">
        <v>784</v>
      </c>
      <c r="F223" s="60" t="str">
        <f aca="false">IFERROR(IF(SUMPRODUCT(ABS('Sens_Leverage_5.0x'!$F$126:$L$126))&lt;0.000001,"holds","does not hold"),"error")</f>
        <v>holds</v>
      </c>
      <c r="G223" s="9"/>
      <c r="H223" s="9"/>
      <c r="I223" s="47" t="str">
        <f aca="false">IFERROR(IF(SUMPRODUCT(ABS('Sens_Leverage_5.0x'!$F$126:$L$126))&lt;0.000001,"PASS","FAIL"),"FAIL")</f>
        <v>PASS</v>
      </c>
    </row>
    <row r="224" customFormat="false" ht="15" hidden="false" customHeight="true" outlineLevel="0" collapsed="false">
      <c r="B224" s="48" t="n">
        <v>215</v>
      </c>
      <c r="C224" s="9" t="s">
        <v>306</v>
      </c>
      <c r="D224" s="37" t="s">
        <v>959</v>
      </c>
      <c r="E224" s="59" t="s">
        <v>784</v>
      </c>
      <c r="F224" s="60" t="str">
        <f aca="false">IFERROR(IF(SUM('Sens_Leverage_5.0x'!$F$116:$L$116)&lt;0.000001,"holds","does not hold"),"error")</f>
        <v>holds</v>
      </c>
      <c r="G224" s="9"/>
      <c r="H224" s="9"/>
      <c r="I224" s="47" t="str">
        <f aca="false">IFERROR(IF(SUM('Sens_Leverage_5.0x'!$F$116:$L$116)&lt;0.000001,"PASS","FAIL"),"FAIL")</f>
        <v>PASS</v>
      </c>
    </row>
    <row r="225" customFormat="false" ht="30" hidden="false" customHeight="true" outlineLevel="0" collapsed="false">
      <c r="B225" s="48" t="n">
        <v>216</v>
      </c>
      <c r="C225" s="9" t="s">
        <v>306</v>
      </c>
      <c r="D225" s="37" t="s">
        <v>960</v>
      </c>
      <c r="E225" s="59" t="s">
        <v>784</v>
      </c>
      <c r="F225" s="60" t="str">
        <f aca="false">IFERROR(IF(OR('Sens_Leverage_5.0x'!$D$14=1,SUMPRODUCT(--('Sens_Leverage_5.0x'!$F$123:$L$123&lt;Assumptions!$D$79-0.000001),--('Sens_Leverage_5.0x'!$F$121:$L$121&lt;Assumptions!$D$90-0.000001))=0),"holds","does not hold"),"error")</f>
        <v>holds</v>
      </c>
      <c r="G225" s="9"/>
      <c r="H225" s="9"/>
      <c r="I225" s="47" t="str">
        <f aca="false">IFERROR(IF(OR('Sens_Leverage_5.0x'!$D$14=1,SUMPRODUCT(--('Sens_Leverage_5.0x'!$F$123:$L$123&lt;Assumptions!$D$79-0.000001),--('Sens_Leverage_5.0x'!$F$121:$L$121&lt;Assumptions!$D$90-0.000001))=0),"PASS","FAIL"),"FAIL")</f>
        <v>PASS</v>
      </c>
    </row>
    <row r="226" customFormat="false" ht="15" hidden="false" customHeight="true" outlineLevel="0" collapsed="false">
      <c r="B226" s="48" t="n">
        <v>217</v>
      </c>
      <c r="C226" s="9" t="s">
        <v>306</v>
      </c>
      <c r="D226" s="37" t="s">
        <v>961</v>
      </c>
      <c r="E226" s="59" t="s">
        <v>784</v>
      </c>
      <c r="F226" s="60" t="str">
        <f aca="false">IFERROR(IF(ABS('Sens_Leverage_5.0x'!$H$163-('Sens_Leverage_5.0x'!$H$162-'Sens_Leverage_5.0x'!$H$161))&lt;0.000001,"holds","does not hold"),"error")</f>
        <v>holds</v>
      </c>
      <c r="G226" s="9"/>
      <c r="H226" s="9"/>
      <c r="I226" s="47" t="str">
        <f aca="false">IFERROR(IF(ABS('Sens_Leverage_5.0x'!$H$163-('Sens_Leverage_5.0x'!$H$162-'Sens_Leverage_5.0x'!$H$161))&lt;0.000001,"PASS","FAIL"),"FAIL")</f>
        <v>PASS</v>
      </c>
    </row>
    <row r="227" customFormat="false" ht="15" hidden="false" customHeight="true" outlineLevel="0" collapsed="false">
      <c r="B227" s="48" t="n">
        <v>218</v>
      </c>
      <c r="C227" s="9" t="s">
        <v>306</v>
      </c>
      <c r="D227" s="37" t="s">
        <v>962</v>
      </c>
      <c r="E227" s="59" t="s">
        <v>784</v>
      </c>
      <c r="F227" s="60" t="str">
        <f aca="false">IFERROR(IF(ABS('Sens_Leverage_5.0x'!$D$204)&lt;0.000001,"holds","does not hold"),"error")</f>
        <v>holds</v>
      </c>
      <c r="G227" s="9"/>
      <c r="H227" s="9"/>
      <c r="I227" s="47" t="str">
        <f aca="false">IFERROR(IF(ABS('Sens_Leverage_5.0x'!$D$204)&lt;0.000001,"PASS","FAIL"),"FAIL")</f>
        <v>PASS</v>
      </c>
    </row>
    <row r="228" customFormat="false" ht="15" hidden="false" customHeight="true" outlineLevel="0" collapsed="false">
      <c r="B228" s="48" t="n">
        <v>219</v>
      </c>
      <c r="C228" s="9" t="s">
        <v>306</v>
      </c>
      <c r="D228" s="37" t="s">
        <v>963</v>
      </c>
      <c r="E228" s="59" t="s">
        <v>784</v>
      </c>
      <c r="F228" s="60" t="str">
        <f aca="false">IFERROR(IF(ABS('Sens_Leverage_5.0x'!$D$224-'Sens_Leverage_5.0x'!$D$223)&lt;=0.0005,"holds","does not hold"),"error")</f>
        <v>holds</v>
      </c>
      <c r="G228" s="9"/>
      <c r="H228" s="9"/>
      <c r="I228" s="47" t="str">
        <f aca="false">IFERROR(IF(ABS('Sens_Leverage_5.0x'!$D$224-'Sens_Leverage_5.0x'!$D$223)&lt;=0.0005,"PASS","FAIL"),"FAIL")</f>
        <v>PASS</v>
      </c>
    </row>
    <row r="229" customFormat="false" ht="15" hidden="false" customHeight="true" outlineLevel="0" collapsed="false">
      <c r="B229" s="48" t="n">
        <v>220</v>
      </c>
      <c r="C229" s="9" t="s">
        <v>306</v>
      </c>
      <c r="D229" s="37" t="s">
        <v>964</v>
      </c>
      <c r="E229" s="59" t="s">
        <v>784</v>
      </c>
      <c r="F229" s="60" t="str">
        <f aca="false">IFERROR(IF(ABS('Sens_Leverage_5.0x'!$D$225-SUMIF('Sens_Leverage_5.0x'!$E$219:$L$219,"&gt;0")/'Sens_Leverage_5.0x'!$D$226)&lt;0.000001,"holds","does not hold"),"error")</f>
        <v>holds</v>
      </c>
      <c r="G229" s="9"/>
      <c r="H229" s="9"/>
      <c r="I229" s="47" t="str">
        <f aca="false">IFERROR(IF(ABS('Sens_Leverage_5.0x'!$D$225-SUMIF('Sens_Leverage_5.0x'!$E$219:$L$219,"&gt;0")/'Sens_Leverage_5.0x'!$D$226)&lt;0.000001,"PASS","FAIL"),"FAIL")</f>
        <v>PASS</v>
      </c>
    </row>
    <row r="230" customFormat="false" ht="15" hidden="false" customHeight="true" outlineLevel="0" collapsed="false">
      <c r="B230" s="48" t="n">
        <v>221</v>
      </c>
      <c r="C230" s="9" t="s">
        <v>308</v>
      </c>
      <c r="D230" s="37" t="s">
        <v>965</v>
      </c>
      <c r="E230" s="59" t="s">
        <v>784</v>
      </c>
      <c r="F230" s="60" t="str">
        <f aca="false">IFERROR(IF(ABS('Sens_Leverage_6.0x'!$D$50)&lt;0.000001,"holds","does not hold"),"error")</f>
        <v>holds</v>
      </c>
      <c r="G230" s="9"/>
      <c r="H230" s="9"/>
      <c r="I230" s="47" t="str">
        <f aca="false">IFERROR(IF(ABS('Sens_Leverage_6.0x'!$D$50)&lt;0.000001,"PASS","FAIL"),"FAIL")</f>
        <v>PASS</v>
      </c>
    </row>
    <row r="231" customFormat="false" ht="15" hidden="false" customHeight="true" outlineLevel="0" collapsed="false">
      <c r="B231" s="48" t="n">
        <v>222</v>
      </c>
      <c r="C231" s="9" t="s">
        <v>308</v>
      </c>
      <c r="D231" s="37" t="s">
        <v>966</v>
      </c>
      <c r="E231" s="59" t="s">
        <v>784</v>
      </c>
      <c r="F231" s="60" t="str">
        <f aca="false">IFERROR(IF(SUMPRODUCT(ABS('Sens_Leverage_6.0x'!$E$154:$L$154))&lt;0.000001,"holds","does not hold"),"error")</f>
        <v>holds</v>
      </c>
      <c r="G231" s="9"/>
      <c r="H231" s="9"/>
      <c r="I231" s="47" t="str">
        <f aca="false">IFERROR(IF(SUMPRODUCT(ABS('Sens_Leverage_6.0x'!$E$154:$L$154))&lt;0.000001,"PASS","FAIL"),"FAIL")</f>
        <v>PASS</v>
      </c>
    </row>
    <row r="232" customFormat="false" ht="15" hidden="false" customHeight="true" outlineLevel="0" collapsed="false">
      <c r="B232" s="48" t="n">
        <v>223</v>
      </c>
      <c r="C232" s="9" t="s">
        <v>308</v>
      </c>
      <c r="D232" s="37" t="s">
        <v>967</v>
      </c>
      <c r="E232" s="59" t="s">
        <v>784</v>
      </c>
      <c r="F232" s="60" t="str">
        <f aca="false">IFERROR(IF(SUMPRODUCT(ABS('Sens_Leverage_6.0x'!$F$126:$L$126))&lt;0.000001,"holds","does not hold"),"error")</f>
        <v>holds</v>
      </c>
      <c r="G232" s="9"/>
      <c r="H232" s="9"/>
      <c r="I232" s="47" t="str">
        <f aca="false">IFERROR(IF(SUMPRODUCT(ABS('Sens_Leverage_6.0x'!$F$126:$L$126))&lt;0.000001,"PASS","FAIL"),"FAIL")</f>
        <v>PASS</v>
      </c>
    </row>
    <row r="233" customFormat="false" ht="15" hidden="false" customHeight="true" outlineLevel="0" collapsed="false">
      <c r="B233" s="48" t="n">
        <v>224</v>
      </c>
      <c r="C233" s="9" t="s">
        <v>308</v>
      </c>
      <c r="D233" s="37" t="s">
        <v>968</v>
      </c>
      <c r="E233" s="59" t="s">
        <v>784</v>
      </c>
      <c r="F233" s="60" t="str">
        <f aca="false">IFERROR(IF(SUM('Sens_Leverage_6.0x'!$F$116:$L$116)&lt;0.000001,"holds","does not hold"),"error")</f>
        <v>holds</v>
      </c>
      <c r="G233" s="9"/>
      <c r="H233" s="9"/>
      <c r="I233" s="47" t="str">
        <f aca="false">IFERROR(IF(SUM('Sens_Leverage_6.0x'!$F$116:$L$116)&lt;0.000001,"PASS","FAIL"),"FAIL")</f>
        <v>PASS</v>
      </c>
    </row>
    <row r="234" customFormat="false" ht="30" hidden="false" customHeight="true" outlineLevel="0" collapsed="false">
      <c r="B234" s="48" t="n">
        <v>225</v>
      </c>
      <c r="C234" s="9" t="s">
        <v>308</v>
      </c>
      <c r="D234" s="37" t="s">
        <v>969</v>
      </c>
      <c r="E234" s="59" t="s">
        <v>784</v>
      </c>
      <c r="F234" s="60" t="str">
        <f aca="false">IFERROR(IF(OR('Sens_Leverage_6.0x'!$D$14=1,SUMPRODUCT(--('Sens_Leverage_6.0x'!$F$123:$L$123&lt;Assumptions!$D$79-0.000001),--('Sens_Leverage_6.0x'!$F$121:$L$121&lt;Assumptions!$D$90-0.000001))=0),"holds","does not hold"),"error")</f>
        <v>holds</v>
      </c>
      <c r="G234" s="9"/>
      <c r="H234" s="9"/>
      <c r="I234" s="47" t="str">
        <f aca="false">IFERROR(IF(OR('Sens_Leverage_6.0x'!$D$14=1,SUMPRODUCT(--('Sens_Leverage_6.0x'!$F$123:$L$123&lt;Assumptions!$D$79-0.000001),--('Sens_Leverage_6.0x'!$F$121:$L$121&lt;Assumptions!$D$90-0.000001))=0),"PASS","FAIL"),"FAIL")</f>
        <v>PASS</v>
      </c>
    </row>
    <row r="235" customFormat="false" ht="15" hidden="false" customHeight="true" outlineLevel="0" collapsed="false">
      <c r="B235" s="48" t="n">
        <v>226</v>
      </c>
      <c r="C235" s="9" t="s">
        <v>308</v>
      </c>
      <c r="D235" s="37" t="s">
        <v>970</v>
      </c>
      <c r="E235" s="59" t="s">
        <v>784</v>
      </c>
      <c r="F235" s="60" t="str">
        <f aca="false">IFERROR(IF(ABS('Sens_Leverage_6.0x'!$H$163-('Sens_Leverage_6.0x'!$H$162-'Sens_Leverage_6.0x'!$H$161))&lt;0.000001,"holds","does not hold"),"error")</f>
        <v>holds</v>
      </c>
      <c r="G235" s="9"/>
      <c r="H235" s="9"/>
      <c r="I235" s="47" t="str">
        <f aca="false">IFERROR(IF(ABS('Sens_Leverage_6.0x'!$H$163-('Sens_Leverage_6.0x'!$H$162-'Sens_Leverage_6.0x'!$H$161))&lt;0.000001,"PASS","FAIL"),"FAIL")</f>
        <v>PASS</v>
      </c>
    </row>
    <row r="236" customFormat="false" ht="15" hidden="false" customHeight="true" outlineLevel="0" collapsed="false">
      <c r="B236" s="48" t="n">
        <v>227</v>
      </c>
      <c r="C236" s="9" t="s">
        <v>308</v>
      </c>
      <c r="D236" s="37" t="s">
        <v>971</v>
      </c>
      <c r="E236" s="59" t="s">
        <v>784</v>
      </c>
      <c r="F236" s="60" t="str">
        <f aca="false">IFERROR(IF(ABS('Sens_Leverage_6.0x'!$D$204)&lt;0.000001,"holds","does not hold"),"error")</f>
        <v>holds</v>
      </c>
      <c r="G236" s="9"/>
      <c r="H236" s="9"/>
      <c r="I236" s="47" t="str">
        <f aca="false">IFERROR(IF(ABS('Sens_Leverage_6.0x'!$D$204)&lt;0.000001,"PASS","FAIL"),"FAIL")</f>
        <v>PASS</v>
      </c>
    </row>
    <row r="237" customFormat="false" ht="15" hidden="false" customHeight="true" outlineLevel="0" collapsed="false">
      <c r="B237" s="48" t="n">
        <v>228</v>
      </c>
      <c r="C237" s="9" t="s">
        <v>308</v>
      </c>
      <c r="D237" s="37" t="s">
        <v>972</v>
      </c>
      <c r="E237" s="59" t="s">
        <v>784</v>
      </c>
      <c r="F237" s="60" t="str">
        <f aca="false">IFERROR(IF(ABS('Sens_Leverage_6.0x'!$D$224-'Sens_Leverage_6.0x'!$D$223)&lt;=0.0005,"holds","does not hold"),"error")</f>
        <v>holds</v>
      </c>
      <c r="G237" s="9"/>
      <c r="H237" s="9"/>
      <c r="I237" s="47" t="str">
        <f aca="false">IFERROR(IF(ABS('Sens_Leverage_6.0x'!$D$224-'Sens_Leverage_6.0x'!$D$223)&lt;=0.0005,"PASS","FAIL"),"FAIL")</f>
        <v>PASS</v>
      </c>
    </row>
    <row r="238" customFormat="false" ht="15" hidden="false" customHeight="true" outlineLevel="0" collapsed="false">
      <c r="B238" s="48" t="n">
        <v>229</v>
      </c>
      <c r="C238" s="9" t="s">
        <v>308</v>
      </c>
      <c r="D238" s="37" t="s">
        <v>973</v>
      </c>
      <c r="E238" s="59" t="s">
        <v>784</v>
      </c>
      <c r="F238" s="60" t="str">
        <f aca="false">IFERROR(IF(ABS('Sens_Leverage_6.0x'!$D$225-SUMIF('Sens_Leverage_6.0x'!$E$219:$L$219,"&gt;0")/'Sens_Leverage_6.0x'!$D$226)&lt;0.000001,"holds","does not hold"),"error")</f>
        <v>holds</v>
      </c>
      <c r="G238" s="9"/>
      <c r="H238" s="9"/>
      <c r="I238" s="47" t="str">
        <f aca="false">IFERROR(IF(ABS('Sens_Leverage_6.0x'!$D$225-SUMIF('Sens_Leverage_6.0x'!$E$219:$L$219,"&gt;0")/'Sens_Leverage_6.0x'!$D$226)&lt;0.000001,"PASS","FAIL"),"FAIL")</f>
        <v>PASS</v>
      </c>
    </row>
    <row r="239" customFormat="false" ht="15" hidden="false" customHeight="true" outlineLevel="0" collapsed="false">
      <c r="B239" s="48" t="n">
        <v>230</v>
      </c>
      <c r="C239" s="9" t="s">
        <v>309</v>
      </c>
      <c r="D239" s="37" t="s">
        <v>974</v>
      </c>
      <c r="E239" s="59" t="s">
        <v>784</v>
      </c>
      <c r="F239" s="60" t="str">
        <f aca="false">IFERROR(IF(ABS('Sens_Leverage_6.5x'!$D$50)&lt;0.000001,"holds","does not hold"),"error")</f>
        <v>holds</v>
      </c>
      <c r="G239" s="9"/>
      <c r="H239" s="9"/>
      <c r="I239" s="47" t="str">
        <f aca="false">IFERROR(IF(ABS('Sens_Leverage_6.5x'!$D$50)&lt;0.000001,"PASS","FAIL"),"FAIL")</f>
        <v>PASS</v>
      </c>
    </row>
    <row r="240" customFormat="false" ht="15" hidden="false" customHeight="true" outlineLevel="0" collapsed="false">
      <c r="B240" s="48" t="n">
        <v>231</v>
      </c>
      <c r="C240" s="9" t="s">
        <v>309</v>
      </c>
      <c r="D240" s="37" t="s">
        <v>975</v>
      </c>
      <c r="E240" s="59" t="s">
        <v>784</v>
      </c>
      <c r="F240" s="60" t="str">
        <f aca="false">IFERROR(IF(SUMPRODUCT(ABS('Sens_Leverage_6.5x'!$E$154:$L$154))&lt;0.000001,"holds","does not hold"),"error")</f>
        <v>holds</v>
      </c>
      <c r="G240" s="9"/>
      <c r="H240" s="9"/>
      <c r="I240" s="47" t="str">
        <f aca="false">IFERROR(IF(SUMPRODUCT(ABS('Sens_Leverage_6.5x'!$E$154:$L$154))&lt;0.000001,"PASS","FAIL"),"FAIL")</f>
        <v>PASS</v>
      </c>
    </row>
    <row r="241" customFormat="false" ht="15" hidden="false" customHeight="true" outlineLevel="0" collapsed="false">
      <c r="B241" s="48" t="n">
        <v>232</v>
      </c>
      <c r="C241" s="9" t="s">
        <v>309</v>
      </c>
      <c r="D241" s="37" t="s">
        <v>976</v>
      </c>
      <c r="E241" s="59" t="s">
        <v>784</v>
      </c>
      <c r="F241" s="60" t="str">
        <f aca="false">IFERROR(IF(SUMPRODUCT(ABS('Sens_Leverage_6.5x'!$F$126:$L$126))&lt;0.000001,"holds","does not hold"),"error")</f>
        <v>holds</v>
      </c>
      <c r="G241" s="9"/>
      <c r="H241" s="9"/>
      <c r="I241" s="47" t="str">
        <f aca="false">IFERROR(IF(SUMPRODUCT(ABS('Sens_Leverage_6.5x'!$F$126:$L$126))&lt;0.000001,"PASS","FAIL"),"FAIL")</f>
        <v>PASS</v>
      </c>
    </row>
    <row r="242" customFormat="false" ht="15" hidden="false" customHeight="true" outlineLevel="0" collapsed="false">
      <c r="B242" s="48" t="n">
        <v>233</v>
      </c>
      <c r="C242" s="9" t="s">
        <v>309</v>
      </c>
      <c r="D242" s="37" t="s">
        <v>977</v>
      </c>
      <c r="E242" s="59" t="s">
        <v>784</v>
      </c>
      <c r="F242" s="60" t="str">
        <f aca="false">IFERROR(IF(SUM('Sens_Leverage_6.5x'!$F$116:$L$116)&lt;0.000001,"holds","does not hold"),"error")</f>
        <v>holds</v>
      </c>
      <c r="G242" s="9"/>
      <c r="H242" s="9"/>
      <c r="I242" s="47" t="str">
        <f aca="false">IFERROR(IF(SUM('Sens_Leverage_6.5x'!$F$116:$L$116)&lt;0.000001,"PASS","FAIL"),"FAIL")</f>
        <v>PASS</v>
      </c>
    </row>
    <row r="243" customFormat="false" ht="30" hidden="false" customHeight="true" outlineLevel="0" collapsed="false">
      <c r="B243" s="48" t="n">
        <v>234</v>
      </c>
      <c r="C243" s="9" t="s">
        <v>309</v>
      </c>
      <c r="D243" s="37" t="s">
        <v>978</v>
      </c>
      <c r="E243" s="59" t="s">
        <v>784</v>
      </c>
      <c r="F243" s="60" t="str">
        <f aca="false">IFERROR(IF(OR('Sens_Leverage_6.5x'!$D$14=1,SUMPRODUCT(--('Sens_Leverage_6.5x'!$F$123:$L$123&lt;Assumptions!$D$79-0.000001),--('Sens_Leverage_6.5x'!$F$121:$L$121&lt;Assumptions!$D$90-0.000001))=0),"holds","does not hold"),"error")</f>
        <v>holds</v>
      </c>
      <c r="G243" s="9"/>
      <c r="H243" s="9"/>
      <c r="I243" s="47" t="str">
        <f aca="false">IFERROR(IF(OR('Sens_Leverage_6.5x'!$D$14=1,SUMPRODUCT(--('Sens_Leverage_6.5x'!$F$123:$L$123&lt;Assumptions!$D$79-0.000001),--('Sens_Leverage_6.5x'!$F$121:$L$121&lt;Assumptions!$D$90-0.000001))=0),"PASS","FAIL"),"FAIL")</f>
        <v>PASS</v>
      </c>
    </row>
    <row r="244" customFormat="false" ht="15" hidden="false" customHeight="true" outlineLevel="0" collapsed="false">
      <c r="B244" s="48" t="n">
        <v>235</v>
      </c>
      <c r="C244" s="9" t="s">
        <v>309</v>
      </c>
      <c r="D244" s="37" t="s">
        <v>979</v>
      </c>
      <c r="E244" s="59" t="s">
        <v>784</v>
      </c>
      <c r="F244" s="60" t="str">
        <f aca="false">IFERROR(IF(ABS('Sens_Leverage_6.5x'!$H$163-('Sens_Leverage_6.5x'!$H$162-'Sens_Leverage_6.5x'!$H$161))&lt;0.000001,"holds","does not hold"),"error")</f>
        <v>holds</v>
      </c>
      <c r="G244" s="9"/>
      <c r="H244" s="9"/>
      <c r="I244" s="47" t="str">
        <f aca="false">IFERROR(IF(ABS('Sens_Leverage_6.5x'!$H$163-('Sens_Leverage_6.5x'!$H$162-'Sens_Leverage_6.5x'!$H$161))&lt;0.000001,"PASS","FAIL"),"FAIL")</f>
        <v>PASS</v>
      </c>
    </row>
    <row r="245" customFormat="false" ht="15" hidden="false" customHeight="true" outlineLevel="0" collapsed="false">
      <c r="B245" s="48" t="n">
        <v>236</v>
      </c>
      <c r="C245" s="9" t="s">
        <v>309</v>
      </c>
      <c r="D245" s="37" t="s">
        <v>980</v>
      </c>
      <c r="E245" s="59" t="s">
        <v>784</v>
      </c>
      <c r="F245" s="60" t="str">
        <f aca="false">IFERROR(IF(ABS('Sens_Leverage_6.5x'!$D$204)&lt;0.000001,"holds","does not hold"),"error")</f>
        <v>holds</v>
      </c>
      <c r="G245" s="9"/>
      <c r="H245" s="9"/>
      <c r="I245" s="47" t="str">
        <f aca="false">IFERROR(IF(ABS('Sens_Leverage_6.5x'!$D$204)&lt;0.000001,"PASS","FAIL"),"FAIL")</f>
        <v>PASS</v>
      </c>
    </row>
    <row r="246" customFormat="false" ht="15" hidden="false" customHeight="true" outlineLevel="0" collapsed="false">
      <c r="B246" s="48" t="n">
        <v>237</v>
      </c>
      <c r="C246" s="9" t="s">
        <v>309</v>
      </c>
      <c r="D246" s="37" t="s">
        <v>981</v>
      </c>
      <c r="E246" s="59" t="s">
        <v>784</v>
      </c>
      <c r="F246" s="60" t="str">
        <f aca="false">IFERROR(IF(ABS('Sens_Leverage_6.5x'!$D$224-'Sens_Leverage_6.5x'!$D$223)&lt;=0.0005,"holds","does not hold"),"error")</f>
        <v>holds</v>
      </c>
      <c r="G246" s="9"/>
      <c r="H246" s="9"/>
      <c r="I246" s="47" t="str">
        <f aca="false">IFERROR(IF(ABS('Sens_Leverage_6.5x'!$D$224-'Sens_Leverage_6.5x'!$D$223)&lt;=0.0005,"PASS","FAIL"),"FAIL")</f>
        <v>PASS</v>
      </c>
    </row>
    <row r="247" customFormat="false" ht="15" hidden="false" customHeight="true" outlineLevel="0" collapsed="false">
      <c r="B247" s="48" t="n">
        <v>238</v>
      </c>
      <c r="C247" s="9" t="s">
        <v>309</v>
      </c>
      <c r="D247" s="37" t="s">
        <v>982</v>
      </c>
      <c r="E247" s="59" t="s">
        <v>784</v>
      </c>
      <c r="F247" s="60" t="str">
        <f aca="false">IFERROR(IF(ABS('Sens_Leverage_6.5x'!$D$225-SUMIF('Sens_Leverage_6.5x'!$E$219:$L$219,"&gt;0")/'Sens_Leverage_6.5x'!$D$226)&lt;0.000001,"holds","does not hold"),"error")</f>
        <v>holds</v>
      </c>
      <c r="G247" s="9"/>
      <c r="H247" s="9"/>
      <c r="I247" s="47" t="str">
        <f aca="false">IFERROR(IF(ABS('Sens_Leverage_6.5x'!$D$225-SUMIF('Sens_Leverage_6.5x'!$E$219:$L$219,"&gt;0")/'Sens_Leverage_6.5x'!$D$226)&lt;0.000001,"PASS","FAIL"),"FAIL")</f>
        <v>PASS</v>
      </c>
    </row>
    <row r="248" customFormat="false" ht="15" hidden="false" customHeight="true" outlineLevel="0" collapsed="false">
      <c r="B248" s="48" t="n">
        <v>239</v>
      </c>
      <c r="C248" s="9" t="s">
        <v>321</v>
      </c>
      <c r="D248" s="37" t="s">
        <v>983</v>
      </c>
      <c r="E248" s="59" t="s">
        <v>784</v>
      </c>
      <c r="F248" s="60" t="str">
        <f aca="false">IFERROR(IF(ABS(Sens_Plan_0pct!$D$50)&lt;0.000001,"holds","does not hold"),"error")</f>
        <v>holds</v>
      </c>
      <c r="G248" s="9"/>
      <c r="H248" s="9"/>
      <c r="I248" s="47" t="str">
        <f aca="false">IFERROR(IF(ABS(Sens_Plan_0pct!$D$50)&lt;0.000001,"PASS","FAIL"),"FAIL")</f>
        <v>PASS</v>
      </c>
    </row>
    <row r="249" customFormat="false" ht="15" hidden="false" customHeight="true" outlineLevel="0" collapsed="false">
      <c r="B249" s="48" t="n">
        <v>240</v>
      </c>
      <c r="C249" s="9" t="s">
        <v>321</v>
      </c>
      <c r="D249" s="37" t="s">
        <v>984</v>
      </c>
      <c r="E249" s="59" t="s">
        <v>784</v>
      </c>
      <c r="F249" s="60" t="str">
        <f aca="false">IFERROR(IF(SUMPRODUCT(ABS(Sens_Plan_0pct!$E$154:$L$154))&lt;0.000001,"holds","does not hold"),"error")</f>
        <v>holds</v>
      </c>
      <c r="G249" s="9"/>
      <c r="H249" s="9"/>
      <c r="I249" s="47" t="str">
        <f aca="false">IFERROR(IF(SUMPRODUCT(ABS(Sens_Plan_0pct!$E$154:$L$154))&lt;0.000001,"PASS","FAIL"),"FAIL")</f>
        <v>PASS</v>
      </c>
    </row>
    <row r="250" customFormat="false" ht="15" hidden="false" customHeight="true" outlineLevel="0" collapsed="false">
      <c r="B250" s="48" t="n">
        <v>241</v>
      </c>
      <c r="C250" s="9" t="s">
        <v>321</v>
      </c>
      <c r="D250" s="37" t="s">
        <v>985</v>
      </c>
      <c r="E250" s="59" t="s">
        <v>784</v>
      </c>
      <c r="F250" s="60" t="str">
        <f aca="false">IFERROR(IF(SUMPRODUCT(ABS(Sens_Plan_0pct!$F$126:$L$126))&lt;0.000001,"holds","does not hold"),"error")</f>
        <v>holds</v>
      </c>
      <c r="G250" s="9"/>
      <c r="H250" s="9"/>
      <c r="I250" s="47" t="str">
        <f aca="false">IFERROR(IF(SUMPRODUCT(ABS(Sens_Plan_0pct!$F$126:$L$126))&lt;0.000001,"PASS","FAIL"),"FAIL")</f>
        <v>PASS</v>
      </c>
    </row>
    <row r="251" customFormat="false" ht="15" hidden="false" customHeight="true" outlineLevel="0" collapsed="false">
      <c r="B251" s="48" t="n">
        <v>242</v>
      </c>
      <c r="C251" s="9" t="s">
        <v>321</v>
      </c>
      <c r="D251" s="37" t="s">
        <v>986</v>
      </c>
      <c r="E251" s="59" t="s">
        <v>784</v>
      </c>
      <c r="F251" s="60" t="str">
        <f aca="false">IFERROR(IF(SUM(Sens_Plan_0pct!$F$116:$L$116)&lt;0.000001,"holds","does not hold"),"error")</f>
        <v>holds</v>
      </c>
      <c r="G251" s="9"/>
      <c r="H251" s="9"/>
      <c r="I251" s="47" t="str">
        <f aca="false">IFERROR(IF(SUM(Sens_Plan_0pct!$F$116:$L$116)&lt;0.000001,"PASS","FAIL"),"FAIL")</f>
        <v>PASS</v>
      </c>
    </row>
    <row r="252" customFormat="false" ht="30" hidden="false" customHeight="true" outlineLevel="0" collapsed="false">
      <c r="B252" s="48" t="n">
        <v>243</v>
      </c>
      <c r="C252" s="9" t="s">
        <v>321</v>
      </c>
      <c r="D252" s="37" t="s">
        <v>987</v>
      </c>
      <c r="E252" s="59" t="s">
        <v>784</v>
      </c>
      <c r="F252" s="60" t="str">
        <f aca="false">IFERROR(IF(OR(Sens_Plan_0pct!$D$14=1,SUMPRODUCT(--(Sens_Plan_0pct!$F$123:$L$123&lt;Assumptions!$D$79-0.000001),--(Sens_Plan_0pct!$F$121:$L$121&lt;Assumptions!$D$90-0.000001))=0),"holds","does not hold"),"error")</f>
        <v>holds</v>
      </c>
      <c r="G252" s="9"/>
      <c r="H252" s="9"/>
      <c r="I252" s="47" t="str">
        <f aca="false">IFERROR(IF(OR(Sens_Plan_0pct!$D$14=1,SUMPRODUCT(--(Sens_Plan_0pct!$F$123:$L$123&lt;Assumptions!$D$79-0.000001),--(Sens_Plan_0pct!$F$121:$L$121&lt;Assumptions!$D$90-0.000001))=0),"PASS","FAIL"),"FAIL")</f>
        <v>PASS</v>
      </c>
    </row>
    <row r="253" customFormat="false" ht="15" hidden="false" customHeight="true" outlineLevel="0" collapsed="false">
      <c r="B253" s="48" t="n">
        <v>244</v>
      </c>
      <c r="C253" s="9" t="s">
        <v>321</v>
      </c>
      <c r="D253" s="37" t="s">
        <v>988</v>
      </c>
      <c r="E253" s="59" t="s">
        <v>784</v>
      </c>
      <c r="F253" s="60" t="str">
        <f aca="false">IFERROR(IF(ABS(Sens_Plan_0pct!$H$163-(Sens_Plan_0pct!$H$162-Sens_Plan_0pct!$H$161))&lt;0.000001,"holds","does not hold"),"error")</f>
        <v>holds</v>
      </c>
      <c r="G253" s="9"/>
      <c r="H253" s="9"/>
      <c r="I253" s="47" t="str">
        <f aca="false">IFERROR(IF(ABS(Sens_Plan_0pct!$H$163-(Sens_Plan_0pct!$H$162-Sens_Plan_0pct!$H$161))&lt;0.000001,"PASS","FAIL"),"FAIL")</f>
        <v>PASS</v>
      </c>
    </row>
    <row r="254" customFormat="false" ht="15" hidden="false" customHeight="true" outlineLevel="0" collapsed="false">
      <c r="B254" s="48" t="n">
        <v>245</v>
      </c>
      <c r="C254" s="9" t="s">
        <v>321</v>
      </c>
      <c r="D254" s="37" t="s">
        <v>989</v>
      </c>
      <c r="E254" s="59" t="s">
        <v>784</v>
      </c>
      <c r="F254" s="60" t="str">
        <f aca="false">IFERROR(IF(ABS(Sens_Plan_0pct!$D$204)&lt;0.000001,"holds","does not hold"),"error")</f>
        <v>holds</v>
      </c>
      <c r="G254" s="9"/>
      <c r="H254" s="9"/>
      <c r="I254" s="47" t="str">
        <f aca="false">IFERROR(IF(ABS(Sens_Plan_0pct!$D$204)&lt;0.000001,"PASS","FAIL"),"FAIL")</f>
        <v>PASS</v>
      </c>
    </row>
    <row r="255" customFormat="false" ht="15" hidden="false" customHeight="true" outlineLevel="0" collapsed="false">
      <c r="B255" s="48" t="n">
        <v>246</v>
      </c>
      <c r="C255" s="9" t="s">
        <v>321</v>
      </c>
      <c r="D255" s="37" t="s">
        <v>990</v>
      </c>
      <c r="E255" s="59" t="s">
        <v>784</v>
      </c>
      <c r="F255" s="60" t="str">
        <f aca="false">IFERROR(IF(ABS(Sens_Plan_0pct!$D$224-Sens_Plan_0pct!$D$223)&lt;=0.0005,"holds","does not hold"),"error")</f>
        <v>holds</v>
      </c>
      <c r="G255" s="9"/>
      <c r="H255" s="9"/>
      <c r="I255" s="47" t="str">
        <f aca="false">IFERROR(IF(ABS(Sens_Plan_0pct!$D$224-Sens_Plan_0pct!$D$223)&lt;=0.0005,"PASS","FAIL"),"FAIL")</f>
        <v>PASS</v>
      </c>
    </row>
    <row r="256" customFormat="false" ht="15" hidden="false" customHeight="true" outlineLevel="0" collapsed="false">
      <c r="B256" s="48" t="n">
        <v>247</v>
      </c>
      <c r="C256" s="9" t="s">
        <v>321</v>
      </c>
      <c r="D256" s="37" t="s">
        <v>991</v>
      </c>
      <c r="E256" s="59" t="s">
        <v>784</v>
      </c>
      <c r="F256" s="60" t="str">
        <f aca="false">IFERROR(IF(ABS(Sens_Plan_0pct!$D$225-SUMIF(Sens_Plan_0pct!$E$219:$L$219,"&gt;0")/Sens_Plan_0pct!$D$226)&lt;0.000001,"holds","does not hold"),"error")</f>
        <v>holds</v>
      </c>
      <c r="G256" s="9"/>
      <c r="H256" s="9"/>
      <c r="I256" s="47" t="str">
        <f aca="false">IFERROR(IF(ABS(Sens_Plan_0pct!$D$225-SUMIF(Sens_Plan_0pct!$E$219:$L$219,"&gt;0")/Sens_Plan_0pct!$D$226)&lt;0.000001,"PASS","FAIL"),"FAIL")</f>
        <v>PASS</v>
      </c>
    </row>
    <row r="257" customFormat="false" ht="15" hidden="false" customHeight="true" outlineLevel="0" collapsed="false">
      <c r="B257" s="48" t="n">
        <v>248</v>
      </c>
      <c r="C257" s="9" t="s">
        <v>322</v>
      </c>
      <c r="D257" s="37" t="s">
        <v>992</v>
      </c>
      <c r="E257" s="59" t="s">
        <v>784</v>
      </c>
      <c r="F257" s="60" t="str">
        <f aca="false">IFERROR(IF(ABS(Sens_Plan_50pct!$D$50)&lt;0.000001,"holds","does not hold"),"error")</f>
        <v>holds</v>
      </c>
      <c r="G257" s="9"/>
      <c r="H257" s="9"/>
      <c r="I257" s="47" t="str">
        <f aca="false">IFERROR(IF(ABS(Sens_Plan_50pct!$D$50)&lt;0.000001,"PASS","FAIL"),"FAIL")</f>
        <v>PASS</v>
      </c>
    </row>
    <row r="258" customFormat="false" ht="15" hidden="false" customHeight="true" outlineLevel="0" collapsed="false">
      <c r="B258" s="48" t="n">
        <v>249</v>
      </c>
      <c r="C258" s="9" t="s">
        <v>322</v>
      </c>
      <c r="D258" s="37" t="s">
        <v>993</v>
      </c>
      <c r="E258" s="59" t="s">
        <v>784</v>
      </c>
      <c r="F258" s="60" t="str">
        <f aca="false">IFERROR(IF(SUMPRODUCT(ABS(Sens_Plan_50pct!$E$154:$L$154))&lt;0.000001,"holds","does not hold"),"error")</f>
        <v>holds</v>
      </c>
      <c r="G258" s="9"/>
      <c r="H258" s="9"/>
      <c r="I258" s="47" t="str">
        <f aca="false">IFERROR(IF(SUMPRODUCT(ABS(Sens_Plan_50pct!$E$154:$L$154))&lt;0.000001,"PASS","FAIL"),"FAIL")</f>
        <v>PASS</v>
      </c>
    </row>
    <row r="259" customFormat="false" ht="15" hidden="false" customHeight="true" outlineLevel="0" collapsed="false">
      <c r="B259" s="48" t="n">
        <v>250</v>
      </c>
      <c r="C259" s="9" t="s">
        <v>322</v>
      </c>
      <c r="D259" s="37" t="s">
        <v>994</v>
      </c>
      <c r="E259" s="59" t="s">
        <v>784</v>
      </c>
      <c r="F259" s="60" t="str">
        <f aca="false">IFERROR(IF(SUMPRODUCT(ABS(Sens_Plan_50pct!$F$126:$L$126))&lt;0.000001,"holds","does not hold"),"error")</f>
        <v>holds</v>
      </c>
      <c r="G259" s="9"/>
      <c r="H259" s="9"/>
      <c r="I259" s="47" t="str">
        <f aca="false">IFERROR(IF(SUMPRODUCT(ABS(Sens_Plan_50pct!$F$126:$L$126))&lt;0.000001,"PASS","FAIL"),"FAIL")</f>
        <v>PASS</v>
      </c>
    </row>
    <row r="260" customFormat="false" ht="15" hidden="false" customHeight="true" outlineLevel="0" collapsed="false">
      <c r="B260" s="48" t="n">
        <v>251</v>
      </c>
      <c r="C260" s="9" t="s">
        <v>322</v>
      </c>
      <c r="D260" s="37" t="s">
        <v>995</v>
      </c>
      <c r="E260" s="59" t="s">
        <v>784</v>
      </c>
      <c r="F260" s="60" t="str">
        <f aca="false">IFERROR(IF(SUM(Sens_Plan_50pct!$F$116:$L$116)&lt;0.000001,"holds","does not hold"),"error")</f>
        <v>holds</v>
      </c>
      <c r="G260" s="9"/>
      <c r="H260" s="9"/>
      <c r="I260" s="47" t="str">
        <f aca="false">IFERROR(IF(SUM(Sens_Plan_50pct!$F$116:$L$116)&lt;0.000001,"PASS","FAIL"),"FAIL")</f>
        <v>PASS</v>
      </c>
    </row>
    <row r="261" customFormat="false" ht="30" hidden="false" customHeight="true" outlineLevel="0" collapsed="false">
      <c r="B261" s="48" t="n">
        <v>252</v>
      </c>
      <c r="C261" s="9" t="s">
        <v>322</v>
      </c>
      <c r="D261" s="37" t="s">
        <v>996</v>
      </c>
      <c r="E261" s="59" t="s">
        <v>784</v>
      </c>
      <c r="F261" s="60" t="str">
        <f aca="false">IFERROR(IF(OR(Sens_Plan_50pct!$D$14=1,SUMPRODUCT(--(Sens_Plan_50pct!$F$123:$L$123&lt;Assumptions!$D$79-0.000001),--(Sens_Plan_50pct!$F$121:$L$121&lt;Assumptions!$D$90-0.000001))=0),"holds","does not hold"),"error")</f>
        <v>holds</v>
      </c>
      <c r="G261" s="9"/>
      <c r="H261" s="9"/>
      <c r="I261" s="47" t="str">
        <f aca="false">IFERROR(IF(OR(Sens_Plan_50pct!$D$14=1,SUMPRODUCT(--(Sens_Plan_50pct!$F$123:$L$123&lt;Assumptions!$D$79-0.000001),--(Sens_Plan_50pct!$F$121:$L$121&lt;Assumptions!$D$90-0.000001))=0),"PASS","FAIL"),"FAIL")</f>
        <v>PASS</v>
      </c>
    </row>
    <row r="262" customFormat="false" ht="15" hidden="false" customHeight="true" outlineLevel="0" collapsed="false">
      <c r="B262" s="48" t="n">
        <v>253</v>
      </c>
      <c r="C262" s="9" t="s">
        <v>322</v>
      </c>
      <c r="D262" s="37" t="s">
        <v>997</v>
      </c>
      <c r="E262" s="59" t="s">
        <v>784</v>
      </c>
      <c r="F262" s="60" t="str">
        <f aca="false">IFERROR(IF(ABS(Sens_Plan_50pct!$H$163-(Sens_Plan_50pct!$H$162-Sens_Plan_50pct!$H$161))&lt;0.000001,"holds","does not hold"),"error")</f>
        <v>holds</v>
      </c>
      <c r="G262" s="9"/>
      <c r="H262" s="9"/>
      <c r="I262" s="47" t="str">
        <f aca="false">IFERROR(IF(ABS(Sens_Plan_50pct!$H$163-(Sens_Plan_50pct!$H$162-Sens_Plan_50pct!$H$161))&lt;0.000001,"PASS","FAIL"),"FAIL")</f>
        <v>PASS</v>
      </c>
    </row>
    <row r="263" customFormat="false" ht="15" hidden="false" customHeight="true" outlineLevel="0" collapsed="false">
      <c r="B263" s="48" t="n">
        <v>254</v>
      </c>
      <c r="C263" s="9" t="s">
        <v>322</v>
      </c>
      <c r="D263" s="37" t="s">
        <v>998</v>
      </c>
      <c r="E263" s="59" t="s">
        <v>784</v>
      </c>
      <c r="F263" s="60" t="str">
        <f aca="false">IFERROR(IF(ABS(Sens_Plan_50pct!$D$204)&lt;0.000001,"holds","does not hold"),"error")</f>
        <v>holds</v>
      </c>
      <c r="G263" s="9"/>
      <c r="H263" s="9"/>
      <c r="I263" s="47" t="str">
        <f aca="false">IFERROR(IF(ABS(Sens_Plan_50pct!$D$204)&lt;0.000001,"PASS","FAIL"),"FAIL")</f>
        <v>PASS</v>
      </c>
    </row>
    <row r="264" customFormat="false" ht="15" hidden="false" customHeight="true" outlineLevel="0" collapsed="false">
      <c r="B264" s="48" t="n">
        <v>255</v>
      </c>
      <c r="C264" s="9" t="s">
        <v>322</v>
      </c>
      <c r="D264" s="37" t="s">
        <v>999</v>
      </c>
      <c r="E264" s="59" t="s">
        <v>784</v>
      </c>
      <c r="F264" s="60" t="str">
        <f aca="false">IFERROR(IF(ABS(Sens_Plan_50pct!$D$224-Sens_Plan_50pct!$D$223)&lt;=0.0005,"holds","does not hold"),"error")</f>
        <v>holds</v>
      </c>
      <c r="G264" s="9"/>
      <c r="H264" s="9"/>
      <c r="I264" s="47" t="str">
        <f aca="false">IFERROR(IF(ABS(Sens_Plan_50pct!$D$224-Sens_Plan_50pct!$D$223)&lt;=0.0005,"PASS","FAIL"),"FAIL")</f>
        <v>PASS</v>
      </c>
    </row>
    <row r="265" customFormat="false" ht="15" hidden="false" customHeight="true" outlineLevel="0" collapsed="false">
      <c r="B265" s="48" t="n">
        <v>256</v>
      </c>
      <c r="C265" s="9" t="s">
        <v>322</v>
      </c>
      <c r="D265" s="37" t="s">
        <v>1000</v>
      </c>
      <c r="E265" s="59" t="s">
        <v>784</v>
      </c>
      <c r="F265" s="60" t="str">
        <f aca="false">IFERROR(IF(ABS(Sens_Plan_50pct!$D$225-SUMIF(Sens_Plan_50pct!$E$219:$L$219,"&gt;0")/Sens_Plan_50pct!$D$226)&lt;0.000001,"holds","does not hold"),"error")</f>
        <v>holds</v>
      </c>
      <c r="G265" s="9"/>
      <c r="H265" s="9"/>
      <c r="I265" s="47" t="str">
        <f aca="false">IFERROR(IF(ABS(Sens_Plan_50pct!$D$225-SUMIF(Sens_Plan_50pct!$E$219:$L$219,"&gt;0")/Sens_Plan_50pct!$D$226)&lt;0.000001,"PASS","FAIL"),"FAIL")</f>
        <v>PASS</v>
      </c>
    </row>
    <row r="266" customFormat="false" ht="15" hidden="false" customHeight="true" outlineLevel="0" collapsed="false">
      <c r="B266" s="48" t="n">
        <v>257</v>
      </c>
      <c r="C266" s="9" t="s">
        <v>323</v>
      </c>
      <c r="D266" s="37" t="s">
        <v>1001</v>
      </c>
      <c r="E266" s="59" t="s">
        <v>784</v>
      </c>
      <c r="F266" s="60" t="str">
        <f aca="false">IFERROR(IF(ABS(Sens_Plan_150pct!$D$50)&lt;0.000001,"holds","does not hold"),"error")</f>
        <v>holds</v>
      </c>
      <c r="G266" s="9"/>
      <c r="H266" s="9"/>
      <c r="I266" s="47" t="str">
        <f aca="false">IFERROR(IF(ABS(Sens_Plan_150pct!$D$50)&lt;0.000001,"PASS","FAIL"),"FAIL")</f>
        <v>PASS</v>
      </c>
    </row>
    <row r="267" customFormat="false" ht="15" hidden="false" customHeight="true" outlineLevel="0" collapsed="false">
      <c r="B267" s="48" t="n">
        <v>258</v>
      </c>
      <c r="C267" s="9" t="s">
        <v>323</v>
      </c>
      <c r="D267" s="37" t="s">
        <v>1002</v>
      </c>
      <c r="E267" s="59" t="s">
        <v>784</v>
      </c>
      <c r="F267" s="60" t="str">
        <f aca="false">IFERROR(IF(SUMPRODUCT(ABS(Sens_Plan_150pct!$E$154:$L$154))&lt;0.000001,"holds","does not hold"),"error")</f>
        <v>holds</v>
      </c>
      <c r="G267" s="9"/>
      <c r="H267" s="9"/>
      <c r="I267" s="47" t="str">
        <f aca="false">IFERROR(IF(SUMPRODUCT(ABS(Sens_Plan_150pct!$E$154:$L$154))&lt;0.000001,"PASS","FAIL"),"FAIL")</f>
        <v>PASS</v>
      </c>
    </row>
    <row r="268" customFormat="false" ht="15" hidden="false" customHeight="true" outlineLevel="0" collapsed="false">
      <c r="B268" s="48" t="n">
        <v>259</v>
      </c>
      <c r="C268" s="9" t="s">
        <v>323</v>
      </c>
      <c r="D268" s="37" t="s">
        <v>1003</v>
      </c>
      <c r="E268" s="59" t="s">
        <v>784</v>
      </c>
      <c r="F268" s="60" t="str">
        <f aca="false">IFERROR(IF(SUMPRODUCT(ABS(Sens_Plan_150pct!$F$126:$L$126))&lt;0.000001,"holds","does not hold"),"error")</f>
        <v>holds</v>
      </c>
      <c r="G268" s="9"/>
      <c r="H268" s="9"/>
      <c r="I268" s="47" t="str">
        <f aca="false">IFERROR(IF(SUMPRODUCT(ABS(Sens_Plan_150pct!$F$126:$L$126))&lt;0.000001,"PASS","FAIL"),"FAIL")</f>
        <v>PASS</v>
      </c>
    </row>
    <row r="269" customFormat="false" ht="15" hidden="false" customHeight="true" outlineLevel="0" collapsed="false">
      <c r="B269" s="48" t="n">
        <v>260</v>
      </c>
      <c r="C269" s="9" t="s">
        <v>323</v>
      </c>
      <c r="D269" s="37" t="s">
        <v>1004</v>
      </c>
      <c r="E269" s="59" t="s">
        <v>784</v>
      </c>
      <c r="F269" s="60" t="str">
        <f aca="false">IFERROR(IF(SUM(Sens_Plan_150pct!$F$116:$L$116)&lt;0.000001,"holds","does not hold"),"error")</f>
        <v>holds</v>
      </c>
      <c r="G269" s="9"/>
      <c r="H269" s="9"/>
      <c r="I269" s="47" t="str">
        <f aca="false">IFERROR(IF(SUM(Sens_Plan_150pct!$F$116:$L$116)&lt;0.000001,"PASS","FAIL"),"FAIL")</f>
        <v>PASS</v>
      </c>
    </row>
    <row r="270" customFormat="false" ht="30" hidden="false" customHeight="true" outlineLevel="0" collapsed="false">
      <c r="B270" s="48" t="n">
        <v>261</v>
      </c>
      <c r="C270" s="9" t="s">
        <v>323</v>
      </c>
      <c r="D270" s="37" t="s">
        <v>1005</v>
      </c>
      <c r="E270" s="59" t="s">
        <v>784</v>
      </c>
      <c r="F270" s="60" t="str">
        <f aca="false">IFERROR(IF(OR(Sens_Plan_150pct!$D$14=1,SUMPRODUCT(--(Sens_Plan_150pct!$F$123:$L$123&lt;Assumptions!$D$79-0.000001),--(Sens_Plan_150pct!$F$121:$L$121&lt;Assumptions!$D$90-0.000001))=0),"holds","does not hold"),"error")</f>
        <v>holds</v>
      </c>
      <c r="G270" s="9"/>
      <c r="H270" s="9"/>
      <c r="I270" s="47" t="str">
        <f aca="false">IFERROR(IF(OR(Sens_Plan_150pct!$D$14=1,SUMPRODUCT(--(Sens_Plan_150pct!$F$123:$L$123&lt;Assumptions!$D$79-0.000001),--(Sens_Plan_150pct!$F$121:$L$121&lt;Assumptions!$D$90-0.000001))=0),"PASS","FAIL"),"FAIL")</f>
        <v>PASS</v>
      </c>
    </row>
    <row r="271" customFormat="false" ht="15" hidden="false" customHeight="true" outlineLevel="0" collapsed="false">
      <c r="B271" s="48" t="n">
        <v>262</v>
      </c>
      <c r="C271" s="9" t="s">
        <v>323</v>
      </c>
      <c r="D271" s="37" t="s">
        <v>1006</v>
      </c>
      <c r="E271" s="59" t="s">
        <v>784</v>
      </c>
      <c r="F271" s="60" t="str">
        <f aca="false">IFERROR(IF(ABS(Sens_Plan_150pct!$H$163-(Sens_Plan_150pct!$H$162-Sens_Plan_150pct!$H$161))&lt;0.000001,"holds","does not hold"),"error")</f>
        <v>holds</v>
      </c>
      <c r="G271" s="9"/>
      <c r="H271" s="9"/>
      <c r="I271" s="47" t="str">
        <f aca="false">IFERROR(IF(ABS(Sens_Plan_150pct!$H$163-(Sens_Plan_150pct!$H$162-Sens_Plan_150pct!$H$161))&lt;0.000001,"PASS","FAIL"),"FAIL")</f>
        <v>PASS</v>
      </c>
    </row>
    <row r="272" customFormat="false" ht="15" hidden="false" customHeight="true" outlineLevel="0" collapsed="false">
      <c r="B272" s="48" t="n">
        <v>263</v>
      </c>
      <c r="C272" s="9" t="s">
        <v>323</v>
      </c>
      <c r="D272" s="37" t="s">
        <v>1007</v>
      </c>
      <c r="E272" s="59" t="s">
        <v>784</v>
      </c>
      <c r="F272" s="60" t="str">
        <f aca="false">IFERROR(IF(ABS(Sens_Plan_150pct!$D$204)&lt;0.000001,"holds","does not hold"),"error")</f>
        <v>holds</v>
      </c>
      <c r="G272" s="9"/>
      <c r="H272" s="9"/>
      <c r="I272" s="47" t="str">
        <f aca="false">IFERROR(IF(ABS(Sens_Plan_150pct!$D$204)&lt;0.000001,"PASS","FAIL"),"FAIL")</f>
        <v>PASS</v>
      </c>
    </row>
    <row r="273" customFormat="false" ht="30" hidden="false" customHeight="true" outlineLevel="0" collapsed="false">
      <c r="B273" s="48" t="n">
        <v>264</v>
      </c>
      <c r="C273" s="9" t="s">
        <v>323</v>
      </c>
      <c r="D273" s="37" t="s">
        <v>1008</v>
      </c>
      <c r="E273" s="59" t="s">
        <v>784</v>
      </c>
      <c r="F273" s="60" t="str">
        <f aca="false">IFERROR(IF(ABS(Sens_Plan_150pct!$D$224-Sens_Plan_150pct!$D$223)&lt;=0.0005,"holds","does not hold"),"error")</f>
        <v>holds</v>
      </c>
      <c r="G273" s="9"/>
      <c r="H273" s="9"/>
      <c r="I273" s="47" t="str">
        <f aca="false">IFERROR(IF(ABS(Sens_Plan_150pct!$D$224-Sens_Plan_150pct!$D$223)&lt;=0.0005,"PASS","FAIL"),"FAIL")</f>
        <v>PASS</v>
      </c>
    </row>
    <row r="274" customFormat="false" ht="15" hidden="false" customHeight="true" outlineLevel="0" collapsed="false">
      <c r="B274" s="48" t="n">
        <v>265</v>
      </c>
      <c r="C274" s="9" t="s">
        <v>323</v>
      </c>
      <c r="D274" s="37" t="s">
        <v>1009</v>
      </c>
      <c r="E274" s="59" t="s">
        <v>784</v>
      </c>
      <c r="F274" s="60" t="str">
        <f aca="false">IFERROR(IF(ABS(Sens_Plan_150pct!$D$225-SUMIF(Sens_Plan_150pct!$E$219:$L$219,"&gt;0")/Sens_Plan_150pct!$D$226)&lt;0.000001,"holds","does not hold"),"error")</f>
        <v>holds</v>
      </c>
      <c r="G274" s="9"/>
      <c r="H274" s="9"/>
      <c r="I274" s="47" t="str">
        <f aca="false">IFERROR(IF(ABS(Sens_Plan_150pct!$D$225-SUMIF(Sens_Plan_150pct!$E$219:$L$219,"&gt;0")/Sens_Plan_150pct!$D$226)&lt;0.000001,"PASS","FAIL"),"FAIL")</f>
        <v>PASS</v>
      </c>
    </row>
    <row r="275" customFormat="false" ht="15" hidden="false" customHeight="false" outlineLevel="0" collapsed="false">
      <c r="B275" s="48" t="n">
        <v>266</v>
      </c>
      <c r="C275" s="9" t="s">
        <v>1010</v>
      </c>
      <c r="D275" s="9" t="s">
        <v>1011</v>
      </c>
      <c r="E275" s="52" t="n">
        <v>250.4</v>
      </c>
      <c r="F275" s="53" t="n">
        <f aca="false">Bridge!$D$22</f>
        <v>250.40600568</v>
      </c>
      <c r="G275" s="50" t="n">
        <f aca="false">IFERROR(IF(ISNUMBER(F275),F275-E275,"n/a"),"n/a")</f>
        <v>0.00600568000001545</v>
      </c>
      <c r="H275" s="51" t="n">
        <v>0.050000001</v>
      </c>
      <c r="I275" s="47" t="str">
        <f aca="false">IFERROR(IF(ISNUMBER(F275),IF(ABS(F275-E275)&lt;=H275,"PASS","FAIL"),"FAIL"),"FAIL")</f>
        <v>PASS</v>
      </c>
    </row>
    <row r="276" customFormat="false" ht="15" hidden="false" customHeight="false" outlineLevel="0" collapsed="false">
      <c r="B276" s="48" t="n">
        <v>267</v>
      </c>
      <c r="C276" s="9" t="s">
        <v>1010</v>
      </c>
      <c r="D276" s="9" t="s">
        <v>1012</v>
      </c>
      <c r="E276" s="21" t="n">
        <v>0.962</v>
      </c>
      <c r="F276" s="20" t="n">
        <f aca="false">Bridge!$E$22</f>
        <v>0.962303610747358</v>
      </c>
      <c r="G276" s="50" t="n">
        <f aca="false">IFERROR(IF(ISNUMBER(F276),F276-E276,"n/a"),"n/a")</f>
        <v>0.000303610747357519</v>
      </c>
      <c r="H276" s="51" t="n">
        <v>0.000500001</v>
      </c>
      <c r="I276" s="47" t="str">
        <f aca="false">IFERROR(IF(ISNUMBER(F276),IF(ABS(F276-E276)&lt;=H276,"PASS","FAIL"),"FAIL"),"FAIL")</f>
        <v>PASS</v>
      </c>
    </row>
    <row r="277" customFormat="false" ht="15" hidden="false" customHeight="false" outlineLevel="0" collapsed="false">
      <c r="B277" s="48" t="n">
        <v>268</v>
      </c>
      <c r="C277" s="9" t="s">
        <v>1010</v>
      </c>
      <c r="D277" s="9" t="s">
        <v>1013</v>
      </c>
      <c r="E277" s="52" t="n">
        <v>0</v>
      </c>
      <c r="F277" s="53" t="n">
        <f aca="false">Bridge!$D$23</f>
        <v>0</v>
      </c>
      <c r="G277" s="50" t="n">
        <f aca="false">IFERROR(IF(ISNUMBER(F277),F277-E277,"n/a"),"n/a")</f>
        <v>0</v>
      </c>
      <c r="H277" s="51" t="n">
        <v>0.050000001</v>
      </c>
      <c r="I277" s="47" t="str">
        <f aca="false">IFERROR(IF(ISNUMBER(F277),IF(ABS(F277-E277)&lt;=H277,"PASS","FAIL"),"FAIL"),"FAIL")</f>
        <v>PASS</v>
      </c>
    </row>
    <row r="278" customFormat="false" ht="15" hidden="false" customHeight="false" outlineLevel="0" collapsed="false">
      <c r="B278" s="48" t="n">
        <v>269</v>
      </c>
      <c r="C278" s="9" t="s">
        <v>1010</v>
      </c>
      <c r="D278" s="9" t="s">
        <v>1014</v>
      </c>
      <c r="E278" s="21" t="n">
        <v>0</v>
      </c>
      <c r="F278" s="20" t="n">
        <f aca="false">Bridge!$E$23</f>
        <v>0</v>
      </c>
      <c r="G278" s="50" t="n">
        <f aca="false">IFERROR(IF(ISNUMBER(F278),F278-E278,"n/a"),"n/a")</f>
        <v>0</v>
      </c>
      <c r="H278" s="51" t="n">
        <v>0.000500001</v>
      </c>
      <c r="I278" s="47" t="str">
        <f aca="false">IFERROR(IF(ISNUMBER(F278),IF(ABS(F278-E278)&lt;=H278,"PASS","FAIL"),"FAIL"),"FAIL")</f>
        <v>PASS</v>
      </c>
    </row>
    <row r="279" customFormat="false" ht="15" hidden="false" customHeight="false" outlineLevel="0" collapsed="false">
      <c r="B279" s="48" t="n">
        <v>270</v>
      </c>
      <c r="C279" s="9" t="s">
        <v>1010</v>
      </c>
      <c r="D279" s="9" t="s">
        <v>1015</v>
      </c>
      <c r="E279" s="52" t="n">
        <v>35.3</v>
      </c>
      <c r="F279" s="53" t="n">
        <f aca="false">Bridge!$D$24</f>
        <v>35.3152627370429</v>
      </c>
      <c r="G279" s="50" t="n">
        <f aca="false">IFERROR(IF(ISNUMBER(F279),F279-E279,"n/a"),"n/a")</f>
        <v>0.0152627370429315</v>
      </c>
      <c r="H279" s="51" t="n">
        <v>0.050000001</v>
      </c>
      <c r="I279" s="47" t="str">
        <f aca="false">IFERROR(IF(ISNUMBER(F279),IF(ABS(F279-E279)&lt;=H279,"PASS","FAIL"),"FAIL"),"FAIL")</f>
        <v>PASS</v>
      </c>
    </row>
    <row r="280" customFormat="false" ht="15" hidden="false" customHeight="false" outlineLevel="0" collapsed="false">
      <c r="B280" s="48" t="n">
        <v>271</v>
      </c>
      <c r="C280" s="9" t="s">
        <v>1010</v>
      </c>
      <c r="D280" s="9" t="s">
        <v>1016</v>
      </c>
      <c r="E280" s="21" t="n">
        <v>0.136</v>
      </c>
      <c r="F280" s="20" t="n">
        <f aca="false">Bridge!$E$24</f>
        <v>0.135715614144563</v>
      </c>
      <c r="G280" s="50" t="n">
        <f aca="false">IFERROR(IF(ISNUMBER(F280),F280-E280,"n/a"),"n/a")</f>
        <v>-0.000284385855437469</v>
      </c>
      <c r="H280" s="51" t="n">
        <v>0.000500001</v>
      </c>
      <c r="I280" s="47" t="str">
        <f aca="false">IFERROR(IF(ISNUMBER(F280),IF(ABS(F280-E280)&lt;=H280,"PASS","FAIL"),"FAIL"),"FAIL")</f>
        <v>PASS</v>
      </c>
    </row>
    <row r="281" customFormat="false" ht="15" hidden="false" customHeight="false" outlineLevel="0" collapsed="false">
      <c r="B281" s="48" t="n">
        <v>272</v>
      </c>
      <c r="C281" s="9" t="s">
        <v>1010</v>
      </c>
      <c r="D281" s="9" t="s">
        <v>1017</v>
      </c>
      <c r="E281" s="52" t="n">
        <v>15</v>
      </c>
      <c r="F281" s="53" t="n">
        <f aca="false">Bridge!$D$16</f>
        <v>15</v>
      </c>
      <c r="G281" s="50" t="n">
        <f aca="false">IFERROR(IF(ISNUMBER(F281),F281-E281,"n/a"),"n/a")</f>
        <v>0</v>
      </c>
      <c r="H281" s="51" t="n">
        <v>0.050000001</v>
      </c>
      <c r="I281" s="47" t="str">
        <f aca="false">IFERROR(IF(ISNUMBER(F281),IF(ABS(F281-E281)&lt;=H281,"PASS","FAIL"),"FAIL"),"FAIL")</f>
        <v>PASS</v>
      </c>
    </row>
    <row r="282" customFormat="false" ht="15" hidden="false" customHeight="false" outlineLevel="0" collapsed="false">
      <c r="B282" s="48" t="n">
        <v>273</v>
      </c>
      <c r="C282" s="9" t="s">
        <v>1010</v>
      </c>
      <c r="D282" s="9" t="s">
        <v>1018</v>
      </c>
      <c r="E282" s="52" t="n">
        <v>10.5</v>
      </c>
      <c r="F282" s="53" t="n">
        <f aca="false">Bridge!$D$17</f>
        <v>10.5060900852</v>
      </c>
      <c r="G282" s="50" t="n">
        <f aca="false">IFERROR(IF(ISNUMBER(F282),F282-E282,"n/a"),"n/a")</f>
        <v>0.00609008520000032</v>
      </c>
      <c r="H282" s="51" t="n">
        <v>0.050000001</v>
      </c>
      <c r="I282" s="47" t="str">
        <f aca="false">IFERROR(IF(ISNUMBER(F282),IF(ABS(F282-E282)&lt;=H282,"PASS","FAIL"),"FAIL"),"FAIL")</f>
        <v>PASS</v>
      </c>
    </row>
    <row r="283" customFormat="false" ht="15" hidden="false" customHeight="false" outlineLevel="0" collapsed="false">
      <c r="B283" s="48" t="n">
        <v>274</v>
      </c>
      <c r="C283" s="9" t="s">
        <v>1010</v>
      </c>
      <c r="D283" s="9" t="s">
        <v>1019</v>
      </c>
      <c r="E283" s="52" t="n">
        <v>-25.5</v>
      </c>
      <c r="F283" s="53" t="n">
        <f aca="false">Bridge!$D$26</f>
        <v>-25.5060900852</v>
      </c>
      <c r="G283" s="50" t="n">
        <f aca="false">IFERROR(IF(ISNUMBER(F283),F283-E283,"n/a"),"n/a")</f>
        <v>-0.00609008520000032</v>
      </c>
      <c r="H283" s="51" t="n">
        <v>0.050000001</v>
      </c>
      <c r="I283" s="47" t="str">
        <f aca="false">IFERROR(IF(ISNUMBER(F283),IF(ABS(F283-E283)&lt;=H283,"PASS","FAIL"),"FAIL"),"FAIL")</f>
        <v>PASS</v>
      </c>
    </row>
    <row r="284" customFormat="false" ht="15" hidden="false" customHeight="false" outlineLevel="0" collapsed="false">
      <c r="B284" s="48" t="n">
        <v>275</v>
      </c>
      <c r="C284" s="9" t="s">
        <v>1010</v>
      </c>
      <c r="D284" s="9" t="s">
        <v>1020</v>
      </c>
      <c r="E284" s="21" t="n">
        <v>-0.098</v>
      </c>
      <c r="F284" s="20" t="n">
        <f aca="false">Bridge!$E$26</f>
        <v>-0.0980192248919201</v>
      </c>
      <c r="G284" s="50" t="n">
        <f aca="false">IFERROR(IF(ISNUMBER(F284),F284-E284,"n/a"),"n/a")</f>
        <v>-1.92248919200777E-005</v>
      </c>
      <c r="H284" s="51" t="n">
        <v>0.000500001</v>
      </c>
      <c r="I284" s="47" t="str">
        <f aca="false">IFERROR(IF(ISNUMBER(F284),IF(ABS(F284-E284)&lt;=H284,"PASS","FAIL"),"FAIL"),"FAIL")</f>
        <v>PASS</v>
      </c>
    </row>
    <row r="285" customFormat="false" ht="15" hidden="false" customHeight="false" outlineLevel="0" collapsed="false">
      <c r="B285" s="48" t="n">
        <v>276</v>
      </c>
      <c r="C285" s="9" t="s">
        <v>1010</v>
      </c>
      <c r="D285" s="9" t="s">
        <v>1021</v>
      </c>
      <c r="E285" s="52" t="n">
        <v>260.2</v>
      </c>
      <c r="F285" s="53" t="n">
        <f aca="false">Bridge!$D$27</f>
        <v>260.215178331843</v>
      </c>
      <c r="G285" s="50" t="n">
        <f aca="false">IFERROR(IF(ISNUMBER(F285),F285-E285,"n/a"),"n/a")</f>
        <v>0.0151783318429466</v>
      </c>
      <c r="H285" s="51" t="n">
        <v>0.050000001</v>
      </c>
      <c r="I285" s="47" t="str">
        <f aca="false">IFERROR(IF(ISNUMBER(F285),IF(ABS(F285-E285)&lt;=H285,"PASS","FAIL"),"FAIL"),"FAIL")</f>
        <v>PASS</v>
      </c>
    </row>
    <row r="286" customFormat="false" ht="15" hidden="false" customHeight="false" outlineLevel="0" collapsed="false">
      <c r="B286" s="48" t="n">
        <v>277</v>
      </c>
      <c r="C286" s="9" t="s">
        <v>1010</v>
      </c>
      <c r="D286" s="9" t="s">
        <v>1022</v>
      </c>
      <c r="E286" s="21" t="n">
        <v>1</v>
      </c>
      <c r="F286" s="20" t="n">
        <f aca="false">Bridge!$E$27</f>
        <v>1</v>
      </c>
      <c r="G286" s="50" t="n">
        <f aca="false">IFERROR(IF(ISNUMBER(F286),F286-E286,"n/a"),"n/a")</f>
        <v>0</v>
      </c>
      <c r="H286" s="51" t="n">
        <v>0.000500001</v>
      </c>
      <c r="I286" s="47" t="str">
        <f aca="false">IFERROR(IF(ISNUMBER(F286),IF(ABS(F286-E286)&lt;=H286,"PASS","FAIL"),"FAIL"),"FAIL")</f>
        <v>PASS</v>
      </c>
    </row>
    <row r="287" customFormat="false" ht="15" hidden="false" customHeight="false" outlineLevel="0" collapsed="false">
      <c r="B287" s="48" t="n">
        <v>278</v>
      </c>
      <c r="C287" s="9" t="s">
        <v>1010</v>
      </c>
      <c r="D287" s="9" t="s">
        <v>1023</v>
      </c>
      <c r="E287" s="52" t="n">
        <v>142.4</v>
      </c>
      <c r="F287" s="53" t="n">
        <f aca="false">Bridge!$D$35</f>
        <v>142.41579768</v>
      </c>
      <c r="G287" s="50" t="n">
        <f aca="false">IFERROR(IF(ISNUMBER(F287),F287-E287,"n/a"),"n/a")</f>
        <v>0.0157976799999915</v>
      </c>
      <c r="H287" s="51" t="n">
        <v>0.050000001</v>
      </c>
      <c r="I287" s="47" t="str">
        <f aca="false">IFERROR(IF(ISNUMBER(F287),IF(ABS(F287-E287)&lt;=H287,"PASS","FAIL"),"FAIL"),"FAIL")</f>
        <v>PASS</v>
      </c>
    </row>
    <row r="288" customFormat="false" ht="15" hidden="false" customHeight="false" outlineLevel="0" collapsed="false">
      <c r="B288" s="48" t="n">
        <v>279</v>
      </c>
      <c r="C288" s="9" t="s">
        <v>1010</v>
      </c>
      <c r="D288" s="9" t="s">
        <v>1024</v>
      </c>
      <c r="E288" s="52" t="n">
        <v>108</v>
      </c>
      <c r="F288" s="53" t="n">
        <f aca="false">Bridge!$D$36</f>
        <v>107.990208</v>
      </c>
      <c r="G288" s="50" t="n">
        <f aca="false">IFERROR(IF(ISNUMBER(F288),F288-E288,"n/a"),"n/a")</f>
        <v>-0.00979199999999025</v>
      </c>
      <c r="H288" s="51" t="n">
        <v>0.050000001</v>
      </c>
      <c r="I288" s="47" t="str">
        <f aca="false">IFERROR(IF(ISNUMBER(F288),IF(ABS(F288-E288)&lt;=H288,"PASS","FAIL"),"FAIL"),"FAIL")</f>
        <v>PASS</v>
      </c>
    </row>
    <row r="289" customFormat="false" ht="15" hidden="false" customHeight="false" outlineLevel="0" collapsed="false">
      <c r="B289" s="48" t="n">
        <v>280</v>
      </c>
      <c r="C289" s="9" t="s">
        <v>1010</v>
      </c>
      <c r="D289" s="9" t="s">
        <v>1025</v>
      </c>
      <c r="E289" s="52" t="n">
        <v>108</v>
      </c>
      <c r="F289" s="53" t="n">
        <f aca="false">Bridge!$D$36</f>
        <v>107.990208</v>
      </c>
      <c r="G289" s="50" t="n">
        <f aca="false">IFERROR(IF(ISNUMBER(F289),F289-E289,"n/a"),"n/a")</f>
        <v>-0.00979199999999025</v>
      </c>
      <c r="H289" s="51" t="n">
        <v>0.050000001</v>
      </c>
      <c r="I289" s="47" t="str">
        <f aca="false">IFERROR(IF(ISNUMBER(F289),IF(ABS(F289-E289)&lt;=H289,"PASS","FAIL"),"FAIL"),"FAIL")</f>
        <v>PASS</v>
      </c>
    </row>
    <row r="290" customFormat="false" ht="15" hidden="false" customHeight="false" outlineLevel="0" collapsed="false">
      <c r="B290" s="48" t="n">
        <v>281</v>
      </c>
      <c r="C290" s="9" t="s">
        <v>1010</v>
      </c>
      <c r="D290" s="9" t="s">
        <v>1026</v>
      </c>
      <c r="E290" s="52" t="n">
        <v>250.4</v>
      </c>
      <c r="F290" s="53" t="n">
        <f aca="false">Bridge!$D$22</f>
        <v>250.40600568</v>
      </c>
      <c r="G290" s="50" t="n">
        <f aca="false">IFERROR(IF(ISNUMBER(F290),F290-E290,"n/a"),"n/a")</f>
        <v>0.00600568000001545</v>
      </c>
      <c r="H290" s="51" t="n">
        <v>0.050000001</v>
      </c>
      <c r="I290" s="47" t="str">
        <f aca="false">IFERROR(IF(ISNUMBER(F290),IF(ABS(F290-E290)&lt;=H290,"PASS","FAIL"),"FAIL"),"FAIL")</f>
        <v>PASS</v>
      </c>
    </row>
    <row r="291" customFormat="false" ht="15" hidden="false" customHeight="false" outlineLevel="0" collapsed="false">
      <c r="B291" s="48" t="n">
        <v>282</v>
      </c>
      <c r="C291" s="9" t="s">
        <v>1010</v>
      </c>
      <c r="D291" s="9" t="s">
        <v>1027</v>
      </c>
      <c r="E291" s="52" t="n">
        <v>77.8</v>
      </c>
      <c r="F291" s="53" t="n">
        <f aca="false">Bridge!$D$7</f>
        <v>77.82288952</v>
      </c>
      <c r="G291" s="50" t="n">
        <f aca="false">IFERROR(IF(ISNUMBER(F291),F291-E291,"n/a"),"n/a")</f>
        <v>0.0228895200000068</v>
      </c>
      <c r="H291" s="51" t="n">
        <v>0.050000001</v>
      </c>
      <c r="I291" s="47" t="str">
        <f aca="false">IFERROR(IF(ISNUMBER(F291),IF(ABS(F291-E291)&lt;=H291,"PASS","FAIL"),"FAIL"),"FAIL")</f>
        <v>PASS</v>
      </c>
    </row>
    <row r="292" customFormat="false" ht="15" hidden="false" customHeight="false" outlineLevel="0" collapsed="false">
      <c r="B292" s="48" t="n">
        <v>283</v>
      </c>
      <c r="C292" s="9" t="s">
        <v>1010</v>
      </c>
      <c r="D292" s="9" t="s">
        <v>1028</v>
      </c>
      <c r="E292" s="52" t="n">
        <v>50</v>
      </c>
      <c r="F292" s="53" t="n">
        <f aca="false">Bridge!$D$6</f>
        <v>50</v>
      </c>
      <c r="G292" s="50" t="n">
        <f aca="false">IFERROR(IF(ISNUMBER(F292),F292-E292,"n/a"),"n/a")</f>
        <v>0</v>
      </c>
      <c r="H292" s="51" t="n">
        <v>0.050000001</v>
      </c>
      <c r="I292" s="47" t="str">
        <f aca="false">IFERROR(IF(ISNUMBER(F292),IF(ABS(F292-E292)&lt;=H292,"PASS","FAIL"),"FAIL"),"FAIL")</f>
        <v>PASS</v>
      </c>
    </row>
    <row r="293" customFormat="false" ht="15" hidden="false" customHeight="false" outlineLevel="0" collapsed="false">
      <c r="B293" s="48" t="n">
        <v>284</v>
      </c>
      <c r="C293" s="9" t="s">
        <v>1010</v>
      </c>
      <c r="D293" s="9" t="s">
        <v>1029</v>
      </c>
      <c r="E293" s="52" t="n">
        <v>9</v>
      </c>
      <c r="F293" s="53" t="n">
        <f aca="false">Bridge!$D$8</f>
        <v>9</v>
      </c>
      <c r="G293" s="50" t="n">
        <f aca="false">IFERROR(IF(ISNUMBER(F293),F293-E293,"n/a"),"n/a")</f>
        <v>0</v>
      </c>
      <c r="H293" s="51" t="n">
        <v>0.050000001</v>
      </c>
      <c r="I293" s="47" t="str">
        <f aca="false">IFERROR(IF(ISNUMBER(F293),IF(ABS(F293-E293)&lt;=H293,"PASS","FAIL"),"FAIL"),"FAIL")</f>
        <v>PASS</v>
      </c>
    </row>
    <row r="294" customFormat="false" ht="15" hidden="false" customHeight="false" outlineLevel="0" collapsed="false">
      <c r="B294" s="48" t="n">
        <v>285</v>
      </c>
      <c r="C294" s="9" t="s">
        <v>1010</v>
      </c>
      <c r="D294" s="9" t="s">
        <v>1030</v>
      </c>
      <c r="E294" s="52" t="n">
        <v>9</v>
      </c>
      <c r="F294" s="53" t="n">
        <f aca="false">Bridge!$D$9</f>
        <v>9</v>
      </c>
      <c r="G294" s="50" t="n">
        <f aca="false">IFERROR(IF(ISNUMBER(F294),F294-E294,"n/a"),"n/a")</f>
        <v>0</v>
      </c>
      <c r="H294" s="51" t="n">
        <v>0.050000001</v>
      </c>
      <c r="I294" s="47" t="str">
        <f aca="false">IFERROR(IF(ISNUMBER(F294),IF(ABS(F294-E294)&lt;=H294,"PASS","FAIL"),"FAIL"),"FAIL")</f>
        <v>PASS</v>
      </c>
    </row>
    <row r="295" customFormat="false" ht="15" hidden="false" customHeight="false" outlineLevel="0" collapsed="false">
      <c r="B295" s="48" t="n">
        <v>286</v>
      </c>
      <c r="C295" s="9" t="s">
        <v>1010</v>
      </c>
      <c r="D295" s="9" t="s">
        <v>1031</v>
      </c>
      <c r="E295" s="52" t="n">
        <v>9</v>
      </c>
      <c r="F295" s="53" t="n">
        <f aca="false">Bridge!$D$8</f>
        <v>9</v>
      </c>
      <c r="G295" s="50" t="n">
        <f aca="false">IFERROR(IF(ISNUMBER(F295),F295-E295,"n/a"),"n/a")</f>
        <v>0</v>
      </c>
      <c r="H295" s="51" t="n">
        <v>0.050000001</v>
      </c>
      <c r="I295" s="47" t="str">
        <f aca="false">IFERROR(IF(ISNUMBER(F295),IF(ABS(F295-E295)&lt;=H295,"PASS","FAIL"),"FAIL"),"FAIL")</f>
        <v>PASS</v>
      </c>
    </row>
    <row r="296" customFormat="false" ht="15" hidden="false" customHeight="false" outlineLevel="0" collapsed="false">
      <c r="B296" s="48" t="n">
        <v>287</v>
      </c>
      <c r="C296" s="9" t="s">
        <v>1010</v>
      </c>
      <c r="D296" s="9" t="s">
        <v>1032</v>
      </c>
      <c r="E296" s="52" t="n">
        <v>77.8</v>
      </c>
      <c r="F296" s="53" t="n">
        <f aca="false">Bridge!$D$7</f>
        <v>77.82288952</v>
      </c>
      <c r="G296" s="50" t="n">
        <f aca="false">IFERROR(IF(ISNUMBER(F296),F296-E296,"n/a"),"n/a")</f>
        <v>0.0228895200000068</v>
      </c>
      <c r="H296" s="51" t="n">
        <v>0.050000001</v>
      </c>
      <c r="I296" s="47" t="str">
        <f aca="false">IFERROR(IF(ISNUMBER(F296),IF(ABS(F296-E296)&lt;=H296,"PASS","FAIL"),"FAIL"),"FAIL")</f>
        <v>PASS</v>
      </c>
    </row>
    <row r="297" customFormat="false" ht="15" hidden="false" customHeight="false" outlineLevel="0" collapsed="false">
      <c r="B297" s="48" t="n">
        <v>288</v>
      </c>
      <c r="C297" s="9" t="s">
        <v>1010</v>
      </c>
      <c r="D297" s="9" t="s">
        <v>1033</v>
      </c>
      <c r="E297" s="52" t="n">
        <v>265</v>
      </c>
      <c r="F297" s="53" t="n">
        <f aca="false">Bridge!$D$10</f>
        <v>265</v>
      </c>
      <c r="G297" s="50" t="n">
        <f aca="false">IFERROR(IF(ISNUMBER(F297),F297-E297,"n/a"),"n/a")</f>
        <v>0</v>
      </c>
      <c r="H297" s="51" t="n">
        <v>0.050000001</v>
      </c>
      <c r="I297" s="47" t="str">
        <f aca="false">IFERROR(IF(ISNUMBER(F297),IF(ABS(F297-E297)&lt;=H297,"PASS","FAIL"),"FAIL"),"FAIL")</f>
        <v>PASS</v>
      </c>
    </row>
    <row r="298" customFormat="false" ht="15" hidden="false" customHeight="false" outlineLevel="0" collapsed="false">
      <c r="B298" s="48" t="n">
        <v>289</v>
      </c>
      <c r="C298" s="9" t="s">
        <v>1010</v>
      </c>
      <c r="D298" s="9" t="s">
        <v>1034</v>
      </c>
      <c r="E298" s="52" t="n">
        <v>229.7</v>
      </c>
      <c r="F298" s="53" t="n">
        <f aca="false">Bridge!$D$11</f>
        <v>229.684737262957</v>
      </c>
      <c r="G298" s="50" t="n">
        <f aca="false">IFERROR(IF(ISNUMBER(F298),F298-E298,"n/a"),"n/a")</f>
        <v>-0.0152627370429173</v>
      </c>
      <c r="H298" s="51" t="n">
        <v>0.050000001</v>
      </c>
      <c r="I298" s="47" t="str">
        <f aca="false">IFERROR(IF(ISNUMBER(F298),IF(ABS(F298-E298)&lt;=H298,"PASS","FAIL"),"FAIL"),"FAIL")</f>
        <v>PASS</v>
      </c>
    </row>
    <row r="299" customFormat="false" ht="15" hidden="false" customHeight="false" outlineLevel="0" collapsed="false">
      <c r="B299" s="48" t="n">
        <v>290</v>
      </c>
      <c r="C299" s="9" t="s">
        <v>1010</v>
      </c>
      <c r="D299" s="9" t="s">
        <v>1035</v>
      </c>
      <c r="E299" s="52" t="n">
        <v>460.2</v>
      </c>
      <c r="F299" s="53" t="n">
        <f aca="false">Bridge!$D$13</f>
        <v>460.215178331843</v>
      </c>
      <c r="G299" s="50" t="n">
        <f aca="false">IFERROR(IF(ISNUMBER(F299),F299-E299,"n/a"),"n/a")</f>
        <v>0.0151783318429466</v>
      </c>
      <c r="H299" s="51" t="n">
        <v>0.050000001</v>
      </c>
      <c r="I299" s="47" t="str">
        <f aca="false">IFERROR(IF(ISNUMBER(F299),IF(ABS(F299-E299)&lt;=H299,"PASS","FAIL"),"FAIL"),"FAIL")</f>
        <v>PASS</v>
      </c>
    </row>
    <row r="300" customFormat="false" ht="15" hidden="false" customHeight="false" outlineLevel="0" collapsed="false">
      <c r="B300" s="48" t="n">
        <v>291</v>
      </c>
      <c r="C300" s="9" t="s">
        <v>1010</v>
      </c>
      <c r="D300" s="9" t="s">
        <v>1036</v>
      </c>
      <c r="E300" s="52" t="n">
        <v>200</v>
      </c>
      <c r="F300" s="53" t="n">
        <f aca="false">Bridge!$D$12</f>
        <v>200</v>
      </c>
      <c r="G300" s="50" t="n">
        <f aca="false">IFERROR(IF(ISNUMBER(F300),F300-E300,"n/a"),"n/a")</f>
        <v>0</v>
      </c>
      <c r="H300" s="51" t="n">
        <v>0.050000001</v>
      </c>
      <c r="I300" s="47" t="str">
        <f aca="false">IFERROR(IF(ISNUMBER(F300),IF(ABS(F300-E300)&lt;=H300,"PASS","FAIL"),"FAIL"),"FAIL")</f>
        <v>PASS</v>
      </c>
    </row>
    <row r="301" customFormat="false" ht="15" hidden="false" customHeight="false" outlineLevel="0" collapsed="false">
      <c r="B301" s="48" t="n">
        <v>292</v>
      </c>
      <c r="C301" s="9" t="s">
        <v>1010</v>
      </c>
      <c r="D301" s="9" t="s">
        <v>1037</v>
      </c>
      <c r="E301" s="52" t="n">
        <v>65.8</v>
      </c>
      <c r="F301" s="53" t="n">
        <f aca="false">Bridge!$D$32</f>
        <v>65.82397752</v>
      </c>
      <c r="G301" s="50" t="n">
        <f aca="false">IFERROR(IF(ISNUMBER(F301),F301-E301,"n/a"),"n/a")</f>
        <v>0.0239775200000025</v>
      </c>
      <c r="H301" s="51" t="n">
        <v>0.050000001</v>
      </c>
      <c r="I301" s="47" t="str">
        <f aca="false">IFERROR(IF(ISNUMBER(F301),IF(ABS(F301-E301)&lt;=H301,"PASS","FAIL"),"FAIL"),"FAIL")</f>
        <v>PASS</v>
      </c>
    </row>
    <row r="302" customFormat="false" ht="15" hidden="false" customHeight="false" outlineLevel="0" collapsed="false">
      <c r="B302" s="48" t="n">
        <v>293</v>
      </c>
      <c r="C302" s="9" t="s">
        <v>1010</v>
      </c>
      <c r="D302" s="9" t="s">
        <v>1038</v>
      </c>
      <c r="E302" s="52" t="n">
        <v>50</v>
      </c>
      <c r="F302" s="53" t="n">
        <f aca="false">Bridge!$D$6</f>
        <v>50</v>
      </c>
      <c r="G302" s="50" t="n">
        <f aca="false">IFERROR(IF(ISNUMBER(F302),F302-E302,"n/a"),"n/a")</f>
        <v>0</v>
      </c>
      <c r="H302" s="51" t="n">
        <v>0.050000001</v>
      </c>
      <c r="I302" s="47" t="str">
        <f aca="false">IFERROR(IF(ISNUMBER(F302),IF(ABS(F302-E302)&lt;=H302,"PASS","FAIL"),"FAIL"),"FAIL")</f>
        <v>PASS</v>
      </c>
    </row>
    <row r="303" customFormat="false" ht="15" hidden="false" customHeight="false" outlineLevel="0" collapsed="false">
      <c r="B303" s="48" t="n">
        <v>294</v>
      </c>
      <c r="C303" s="9" t="s">
        <v>1010</v>
      </c>
      <c r="D303" s="9" t="s">
        <v>1039</v>
      </c>
      <c r="E303" s="52" t="n">
        <v>9</v>
      </c>
      <c r="F303" s="53" t="n">
        <f aca="false">Bridge!$D$8</f>
        <v>9</v>
      </c>
      <c r="G303" s="50" t="n">
        <f aca="false">IFERROR(IF(ISNUMBER(F303),F303-E303,"n/a"),"n/a")</f>
        <v>0</v>
      </c>
      <c r="H303" s="51" t="n">
        <v>0.050000001</v>
      </c>
      <c r="I303" s="47" t="str">
        <f aca="false">IFERROR(IF(ISNUMBER(F303),IF(ABS(F303-E303)&lt;=H303,"PASS","FAIL"),"FAIL"),"FAIL")</f>
        <v>PASS</v>
      </c>
    </row>
    <row r="304" customFormat="false" ht="15" hidden="false" customHeight="false" outlineLevel="0" collapsed="false">
      <c r="B304" s="48" t="n">
        <v>295</v>
      </c>
      <c r="C304" s="9" t="s">
        <v>1010</v>
      </c>
      <c r="D304" s="9" t="s">
        <v>1040</v>
      </c>
      <c r="E304" s="52" t="n">
        <v>250.4</v>
      </c>
      <c r="F304" s="53" t="n">
        <f aca="false">Bridge!$D$54</f>
        <v>250.40600568</v>
      </c>
      <c r="G304" s="50" t="n">
        <f aca="false">IFERROR(IF(ISNUMBER(F304),F304-E304,"n/a"),"n/a")</f>
        <v>0.00600568000001545</v>
      </c>
      <c r="H304" s="51" t="n">
        <v>0.050000001</v>
      </c>
      <c r="I304" s="47" t="str">
        <f aca="false">IFERROR(IF(ISNUMBER(F304),IF(ABS(F304-E304)&lt;=H304,"PASS","FAIL"),"FAIL"),"FAIL")</f>
        <v>PASS</v>
      </c>
    </row>
    <row r="305" customFormat="false" ht="15" hidden="false" customHeight="false" outlineLevel="0" collapsed="false">
      <c r="B305" s="48" t="n">
        <v>296</v>
      </c>
      <c r="C305" s="9" t="s">
        <v>1010</v>
      </c>
      <c r="D305" s="9" t="s">
        <v>1041</v>
      </c>
      <c r="E305" s="21" t="n">
        <v>0.556</v>
      </c>
      <c r="F305" s="20" t="n">
        <f aca="false">Bridge!$D$55</f>
        <v>0.5564577904</v>
      </c>
      <c r="G305" s="50" t="n">
        <f aca="false">IFERROR(IF(ISNUMBER(F305),F305-E305,"n/a"),"n/a")</f>
        <v>0.000457790400000047</v>
      </c>
      <c r="H305" s="51" t="n">
        <v>0.000500001</v>
      </c>
      <c r="I305" s="47" t="str">
        <f aca="false">IFERROR(IF(ISNUMBER(F305),IF(ABS(F305-E305)&lt;=H305,"PASS","FAIL"),"FAIL"),"FAIL")</f>
        <v>PASS</v>
      </c>
    </row>
    <row r="306" customFormat="false" ht="15" hidden="false" customHeight="false" outlineLevel="0" collapsed="false">
      <c r="B306" s="48" t="n">
        <v>297</v>
      </c>
      <c r="C306" s="9" t="s">
        <v>1010</v>
      </c>
      <c r="D306" s="9" t="s">
        <v>1042</v>
      </c>
      <c r="E306" s="10" t="n">
        <v>0.0925</v>
      </c>
      <c r="F306" s="56" t="n">
        <f aca="false">Bridge!$D$56</f>
        <v>0.0925151535860498</v>
      </c>
      <c r="G306" s="50" t="n">
        <f aca="false">IFERROR(IF(ISNUMBER(F306),F306-E306,"n/a"),"n/a")</f>
        <v>1.5153586049782E-005</v>
      </c>
      <c r="H306" s="51" t="n">
        <v>5.0001E-005</v>
      </c>
      <c r="I306" s="47" t="str">
        <f aca="false">IFERROR(IF(ISNUMBER(F306),IF(ABS(F306-E306)&lt;=H306,"PASS","FAIL"),"FAIL"),"FAIL")</f>
        <v>PASS</v>
      </c>
    </row>
    <row r="307" customFormat="false" ht="15" hidden="false" customHeight="false" outlineLevel="0" collapsed="false">
      <c r="B307" s="48" t="n">
        <v>298</v>
      </c>
      <c r="C307" s="9" t="s">
        <v>1010</v>
      </c>
      <c r="D307" s="9" t="s">
        <v>1043</v>
      </c>
      <c r="E307" s="21" t="n">
        <v>1.301</v>
      </c>
      <c r="F307" s="20" t="n">
        <f aca="false">Bridge!$D$57</f>
        <v>1.30107589165922</v>
      </c>
      <c r="G307" s="50" t="n">
        <f aca="false">IFERROR(IF(ISNUMBER(F307),F307-E307,"n/a"),"n/a")</f>
        <v>7.5891659214955E-005</v>
      </c>
      <c r="H307" s="51" t="n">
        <v>0.000500001</v>
      </c>
      <c r="I307" s="47" t="str">
        <f aca="false">IFERROR(IF(ISNUMBER(F307),IF(ABS(F307-E307)&lt;=H307,"PASS","FAIL"),"FAIL"),"FAIL")</f>
        <v>PASS</v>
      </c>
    </row>
    <row r="308" customFormat="false" ht="15" hidden="false" customHeight="false" outlineLevel="0" collapsed="false">
      <c r="B308" s="48" t="n">
        <v>299</v>
      </c>
      <c r="C308" s="9" t="s">
        <v>1010</v>
      </c>
      <c r="D308" s="9" t="s">
        <v>1044</v>
      </c>
      <c r="E308" s="52" t="n">
        <v>260.2</v>
      </c>
      <c r="F308" s="53" t="n">
        <f aca="false">Bridge!$D$27</f>
        <v>260.215178331843</v>
      </c>
      <c r="G308" s="50" t="n">
        <f aca="false">IFERROR(IF(ISNUMBER(F308),F308-E308,"n/a"),"n/a")</f>
        <v>0.0151783318429466</v>
      </c>
      <c r="H308" s="51" t="n">
        <v>0.050000001</v>
      </c>
      <c r="I308" s="47" t="str">
        <f aca="false">IFERROR(IF(ISNUMBER(F308),IF(ABS(F308-E308)&lt;=H308,"PASS","FAIL"),"FAIL"),"FAIL")</f>
        <v>PASS</v>
      </c>
    </row>
    <row r="309" customFormat="false" ht="15" hidden="false" customHeight="false" outlineLevel="0" collapsed="false">
      <c r="B309" s="48" t="n">
        <v>300</v>
      </c>
      <c r="C309" s="9" t="s">
        <v>1010</v>
      </c>
      <c r="D309" s="9" t="s">
        <v>1045</v>
      </c>
      <c r="E309" s="52" t="n">
        <v>250.4</v>
      </c>
      <c r="F309" s="53" t="n">
        <f aca="false">Bridge!$D$22</f>
        <v>250.40600568</v>
      </c>
      <c r="G309" s="50" t="n">
        <f aca="false">IFERROR(IF(ISNUMBER(F309),F309-E309,"n/a"),"n/a")</f>
        <v>0.00600568000001545</v>
      </c>
      <c r="H309" s="51" t="n">
        <v>0.050000001</v>
      </c>
      <c r="I309" s="47" t="str">
        <f aca="false">IFERROR(IF(ISNUMBER(F309),IF(ABS(F309-E309)&lt;=H309,"PASS","FAIL"),"FAIL"),"FAIL")</f>
        <v>PASS</v>
      </c>
    </row>
    <row r="310" customFormat="false" ht="15" hidden="false" customHeight="false" outlineLevel="0" collapsed="false">
      <c r="B310" s="48" t="n">
        <v>301</v>
      </c>
      <c r="C310" s="9" t="s">
        <v>1010</v>
      </c>
      <c r="D310" s="9" t="s">
        <v>1046</v>
      </c>
      <c r="E310" s="52" t="n">
        <v>35.3</v>
      </c>
      <c r="F310" s="53" t="n">
        <f aca="false">Bridge!$D$24</f>
        <v>35.3152627370429</v>
      </c>
      <c r="G310" s="50" t="n">
        <f aca="false">IFERROR(IF(ISNUMBER(F310),F310-E310,"n/a"),"n/a")</f>
        <v>0.0152627370429315</v>
      </c>
      <c r="H310" s="51" t="n">
        <v>0.050000001</v>
      </c>
      <c r="I310" s="47" t="str">
        <f aca="false">IFERROR(IF(ISNUMBER(F310),IF(ABS(F310-E310)&lt;=H310,"PASS","FAIL"),"FAIL"),"FAIL")</f>
        <v>PASS</v>
      </c>
    </row>
    <row r="311" customFormat="false" ht="15" hidden="false" customHeight="false" outlineLevel="0" collapsed="false">
      <c r="B311" s="48" t="n">
        <v>302</v>
      </c>
      <c r="C311" s="9" t="s">
        <v>1010</v>
      </c>
      <c r="D311" s="9" t="s">
        <v>1047</v>
      </c>
      <c r="E311" s="52" t="n">
        <v>25.5</v>
      </c>
      <c r="F311" s="53" t="n">
        <f aca="false">Bridge!$D$18</f>
        <v>25.5060900852</v>
      </c>
      <c r="G311" s="50" t="n">
        <f aca="false">IFERROR(IF(ISNUMBER(F311),F311-E311,"n/a"),"n/a")</f>
        <v>0.00609008520000032</v>
      </c>
      <c r="H311" s="51" t="n">
        <v>0.050000001</v>
      </c>
      <c r="I311" s="47" t="str">
        <f aca="false">IFERROR(IF(ISNUMBER(F311),IF(ABS(F311-E311)&lt;=H311,"PASS","FAIL"),"FAIL"),"FAIL")</f>
        <v>PASS</v>
      </c>
    </row>
    <row r="312" customFormat="false" ht="15" hidden="false" customHeight="false" outlineLevel="0" collapsed="false">
      <c r="B312" s="48" t="n">
        <v>303</v>
      </c>
      <c r="C312" s="9" t="s">
        <v>1010</v>
      </c>
      <c r="D312" s="9" t="s">
        <v>1048</v>
      </c>
      <c r="E312" s="52" t="n">
        <v>22.5</v>
      </c>
      <c r="F312" s="53" t="n">
        <f aca="false">Bridge!$D$40</f>
        <v>22.49728</v>
      </c>
      <c r="G312" s="50" t="n">
        <f aca="false">IFERROR(IF(ISNUMBER(F312),F312-E312,"n/a"),"n/a")</f>
        <v>-0.0027199999999965</v>
      </c>
      <c r="H312" s="51" t="n">
        <v>0.050000001</v>
      </c>
      <c r="I312" s="47" t="str">
        <f aca="false">IFERROR(IF(ISNUMBER(F312),IF(ABS(F312-E312)&lt;=H312,"PASS","FAIL"),"FAIL"),"FAIL")</f>
        <v>PASS</v>
      </c>
    </row>
    <row r="313" customFormat="false" ht="15" hidden="false" customHeight="false" outlineLevel="0" collapsed="false">
      <c r="B313" s="48" t="n">
        <v>304</v>
      </c>
      <c r="C313" s="9" t="s">
        <v>1010</v>
      </c>
      <c r="D313" s="9" t="s">
        <v>1049</v>
      </c>
      <c r="E313" s="52" t="n">
        <v>27</v>
      </c>
      <c r="F313" s="53" t="n">
        <f aca="false">Bridge!$D$41</f>
        <v>27</v>
      </c>
      <c r="G313" s="50" t="n">
        <f aca="false">IFERROR(IF(ISNUMBER(F313),F313-E313,"n/a"),"n/a")</f>
        <v>0</v>
      </c>
      <c r="H313" s="51" t="n">
        <v>0.050000001</v>
      </c>
      <c r="I313" s="47" t="str">
        <f aca="false">IFERROR(IF(ISNUMBER(F313),IF(ABS(F313-E313)&lt;=H313,"PASS","FAIL"),"FAIL"),"FAIL")</f>
        <v>PASS</v>
      </c>
    </row>
    <row r="314" customFormat="false" ht="15" hidden="false" customHeight="false" outlineLevel="0" collapsed="false">
      <c r="B314" s="48" t="n">
        <v>305</v>
      </c>
      <c r="C314" s="9" t="s">
        <v>1010</v>
      </c>
      <c r="D314" s="9" t="s">
        <v>1050</v>
      </c>
      <c r="E314" s="52" t="n">
        <v>1</v>
      </c>
      <c r="F314" s="53" t="n">
        <f aca="false">Bridge!$D$42</f>
        <v>0.998912000000001</v>
      </c>
      <c r="G314" s="50" t="n">
        <f aca="false">IFERROR(IF(ISNUMBER(F314),F314-E314,"n/a"),"n/a")</f>
        <v>-0.00108799999999931</v>
      </c>
      <c r="H314" s="51" t="n">
        <v>0.050000001</v>
      </c>
      <c r="I314" s="47" t="str">
        <f aca="false">IFERROR(IF(ISNUMBER(F314),IF(ABS(F314-E314)&lt;=H314,"PASS","FAIL"),"FAIL"),"FAIL")</f>
        <v>PASS</v>
      </c>
    </row>
    <row r="315" customFormat="false" ht="15" hidden="false" customHeight="false" outlineLevel="0" collapsed="false">
      <c r="B315" s="48" t="n">
        <v>306</v>
      </c>
      <c r="C315" s="9" t="s">
        <v>1010</v>
      </c>
      <c r="D315" s="9" t="s">
        <v>1051</v>
      </c>
      <c r="E315" s="52" t="n">
        <v>9</v>
      </c>
      <c r="F315" s="53" t="n">
        <f aca="false">Bridge!$D$43</f>
        <v>8.99020800000001</v>
      </c>
      <c r="G315" s="50" t="n">
        <f aca="false">IFERROR(IF(ISNUMBER(F315),F315-E315,"n/a"),"n/a")</f>
        <v>-0.00979199999999381</v>
      </c>
      <c r="H315" s="51" t="n">
        <v>0.050000001</v>
      </c>
      <c r="I315" s="47" t="str">
        <f aca="false">IFERROR(IF(ISNUMBER(F315),IF(ABS(F315-E315)&lt;=H315,"PASS","FAIL"),"FAIL"),"FAIL")</f>
        <v>PASS</v>
      </c>
    </row>
    <row r="316" customFormat="false" ht="15" hidden="false" customHeight="false" outlineLevel="0" collapsed="false">
      <c r="B316" s="48" t="n">
        <v>307</v>
      </c>
      <c r="C316" s="9" t="s">
        <v>1010</v>
      </c>
      <c r="D316" s="9" t="s">
        <v>1052</v>
      </c>
      <c r="E316" s="52" t="n">
        <v>62.2</v>
      </c>
      <c r="F316" s="53" t="n">
        <f aca="false">Bridge!$D$50</f>
        <v>62.1700332398396</v>
      </c>
      <c r="G316" s="50" t="n">
        <f aca="false">IFERROR(IF(ISNUMBER(F316),F316-E316,"n/a"),"n/a")</f>
        <v>-0.0299667601604057</v>
      </c>
      <c r="H316" s="51" t="n">
        <v>0.050000001</v>
      </c>
      <c r="I316" s="47" t="str">
        <f aca="false">IFERROR(IF(ISNUMBER(F316),IF(ABS(F316-E316)&lt;=H316,"PASS","FAIL"),"FAIL"),"FAIL")</f>
        <v>PASS</v>
      </c>
    </row>
    <row r="317" customFormat="false" ht="15" hidden="false" customHeight="false" outlineLevel="0" collapsed="false">
      <c r="B317" s="48" t="n">
        <v>308</v>
      </c>
      <c r="C317" s="9" t="s">
        <v>1010</v>
      </c>
      <c r="D317" s="9" t="s">
        <v>1053</v>
      </c>
      <c r="E317" s="52" t="n">
        <v>62.2</v>
      </c>
      <c r="F317" s="53" t="n">
        <f aca="false">Bridge!$D$50</f>
        <v>62.1700332398396</v>
      </c>
      <c r="G317" s="50" t="n">
        <f aca="false">IFERROR(IF(ISNUMBER(F317),F317-E317,"n/a"),"n/a")</f>
        <v>-0.0299667601604057</v>
      </c>
      <c r="H317" s="51" t="n">
        <v>0.050000001</v>
      </c>
      <c r="I317" s="47" t="str">
        <f aca="false">IFERROR(IF(ISNUMBER(F317),IF(ABS(F317-E317)&lt;=H317,"PASS","FAIL"),"FAIL"),"FAIL")</f>
        <v>PASS</v>
      </c>
    </row>
    <row r="318" customFormat="false" ht="15" hidden="false" customHeight="false" outlineLevel="0" collapsed="false">
      <c r="B318" s="48" t="n">
        <v>309</v>
      </c>
      <c r="C318" s="9" t="s">
        <v>1010</v>
      </c>
      <c r="D318" s="9" t="s">
        <v>1054</v>
      </c>
      <c r="E318" s="10" t="n">
        <v>0.0277</v>
      </c>
      <c r="F318" s="56" t="n">
        <f aca="false">Bridge!$D$51</f>
        <v>0.0277089859402295</v>
      </c>
      <c r="G318" s="50" t="n">
        <f aca="false">IFERROR(IF(ISNUMBER(F318),F318-E318,"n/a"),"n/a")</f>
        <v>8.98594022949797E-006</v>
      </c>
      <c r="H318" s="51" t="n">
        <v>5.0001E-005</v>
      </c>
      <c r="I318" s="47" t="str">
        <f aca="false">IFERROR(IF(ISNUMBER(F318),IF(ABS(F318-E318)&lt;=H318,"PASS","FAIL"),"FAIL"),"FAIL")</f>
        <v>PASS</v>
      </c>
    </row>
    <row r="319" customFormat="false" ht="15" hidden="false" customHeight="false" outlineLevel="0" collapsed="false">
      <c r="B319" s="48" t="n">
        <v>310</v>
      </c>
      <c r="C319" s="9" t="s">
        <v>1010</v>
      </c>
      <c r="D319" s="9" t="s">
        <v>1055</v>
      </c>
      <c r="E319" s="52" t="n">
        <v>65.8</v>
      </c>
      <c r="F319" s="53" t="n">
        <f aca="false">Bridge!$D$46</f>
        <v>65.82397752</v>
      </c>
      <c r="G319" s="50" t="n">
        <f aca="false">IFERROR(IF(ISNUMBER(F319),F319-E319,"n/a"),"n/a")</f>
        <v>0.0239775200000025</v>
      </c>
      <c r="H319" s="51" t="n">
        <v>0.050000001</v>
      </c>
      <c r="I319" s="47" t="str">
        <f aca="false">IFERROR(IF(ISNUMBER(F319),IF(ABS(F319-E319)&lt;=H319,"PASS","FAIL"),"FAIL"),"FAIL")</f>
        <v>PASS</v>
      </c>
    </row>
    <row r="320" customFormat="false" ht="15" hidden="false" customHeight="false" outlineLevel="0" collapsed="false">
      <c r="B320" s="48" t="n">
        <v>311</v>
      </c>
      <c r="C320" s="9" t="s">
        <v>1010</v>
      </c>
      <c r="D320" s="9" t="s">
        <v>1056</v>
      </c>
      <c r="E320" s="52" t="n">
        <v>398</v>
      </c>
      <c r="F320" s="53" t="n">
        <f aca="false">Bridge!$D$47</f>
        <v>398.045145092003</v>
      </c>
      <c r="G320" s="50" t="n">
        <f aca="false">IFERROR(IF(ISNUMBER(F320),F320-E320,"n/a"),"n/a")</f>
        <v>0.0451450920033381</v>
      </c>
      <c r="H320" s="51" t="n">
        <v>0.050000001</v>
      </c>
      <c r="I320" s="47" t="str">
        <f aca="false">IFERROR(IF(ISNUMBER(F320),IF(ABS(F320-E320)&lt;=H320,"PASS","FAIL"),"FAIL"),"FAIL")</f>
        <v>PASS</v>
      </c>
    </row>
    <row r="321" customFormat="false" ht="15" hidden="false" customHeight="false" outlineLevel="0" collapsed="false">
      <c r="B321" s="48" t="n">
        <v>312</v>
      </c>
      <c r="C321" s="9" t="s">
        <v>1010</v>
      </c>
      <c r="D321" s="9" t="s">
        <v>1057</v>
      </c>
      <c r="E321" s="10" t="n">
        <v>0.1428</v>
      </c>
      <c r="F321" s="56" t="n">
        <f aca="false">Bridge!$D$48</f>
        <v>0.142775357604457</v>
      </c>
      <c r="G321" s="50" t="n">
        <f aca="false">IFERROR(IF(ISNUMBER(F321),F321-E321,"n/a"),"n/a")</f>
        <v>-2.4642395543395E-005</v>
      </c>
      <c r="H321" s="51" t="n">
        <v>5.0001E-005</v>
      </c>
      <c r="I321" s="47" t="str">
        <f aca="false">IFERROR(IF(ISNUMBER(F321),IF(ABS(F321-E321)&lt;=H321,"PASS","FAIL"),"FAIL"),"FAIL")</f>
        <v>PASS</v>
      </c>
    </row>
    <row r="322" customFormat="false" ht="15" hidden="false" customHeight="false" outlineLevel="0" collapsed="false">
      <c r="B322" s="48" t="n">
        <v>313</v>
      </c>
      <c r="C322" s="9" t="s">
        <v>1010</v>
      </c>
      <c r="D322" s="9" t="s">
        <v>1058</v>
      </c>
      <c r="E322" s="54" t="n">
        <v>1.95</v>
      </c>
      <c r="F322" s="55" t="n">
        <f aca="false">Bridge!$D$49</f>
        <v>1.94896632023252</v>
      </c>
      <c r="G322" s="50" t="n">
        <f aca="false">IFERROR(IF(ISNUMBER(F322),F322-E322,"n/a"),"n/a")</f>
        <v>-0.0010336797674837</v>
      </c>
      <c r="H322" s="51" t="n">
        <v>0.005000001</v>
      </c>
      <c r="I322" s="47" t="str">
        <f aca="false">IFERROR(IF(ISNUMBER(F322),IF(ABS(F322-E322)&lt;=H322,"PASS","FAIL"),"FAIL"),"FAIL")</f>
        <v>PASS</v>
      </c>
    </row>
    <row r="323" customFormat="false" ht="15" hidden="false" customHeight="false" outlineLevel="0" collapsed="false">
      <c r="B323" s="48" t="n">
        <v>314</v>
      </c>
      <c r="C323" s="9" t="s">
        <v>1010</v>
      </c>
      <c r="D323" s="9" t="s">
        <v>1059</v>
      </c>
      <c r="E323" s="52" t="n">
        <v>469.5</v>
      </c>
      <c r="F323" s="53" t="n">
        <f aca="false">Bridge!$D$60</f>
        <v>469.5</v>
      </c>
      <c r="G323" s="50" t="n">
        <f aca="false">IFERROR(IF(ISNUMBER(F323),F323-E323,"n/a"),"n/a")</f>
        <v>0</v>
      </c>
      <c r="H323" s="51" t="n">
        <v>0.050000001</v>
      </c>
      <c r="I323" s="47" t="str">
        <f aca="false">IFERROR(IF(ISNUMBER(F323),IF(ABS(F323-E323)&lt;=H323,"PASS","FAIL"),"FAIL"),"FAIL")</f>
        <v>PASS</v>
      </c>
    </row>
    <row r="324" customFormat="false" ht="15" hidden="false" customHeight="false" outlineLevel="0" collapsed="false">
      <c r="B324" s="48" t="n">
        <v>315</v>
      </c>
      <c r="C324" s="9" t="s">
        <v>1010</v>
      </c>
      <c r="D324" s="9" t="s">
        <v>1060</v>
      </c>
      <c r="E324" s="52" t="n">
        <v>841.3</v>
      </c>
      <c r="F324" s="53" t="n">
        <f aca="false">Bridge!$D$63</f>
        <v>841.275932261906</v>
      </c>
      <c r="G324" s="50" t="n">
        <f aca="false">IFERROR(IF(ISNUMBER(F324),F324-E324,"n/a"),"n/a")</f>
        <v>-0.0240677380936631</v>
      </c>
      <c r="H324" s="51" t="n">
        <v>0.050000001</v>
      </c>
      <c r="I324" s="47" t="str">
        <f aca="false">IFERROR(IF(ISNUMBER(F324),IF(ABS(F324-E324)&lt;=H324,"PASS","FAIL"),"FAIL"),"FAIL")</f>
        <v>PASS</v>
      </c>
    </row>
    <row r="325" customFormat="false" ht="15" hidden="false" customHeight="false" outlineLevel="0" collapsed="false">
      <c r="B325" s="48" t="n">
        <v>316</v>
      </c>
      <c r="C325" s="9" t="s">
        <v>1010</v>
      </c>
      <c r="D325" s="9" t="s">
        <v>1061</v>
      </c>
      <c r="E325" s="52" t="n">
        <v>700.4</v>
      </c>
      <c r="F325" s="53" t="n">
        <f aca="false">Bridge!$D$61</f>
        <v>700.40600568</v>
      </c>
      <c r="G325" s="50" t="n">
        <f aca="false">IFERROR(IF(ISNUMBER(F325),F325-E325,"n/a"),"n/a")</f>
        <v>0.00600568000004387</v>
      </c>
      <c r="H325" s="51" t="n">
        <v>0.050000001</v>
      </c>
      <c r="I325" s="47" t="str">
        <f aca="false">IFERROR(IF(ISNUMBER(F325),IF(ABS(F325-E325)&lt;=H325,"PASS","FAIL"),"FAIL"),"FAIL")</f>
        <v>PASS</v>
      </c>
    </row>
    <row r="326" customFormat="false" ht="15" hidden="false" customHeight="false" outlineLevel="0" collapsed="false">
      <c r="B326" s="48" t="n">
        <v>317</v>
      </c>
      <c r="C326" s="9" t="s">
        <v>1010</v>
      </c>
      <c r="D326" s="9" t="s">
        <v>1062</v>
      </c>
      <c r="E326" s="52" t="n">
        <v>151.4</v>
      </c>
      <c r="F326" s="53" t="n">
        <f aca="false">Bridge!$D$62</f>
        <v>151.376016667106</v>
      </c>
      <c r="G326" s="50" t="n">
        <f aca="false">IFERROR(IF(ISNUMBER(F326),F326-E326,"n/a"),"n/a")</f>
        <v>-0.0239833328937493</v>
      </c>
      <c r="H326" s="51" t="n">
        <v>0.050000001</v>
      </c>
      <c r="I326" s="47" t="str">
        <f aca="false">IFERROR(IF(ISNUMBER(F326),IF(ABS(F326-E326)&lt;=H326,"PASS","FAIL"),"FAIL"),"FAIL")</f>
        <v>PASS</v>
      </c>
    </row>
    <row r="327" customFormat="false" ht="15" hidden="false" customHeight="false" outlineLevel="0" collapsed="false">
      <c r="B327" s="48" t="n">
        <v>318</v>
      </c>
      <c r="C327" s="9" t="s">
        <v>1010</v>
      </c>
      <c r="D327" s="9" t="s">
        <v>1063</v>
      </c>
      <c r="E327" s="10" t="n">
        <v>0.1196</v>
      </c>
      <c r="F327" s="56" t="n">
        <f aca="false">Bridge!$D$64</f>
        <v>0.119557250498785</v>
      </c>
      <c r="G327" s="50" t="n">
        <f aca="false">IFERROR(IF(ISNUMBER(F327),F327-E327,"n/a"),"n/a")</f>
        <v>-4.27495012146478E-005</v>
      </c>
      <c r="H327" s="51" t="n">
        <v>5.0001E-005</v>
      </c>
      <c r="I327" s="47" t="str">
        <f aca="false">IFERROR(IF(ISNUMBER(F327),IF(ABS(F327-E327)&lt;=H327,"PASS","FAIL"),"FAIL"),"FAIL")</f>
        <v>PASS</v>
      </c>
    </row>
    <row r="328" customFormat="false" ht="15" hidden="false" customHeight="false" outlineLevel="0" collapsed="false">
      <c r="B328" s="48" t="n">
        <v>319</v>
      </c>
      <c r="C328" s="9" t="s">
        <v>1010</v>
      </c>
      <c r="D328" s="9" t="s">
        <v>1064</v>
      </c>
      <c r="E328" s="54" t="n">
        <v>1.76</v>
      </c>
      <c r="F328" s="55" t="n">
        <f aca="false">Bridge!$D$65</f>
        <v>1.75886106159246</v>
      </c>
      <c r="G328" s="50" t="n">
        <f aca="false">IFERROR(IF(ISNUMBER(F328),F328-E328,"n/a"),"n/a")</f>
        <v>-0.00113893840753954</v>
      </c>
      <c r="H328" s="51" t="n">
        <v>0.005000001</v>
      </c>
      <c r="I328" s="47" t="str">
        <f aca="false">IFERROR(IF(ISNUMBER(F328),IF(ABS(F328-E328)&lt;=H328,"PASS","FAIL"),"FAIL"),"FAIL")</f>
        <v>PASS</v>
      </c>
    </row>
    <row r="329" customFormat="false" ht="15" hidden="false" customHeight="false" outlineLevel="0" collapsed="false">
      <c r="B329" s="48" t="n">
        <v>320</v>
      </c>
      <c r="C329" s="9" t="s">
        <v>1010</v>
      </c>
      <c r="D329" s="9" t="s">
        <v>1065</v>
      </c>
      <c r="E329" s="10" t="n">
        <v>0.1196</v>
      </c>
      <c r="F329" s="56" t="n">
        <f aca="false">Bridge!$D$64</f>
        <v>0.119557250498785</v>
      </c>
      <c r="G329" s="50" t="n">
        <f aca="false">IFERROR(IF(ISNUMBER(F329),F329-E329,"n/a"),"n/a")</f>
        <v>-4.27495012146478E-005</v>
      </c>
      <c r="H329" s="51" t="n">
        <v>5.0001E-005</v>
      </c>
      <c r="I329" s="47" t="str">
        <f aca="false">IFERROR(IF(ISNUMBER(F329),IF(ABS(F329-E329)&lt;=H329,"PASS","FAIL"),"FAIL"),"FAIL")</f>
        <v>PASS</v>
      </c>
    </row>
    <row r="330" customFormat="false" ht="15" hidden="false" customHeight="false" outlineLevel="0" collapsed="false">
      <c r="B330" s="48" t="n">
        <v>321</v>
      </c>
      <c r="C330" s="9" t="s">
        <v>1010</v>
      </c>
      <c r="D330" s="9" t="s">
        <v>1066</v>
      </c>
      <c r="E330" s="10" t="n">
        <v>0.1705</v>
      </c>
      <c r="F330" s="56" t="n">
        <f aca="false">Bridge!$D$66</f>
        <v>0.170484343544686</v>
      </c>
      <c r="G330" s="50" t="n">
        <f aca="false">IFERROR(IF(ISNUMBER(F330),F330-E330,"n/a"),"n/a")</f>
        <v>-1.56564553139005E-005</v>
      </c>
      <c r="H330" s="51" t="n">
        <v>5.0001E-005</v>
      </c>
      <c r="I330" s="47" t="str">
        <f aca="false">IFERROR(IF(ISNUMBER(F330),IF(ABS(F330-E330)&lt;=H330,"PASS","FAIL"),"FAIL"),"FAIL")</f>
        <v>PASS</v>
      </c>
    </row>
    <row r="331" customFormat="false" ht="15" hidden="false" customHeight="false" outlineLevel="0" collapsed="false">
      <c r="B331" s="48" t="n">
        <v>322</v>
      </c>
      <c r="C331" s="9" t="s">
        <v>1010</v>
      </c>
      <c r="D331" s="9" t="s">
        <v>1067</v>
      </c>
      <c r="E331" s="10" t="n">
        <v>0.0509</v>
      </c>
      <c r="F331" s="56" t="n">
        <f aca="false">Bridge!$D$67</f>
        <v>0.0509270930459008</v>
      </c>
      <c r="G331" s="50" t="n">
        <f aca="false">IFERROR(IF(ISNUMBER(F331),F331-E331,"n/a"),"n/a")</f>
        <v>2.70930459007612E-005</v>
      </c>
      <c r="H331" s="51" t="n">
        <v>5.0001E-005</v>
      </c>
      <c r="I331" s="47" t="str">
        <f aca="false">IFERROR(IF(ISNUMBER(F331),IF(ABS(F331-E331)&lt;=H331,"PASS","FAIL"),"FAIL"),"FAIL")</f>
        <v>PASS</v>
      </c>
    </row>
    <row r="332" customFormat="false" ht="15" hidden="false" customHeight="false" outlineLevel="0" collapsed="false">
      <c r="B332" s="48" t="n">
        <v>323</v>
      </c>
      <c r="C332" s="9" t="s">
        <v>1010</v>
      </c>
      <c r="D332" s="9" t="s">
        <v>1068</v>
      </c>
      <c r="E332" s="52" t="n">
        <v>63.7</v>
      </c>
      <c r="F332" s="53" t="n">
        <f aca="false">Bridge!$D$68</f>
        <v>63.7436580943688</v>
      </c>
      <c r="G332" s="50" t="n">
        <f aca="false">IFERROR(IF(ISNUMBER(F332),F332-E332,"n/a"),"n/a")</f>
        <v>0.0436580943687446</v>
      </c>
      <c r="H332" s="51" t="n">
        <v>0.050000001</v>
      </c>
      <c r="I332" s="47" t="str">
        <f aca="false">IFERROR(IF(ISNUMBER(F332),IF(ABS(F332-E332)&lt;=H332,"PASS","FAIL"),"FAIL"),"FAIL")</f>
        <v>PASS</v>
      </c>
    </row>
    <row r="333" customFormat="false" ht="15" hidden="false" customHeight="false" outlineLevel="0" collapsed="false">
      <c r="B333" s="48" t="n">
        <v>324</v>
      </c>
      <c r="C333" s="9" t="s">
        <v>1010</v>
      </c>
      <c r="D333" s="9" t="s">
        <v>1069</v>
      </c>
      <c r="E333" s="52" t="n">
        <v>38.7</v>
      </c>
      <c r="F333" s="53" t="n">
        <f aca="false">Bridge!$D$69</f>
        <v>38.700696366</v>
      </c>
      <c r="G333" s="50" t="n">
        <f aca="false">IFERROR(IF(ISNUMBER(F333),F333-E333,"n/a"),"n/a")</f>
        <v>0.000696365999999671</v>
      </c>
      <c r="H333" s="51" t="n">
        <v>0.050000001</v>
      </c>
      <c r="I333" s="47" t="str">
        <f aca="false">IFERROR(IF(ISNUMBER(F333),IF(ABS(F333-E333)&lt;=H333,"PASS","FAIL"),"FAIL"),"FAIL")</f>
        <v>PASS</v>
      </c>
    </row>
    <row r="334" customFormat="false" ht="15" hidden="false" customHeight="false" outlineLevel="0" collapsed="false">
      <c r="B334" s="48" t="n">
        <v>325</v>
      </c>
      <c r="C334" s="9" t="s">
        <v>1010</v>
      </c>
      <c r="D334" s="9" t="s">
        <v>1070</v>
      </c>
      <c r="E334" s="52" t="n">
        <v>25</v>
      </c>
      <c r="F334" s="53" t="n">
        <f aca="false">Bridge!$D$70</f>
        <v>25.0429617283687</v>
      </c>
      <c r="G334" s="50" t="n">
        <f aca="false">IFERROR(IF(ISNUMBER(F334),F334-E334,"n/a"),"n/a")</f>
        <v>0.0429617283687449</v>
      </c>
      <c r="H334" s="51" t="n">
        <v>0.050000001</v>
      </c>
      <c r="I334" s="47" t="str">
        <f aca="false">IFERROR(IF(ISNUMBER(F334),IF(ABS(F334-E334)&lt;=H334,"PASS","FAIL"),"FAIL"),"FAIL")</f>
        <v>PASS</v>
      </c>
    </row>
    <row r="335" customFormat="false" ht="15" hidden="false" customHeight="false" outlineLevel="0" collapsed="false">
      <c r="B335" s="48" t="n">
        <v>326</v>
      </c>
      <c r="C335" s="9" t="s">
        <v>1010</v>
      </c>
      <c r="D335" s="9" t="s">
        <v>1071</v>
      </c>
      <c r="E335" s="52" t="n">
        <v>126.5</v>
      </c>
      <c r="F335" s="53" t="n">
        <f aca="false">Bridge!$D$71</f>
        <v>126.460291536957</v>
      </c>
      <c r="G335" s="50" t="n">
        <f aca="false">IFERROR(IF(ISNUMBER(F335),F335-E335,"n/a"),"n/a")</f>
        <v>-0.0397084630429134</v>
      </c>
      <c r="H335" s="51" t="n">
        <v>0.050000001</v>
      </c>
      <c r="I335" s="47" t="str">
        <f aca="false">IFERROR(IF(ISNUMBER(F335),IF(ABS(F335-E335)&lt;=H335,"PASS","FAIL"),"FAIL"),"FAIL")</f>
        <v>PASS</v>
      </c>
    </row>
    <row r="336" customFormat="false" ht="15" hidden="false" customHeight="false" outlineLevel="0" collapsed="false">
      <c r="B336" s="48" t="n">
        <v>327</v>
      </c>
      <c r="C336" s="9" t="s">
        <v>1010</v>
      </c>
      <c r="D336" s="9" t="s">
        <v>1072</v>
      </c>
      <c r="E336" s="10" t="n">
        <v>0.1196</v>
      </c>
      <c r="F336" s="56" t="n">
        <f aca="false">Bridge!$D$64</f>
        <v>0.119557250498785</v>
      </c>
      <c r="G336" s="50" t="n">
        <f aca="false">IFERROR(IF(ISNUMBER(F336),F336-E336,"n/a"),"n/a")</f>
        <v>-4.27495012146478E-005</v>
      </c>
      <c r="H336" s="51" t="n">
        <v>5.0001E-005</v>
      </c>
      <c r="I336" s="47" t="str">
        <f aca="false">IFERROR(IF(ISNUMBER(F336),IF(ABS(F336-E336)&lt;=H336,"PASS","FAIL"),"FAIL"),"FAIL")</f>
        <v>PASS</v>
      </c>
    </row>
    <row r="337" customFormat="false" ht="15" hidden="false" customHeight="false" outlineLevel="0" collapsed="false">
      <c r="B337" s="48" t="n">
        <v>328</v>
      </c>
      <c r="C337" s="9" t="s">
        <v>307</v>
      </c>
      <c r="D337" s="9" t="s">
        <v>1073</v>
      </c>
      <c r="E337" s="52" t="n">
        <v>700.4</v>
      </c>
      <c r="F337" s="53" t="n">
        <f aca="false">Case_Base!$D$172</f>
        <v>700.40600568</v>
      </c>
      <c r="G337" s="50" t="n">
        <f aca="false">IFERROR(IF(ISNUMBER(F337),F337-E337,"n/a"),"n/a")</f>
        <v>0.00600568000004387</v>
      </c>
      <c r="H337" s="51" t="n">
        <v>0.050000001</v>
      </c>
      <c r="I337" s="47" t="str">
        <f aca="false">IFERROR(IF(ISNUMBER(F337),IF(ABS(F337-E337)&lt;=H337,"PASS","FAIL"),"FAIL"),"FAIL")</f>
        <v>PASS</v>
      </c>
    </row>
    <row r="338" customFormat="false" ht="15" hidden="false" customHeight="false" outlineLevel="0" collapsed="false">
      <c r="B338" s="48" t="n">
        <v>329</v>
      </c>
      <c r="C338" s="9" t="s">
        <v>307</v>
      </c>
      <c r="D338" s="9" t="s">
        <v>1074</v>
      </c>
      <c r="E338" s="52" t="n">
        <v>450</v>
      </c>
      <c r="F338" s="53" t="n">
        <f aca="false">Case_Base!$D$29</f>
        <v>450</v>
      </c>
      <c r="G338" s="50" t="n">
        <f aca="false">IFERROR(IF(ISNUMBER(F338),F338-E338,"n/a"),"n/a")</f>
        <v>0</v>
      </c>
      <c r="H338" s="51" t="n">
        <v>0.050000001</v>
      </c>
      <c r="I338" s="47" t="str">
        <f aca="false">IFERROR(IF(ISNUMBER(F338),IF(ABS(F338-E338)&lt;=H338,"PASS","FAIL"),"FAIL"),"FAIL")</f>
        <v>PASS</v>
      </c>
    </row>
    <row r="339" customFormat="false" ht="15" hidden="false" customHeight="false" outlineLevel="0" collapsed="false">
      <c r="B339" s="48" t="n">
        <v>330</v>
      </c>
      <c r="C339" s="9" t="s">
        <v>307</v>
      </c>
      <c r="D339" s="9" t="s">
        <v>1075</v>
      </c>
      <c r="E339" s="52" t="n">
        <v>76.7</v>
      </c>
      <c r="F339" s="53" t="n">
        <f aca="false">Case_Base!$D$180</f>
        <v>76.6555461772</v>
      </c>
      <c r="G339" s="50" t="n">
        <f aca="false">IFERROR(IF(ISNUMBER(F339),F339-E339,"n/a"),"n/a")</f>
        <v>-0.0444538227999942</v>
      </c>
      <c r="H339" s="51" t="n">
        <v>0.050000001</v>
      </c>
      <c r="I339" s="47" t="str">
        <f aca="false">IFERROR(IF(ISNUMBER(F339),IF(ABS(F339-E339)&lt;=H339,"PASS","FAIL"),"FAIL"),"FAIL")</f>
        <v>PASS</v>
      </c>
    </row>
    <row r="340" customFormat="false" ht="15" hidden="false" customHeight="true" outlineLevel="0" collapsed="false">
      <c r="B340" s="48" t="n">
        <v>331</v>
      </c>
      <c r="C340" s="9" t="s">
        <v>1010</v>
      </c>
      <c r="D340" s="37" t="s">
        <v>1076</v>
      </c>
      <c r="E340" s="59" t="s">
        <v>784</v>
      </c>
      <c r="F340" s="60" t="str">
        <f aca="false">IFERROR(IF(ABS(Bridge!$D$29)&lt;0.000001,"holds","does not hold"),"error")</f>
        <v>holds</v>
      </c>
      <c r="G340" s="9"/>
      <c r="H340" s="9"/>
      <c r="I340" s="47" t="str">
        <f aca="false">IFERROR(IF(ABS(Bridge!$D$29)&lt;0.000001,"PASS","FAIL"),"FAIL")</f>
        <v>PASS</v>
      </c>
    </row>
    <row r="341" customFormat="false" ht="15" hidden="false" customHeight="true" outlineLevel="0" collapsed="false">
      <c r="B341" s="48" t="n">
        <v>332</v>
      </c>
      <c r="C341" s="9" t="s">
        <v>1010</v>
      </c>
      <c r="D341" s="37" t="s">
        <v>1077</v>
      </c>
      <c r="E341" s="59" t="s">
        <v>784</v>
      </c>
      <c r="F341" s="60" t="str">
        <f aca="false">IFERROR(IF(ABS(Bridge!$D$37)&lt;0.000001,"holds","does not hold"),"error")</f>
        <v>holds</v>
      </c>
      <c r="G341" s="9"/>
      <c r="H341" s="9"/>
      <c r="I341" s="47" t="str">
        <f aca="false">IFERROR(IF(ABS(Bridge!$D$37)&lt;0.000001,"PASS","FAIL"),"FAIL")</f>
        <v>PASS</v>
      </c>
    </row>
    <row r="342" customFormat="false" ht="15" hidden="false" customHeight="true" outlineLevel="0" collapsed="false">
      <c r="B342" s="48" t="n">
        <v>333</v>
      </c>
      <c r="C342" s="9" t="s">
        <v>1010</v>
      </c>
      <c r="D342" s="37" t="s">
        <v>1078</v>
      </c>
      <c r="E342" s="59" t="s">
        <v>784</v>
      </c>
      <c r="F342" s="60" t="str">
        <f aca="false">IFERROR(IF(Bridge!$D$67&gt;0,"holds","does not hold"),"error")</f>
        <v>holds</v>
      </c>
      <c r="G342" s="9"/>
      <c r="H342" s="9"/>
      <c r="I342" s="47" t="str">
        <f aca="false">IFERROR(IF(Bridge!$D$67&gt;0,"PASS","FAIL"),"FAIL")</f>
        <v>PASS</v>
      </c>
    </row>
    <row r="343" customFormat="false" ht="15" hidden="false" customHeight="false" outlineLevel="0" collapsed="false">
      <c r="B343" s="48" t="n">
        <v>334</v>
      </c>
      <c r="C343" s="9" t="s">
        <v>1079</v>
      </c>
      <c r="D343" s="9" t="s">
        <v>1080</v>
      </c>
      <c r="E343" s="52" t="n">
        <v>7</v>
      </c>
      <c r="F343" s="53" t="n">
        <f aca="false">Sensitivities!$D$7</f>
        <v>7</v>
      </c>
      <c r="G343" s="50" t="n">
        <f aca="false">IFERROR(IF(ISNUMBER(F343),F343-E343,"n/a"),"n/a")</f>
        <v>0</v>
      </c>
      <c r="H343" s="51" t="n">
        <v>0.050000001</v>
      </c>
      <c r="I343" s="47" t="str">
        <f aca="false">IFERROR(IF(ISNUMBER(F343),IF(ABS(F343-E343)&lt;=H343,"PASS","FAIL"),"FAIL"),"FAIL")</f>
        <v>PASS</v>
      </c>
    </row>
    <row r="344" customFormat="false" ht="15" hidden="false" customHeight="false" outlineLevel="0" collapsed="false">
      <c r="B344" s="48" t="n">
        <v>335</v>
      </c>
      <c r="C344" s="9" t="s">
        <v>1079</v>
      </c>
      <c r="D344" s="9" t="s">
        <v>1081</v>
      </c>
      <c r="E344" s="52" t="n">
        <v>544.8</v>
      </c>
      <c r="F344" s="53" t="n">
        <f aca="false">Sensitivities!$K$7</f>
        <v>544.76022664</v>
      </c>
      <c r="G344" s="50" t="n">
        <f aca="false">IFERROR(IF(ISNUMBER(F344),F344-E344,"n/a"),"n/a")</f>
        <v>-0.0397733599999128</v>
      </c>
      <c r="H344" s="51" t="n">
        <v>0.050000001</v>
      </c>
      <c r="I344" s="47" t="str">
        <f aca="false">IFERROR(IF(ISNUMBER(F344),IF(ABS(F344-E344)&lt;=H344,"PASS","FAIL"),"FAIL"),"FAIL")</f>
        <v>PASS</v>
      </c>
    </row>
    <row r="345" customFormat="false" ht="15" hidden="false" customHeight="false" outlineLevel="0" collapsed="false">
      <c r="B345" s="48" t="n">
        <v>336</v>
      </c>
      <c r="C345" s="9" t="s">
        <v>1079</v>
      </c>
      <c r="D345" s="9" t="s">
        <v>1082</v>
      </c>
      <c r="E345" s="52" t="n">
        <v>306.9</v>
      </c>
      <c r="F345" s="53" t="n">
        <f aca="false">Sensitivities!$M$7</f>
        <v>306.904085977443</v>
      </c>
      <c r="G345" s="50" t="n">
        <f aca="false">IFERROR(IF(ISNUMBER(F345),F345-E345,"n/a"),"n/a")</f>
        <v>0.00408597744296912</v>
      </c>
      <c r="H345" s="51" t="n">
        <v>0.050000001</v>
      </c>
      <c r="I345" s="47" t="str">
        <f aca="false">IFERROR(IF(ISNUMBER(F345),IF(ABS(F345-E345)&lt;=H345,"PASS","FAIL"),"FAIL"),"FAIL")</f>
        <v>PASS</v>
      </c>
    </row>
    <row r="346" customFormat="false" ht="15" hidden="false" customHeight="false" outlineLevel="0" collapsed="false">
      <c r="B346" s="48" t="n">
        <v>337</v>
      </c>
      <c r="C346" s="9" t="s">
        <v>1079</v>
      </c>
      <c r="D346" s="9" t="s">
        <v>1083</v>
      </c>
      <c r="E346" s="10" t="n">
        <v>0.0862</v>
      </c>
      <c r="F346" s="56" t="n">
        <f aca="false">Sensitivities!$X$7</f>
        <v>0.0862371367757975</v>
      </c>
      <c r="G346" s="50" t="n">
        <f aca="false">IFERROR(IF(ISNUMBER(F346),F346-E346,"n/a"),"n/a")</f>
        <v>3.7136775797475E-005</v>
      </c>
      <c r="H346" s="51" t="n">
        <v>5.0001E-005</v>
      </c>
      <c r="I346" s="47" t="str">
        <f aca="false">IFERROR(IF(ISNUMBER(F346),IF(ABS(F346-E346)&lt;=H346,"PASS","FAIL"),"FAIL"),"FAIL")</f>
        <v>PASS</v>
      </c>
    </row>
    <row r="347" customFormat="false" ht="15" hidden="false" customHeight="false" outlineLevel="0" collapsed="false">
      <c r="B347" s="48" t="n">
        <v>338</v>
      </c>
      <c r="C347" s="9" t="s">
        <v>1079</v>
      </c>
      <c r="D347" s="9" t="s">
        <v>1084</v>
      </c>
      <c r="E347" s="54" t="n">
        <v>1.51</v>
      </c>
      <c r="F347" s="55" t="n">
        <f aca="false">Sensitivities!$W$7</f>
        <v>1.51224874530858</v>
      </c>
      <c r="G347" s="50" t="n">
        <f aca="false">IFERROR(IF(ISNUMBER(F347),F347-E347,"n/a"),"n/a")</f>
        <v>0.00224874530858088</v>
      </c>
      <c r="H347" s="51" t="n">
        <v>0.005000001</v>
      </c>
      <c r="I347" s="47" t="str">
        <f aca="false">IFERROR(IF(ISNUMBER(F347),IF(ABS(F347-E347)&lt;=H347,"PASS","FAIL"),"FAIL"),"FAIL")</f>
        <v>PASS</v>
      </c>
    </row>
    <row r="348" customFormat="false" ht="15" hidden="false" customHeight="false" outlineLevel="0" collapsed="false">
      <c r="B348" s="48" t="n">
        <v>339</v>
      </c>
      <c r="C348" s="9" t="s">
        <v>1079</v>
      </c>
      <c r="D348" s="9" t="s">
        <v>1085</v>
      </c>
      <c r="E348" s="52" t="n">
        <v>8</v>
      </c>
      <c r="F348" s="53" t="n">
        <f aca="false">Sensitivities!$D$8</f>
        <v>8</v>
      </c>
      <c r="G348" s="50" t="n">
        <f aca="false">IFERROR(IF(ISNUMBER(F348),F348-E348,"n/a"),"n/a")</f>
        <v>0</v>
      </c>
      <c r="H348" s="51" t="n">
        <v>0.050000001</v>
      </c>
      <c r="I348" s="47" t="str">
        <f aca="false">IFERROR(IF(ISNUMBER(F348),IF(ABS(F348-E348)&lt;=H348,"PASS","FAIL"),"FAIL"),"FAIL")</f>
        <v>PASS</v>
      </c>
    </row>
    <row r="349" customFormat="false" ht="15" hidden="false" customHeight="false" outlineLevel="0" collapsed="false">
      <c r="B349" s="48" t="n">
        <v>340</v>
      </c>
      <c r="C349" s="9" t="s">
        <v>1079</v>
      </c>
      <c r="D349" s="9" t="s">
        <v>1086</v>
      </c>
      <c r="E349" s="52" t="n">
        <v>622.6</v>
      </c>
      <c r="F349" s="53" t="n">
        <f aca="false">Sensitivities!$K$8</f>
        <v>622.58311616</v>
      </c>
      <c r="G349" s="50" t="n">
        <f aca="false">IFERROR(IF(ISNUMBER(F349),F349-E349,"n/a"),"n/a")</f>
        <v>-0.0168838399999913</v>
      </c>
      <c r="H349" s="51" t="n">
        <v>0.050000001</v>
      </c>
      <c r="I349" s="47" t="str">
        <f aca="false">IFERROR(IF(ISNUMBER(F349),IF(ABS(F349-E349)&lt;=H349,"PASS","FAIL"),"FAIL"),"FAIL")</f>
        <v>PASS</v>
      </c>
    </row>
    <row r="350" customFormat="false" ht="15" hidden="false" customHeight="false" outlineLevel="0" collapsed="false">
      <c r="B350" s="48" t="n">
        <v>341</v>
      </c>
      <c r="C350" s="9" t="s">
        <v>1079</v>
      </c>
      <c r="D350" s="9" t="s">
        <v>1087</v>
      </c>
      <c r="E350" s="52" t="n">
        <v>383.6</v>
      </c>
      <c r="F350" s="53" t="n">
        <f aca="false">Sensitivities!$M$8</f>
        <v>383.559632154643</v>
      </c>
      <c r="G350" s="50" t="n">
        <f aca="false">IFERROR(IF(ISNUMBER(F350),F350-E350,"n/a"),"n/a")</f>
        <v>-0.0403678453570819</v>
      </c>
      <c r="H350" s="51" t="n">
        <v>0.050000001</v>
      </c>
      <c r="I350" s="47" t="str">
        <f aca="false">IFERROR(IF(ISNUMBER(F350),IF(ABS(F350-E350)&lt;=H350,"PASS","FAIL"),"FAIL"),"FAIL")</f>
        <v>PASS</v>
      </c>
    </row>
    <row r="351" customFormat="false" ht="15" hidden="false" customHeight="false" outlineLevel="0" collapsed="false">
      <c r="B351" s="48" t="n">
        <v>342</v>
      </c>
      <c r="C351" s="9" t="s">
        <v>1079</v>
      </c>
      <c r="D351" s="9" t="s">
        <v>1088</v>
      </c>
      <c r="E351" s="10" t="n">
        <v>0.1345</v>
      </c>
      <c r="F351" s="56" t="n">
        <f aca="false">Sensitivities!$X$8</f>
        <v>0.134517189213139</v>
      </c>
      <c r="G351" s="50" t="n">
        <f aca="false">IFERROR(IF(ISNUMBER(F351),F351-E351,"n/a"),"n/a")</f>
        <v>1.71892131387019E-005</v>
      </c>
      <c r="H351" s="51" t="n">
        <v>5.0001E-005</v>
      </c>
      <c r="I351" s="47" t="str">
        <f aca="false">IFERROR(IF(ISNUMBER(F351),IF(ABS(F351-E351)&lt;=H351,"PASS","FAIL"),"FAIL"),"FAIL")</f>
        <v>PASS</v>
      </c>
    </row>
    <row r="352" customFormat="false" ht="15" hidden="false" customHeight="false" outlineLevel="0" collapsed="false">
      <c r="B352" s="48" t="n">
        <v>343</v>
      </c>
      <c r="C352" s="9" t="s">
        <v>1079</v>
      </c>
      <c r="D352" s="9" t="s">
        <v>1089</v>
      </c>
      <c r="E352" s="54" t="n">
        <v>1.88</v>
      </c>
      <c r="F352" s="55" t="n">
        <f aca="false">Sensitivities!$W$8</f>
        <v>1.879556570741</v>
      </c>
      <c r="G352" s="50" t="n">
        <f aca="false">IFERROR(IF(ISNUMBER(F352),F352-E352,"n/a"),"n/a")</f>
        <v>-0.000443429259002315</v>
      </c>
      <c r="H352" s="51" t="n">
        <v>0.005000001</v>
      </c>
      <c r="I352" s="47" t="str">
        <f aca="false">IFERROR(IF(ISNUMBER(F352),IF(ABS(F352-E352)&lt;=H352,"PASS","FAIL"),"FAIL"),"FAIL")</f>
        <v>PASS</v>
      </c>
    </row>
    <row r="353" customFormat="false" ht="15" hidden="false" customHeight="false" outlineLevel="0" collapsed="false">
      <c r="B353" s="48" t="n">
        <v>344</v>
      </c>
      <c r="C353" s="9" t="s">
        <v>1079</v>
      </c>
      <c r="D353" s="9" t="s">
        <v>1090</v>
      </c>
      <c r="E353" s="52" t="n">
        <v>9</v>
      </c>
      <c r="F353" s="53" t="n">
        <f aca="false">Sensitivities!$D$9</f>
        <v>9</v>
      </c>
      <c r="G353" s="50" t="n">
        <f aca="false">IFERROR(IF(ISNUMBER(F353),F353-E353,"n/a"),"n/a")</f>
        <v>0</v>
      </c>
      <c r="H353" s="51" t="n">
        <v>0.050000001</v>
      </c>
      <c r="I353" s="47" t="str">
        <f aca="false">IFERROR(IF(ISNUMBER(F353),IF(ABS(F353-E353)&lt;=H353,"PASS","FAIL"),"FAIL"),"FAIL")</f>
        <v>PASS</v>
      </c>
    </row>
    <row r="354" customFormat="false" ht="15" hidden="false" customHeight="false" outlineLevel="0" collapsed="false">
      <c r="B354" s="48" t="n">
        <v>345</v>
      </c>
      <c r="C354" s="9" t="s">
        <v>1079</v>
      </c>
      <c r="D354" s="9" t="s">
        <v>1091</v>
      </c>
      <c r="E354" s="52" t="n">
        <v>700.4</v>
      </c>
      <c r="F354" s="53" t="n">
        <f aca="false">Sensitivities!$K$9</f>
        <v>700.40600568</v>
      </c>
      <c r="G354" s="50" t="n">
        <f aca="false">IFERROR(IF(ISNUMBER(F354),F354-E354,"n/a"),"n/a")</f>
        <v>0.00600568000004387</v>
      </c>
      <c r="H354" s="51" t="n">
        <v>0.050000001</v>
      </c>
      <c r="I354" s="47" t="str">
        <f aca="false">IFERROR(IF(ISNUMBER(F354),IF(ABS(F354-E354)&lt;=H354,"PASS","FAIL"),"FAIL"),"FAIL")</f>
        <v>PASS</v>
      </c>
    </row>
    <row r="355" customFormat="false" ht="15" hidden="false" customHeight="false" outlineLevel="0" collapsed="false">
      <c r="B355" s="48" t="n">
        <v>346</v>
      </c>
      <c r="C355" s="9" t="s">
        <v>1079</v>
      </c>
      <c r="D355" s="9" t="s">
        <v>1092</v>
      </c>
      <c r="E355" s="52" t="n">
        <v>460.2</v>
      </c>
      <c r="F355" s="53" t="n">
        <f aca="false">Sensitivities!$M$9</f>
        <v>460.215178331843</v>
      </c>
      <c r="G355" s="50" t="n">
        <f aca="false">IFERROR(IF(ISNUMBER(F355),F355-E355,"n/a"),"n/a")</f>
        <v>0.0151783318429466</v>
      </c>
      <c r="H355" s="51" t="n">
        <v>0.050000001</v>
      </c>
      <c r="I355" s="47" t="str">
        <f aca="false">IFERROR(IF(ISNUMBER(F355),IF(ABS(F355-E355)&lt;=H355,"PASS","FAIL"),"FAIL"),"FAIL")</f>
        <v>PASS</v>
      </c>
    </row>
    <row r="356" customFormat="false" ht="15" hidden="false" customHeight="false" outlineLevel="0" collapsed="false">
      <c r="B356" s="48" t="n">
        <v>347</v>
      </c>
      <c r="C356" s="9" t="s">
        <v>1079</v>
      </c>
      <c r="D356" s="9" t="s">
        <v>1093</v>
      </c>
      <c r="E356" s="10" t="n">
        <v>0.1705</v>
      </c>
      <c r="F356" s="56" t="n">
        <f aca="false">Sensitivities!$X$9</f>
        <v>0.170484343544686</v>
      </c>
      <c r="G356" s="50" t="n">
        <f aca="false">IFERROR(IF(ISNUMBER(F356),F356-E356,"n/a"),"n/a")</f>
        <v>-1.56564553139005E-005</v>
      </c>
      <c r="H356" s="51" t="n">
        <v>5.0001E-005</v>
      </c>
      <c r="I356" s="47" t="str">
        <f aca="false">IFERROR(IF(ISNUMBER(F356),IF(ABS(F356-E356)&lt;=H356,"PASS","FAIL"),"FAIL"),"FAIL")</f>
        <v>PASS</v>
      </c>
    </row>
    <row r="357" customFormat="false" ht="15" hidden="false" customHeight="false" outlineLevel="0" collapsed="false">
      <c r="B357" s="48" t="n">
        <v>348</v>
      </c>
      <c r="C357" s="9" t="s">
        <v>1079</v>
      </c>
      <c r="D357" s="9" t="s">
        <v>1094</v>
      </c>
      <c r="E357" s="54" t="n">
        <v>2.2</v>
      </c>
      <c r="F357" s="55" t="n">
        <f aca="false">Sensitivities!$W$9</f>
        <v>2.19698982032648</v>
      </c>
      <c r="G357" s="50" t="n">
        <f aca="false">IFERROR(IF(ISNUMBER(F357),F357-E357,"n/a"),"n/a")</f>
        <v>-0.00301017967352291</v>
      </c>
      <c r="H357" s="51" t="n">
        <v>0.005000001</v>
      </c>
      <c r="I357" s="47" t="str">
        <f aca="false">IFERROR(IF(ISNUMBER(F357),IF(ABS(F357-E357)&lt;=H357,"PASS","FAIL"),"FAIL"),"FAIL")</f>
        <v>PASS</v>
      </c>
    </row>
    <row r="358" customFormat="false" ht="15" hidden="false" customHeight="false" outlineLevel="0" collapsed="false">
      <c r="B358" s="48" t="n">
        <v>349</v>
      </c>
      <c r="C358" s="9" t="s">
        <v>1079</v>
      </c>
      <c r="D358" s="9" t="s">
        <v>1095</v>
      </c>
      <c r="E358" s="52" t="n">
        <v>10</v>
      </c>
      <c r="F358" s="53" t="n">
        <f aca="false">Sensitivities!$D$10</f>
        <v>10</v>
      </c>
      <c r="G358" s="50" t="n">
        <f aca="false">IFERROR(IF(ISNUMBER(F358),F358-E358,"n/a"),"n/a")</f>
        <v>0</v>
      </c>
      <c r="H358" s="51" t="n">
        <v>0.050000001</v>
      </c>
      <c r="I358" s="47" t="str">
        <f aca="false">IFERROR(IF(ISNUMBER(F358),IF(ABS(F358-E358)&lt;=H358,"PASS","FAIL"),"FAIL"),"FAIL")</f>
        <v>PASS</v>
      </c>
    </row>
    <row r="359" customFormat="false" ht="15" hidden="false" customHeight="false" outlineLevel="0" collapsed="false">
      <c r="B359" s="48" t="n">
        <v>350</v>
      </c>
      <c r="C359" s="9" t="s">
        <v>1079</v>
      </c>
      <c r="D359" s="9" t="s">
        <v>1096</v>
      </c>
      <c r="E359" s="52" t="n">
        <v>778.2</v>
      </c>
      <c r="F359" s="53" t="n">
        <f aca="false">Sensitivities!$K$10</f>
        <v>778.2288952</v>
      </c>
      <c r="G359" s="50" t="n">
        <f aca="false">IFERROR(IF(ISNUMBER(F359),F359-E359,"n/a"),"n/a")</f>
        <v>0.0288951999999654</v>
      </c>
      <c r="H359" s="51" t="n">
        <v>0.050000001</v>
      </c>
      <c r="I359" s="47" t="str">
        <f aca="false">IFERROR(IF(ISNUMBER(F359),IF(ABS(F359-E359)&lt;=H359,"PASS","FAIL"),"FAIL"),"FAIL")</f>
        <v>PASS</v>
      </c>
    </row>
    <row r="360" customFormat="false" ht="15" hidden="false" customHeight="false" outlineLevel="0" collapsed="false">
      <c r="B360" s="48" t="n">
        <v>351</v>
      </c>
      <c r="C360" s="9" t="s">
        <v>1079</v>
      </c>
      <c r="D360" s="9" t="s">
        <v>1097</v>
      </c>
      <c r="E360" s="52" t="n">
        <v>536.9</v>
      </c>
      <c r="F360" s="53" t="n">
        <f aca="false">Sensitivities!$M$10</f>
        <v>536.870724509043</v>
      </c>
      <c r="G360" s="50" t="n">
        <f aca="false">IFERROR(IF(ISNUMBER(F360),F360-E360,"n/a"),"n/a")</f>
        <v>-0.0292754909570476</v>
      </c>
      <c r="H360" s="51" t="n">
        <v>0.050000001</v>
      </c>
      <c r="I360" s="47" t="str">
        <f aca="false">IFERROR(IF(ISNUMBER(F360),IF(ABS(F360-E360)&lt;=H360,"PASS","FAIL"),"FAIL"),"FAIL")</f>
        <v>PASS</v>
      </c>
    </row>
    <row r="361" customFormat="false" ht="15" hidden="false" customHeight="false" outlineLevel="0" collapsed="false">
      <c r="B361" s="48" t="n">
        <v>352</v>
      </c>
      <c r="C361" s="9" t="s">
        <v>1079</v>
      </c>
      <c r="D361" s="9" t="s">
        <v>1098</v>
      </c>
      <c r="E361" s="10" t="n">
        <v>0.2059</v>
      </c>
      <c r="F361" s="56" t="n">
        <f aca="false">Sensitivities!$X$10</f>
        <v>0.205853620791551</v>
      </c>
      <c r="G361" s="50" t="n">
        <f aca="false">IFERROR(IF(ISNUMBER(F361),F361-E361,"n/a"),"n/a")</f>
        <v>-4.63792084486603E-005</v>
      </c>
      <c r="H361" s="51" t="n">
        <v>5.0001E-005</v>
      </c>
      <c r="I361" s="47" t="str">
        <f aca="false">IFERROR(IF(ISNUMBER(F361),IF(ABS(F361-E361)&lt;=H361,"PASS","FAIL"),"FAIL"),"FAIL")</f>
        <v>PASS</v>
      </c>
    </row>
    <row r="362" customFormat="false" ht="15" hidden="false" customHeight="false" outlineLevel="0" collapsed="false">
      <c r="B362" s="48" t="n">
        <v>353</v>
      </c>
      <c r="C362" s="9" t="s">
        <v>1079</v>
      </c>
      <c r="D362" s="9" t="s">
        <v>1099</v>
      </c>
      <c r="E362" s="54" t="n">
        <v>2.55</v>
      </c>
      <c r="F362" s="55" t="n">
        <f aca="false">Sensitivities!$W$10</f>
        <v>2.5496053327416</v>
      </c>
      <c r="G362" s="50" t="n">
        <f aca="false">IFERROR(IF(ISNUMBER(F362),F362-E362,"n/a"),"n/a")</f>
        <v>-0.000394667258402315</v>
      </c>
      <c r="H362" s="51" t="n">
        <v>0.005000001</v>
      </c>
      <c r="I362" s="47" t="str">
        <f aca="false">IFERROR(IF(ISNUMBER(F362),IF(ABS(F362-E362)&lt;=H362,"PASS","FAIL"),"FAIL"),"FAIL")</f>
        <v>PASS</v>
      </c>
    </row>
    <row r="363" customFormat="false" ht="15" hidden="false" customHeight="false" outlineLevel="0" collapsed="false">
      <c r="B363" s="48" t="n">
        <v>354</v>
      </c>
      <c r="C363" s="9" t="s">
        <v>1079</v>
      </c>
      <c r="D363" s="9" t="s">
        <v>1100</v>
      </c>
      <c r="E363" s="52" t="n">
        <v>11</v>
      </c>
      <c r="F363" s="53" t="n">
        <f aca="false">Sensitivities!$D$11</f>
        <v>11</v>
      </c>
      <c r="G363" s="50" t="n">
        <f aca="false">IFERROR(IF(ISNUMBER(F363),F363-E363,"n/a"),"n/a")</f>
        <v>0</v>
      </c>
      <c r="H363" s="51" t="n">
        <v>0.050000001</v>
      </c>
      <c r="I363" s="47" t="str">
        <f aca="false">IFERROR(IF(ISNUMBER(F363),IF(ABS(F363-E363)&lt;=H363,"PASS","FAIL"),"FAIL"),"FAIL")</f>
        <v>PASS</v>
      </c>
    </row>
    <row r="364" customFormat="false" ht="15" hidden="false" customHeight="false" outlineLevel="0" collapsed="false">
      <c r="B364" s="48" t="n">
        <v>355</v>
      </c>
      <c r="C364" s="9" t="s">
        <v>1079</v>
      </c>
      <c r="D364" s="9" t="s">
        <v>1101</v>
      </c>
      <c r="E364" s="52" t="n">
        <v>856.1</v>
      </c>
      <c r="F364" s="53" t="n">
        <f aca="false">Sensitivities!$K$11</f>
        <v>856.05178472</v>
      </c>
      <c r="G364" s="50" t="n">
        <f aca="false">IFERROR(IF(ISNUMBER(F364),F364-E364,"n/a"),"n/a")</f>
        <v>-0.0482152800000222</v>
      </c>
      <c r="H364" s="51" t="n">
        <v>0.050000001</v>
      </c>
      <c r="I364" s="47" t="str">
        <f aca="false">IFERROR(IF(ISNUMBER(F364),IF(ABS(F364-E364)&lt;=H364,"PASS","FAIL"),"FAIL"),"FAIL")</f>
        <v>PASS</v>
      </c>
    </row>
    <row r="365" customFormat="false" ht="15" hidden="false" customHeight="false" outlineLevel="0" collapsed="false">
      <c r="B365" s="48" t="n">
        <v>356</v>
      </c>
      <c r="C365" s="9" t="s">
        <v>1079</v>
      </c>
      <c r="D365" s="9" t="s">
        <v>1102</v>
      </c>
      <c r="E365" s="52" t="n">
        <v>613.5</v>
      </c>
      <c r="F365" s="53" t="n">
        <f aca="false">Sensitivities!$M$11</f>
        <v>613.526270686243</v>
      </c>
      <c r="G365" s="50" t="n">
        <f aca="false">IFERROR(IF(ISNUMBER(F365),F365-E365,"n/a"),"n/a")</f>
        <v>0.0262706862429241</v>
      </c>
      <c r="H365" s="51" t="n">
        <v>0.050000001</v>
      </c>
      <c r="I365" s="47" t="str">
        <f aca="false">IFERROR(IF(ISNUMBER(F365),IF(ABS(F365-E365)&lt;=H365,"PASS","FAIL"),"FAIL"),"FAIL")</f>
        <v>PASS</v>
      </c>
    </row>
    <row r="366" customFormat="false" ht="15" hidden="false" customHeight="false" outlineLevel="0" collapsed="false">
      <c r="B366" s="48" t="n">
        <v>357</v>
      </c>
      <c r="C366" s="9" t="s">
        <v>1079</v>
      </c>
      <c r="D366" s="9" t="s">
        <v>1103</v>
      </c>
      <c r="E366" s="10" t="n">
        <v>0.2375</v>
      </c>
      <c r="F366" s="56" t="n">
        <f aca="false">Sensitivities!$X$11</f>
        <v>0.237502518384802</v>
      </c>
      <c r="G366" s="50" t="n">
        <f aca="false">IFERROR(IF(ISNUMBER(F366),F366-E366,"n/a"),"n/a")</f>
        <v>2.5183848016419E-006</v>
      </c>
      <c r="H366" s="51" t="n">
        <v>5.0001E-005</v>
      </c>
      <c r="I366" s="47" t="str">
        <f aca="false">IFERROR(IF(ISNUMBER(F366),IF(ABS(F366-E366)&lt;=H366,"PASS","FAIL"),"FAIL"),"FAIL")</f>
        <v>PASS</v>
      </c>
    </row>
    <row r="367" customFormat="false" ht="15" hidden="false" customHeight="false" outlineLevel="0" collapsed="false">
      <c r="B367" s="48" t="n">
        <v>358</v>
      </c>
      <c r="C367" s="9" t="s">
        <v>1079</v>
      </c>
      <c r="D367" s="9" t="s">
        <v>1104</v>
      </c>
      <c r="E367" s="54" t="n">
        <v>2.9</v>
      </c>
      <c r="F367" s="55" t="n">
        <f aca="false">Sensitivities!$W$11</f>
        <v>2.90222084515672</v>
      </c>
      <c r="G367" s="50" t="n">
        <f aca="false">IFERROR(IF(ISNUMBER(F367),F367-E367,"n/a"),"n/a")</f>
        <v>0.00222084515671783</v>
      </c>
      <c r="H367" s="51" t="n">
        <v>0.005000001</v>
      </c>
      <c r="I367" s="47" t="str">
        <f aca="false">IFERROR(IF(ISNUMBER(F367),IF(ABS(F367-E367)&lt;=H367,"PASS","FAIL"),"FAIL"),"FAIL")</f>
        <v>PASS</v>
      </c>
    </row>
    <row r="368" customFormat="false" ht="15" hidden="false" customHeight="false" outlineLevel="0" collapsed="false">
      <c r="B368" s="48" t="n">
        <v>359</v>
      </c>
      <c r="C368" s="9" t="s">
        <v>1079</v>
      </c>
      <c r="D368" s="9" t="s">
        <v>1105</v>
      </c>
      <c r="E368" s="52" t="n">
        <v>9</v>
      </c>
      <c r="F368" s="53" t="n">
        <f aca="false">Sensitivities!$D$9</f>
        <v>9</v>
      </c>
      <c r="G368" s="50" t="n">
        <f aca="false">IFERROR(IF(ISNUMBER(F368),F368-E368,"n/a"),"n/a")</f>
        <v>0</v>
      </c>
      <c r="H368" s="51" t="n">
        <v>0.050000001</v>
      </c>
      <c r="I368" s="47" t="str">
        <f aca="false">IFERROR(IF(ISNUMBER(F368),IF(ABS(F368-E368)&lt;=H368,"PASS","FAIL"),"FAIL"),"FAIL")</f>
        <v>PASS</v>
      </c>
    </row>
    <row r="369" customFormat="false" ht="15" hidden="false" customHeight="false" outlineLevel="0" collapsed="false">
      <c r="B369" s="48" t="n">
        <v>360</v>
      </c>
      <c r="C369" s="9" t="s">
        <v>1079</v>
      </c>
      <c r="D369" s="9" t="s">
        <v>1106</v>
      </c>
      <c r="E369" s="52" t="n">
        <v>8</v>
      </c>
      <c r="F369" s="53" t="n">
        <f aca="false">Sensitivities!$D$8</f>
        <v>8</v>
      </c>
      <c r="G369" s="50" t="n">
        <f aca="false">IFERROR(IF(ISNUMBER(F369),F369-E369,"n/a"),"n/a")</f>
        <v>0</v>
      </c>
      <c r="H369" s="51" t="n">
        <v>0.050000001</v>
      </c>
      <c r="I369" s="47" t="str">
        <f aca="false">IFERROR(IF(ISNUMBER(F369),IF(ABS(F369-E369)&lt;=H369,"PASS","FAIL"),"FAIL"),"FAIL")</f>
        <v>PASS</v>
      </c>
    </row>
    <row r="370" customFormat="false" ht="15" hidden="false" customHeight="false" outlineLevel="0" collapsed="false">
      <c r="B370" s="48" t="n">
        <v>361</v>
      </c>
      <c r="C370" s="9" t="s">
        <v>1079</v>
      </c>
      <c r="D370" s="9" t="s">
        <v>1107</v>
      </c>
      <c r="E370" s="10" t="n">
        <v>-0.036</v>
      </c>
      <c r="F370" s="56" t="n">
        <f aca="false">Sensitivities!$D$12</f>
        <v>-0.0359671543315474</v>
      </c>
      <c r="G370" s="50" t="n">
        <f aca="false">IFERROR(IF(ISNUMBER(F370),F370-E370,"n/a"),"n/a")</f>
        <v>3.28456684525955E-005</v>
      </c>
      <c r="H370" s="51" t="n">
        <v>5.0001E-005</v>
      </c>
      <c r="I370" s="47" t="str">
        <f aca="false">IFERROR(IF(ISNUMBER(F370),IF(ABS(F370-E370)&lt;=H370,"PASS","FAIL"),"FAIL"),"FAIL")</f>
        <v>PASS</v>
      </c>
    </row>
    <row r="371" customFormat="false" ht="15" hidden="false" customHeight="false" outlineLevel="0" collapsed="false">
      <c r="B371" s="48" t="n">
        <v>362</v>
      </c>
      <c r="C371" s="9" t="s">
        <v>1079</v>
      </c>
      <c r="D371" s="9" t="s">
        <v>1108</v>
      </c>
      <c r="E371" s="52" t="n">
        <v>10</v>
      </c>
      <c r="F371" s="53" t="n">
        <f aca="false">Sensitivities!$D$10</f>
        <v>10</v>
      </c>
      <c r="G371" s="50" t="n">
        <f aca="false">IFERROR(IF(ISNUMBER(F371),F371-E371,"n/a"),"n/a")</f>
        <v>0</v>
      </c>
      <c r="H371" s="51" t="n">
        <v>0.050000001</v>
      </c>
      <c r="I371" s="47" t="str">
        <f aca="false">IFERROR(IF(ISNUMBER(F371),IF(ABS(F371-E371)&lt;=H371,"PASS","FAIL"),"FAIL"),"FAIL")</f>
        <v>PASS</v>
      </c>
    </row>
    <row r="372" customFormat="false" ht="15" hidden="false" customHeight="false" outlineLevel="0" collapsed="false">
      <c r="B372" s="48" t="n">
        <v>363</v>
      </c>
      <c r="C372" s="9" t="s">
        <v>1079</v>
      </c>
      <c r="D372" s="9" t="s">
        <v>1109</v>
      </c>
      <c r="E372" s="10" t="n">
        <v>0.0354</v>
      </c>
      <c r="F372" s="56" t="n">
        <f aca="false">Sensitivities!$D$13</f>
        <v>0.0353692772468652</v>
      </c>
      <c r="G372" s="50" t="n">
        <f aca="false">IFERROR(IF(ISNUMBER(F372),F372-E372,"n/a"),"n/a")</f>
        <v>-3.07227531347737E-005</v>
      </c>
      <c r="H372" s="51" t="n">
        <v>5.0001E-005</v>
      </c>
      <c r="I372" s="47" t="str">
        <f aca="false">IFERROR(IF(ISNUMBER(F372),IF(ABS(F372-E372)&lt;=H372,"PASS","FAIL"),"FAIL"),"FAIL")</f>
        <v>PASS</v>
      </c>
    </row>
    <row r="373" customFormat="false" ht="15" hidden="false" customHeight="false" outlineLevel="0" collapsed="false">
      <c r="B373" s="48" t="n">
        <v>364</v>
      </c>
      <c r="C373" s="9" t="s">
        <v>1079</v>
      </c>
      <c r="D373" s="9" t="s">
        <v>1110</v>
      </c>
      <c r="E373" s="54" t="n">
        <v>2.2</v>
      </c>
      <c r="F373" s="55" t="n">
        <f aca="false">Sensitivities!$W$9</f>
        <v>2.19698982032648</v>
      </c>
      <c r="G373" s="50" t="n">
        <f aca="false">IFERROR(IF(ISNUMBER(F373),F373-E373,"n/a"),"n/a")</f>
        <v>-0.00301017967352291</v>
      </c>
      <c r="H373" s="51" t="n">
        <v>0.005000001</v>
      </c>
      <c r="I373" s="47" t="str">
        <f aca="false">IFERROR(IF(ISNUMBER(F373),IF(ABS(F373-E373)&lt;=H373,"PASS","FAIL"),"FAIL"),"FAIL")</f>
        <v>PASS</v>
      </c>
    </row>
    <row r="374" customFormat="false" ht="15" hidden="false" customHeight="false" outlineLevel="0" collapsed="false">
      <c r="B374" s="48" t="n">
        <v>365</v>
      </c>
      <c r="C374" s="9" t="s">
        <v>1079</v>
      </c>
      <c r="D374" s="9" t="s">
        <v>1111</v>
      </c>
      <c r="E374" s="52" t="n">
        <v>9</v>
      </c>
      <c r="F374" s="53" t="n">
        <f aca="false">Sensitivities!$D$9</f>
        <v>9</v>
      </c>
      <c r="G374" s="50" t="n">
        <f aca="false">IFERROR(IF(ISNUMBER(F374),F374-E374,"n/a"),"n/a")</f>
        <v>0</v>
      </c>
      <c r="H374" s="51" t="n">
        <v>0.050000001</v>
      </c>
      <c r="I374" s="47" t="str">
        <f aca="false">IFERROR(IF(ISNUMBER(F374),IF(ABS(F374-E374)&lt;=H374,"PASS","FAIL"),"FAIL"),"FAIL")</f>
        <v>PASS</v>
      </c>
    </row>
    <row r="375" customFormat="false" ht="15" hidden="false" customHeight="false" outlineLevel="0" collapsed="false">
      <c r="B375" s="48" t="n">
        <v>366</v>
      </c>
      <c r="C375" s="9" t="s">
        <v>1079</v>
      </c>
      <c r="D375" s="9" t="s">
        <v>1112</v>
      </c>
      <c r="E375" s="54" t="n">
        <v>1.51</v>
      </c>
      <c r="F375" s="55" t="n">
        <f aca="false">Sensitivities!$W$7</f>
        <v>1.51224874530858</v>
      </c>
      <c r="G375" s="50" t="n">
        <f aca="false">IFERROR(IF(ISNUMBER(F375),F375-E375,"n/a"),"n/a")</f>
        <v>0.00224874530858088</v>
      </c>
      <c r="H375" s="51" t="n">
        <v>0.005000001</v>
      </c>
      <c r="I375" s="47" t="str">
        <f aca="false">IFERROR(IF(ISNUMBER(F375),IF(ABS(F375-E375)&lt;=H375,"PASS","FAIL"),"FAIL"),"FAIL")</f>
        <v>PASS</v>
      </c>
    </row>
    <row r="376" customFormat="false" ht="15" hidden="false" customHeight="false" outlineLevel="0" collapsed="false">
      <c r="B376" s="48" t="n">
        <v>367</v>
      </c>
      <c r="C376" s="9" t="s">
        <v>1079</v>
      </c>
      <c r="D376" s="9" t="s">
        <v>1113</v>
      </c>
      <c r="E376" s="52" t="n">
        <v>7</v>
      </c>
      <c r="F376" s="53" t="n">
        <f aca="false">Sensitivities!$D$7</f>
        <v>7</v>
      </c>
      <c r="G376" s="50" t="n">
        <f aca="false">IFERROR(IF(ISNUMBER(F376),F376-E376,"n/a"),"n/a")</f>
        <v>0</v>
      </c>
      <c r="H376" s="51" t="n">
        <v>0.050000001</v>
      </c>
      <c r="I376" s="47" t="str">
        <f aca="false">IFERROR(IF(ISNUMBER(F376),IF(ABS(F376-E376)&lt;=H376,"PASS","FAIL"),"FAIL"),"FAIL")</f>
        <v>PASS</v>
      </c>
    </row>
    <row r="377" customFormat="false" ht="15" hidden="false" customHeight="false" outlineLevel="0" collapsed="false">
      <c r="B377" s="48" t="n">
        <v>368</v>
      </c>
      <c r="C377" s="9" t="s">
        <v>1079</v>
      </c>
      <c r="D377" s="9" t="s">
        <v>1114</v>
      </c>
      <c r="E377" s="10" t="n">
        <v>0.2375</v>
      </c>
      <c r="F377" s="56" t="n">
        <f aca="false">Sensitivities!$X$11</f>
        <v>0.237502518384802</v>
      </c>
      <c r="G377" s="50" t="n">
        <f aca="false">IFERROR(IF(ISNUMBER(F377),F377-E377,"n/a"),"n/a")</f>
        <v>2.5183848016419E-006</v>
      </c>
      <c r="H377" s="51" t="n">
        <v>5.0001E-005</v>
      </c>
      <c r="I377" s="47" t="str">
        <f aca="false">IFERROR(IF(ISNUMBER(F377),IF(ABS(F377-E377)&lt;=H377,"PASS","FAIL"),"FAIL"),"FAIL")</f>
        <v>PASS</v>
      </c>
    </row>
    <row r="378" customFormat="false" ht="15" hidden="false" customHeight="false" outlineLevel="0" collapsed="false">
      <c r="B378" s="48" t="n">
        <v>369</v>
      </c>
      <c r="C378" s="9" t="s">
        <v>1079</v>
      </c>
      <c r="D378" s="9" t="s">
        <v>1115</v>
      </c>
      <c r="E378" s="10" t="n">
        <v>0.0862</v>
      </c>
      <c r="F378" s="56" t="n">
        <f aca="false">Sensitivities!$X$7</f>
        <v>0.0862371367757975</v>
      </c>
      <c r="G378" s="50" t="n">
        <f aca="false">IFERROR(IF(ISNUMBER(F378),F378-E378,"n/a"),"n/a")</f>
        <v>3.7136775797475E-005</v>
      </c>
      <c r="H378" s="51" t="n">
        <v>5.0001E-005</v>
      </c>
      <c r="I378" s="47" t="str">
        <f aca="false">IFERROR(IF(ISNUMBER(F378),IF(ABS(F378-E378)&lt;=H378,"PASS","FAIL"),"FAIL"),"FAIL")</f>
        <v>PASS</v>
      </c>
    </row>
    <row r="379" customFormat="false" ht="15" hidden="false" customHeight="false" outlineLevel="0" collapsed="false">
      <c r="B379" s="48" t="n">
        <v>370</v>
      </c>
      <c r="C379" s="9" t="s">
        <v>1079</v>
      </c>
      <c r="D379" s="9" t="s">
        <v>1116</v>
      </c>
      <c r="E379" s="52" t="n">
        <v>8</v>
      </c>
      <c r="F379" s="53" t="n">
        <f aca="false">Sensitivities!$D$8</f>
        <v>8</v>
      </c>
      <c r="G379" s="50" t="n">
        <f aca="false">IFERROR(IF(ISNUMBER(F379),F379-E379,"n/a"),"n/a")</f>
        <v>0</v>
      </c>
      <c r="H379" s="51" t="n">
        <v>0.050000001</v>
      </c>
      <c r="I379" s="47" t="str">
        <f aca="false">IFERROR(IF(ISNUMBER(F379),IF(ABS(F379-E379)&lt;=H379,"PASS","FAIL"),"FAIL"),"FAIL")</f>
        <v>PASS</v>
      </c>
    </row>
    <row r="380" customFormat="false" ht="15" hidden="false" customHeight="false" outlineLevel="0" collapsed="false">
      <c r="B380" s="48" t="n">
        <v>371</v>
      </c>
      <c r="C380" s="9" t="s">
        <v>1079</v>
      </c>
      <c r="D380" s="9" t="s">
        <v>1117</v>
      </c>
      <c r="E380" s="52" t="n">
        <v>383.6</v>
      </c>
      <c r="F380" s="53" t="n">
        <f aca="false">Sensitivities!$M$8</f>
        <v>383.559632154643</v>
      </c>
      <c r="G380" s="50" t="n">
        <f aca="false">IFERROR(IF(ISNUMBER(F380),F380-E380,"n/a"),"n/a")</f>
        <v>-0.0403678453570819</v>
      </c>
      <c r="H380" s="51" t="n">
        <v>0.050000001</v>
      </c>
      <c r="I380" s="47" t="str">
        <f aca="false">IFERROR(IF(ISNUMBER(F380),IF(ABS(F380-E380)&lt;=H380,"PASS","FAIL"),"FAIL"),"FAIL")</f>
        <v>PASS</v>
      </c>
    </row>
    <row r="381" customFormat="false" ht="15" hidden="false" customHeight="false" outlineLevel="0" collapsed="false">
      <c r="B381" s="48" t="n">
        <v>372</v>
      </c>
      <c r="C381" s="9" t="s">
        <v>1079</v>
      </c>
      <c r="D381" s="9" t="s">
        <v>1118</v>
      </c>
      <c r="E381" s="52" t="n">
        <v>10</v>
      </c>
      <c r="F381" s="53" t="n">
        <f aca="false">Sensitivities!$D$10</f>
        <v>10</v>
      </c>
      <c r="G381" s="50" t="n">
        <f aca="false">IFERROR(IF(ISNUMBER(F381),F381-E381,"n/a"),"n/a")</f>
        <v>0</v>
      </c>
      <c r="H381" s="51" t="n">
        <v>0.050000001</v>
      </c>
      <c r="I381" s="47" t="str">
        <f aca="false">IFERROR(IF(ISNUMBER(F381),IF(ABS(F381-E381)&lt;=H381,"PASS","FAIL"),"FAIL"),"FAIL")</f>
        <v>PASS</v>
      </c>
    </row>
    <row r="382" customFormat="false" ht="15" hidden="false" customHeight="false" outlineLevel="0" collapsed="false">
      <c r="B382" s="48" t="n">
        <v>373</v>
      </c>
      <c r="C382" s="9" t="s">
        <v>1079</v>
      </c>
      <c r="D382" s="9" t="s">
        <v>1119</v>
      </c>
      <c r="E382" s="52" t="n">
        <v>536.9</v>
      </c>
      <c r="F382" s="53" t="n">
        <f aca="false">Sensitivities!$M$10</f>
        <v>536.870724509043</v>
      </c>
      <c r="G382" s="50" t="n">
        <f aca="false">IFERROR(IF(ISNUMBER(F382),F382-E382,"n/a"),"n/a")</f>
        <v>-0.0292754909570476</v>
      </c>
      <c r="H382" s="51" t="n">
        <v>0.050000001</v>
      </c>
      <c r="I382" s="47" t="str">
        <f aca="false">IFERROR(IF(ISNUMBER(F382),IF(ABS(F382-E382)&lt;=H382,"PASS","FAIL"),"FAIL"),"FAIL")</f>
        <v>PASS</v>
      </c>
    </row>
    <row r="383" customFormat="false" ht="15" hidden="false" customHeight="false" outlineLevel="0" collapsed="false">
      <c r="B383" s="48" t="n">
        <v>374</v>
      </c>
      <c r="C383" s="9" t="s">
        <v>1079</v>
      </c>
      <c r="D383" s="9" t="s">
        <v>1120</v>
      </c>
      <c r="E383" s="52" t="n">
        <v>7</v>
      </c>
      <c r="F383" s="53" t="n">
        <f aca="false">Sensitivities!$D$7</f>
        <v>7</v>
      </c>
      <c r="G383" s="50" t="n">
        <f aca="false">IFERROR(IF(ISNUMBER(F383),F383-E383,"n/a"),"n/a")</f>
        <v>0</v>
      </c>
      <c r="H383" s="51" t="n">
        <v>0.050000001</v>
      </c>
      <c r="I383" s="47" t="str">
        <f aca="false">IFERROR(IF(ISNUMBER(F383),IF(ABS(F383-E383)&lt;=H383,"PASS","FAIL"),"FAIL"),"FAIL")</f>
        <v>PASS</v>
      </c>
    </row>
    <row r="384" customFormat="false" ht="15" hidden="false" customHeight="false" outlineLevel="0" collapsed="false">
      <c r="B384" s="48" t="n">
        <v>375</v>
      </c>
      <c r="C384" s="9" t="s">
        <v>1079</v>
      </c>
      <c r="D384" s="9" t="s">
        <v>1121</v>
      </c>
      <c r="E384" s="54" t="n">
        <v>1.51</v>
      </c>
      <c r="F384" s="55" t="n">
        <f aca="false">Sensitivities!$W$7</f>
        <v>1.51224874530858</v>
      </c>
      <c r="G384" s="50" t="n">
        <f aca="false">IFERROR(IF(ISNUMBER(F384),F384-E384,"n/a"),"n/a")</f>
        <v>0.00224874530858088</v>
      </c>
      <c r="H384" s="51" t="n">
        <v>0.005000001</v>
      </c>
      <c r="I384" s="47" t="str">
        <f aca="false">IFERROR(IF(ISNUMBER(F384),IF(ABS(F384-E384)&lt;=H384,"PASS","FAIL"),"FAIL"),"FAIL")</f>
        <v>PASS</v>
      </c>
    </row>
    <row r="385" customFormat="false" ht="15" hidden="false" customHeight="false" outlineLevel="0" collapsed="false">
      <c r="B385" s="48" t="n">
        <v>376</v>
      </c>
      <c r="C385" s="9" t="s">
        <v>1079</v>
      </c>
      <c r="D385" s="9" t="s">
        <v>1122</v>
      </c>
      <c r="E385" s="10" t="n">
        <v>0.036</v>
      </c>
      <c r="F385" s="56" t="n">
        <f aca="false">Sensitivities!$D$14</f>
        <v>0.0359671543315474</v>
      </c>
      <c r="G385" s="50" t="n">
        <f aca="false">IFERROR(IF(ISNUMBER(F385),F385-E385,"n/a"),"n/a")</f>
        <v>-3.28456684525955E-005</v>
      </c>
      <c r="H385" s="51" t="n">
        <v>5.0001E-005</v>
      </c>
      <c r="I385" s="47" t="str">
        <f aca="false">IFERROR(IF(ISNUMBER(F385),IF(ABS(F385-E385)&lt;=H385,"PASS","FAIL"),"FAIL"),"FAIL")</f>
        <v>PASS</v>
      </c>
    </row>
    <row r="386" customFormat="false" ht="15" hidden="false" customHeight="false" outlineLevel="0" collapsed="false">
      <c r="B386" s="48" t="n">
        <v>377</v>
      </c>
      <c r="C386" s="9" t="s">
        <v>1079</v>
      </c>
      <c r="D386" s="9" t="s">
        <v>1123</v>
      </c>
      <c r="E386" s="10" t="n">
        <v>0.036</v>
      </c>
      <c r="F386" s="56" t="n">
        <f aca="false">Sensitivities!$D$14</f>
        <v>0.0359671543315474</v>
      </c>
      <c r="G386" s="50" t="n">
        <f aca="false">IFERROR(IF(ISNUMBER(F386),F386-E386,"n/a"),"n/a")</f>
        <v>-3.28456684525955E-005</v>
      </c>
      <c r="H386" s="51" t="n">
        <v>5.0001E-005</v>
      </c>
      <c r="I386" s="47" t="str">
        <f aca="false">IFERROR(IF(ISNUMBER(F386),IF(ABS(F386-E386)&lt;=H386,"PASS","FAIL"),"FAIL"),"FAIL")</f>
        <v>PASS</v>
      </c>
    </row>
    <row r="387" customFormat="false" ht="30" hidden="false" customHeight="true" outlineLevel="0" collapsed="false">
      <c r="B387" s="48" t="n">
        <v>378</v>
      </c>
      <c r="C387" s="9" t="s">
        <v>1079</v>
      </c>
      <c r="D387" s="37" t="s">
        <v>1124</v>
      </c>
      <c r="E387" s="59" t="s">
        <v>784</v>
      </c>
      <c r="F387" s="60" t="str">
        <f aca="false">IFERROR(IF(AND(ABS(Sensitivities!$X$9-Case_Base!$D$223)&lt;0.000001,ABS(Sensitivities!$W$9-Case_Base!$D$225)&lt;0.000001),"holds","does not hold"),"error")</f>
        <v>holds</v>
      </c>
      <c r="G387" s="9"/>
      <c r="H387" s="9"/>
      <c r="I387" s="47" t="str">
        <f aca="false">IFERROR(IF(AND(ABS(Sensitivities!$X$9-Case_Base!$D$223)&lt;0.000001,ABS(Sensitivities!$W$9-Case_Base!$D$225)&lt;0.000001),"PASS","FAIL"),"FAIL")</f>
        <v>PASS</v>
      </c>
    </row>
    <row r="388" customFormat="false" ht="15" hidden="false" customHeight="false" outlineLevel="0" collapsed="false">
      <c r="B388" s="48" t="n">
        <v>379</v>
      </c>
      <c r="C388" s="9" t="s">
        <v>1079</v>
      </c>
      <c r="D388" s="9" t="s">
        <v>1125</v>
      </c>
      <c r="E388" s="52" t="n">
        <v>8</v>
      </c>
      <c r="F388" s="53" t="n">
        <f aca="false">Sensitivities!$C$18</f>
        <v>8</v>
      </c>
      <c r="G388" s="50" t="n">
        <f aca="false">IFERROR(IF(ISNUMBER(F388),F388-E388,"n/a"),"n/a")</f>
        <v>0</v>
      </c>
      <c r="H388" s="51" t="n">
        <v>0.050000001</v>
      </c>
      <c r="I388" s="47" t="str">
        <f aca="false">IFERROR(IF(ISNUMBER(F388),IF(ABS(F388-E388)&lt;=H388,"PASS","FAIL"),"FAIL"),"FAIL")</f>
        <v>PASS</v>
      </c>
    </row>
    <row r="389" customFormat="false" ht="15" hidden="false" customHeight="false" outlineLevel="0" collapsed="false">
      <c r="B389" s="48" t="n">
        <v>380</v>
      </c>
      <c r="C389" s="9" t="s">
        <v>1079</v>
      </c>
      <c r="D389" s="9" t="s">
        <v>1126</v>
      </c>
      <c r="E389" s="52" t="n">
        <v>400</v>
      </c>
      <c r="F389" s="53" t="n">
        <f aca="false">Sensitivities!$F$18</f>
        <v>400</v>
      </c>
      <c r="G389" s="50" t="n">
        <f aca="false">IFERROR(IF(ISNUMBER(F389),F389-E389,"n/a"),"n/a")</f>
        <v>0</v>
      </c>
      <c r="H389" s="51" t="n">
        <v>0.050000001</v>
      </c>
      <c r="I389" s="47" t="str">
        <f aca="false">IFERROR(IF(ISNUMBER(F389),IF(ABS(F389-E389)&lt;=H389,"PASS","FAIL"),"FAIL"),"FAIL")</f>
        <v>PASS</v>
      </c>
    </row>
    <row r="390" customFormat="false" ht="15" hidden="false" customHeight="false" outlineLevel="0" collapsed="false">
      <c r="B390" s="48" t="n">
        <v>381</v>
      </c>
      <c r="C390" s="9" t="s">
        <v>1079</v>
      </c>
      <c r="D390" s="9" t="s">
        <v>1127</v>
      </c>
      <c r="E390" s="52" t="n">
        <v>150</v>
      </c>
      <c r="F390" s="53" t="n">
        <f aca="false">Sensitivities!$G$18</f>
        <v>150</v>
      </c>
      <c r="G390" s="50" t="n">
        <f aca="false">IFERROR(IF(ISNUMBER(F390),F390-E390,"n/a"),"n/a")</f>
        <v>0</v>
      </c>
      <c r="H390" s="51" t="n">
        <v>0.050000001</v>
      </c>
      <c r="I390" s="47" t="str">
        <f aca="false">IFERROR(IF(ISNUMBER(F390),IF(ABS(F390-E390)&lt;=H390,"PASS","FAIL"),"FAIL"),"FAIL")</f>
        <v>PASS</v>
      </c>
    </row>
    <row r="391" customFormat="false" ht="15" hidden="false" customHeight="false" outlineLevel="0" collapsed="false">
      <c r="B391" s="48" t="n">
        <v>382</v>
      </c>
      <c r="C391" s="9" t="s">
        <v>1079</v>
      </c>
      <c r="D391" s="9" t="s">
        <v>1128</v>
      </c>
      <c r="E391" s="10" t="n">
        <v>0.2375</v>
      </c>
      <c r="F391" s="56" t="n">
        <f aca="false">Sensitivities!$X$18</f>
        <v>0.237539378218018</v>
      </c>
      <c r="G391" s="50" t="n">
        <f aca="false">IFERROR(IF(ISNUMBER(F391),F391-E391,"n/a"),"n/a")</f>
        <v>3.93782180177493E-005</v>
      </c>
      <c r="H391" s="51" t="n">
        <v>5.0001E-005</v>
      </c>
      <c r="I391" s="47" t="str">
        <f aca="false">IFERROR(IF(ISNUMBER(F391),IF(ABS(F391-E391)&lt;=H391,"PASS","FAIL"),"FAIL"),"FAIL")</f>
        <v>PASS</v>
      </c>
    </row>
    <row r="392" customFormat="false" ht="15" hidden="false" customHeight="false" outlineLevel="0" collapsed="false">
      <c r="B392" s="48" t="n">
        <v>383</v>
      </c>
      <c r="C392" s="9" t="s">
        <v>1079</v>
      </c>
      <c r="D392" s="9" t="s">
        <v>1129</v>
      </c>
      <c r="E392" s="54" t="n">
        <v>2.9</v>
      </c>
      <c r="F392" s="55" t="n">
        <f aca="false">Sensitivities!$W$18</f>
        <v>2.90265309376864</v>
      </c>
      <c r="G392" s="50" t="n">
        <f aca="false">IFERROR(IF(ISNUMBER(F392),F392-E392,"n/a"),"n/a")</f>
        <v>0.00265309376863687</v>
      </c>
      <c r="H392" s="51" t="n">
        <v>0.005000001</v>
      </c>
      <c r="I392" s="47" t="str">
        <f aca="false">IFERROR(IF(ISNUMBER(F392),IF(ABS(F392-E392)&lt;=H392,"PASS","FAIL"),"FAIL"),"FAIL")</f>
        <v>PASS</v>
      </c>
    </row>
    <row r="393" customFormat="false" ht="15" hidden="false" customHeight="false" outlineLevel="0" collapsed="false">
      <c r="B393" s="48" t="n">
        <v>384</v>
      </c>
      <c r="C393" s="9" t="s">
        <v>1079</v>
      </c>
      <c r="D393" s="9" t="s">
        <v>1130</v>
      </c>
      <c r="E393" s="52" t="n">
        <v>8.5</v>
      </c>
      <c r="F393" s="53" t="n">
        <f aca="false">Sensitivities!$C$19</f>
        <v>8.5</v>
      </c>
      <c r="G393" s="50" t="n">
        <f aca="false">IFERROR(IF(ISNUMBER(F393),F393-E393,"n/a"),"n/a")</f>
        <v>0</v>
      </c>
      <c r="H393" s="51" t="n">
        <v>0.050000001</v>
      </c>
      <c r="I393" s="47" t="str">
        <f aca="false">IFERROR(IF(ISNUMBER(F393),IF(ABS(F393-E393)&lt;=H393,"PASS","FAIL"),"FAIL"),"FAIL")</f>
        <v>PASS</v>
      </c>
    </row>
    <row r="394" customFormat="false" ht="15" hidden="false" customHeight="false" outlineLevel="0" collapsed="false">
      <c r="B394" s="48" t="n">
        <v>385</v>
      </c>
      <c r="C394" s="9" t="s">
        <v>1079</v>
      </c>
      <c r="D394" s="9" t="s">
        <v>1131</v>
      </c>
      <c r="E394" s="52" t="n">
        <v>425</v>
      </c>
      <c r="F394" s="53" t="n">
        <f aca="false">Sensitivities!$F$19</f>
        <v>425</v>
      </c>
      <c r="G394" s="50" t="n">
        <f aca="false">IFERROR(IF(ISNUMBER(F394),F394-E394,"n/a"),"n/a")</f>
        <v>0</v>
      </c>
      <c r="H394" s="51" t="n">
        <v>0.050000001</v>
      </c>
      <c r="I394" s="47" t="str">
        <f aca="false">IFERROR(IF(ISNUMBER(F394),IF(ABS(F394-E394)&lt;=H394,"PASS","FAIL"),"FAIL"),"FAIL")</f>
        <v>PASS</v>
      </c>
    </row>
    <row r="395" customFormat="false" ht="15" hidden="false" customHeight="false" outlineLevel="0" collapsed="false">
      <c r="B395" s="48" t="n">
        <v>386</v>
      </c>
      <c r="C395" s="9" t="s">
        <v>1079</v>
      </c>
      <c r="D395" s="9" t="s">
        <v>1132</v>
      </c>
      <c r="E395" s="52" t="n">
        <v>175</v>
      </c>
      <c r="F395" s="53" t="n">
        <f aca="false">Sensitivities!$G$19</f>
        <v>175</v>
      </c>
      <c r="G395" s="50" t="n">
        <f aca="false">IFERROR(IF(ISNUMBER(F395),F395-E395,"n/a"),"n/a")</f>
        <v>0</v>
      </c>
      <c r="H395" s="51" t="n">
        <v>0.050000001</v>
      </c>
      <c r="I395" s="47" t="str">
        <f aca="false">IFERROR(IF(ISNUMBER(F395),IF(ABS(F395-E395)&lt;=H395,"PASS","FAIL"),"FAIL"),"FAIL")</f>
        <v>PASS</v>
      </c>
    </row>
    <row r="396" customFormat="false" ht="15" hidden="false" customHeight="false" outlineLevel="0" collapsed="false">
      <c r="B396" s="48" t="n">
        <v>387</v>
      </c>
      <c r="C396" s="9" t="s">
        <v>1079</v>
      </c>
      <c r="D396" s="9" t="s">
        <v>1133</v>
      </c>
      <c r="E396" s="10" t="n">
        <v>0.2011</v>
      </c>
      <c r="F396" s="56" t="n">
        <f aca="false">Sensitivities!$X$19</f>
        <v>0.201068402306305</v>
      </c>
      <c r="G396" s="50" t="n">
        <f aca="false">IFERROR(IF(ISNUMBER(F396),F396-E396,"n/a"),"n/a")</f>
        <v>-3.15976936954843E-005</v>
      </c>
      <c r="H396" s="51" t="n">
        <v>5.0001E-005</v>
      </c>
      <c r="I396" s="47" t="str">
        <f aca="false">IFERROR(IF(ISNUMBER(F396),IF(ABS(F396-E396)&lt;=H396,"PASS","FAIL"),"FAIL"),"FAIL")</f>
        <v>PASS</v>
      </c>
    </row>
    <row r="397" customFormat="false" ht="15" hidden="false" customHeight="false" outlineLevel="0" collapsed="false">
      <c r="B397" s="48" t="n">
        <v>388</v>
      </c>
      <c r="C397" s="9" t="s">
        <v>1079</v>
      </c>
      <c r="D397" s="9" t="s">
        <v>1134</v>
      </c>
      <c r="E397" s="54" t="n">
        <v>2.5</v>
      </c>
      <c r="F397" s="55" t="n">
        <f aca="false">Sensitivities!$W$19</f>
        <v>2.49941693751597</v>
      </c>
      <c r="G397" s="50" t="n">
        <f aca="false">IFERROR(IF(ISNUMBER(F397),F397-E397,"n/a"),"n/a")</f>
        <v>-0.000583062484025732</v>
      </c>
      <c r="H397" s="51" t="n">
        <v>0.005000001</v>
      </c>
      <c r="I397" s="47" t="str">
        <f aca="false">IFERROR(IF(ISNUMBER(F397),IF(ABS(F397-E397)&lt;=H397,"PASS","FAIL"),"FAIL"),"FAIL")</f>
        <v>PASS</v>
      </c>
    </row>
    <row r="398" customFormat="false" ht="15" hidden="false" customHeight="false" outlineLevel="0" collapsed="false">
      <c r="B398" s="48" t="n">
        <v>389</v>
      </c>
      <c r="C398" s="9" t="s">
        <v>1079</v>
      </c>
      <c r="D398" s="9" t="s">
        <v>1135</v>
      </c>
      <c r="E398" s="52" t="n">
        <v>9</v>
      </c>
      <c r="F398" s="53" t="n">
        <f aca="false">Sensitivities!$C$20</f>
        <v>9</v>
      </c>
      <c r="G398" s="50" t="n">
        <f aca="false">IFERROR(IF(ISNUMBER(F398),F398-E398,"n/a"),"n/a")</f>
        <v>0</v>
      </c>
      <c r="H398" s="51" t="n">
        <v>0.050000001</v>
      </c>
      <c r="I398" s="47" t="str">
        <f aca="false">IFERROR(IF(ISNUMBER(F398),IF(ABS(F398-E398)&lt;=H398,"PASS","FAIL"),"FAIL"),"FAIL")</f>
        <v>PASS</v>
      </c>
    </row>
    <row r="399" customFormat="false" ht="15" hidden="false" customHeight="false" outlineLevel="0" collapsed="false">
      <c r="B399" s="48" t="n">
        <v>390</v>
      </c>
      <c r="C399" s="9" t="s">
        <v>1079</v>
      </c>
      <c r="D399" s="9" t="s">
        <v>1136</v>
      </c>
      <c r="E399" s="52" t="n">
        <v>450</v>
      </c>
      <c r="F399" s="53" t="n">
        <f aca="false">Sensitivities!$F$20</f>
        <v>450</v>
      </c>
      <c r="G399" s="50" t="n">
        <f aca="false">IFERROR(IF(ISNUMBER(F399),F399-E399,"n/a"),"n/a")</f>
        <v>0</v>
      </c>
      <c r="H399" s="51" t="n">
        <v>0.050000001</v>
      </c>
      <c r="I399" s="47" t="str">
        <f aca="false">IFERROR(IF(ISNUMBER(F399),IF(ABS(F399-E399)&lt;=H399,"PASS","FAIL"),"FAIL"),"FAIL")</f>
        <v>PASS</v>
      </c>
    </row>
    <row r="400" customFormat="false" ht="15" hidden="false" customHeight="false" outlineLevel="0" collapsed="false">
      <c r="B400" s="48" t="n">
        <v>391</v>
      </c>
      <c r="C400" s="9" t="s">
        <v>1079</v>
      </c>
      <c r="D400" s="9" t="s">
        <v>1137</v>
      </c>
      <c r="E400" s="52" t="n">
        <v>200</v>
      </c>
      <c r="F400" s="53" t="n">
        <f aca="false">Sensitivities!$G$20</f>
        <v>200</v>
      </c>
      <c r="G400" s="50" t="n">
        <f aca="false">IFERROR(IF(ISNUMBER(F400),F400-E400,"n/a"),"n/a")</f>
        <v>0</v>
      </c>
      <c r="H400" s="51" t="n">
        <v>0.050000001</v>
      </c>
      <c r="I400" s="47" t="str">
        <f aca="false">IFERROR(IF(ISNUMBER(F400),IF(ABS(F400-E400)&lt;=H400,"PASS","FAIL"),"FAIL"),"FAIL")</f>
        <v>PASS</v>
      </c>
    </row>
    <row r="401" customFormat="false" ht="15" hidden="false" customHeight="false" outlineLevel="0" collapsed="false">
      <c r="B401" s="48" t="n">
        <v>392</v>
      </c>
      <c r="C401" s="9" t="s">
        <v>1079</v>
      </c>
      <c r="D401" s="9" t="s">
        <v>1138</v>
      </c>
      <c r="E401" s="10" t="n">
        <v>0.1705</v>
      </c>
      <c r="F401" s="56" t="n">
        <f aca="false">Sensitivities!$X$20</f>
        <v>0.170484343544686</v>
      </c>
      <c r="G401" s="50" t="n">
        <f aca="false">IFERROR(IF(ISNUMBER(F401),F401-E401,"n/a"),"n/a")</f>
        <v>-1.56564553139005E-005</v>
      </c>
      <c r="H401" s="51" t="n">
        <v>5.0001E-005</v>
      </c>
      <c r="I401" s="47" t="str">
        <f aca="false">IFERROR(IF(ISNUMBER(F401),IF(ABS(F401-E401)&lt;=H401,"PASS","FAIL"),"FAIL"),"FAIL")</f>
        <v>PASS</v>
      </c>
    </row>
    <row r="402" customFormat="false" ht="15" hidden="false" customHeight="false" outlineLevel="0" collapsed="false">
      <c r="B402" s="48" t="n">
        <v>393</v>
      </c>
      <c r="C402" s="9" t="s">
        <v>1079</v>
      </c>
      <c r="D402" s="9" t="s">
        <v>1139</v>
      </c>
      <c r="E402" s="54" t="n">
        <v>2.2</v>
      </c>
      <c r="F402" s="55" t="n">
        <f aca="false">Sensitivities!$W$20</f>
        <v>2.19698982032648</v>
      </c>
      <c r="G402" s="50" t="n">
        <f aca="false">IFERROR(IF(ISNUMBER(F402),F402-E402,"n/a"),"n/a")</f>
        <v>-0.00301017967352291</v>
      </c>
      <c r="H402" s="51" t="n">
        <v>0.005000001</v>
      </c>
      <c r="I402" s="47" t="str">
        <f aca="false">IFERROR(IF(ISNUMBER(F402),IF(ABS(F402-E402)&lt;=H402,"PASS","FAIL"),"FAIL"),"FAIL")</f>
        <v>PASS</v>
      </c>
    </row>
    <row r="403" customFormat="false" ht="15" hidden="false" customHeight="false" outlineLevel="0" collapsed="false">
      <c r="B403" s="48" t="n">
        <v>394</v>
      </c>
      <c r="C403" s="9" t="s">
        <v>1079</v>
      </c>
      <c r="D403" s="9" t="s">
        <v>1140</v>
      </c>
      <c r="E403" s="52" t="n">
        <v>9.5</v>
      </c>
      <c r="F403" s="53" t="n">
        <f aca="false">Sensitivities!$C$21</f>
        <v>9.5</v>
      </c>
      <c r="G403" s="50" t="n">
        <f aca="false">IFERROR(IF(ISNUMBER(F403),F403-E403,"n/a"),"n/a")</f>
        <v>0</v>
      </c>
      <c r="H403" s="51" t="n">
        <v>0.050000001</v>
      </c>
      <c r="I403" s="47" t="str">
        <f aca="false">IFERROR(IF(ISNUMBER(F403),IF(ABS(F403-E403)&lt;=H403,"PASS","FAIL"),"FAIL"),"FAIL")</f>
        <v>PASS</v>
      </c>
    </row>
    <row r="404" customFormat="false" ht="15" hidden="false" customHeight="false" outlineLevel="0" collapsed="false">
      <c r="B404" s="48" t="n">
        <v>395</v>
      </c>
      <c r="C404" s="9" t="s">
        <v>1079</v>
      </c>
      <c r="D404" s="9" t="s">
        <v>1141</v>
      </c>
      <c r="E404" s="52" t="n">
        <v>475</v>
      </c>
      <c r="F404" s="53" t="n">
        <f aca="false">Sensitivities!$F$21</f>
        <v>475</v>
      </c>
      <c r="G404" s="50" t="n">
        <f aca="false">IFERROR(IF(ISNUMBER(F404),F404-E404,"n/a"),"n/a")</f>
        <v>0</v>
      </c>
      <c r="H404" s="51" t="n">
        <v>0.050000001</v>
      </c>
      <c r="I404" s="47" t="str">
        <f aca="false">IFERROR(IF(ISNUMBER(F404),IF(ABS(F404-E404)&lt;=H404,"PASS","FAIL"),"FAIL"),"FAIL")</f>
        <v>PASS</v>
      </c>
    </row>
    <row r="405" customFormat="false" ht="15" hidden="false" customHeight="false" outlineLevel="0" collapsed="false">
      <c r="B405" s="48" t="n">
        <v>396</v>
      </c>
      <c r="C405" s="9" t="s">
        <v>1079</v>
      </c>
      <c r="D405" s="9" t="s">
        <v>1142</v>
      </c>
      <c r="E405" s="52" t="n">
        <v>225</v>
      </c>
      <c r="F405" s="53" t="n">
        <f aca="false">Sensitivities!$G$21</f>
        <v>225</v>
      </c>
      <c r="G405" s="50" t="n">
        <f aca="false">IFERROR(IF(ISNUMBER(F405),F405-E405,"n/a"),"n/a")</f>
        <v>0</v>
      </c>
      <c r="H405" s="51" t="n">
        <v>0.050000001</v>
      </c>
      <c r="I405" s="47" t="str">
        <f aca="false">IFERROR(IF(ISNUMBER(F405),IF(ABS(F405-E405)&lt;=H405,"PASS","FAIL"),"FAIL"),"FAIL")</f>
        <v>PASS</v>
      </c>
    </row>
    <row r="406" customFormat="false" ht="15" hidden="false" customHeight="false" outlineLevel="0" collapsed="false">
      <c r="B406" s="48" t="n">
        <v>397</v>
      </c>
      <c r="C406" s="9" t="s">
        <v>1079</v>
      </c>
      <c r="D406" s="9" t="s">
        <v>1143</v>
      </c>
      <c r="E406" s="10" t="n">
        <v>0.1489</v>
      </c>
      <c r="F406" s="56" t="n">
        <f aca="false">Sensitivities!$X$21</f>
        <v>0.148909916251947</v>
      </c>
      <c r="G406" s="50" t="n">
        <f aca="false">IFERROR(IF(ISNUMBER(F406),F406-E406,"n/a"),"n/a")</f>
        <v>9.91625194649015E-006</v>
      </c>
      <c r="H406" s="51" t="n">
        <v>5.0001E-005</v>
      </c>
      <c r="I406" s="47" t="str">
        <f aca="false">IFERROR(IF(ISNUMBER(F406),IF(ABS(F406-E406)&lt;=H406,"PASS","FAIL"),"FAIL"),"FAIL")</f>
        <v>PASS</v>
      </c>
    </row>
    <row r="407" customFormat="false" ht="15" hidden="false" customHeight="false" outlineLevel="0" collapsed="false">
      <c r="B407" s="48" t="n">
        <v>398</v>
      </c>
      <c r="C407" s="9" t="s">
        <v>1079</v>
      </c>
      <c r="D407" s="9" t="s">
        <v>1144</v>
      </c>
      <c r="E407" s="54" t="n">
        <v>2</v>
      </c>
      <c r="F407" s="55" t="n">
        <f aca="false">Sensitivities!$W$21</f>
        <v>2.00184242622822</v>
      </c>
      <c r="G407" s="50" t="n">
        <f aca="false">IFERROR(IF(ISNUMBER(F407),F407-E407,"n/a"),"n/a")</f>
        <v>0.00184242622821973</v>
      </c>
      <c r="H407" s="51" t="n">
        <v>0.005000001</v>
      </c>
      <c r="I407" s="47" t="str">
        <f aca="false">IFERROR(IF(ISNUMBER(F407),IF(ABS(F407-E407)&lt;=H407,"PASS","FAIL"),"FAIL"),"FAIL")</f>
        <v>PASS</v>
      </c>
    </row>
    <row r="408" customFormat="false" ht="15" hidden="false" customHeight="false" outlineLevel="0" collapsed="false">
      <c r="B408" s="48" t="n">
        <v>399</v>
      </c>
      <c r="C408" s="9" t="s">
        <v>1079</v>
      </c>
      <c r="D408" s="9" t="s">
        <v>1145</v>
      </c>
      <c r="E408" s="52" t="n">
        <v>10</v>
      </c>
      <c r="F408" s="53" t="n">
        <f aca="false">Sensitivities!$C$22</f>
        <v>10</v>
      </c>
      <c r="G408" s="50" t="n">
        <f aca="false">IFERROR(IF(ISNUMBER(F408),F408-E408,"n/a"),"n/a")</f>
        <v>0</v>
      </c>
      <c r="H408" s="51" t="n">
        <v>0.050000001</v>
      </c>
      <c r="I408" s="47" t="str">
        <f aca="false">IFERROR(IF(ISNUMBER(F408),IF(ABS(F408-E408)&lt;=H408,"PASS","FAIL"),"FAIL"),"FAIL")</f>
        <v>PASS</v>
      </c>
    </row>
    <row r="409" customFormat="false" ht="15" hidden="false" customHeight="false" outlineLevel="0" collapsed="false">
      <c r="B409" s="48" t="n">
        <v>400</v>
      </c>
      <c r="C409" s="9" t="s">
        <v>1079</v>
      </c>
      <c r="D409" s="9" t="s">
        <v>1146</v>
      </c>
      <c r="E409" s="52" t="n">
        <v>500</v>
      </c>
      <c r="F409" s="53" t="n">
        <f aca="false">Sensitivities!$F$22</f>
        <v>500</v>
      </c>
      <c r="G409" s="50" t="n">
        <f aca="false">IFERROR(IF(ISNUMBER(F409),F409-E409,"n/a"),"n/a")</f>
        <v>0</v>
      </c>
      <c r="H409" s="51" t="n">
        <v>0.050000001</v>
      </c>
      <c r="I409" s="47" t="str">
        <f aca="false">IFERROR(IF(ISNUMBER(F409),IF(ABS(F409-E409)&lt;=H409,"PASS","FAIL"),"FAIL"),"FAIL")</f>
        <v>PASS</v>
      </c>
    </row>
    <row r="410" customFormat="false" ht="15" hidden="false" customHeight="false" outlineLevel="0" collapsed="false">
      <c r="B410" s="48" t="n">
        <v>401</v>
      </c>
      <c r="C410" s="9" t="s">
        <v>1079</v>
      </c>
      <c r="D410" s="9" t="s">
        <v>1147</v>
      </c>
      <c r="E410" s="52" t="n">
        <v>250</v>
      </c>
      <c r="F410" s="53" t="n">
        <f aca="false">Sensitivities!$G$22</f>
        <v>250</v>
      </c>
      <c r="G410" s="50" t="n">
        <f aca="false">IFERROR(IF(ISNUMBER(F410),F410-E410,"n/a"),"n/a")</f>
        <v>0</v>
      </c>
      <c r="H410" s="51" t="n">
        <v>0.050000001</v>
      </c>
      <c r="I410" s="47" t="str">
        <f aca="false">IFERROR(IF(ISNUMBER(F410),IF(ABS(F410-E410)&lt;=H410,"PASS","FAIL"),"FAIL"),"FAIL")</f>
        <v>PASS</v>
      </c>
    </row>
    <row r="411" customFormat="false" ht="15" hidden="false" customHeight="false" outlineLevel="0" collapsed="false">
      <c r="B411" s="48" t="n">
        <v>402</v>
      </c>
      <c r="C411" s="9" t="s">
        <v>1079</v>
      </c>
      <c r="D411" s="9" t="s">
        <v>1148</v>
      </c>
      <c r="E411" s="10" t="n">
        <v>0.1255</v>
      </c>
      <c r="F411" s="56" t="n">
        <f aca="false">Sensitivities!$X$22</f>
        <v>0.125473114678262</v>
      </c>
      <c r="G411" s="50" t="n">
        <f aca="false">IFERROR(IF(ISNUMBER(F411),F411-E411,"n/a"),"n/a")</f>
        <v>-2.6885321737613E-005</v>
      </c>
      <c r="H411" s="51" t="n">
        <v>5.0001E-005</v>
      </c>
      <c r="I411" s="47" t="str">
        <f aca="false">IFERROR(IF(ISNUMBER(F411),IF(ABS(F411-E411)&lt;=H411,"PASS","FAIL"),"FAIL"),"FAIL")</f>
        <v>PASS</v>
      </c>
    </row>
    <row r="412" customFormat="false" ht="15" hidden="false" customHeight="false" outlineLevel="0" collapsed="false">
      <c r="B412" s="48" t="n">
        <v>403</v>
      </c>
      <c r="C412" s="9" t="s">
        <v>1079</v>
      </c>
      <c r="D412" s="9" t="s">
        <v>1149</v>
      </c>
      <c r="E412" s="54" t="n">
        <v>1.81</v>
      </c>
      <c r="F412" s="55" t="n">
        <f aca="false">Sensitivities!$W$22</f>
        <v>1.80582485027206</v>
      </c>
      <c r="G412" s="50" t="n">
        <f aca="false">IFERROR(IF(ISNUMBER(F412),F412-E412,"n/a"),"n/a")</f>
        <v>-0.00417514972793542</v>
      </c>
      <c r="H412" s="51" t="n">
        <v>0.005000001</v>
      </c>
      <c r="I412" s="47" t="str">
        <f aca="false">IFERROR(IF(ISNUMBER(F412),IF(ABS(F412-E412)&lt;=H412,"PASS","FAIL"),"FAIL"),"FAIL")</f>
        <v>PASS</v>
      </c>
    </row>
    <row r="413" customFormat="false" ht="15" hidden="false" customHeight="false" outlineLevel="0" collapsed="false">
      <c r="B413" s="48" t="n">
        <v>404</v>
      </c>
      <c r="C413" s="9" t="s">
        <v>1079</v>
      </c>
      <c r="D413" s="9" t="s">
        <v>1150</v>
      </c>
      <c r="E413" s="52" t="n">
        <v>25</v>
      </c>
      <c r="F413" s="53" t="n">
        <f aca="false">Sensitivities!$D$23</f>
        <v>25</v>
      </c>
      <c r="G413" s="50" t="n">
        <f aca="false">IFERROR(IF(ISNUMBER(F413),F413-E413,"n/a"),"n/a")</f>
        <v>0</v>
      </c>
      <c r="H413" s="51" t="n">
        <v>0.050000001</v>
      </c>
      <c r="I413" s="47" t="str">
        <f aca="false">IFERROR(IF(ISNUMBER(F413),IF(ABS(F413-E413)&lt;=H413,"PASS","FAIL"),"FAIL"),"FAIL")</f>
        <v>PASS</v>
      </c>
    </row>
    <row r="414" customFormat="false" ht="15" hidden="false" customHeight="false" outlineLevel="0" collapsed="false">
      <c r="B414" s="48" t="n">
        <v>405</v>
      </c>
      <c r="C414" s="9" t="s">
        <v>1079</v>
      </c>
      <c r="D414" s="9" t="s">
        <v>1151</v>
      </c>
      <c r="E414" s="52" t="n">
        <v>9</v>
      </c>
      <c r="F414" s="53" t="n">
        <f aca="false">Sensitivities!$C$20</f>
        <v>9</v>
      </c>
      <c r="G414" s="50" t="n">
        <f aca="false">IFERROR(IF(ISNUMBER(F414),F414-E414,"n/a"),"n/a")</f>
        <v>0</v>
      </c>
      <c r="H414" s="51" t="n">
        <v>0.050000001</v>
      </c>
      <c r="I414" s="47" t="str">
        <f aca="false">IFERROR(IF(ISNUMBER(F414),IF(ABS(F414-E414)&lt;=H414,"PASS","FAIL"),"FAIL"),"FAIL")</f>
        <v>PASS</v>
      </c>
    </row>
    <row r="415" customFormat="false" ht="15" hidden="false" customHeight="false" outlineLevel="0" collapsed="false">
      <c r="B415" s="48" t="n">
        <v>406</v>
      </c>
      <c r="C415" s="9" t="s">
        <v>1079</v>
      </c>
      <c r="D415" s="9" t="s">
        <v>1152</v>
      </c>
      <c r="E415" s="52" t="n">
        <v>9.5</v>
      </c>
      <c r="F415" s="53" t="n">
        <f aca="false">Sensitivities!$C$21</f>
        <v>9.5</v>
      </c>
      <c r="G415" s="50" t="n">
        <f aca="false">IFERROR(IF(ISNUMBER(F415),F415-E415,"n/a"),"n/a")</f>
        <v>0</v>
      </c>
      <c r="H415" s="51" t="n">
        <v>0.050000001</v>
      </c>
      <c r="I415" s="47" t="str">
        <f aca="false">IFERROR(IF(ISNUMBER(F415),IF(ABS(F415-E415)&lt;=H415,"PASS","FAIL"),"FAIL"),"FAIL")</f>
        <v>PASS</v>
      </c>
    </row>
    <row r="416" customFormat="false" ht="15" hidden="false" customHeight="false" outlineLevel="0" collapsed="false">
      <c r="B416" s="48" t="n">
        <v>407</v>
      </c>
      <c r="C416" s="9" t="s">
        <v>1079</v>
      </c>
      <c r="D416" s="9" t="s">
        <v>1153</v>
      </c>
      <c r="E416" s="10" t="n">
        <v>0.0216</v>
      </c>
      <c r="F416" s="56" t="n">
        <f aca="false">Sensitivities!$D$24</f>
        <v>0.0215744272927396</v>
      </c>
      <c r="G416" s="50" t="n">
        <f aca="false">IFERROR(IF(ISNUMBER(F416),F416-E416,"n/a"),"n/a")</f>
        <v>-2.55727072603837E-005</v>
      </c>
      <c r="H416" s="51" t="n">
        <v>5.0001E-005</v>
      </c>
      <c r="I416" s="47" t="str">
        <f aca="false">IFERROR(IF(ISNUMBER(F416),IF(ABS(F416-E416)&lt;=H416,"PASS","FAIL"),"FAIL"),"FAIL")</f>
        <v>PASS</v>
      </c>
    </row>
    <row r="417" customFormat="false" ht="15" hidden="false" customHeight="false" outlineLevel="0" collapsed="false">
      <c r="B417" s="48" t="n">
        <v>408</v>
      </c>
      <c r="C417" s="9" t="s">
        <v>1079</v>
      </c>
      <c r="D417" s="9" t="s">
        <v>1154</v>
      </c>
      <c r="E417" s="52" t="n">
        <v>8.5</v>
      </c>
      <c r="F417" s="53" t="n">
        <f aca="false">Sensitivities!$C$19</f>
        <v>8.5</v>
      </c>
      <c r="G417" s="50" t="n">
        <f aca="false">IFERROR(IF(ISNUMBER(F417),F417-E417,"n/a"),"n/a")</f>
        <v>0</v>
      </c>
      <c r="H417" s="51" t="n">
        <v>0.050000001</v>
      </c>
      <c r="I417" s="47" t="str">
        <f aca="false">IFERROR(IF(ISNUMBER(F417),IF(ABS(F417-E417)&lt;=H417,"PASS","FAIL"),"FAIL"),"FAIL")</f>
        <v>PASS</v>
      </c>
    </row>
    <row r="418" customFormat="false" ht="15" hidden="false" customHeight="false" outlineLevel="0" collapsed="false">
      <c r="B418" s="48" t="n">
        <v>409</v>
      </c>
      <c r="C418" s="9" t="s">
        <v>1079</v>
      </c>
      <c r="D418" s="9" t="s">
        <v>1155</v>
      </c>
      <c r="E418" s="10" t="n">
        <v>0.0306</v>
      </c>
      <c r="F418" s="56" t="n">
        <f aca="false">Sensitivities!$D$25</f>
        <v>0.0305840587616184</v>
      </c>
      <c r="G418" s="50" t="n">
        <f aca="false">IFERROR(IF(ISNUMBER(F418),F418-E418,"n/a"),"n/a")</f>
        <v>-1.59412383815942E-005</v>
      </c>
      <c r="H418" s="51" t="n">
        <v>5.0001E-005</v>
      </c>
      <c r="I418" s="47" t="str">
        <f aca="false">IFERROR(IF(ISNUMBER(F418),IF(ABS(F418-E418)&lt;=H418,"PASS","FAIL"),"FAIL"),"FAIL")</f>
        <v>PASS</v>
      </c>
    </row>
    <row r="419" customFormat="false" ht="15" hidden="false" customHeight="false" outlineLevel="0" collapsed="false">
      <c r="B419" s="48" t="n">
        <v>410</v>
      </c>
      <c r="C419" s="9" t="s">
        <v>1079</v>
      </c>
      <c r="D419" s="9" t="s">
        <v>1156</v>
      </c>
      <c r="E419" s="10" t="n">
        <v>0.1255</v>
      </c>
      <c r="F419" s="56" t="n">
        <f aca="false">Sensitivities!$X$22</f>
        <v>0.125473114678262</v>
      </c>
      <c r="G419" s="50" t="n">
        <f aca="false">IFERROR(IF(ISNUMBER(F419),F419-E419,"n/a"),"n/a")</f>
        <v>-2.6885321737613E-005</v>
      </c>
      <c r="H419" s="51" t="n">
        <v>5.0001E-005</v>
      </c>
      <c r="I419" s="47" t="str">
        <f aca="false">IFERROR(IF(ISNUMBER(F419),IF(ABS(F419-E419)&lt;=H419,"PASS","FAIL"),"FAIL"),"FAIL")</f>
        <v>PASS</v>
      </c>
    </row>
    <row r="420" customFormat="false" ht="15" hidden="false" customHeight="false" outlineLevel="0" collapsed="false">
      <c r="B420" s="48" t="n">
        <v>411</v>
      </c>
      <c r="C420" s="9" t="s">
        <v>1079</v>
      </c>
      <c r="D420" s="9" t="s">
        <v>1157</v>
      </c>
      <c r="E420" s="10" t="n">
        <v>0.0216</v>
      </c>
      <c r="F420" s="56" t="n">
        <f aca="false">Sensitivities!$D$24</f>
        <v>0.0215744272927396</v>
      </c>
      <c r="G420" s="50" t="n">
        <f aca="false">IFERROR(IF(ISNUMBER(F420),F420-E420,"n/a"),"n/a")</f>
        <v>-2.55727072603837E-005</v>
      </c>
      <c r="H420" s="51" t="n">
        <v>5.0001E-005</v>
      </c>
      <c r="I420" s="47" t="str">
        <f aca="false">IFERROR(IF(ISNUMBER(F420),IF(ABS(F420-E420)&lt;=H420,"PASS","FAIL"),"FAIL"),"FAIL")</f>
        <v>PASS</v>
      </c>
    </row>
    <row r="421" customFormat="false" ht="15" hidden="false" customHeight="false" outlineLevel="0" collapsed="false">
      <c r="B421" s="48" t="n">
        <v>412</v>
      </c>
      <c r="C421" s="9" t="s">
        <v>1079</v>
      </c>
      <c r="D421" s="9" t="s">
        <v>1158</v>
      </c>
      <c r="E421" s="10" t="n">
        <v>0.0216</v>
      </c>
      <c r="F421" s="56" t="n">
        <f aca="false">Sensitivities!$D$24</f>
        <v>0.0215744272927396</v>
      </c>
      <c r="G421" s="50" t="n">
        <f aca="false">IFERROR(IF(ISNUMBER(F421),F421-E421,"n/a"),"n/a")</f>
        <v>-2.55727072603837E-005</v>
      </c>
      <c r="H421" s="51" t="n">
        <v>5.0001E-005</v>
      </c>
      <c r="I421" s="47" t="str">
        <f aca="false">IFERROR(IF(ISNUMBER(F421),IF(ABS(F421-E421)&lt;=H421,"PASS","FAIL"),"FAIL"),"FAIL")</f>
        <v>PASS</v>
      </c>
    </row>
    <row r="422" customFormat="false" ht="15" hidden="false" customHeight="false" outlineLevel="0" collapsed="false">
      <c r="B422" s="48" t="n">
        <v>413</v>
      </c>
      <c r="C422" s="9" t="s">
        <v>1079</v>
      </c>
      <c r="D422" s="9" t="s">
        <v>1159</v>
      </c>
      <c r="E422" s="52" t="n">
        <v>8</v>
      </c>
      <c r="F422" s="53" t="n">
        <f aca="false">Sensitivities!$C$30</f>
        <v>8</v>
      </c>
      <c r="G422" s="50" t="n">
        <f aca="false">IFERROR(IF(ISNUMBER(F422),F422-E422,"n/a"),"n/a")</f>
        <v>0</v>
      </c>
      <c r="H422" s="51" t="n">
        <v>0.050000001</v>
      </c>
      <c r="I422" s="47" t="str">
        <f aca="false">IFERROR(IF(ISNUMBER(F422),IF(ABS(F422-E422)&lt;=H422,"PASS","FAIL"),"FAIL"),"FAIL")</f>
        <v>PASS</v>
      </c>
    </row>
    <row r="423" customFormat="false" ht="15" hidden="false" customHeight="false" outlineLevel="0" collapsed="false">
      <c r="B423" s="48" t="n">
        <v>414</v>
      </c>
      <c r="C423" s="9" t="s">
        <v>1079</v>
      </c>
      <c r="D423" s="9" t="s">
        <v>1160</v>
      </c>
      <c r="E423" s="52" t="n">
        <v>245.7</v>
      </c>
      <c r="F423" s="53" t="n">
        <f aca="false">Sensitivities!$D$30</f>
        <v>245.713525026624</v>
      </c>
      <c r="G423" s="50" t="n">
        <f aca="false">IFERROR(IF(ISNUMBER(F423),F423-E423,"n/a"),"n/a")</f>
        <v>0.0135250266240803</v>
      </c>
      <c r="H423" s="51" t="n">
        <v>0.050000001</v>
      </c>
      <c r="I423" s="47" t="str">
        <f aca="false">IFERROR(IF(ISNUMBER(F423),IF(ABS(F423-E423)&lt;=H423,"PASS","FAIL"),"FAIL"),"FAIL")</f>
        <v>PASS</v>
      </c>
    </row>
    <row r="424" customFormat="false" ht="15" hidden="false" customHeight="false" outlineLevel="0" collapsed="false">
      <c r="B424" s="48" t="n">
        <v>415</v>
      </c>
      <c r="C424" s="9" t="s">
        <v>1079</v>
      </c>
      <c r="D424" s="9" t="s">
        <v>1161</v>
      </c>
      <c r="E424" s="52" t="n">
        <v>178.7</v>
      </c>
      <c r="F424" s="53" t="n">
        <f aca="false">Sensitivities!$E$30</f>
        <v>178.700745473908</v>
      </c>
      <c r="G424" s="50" t="n">
        <f aca="false">IFERROR(IF(ISNUMBER(F424),F424-E424,"n/a"),"n/a")</f>
        <v>0.000745473908438044</v>
      </c>
      <c r="H424" s="51" t="n">
        <v>0.050000001</v>
      </c>
      <c r="I424" s="47" t="str">
        <f aca="false">IFERROR(IF(ISNUMBER(F424),IF(ABS(F424-E424)&lt;=H424,"PASS","FAIL"),"FAIL"),"FAIL")</f>
        <v>PASS</v>
      </c>
    </row>
    <row r="425" customFormat="false" ht="15" hidden="false" customHeight="false" outlineLevel="0" collapsed="false">
      <c r="B425" s="48" t="n">
        <v>416</v>
      </c>
      <c r="C425" s="9" t="s">
        <v>1079</v>
      </c>
      <c r="D425" s="9" t="s">
        <v>1162</v>
      </c>
      <c r="E425" s="10" t="n">
        <v>0.2166</v>
      </c>
      <c r="F425" s="56" t="n">
        <f aca="false">Sensitivities!$F$30</f>
        <v>0.216621171076233</v>
      </c>
      <c r="G425" s="50" t="n">
        <f aca="false">IFERROR(IF(ISNUMBER(F425),F425-E425,"n/a"),"n/a")</f>
        <v>2.11710762328676E-005</v>
      </c>
      <c r="H425" s="51" t="n">
        <v>5.0001E-005</v>
      </c>
      <c r="I425" s="47" t="str">
        <f aca="false">IFERROR(IF(ISNUMBER(F425),IF(ABS(F425-E425)&lt;=H425,"PASS","FAIL"),"FAIL"),"FAIL")</f>
        <v>PASS</v>
      </c>
    </row>
    <row r="426" customFormat="false" ht="15" hidden="false" customHeight="false" outlineLevel="0" collapsed="false">
      <c r="B426" s="48" t="n">
        <v>417</v>
      </c>
      <c r="C426" s="9" t="s">
        <v>1079</v>
      </c>
      <c r="D426" s="9" t="s">
        <v>1163</v>
      </c>
      <c r="E426" s="54" t="n">
        <v>2.67</v>
      </c>
      <c r="F426" s="55" t="n">
        <f aca="false">Sensitivities!$G$30</f>
        <v>2.66548871343091</v>
      </c>
      <c r="G426" s="50" t="n">
        <f aca="false">IFERROR(IF(ISNUMBER(F426),F426-E426,"n/a"),"n/a")</f>
        <v>-0.00451128656909505</v>
      </c>
      <c r="H426" s="51" t="n">
        <v>0.005000001</v>
      </c>
      <c r="I426" s="47" t="str">
        <f aca="false">IFERROR(IF(ISNUMBER(F426),IF(ABS(F426-E426)&lt;=H426,"PASS","FAIL"),"FAIL"),"FAIL")</f>
        <v>PASS</v>
      </c>
    </row>
    <row r="427" customFormat="false" ht="15" hidden="false" customHeight="false" outlineLevel="0" collapsed="false">
      <c r="B427" s="48" t="n">
        <v>418</v>
      </c>
      <c r="C427" s="9" t="s">
        <v>1079</v>
      </c>
      <c r="D427" s="9" t="s">
        <v>1164</v>
      </c>
      <c r="E427" s="52" t="n">
        <v>8.5</v>
      </c>
      <c r="F427" s="53" t="n">
        <f aca="false">Sensitivities!$C$31</f>
        <v>8.5</v>
      </c>
      <c r="G427" s="50" t="n">
        <f aca="false">IFERROR(IF(ISNUMBER(F427),F427-E427,"n/a"),"n/a")</f>
        <v>0</v>
      </c>
      <c r="H427" s="51" t="n">
        <v>0.050000001</v>
      </c>
      <c r="I427" s="47" t="str">
        <f aca="false">IFERROR(IF(ISNUMBER(F427),IF(ABS(F427-E427)&lt;=H427,"PASS","FAIL"),"FAIL"),"FAIL")</f>
        <v>PASS</v>
      </c>
    </row>
    <row r="428" customFormat="false" ht="15" hidden="false" customHeight="false" outlineLevel="0" collapsed="false">
      <c r="B428" s="48" t="n">
        <v>419</v>
      </c>
      <c r="C428" s="9" t="s">
        <v>1079</v>
      </c>
      <c r="D428" s="9" t="s">
        <v>1165</v>
      </c>
      <c r="E428" s="52" t="n">
        <v>260.4</v>
      </c>
      <c r="F428" s="53" t="n">
        <f aca="false">Sensitivities!$D$31</f>
        <v>260.356762513312</v>
      </c>
      <c r="G428" s="50" t="n">
        <f aca="false">IFERROR(IF(ISNUMBER(F428),F428-E428,"n/a"),"n/a")</f>
        <v>-0.0432374866879286</v>
      </c>
      <c r="H428" s="51" t="n">
        <v>0.050000001</v>
      </c>
      <c r="I428" s="47" t="str">
        <f aca="false">IFERROR(IF(ISNUMBER(F428),IF(ABS(F428-E428)&lt;=H428,"PASS","FAIL"),"FAIL"),"FAIL")</f>
        <v>PASS</v>
      </c>
    </row>
    <row r="429" customFormat="false" ht="15" hidden="false" customHeight="false" outlineLevel="0" collapsed="false">
      <c r="B429" s="48" t="n">
        <v>420</v>
      </c>
      <c r="C429" s="9" t="s">
        <v>1079</v>
      </c>
      <c r="D429" s="9" t="s">
        <v>1166</v>
      </c>
      <c r="E429" s="52" t="n">
        <v>189.4</v>
      </c>
      <c r="F429" s="53" t="n">
        <f aca="false">Sensitivities!$E$31</f>
        <v>189.350372736954</v>
      </c>
      <c r="G429" s="50" t="n">
        <f aca="false">IFERROR(IF(ISNUMBER(F429),F429-E429,"n/a"),"n/a")</f>
        <v>-0.049627263045835</v>
      </c>
      <c r="H429" s="51" t="n">
        <v>0.050000001</v>
      </c>
      <c r="I429" s="47" t="str">
        <f aca="false">IFERROR(IF(ISNUMBER(F429),IF(ABS(F429-E429)&lt;=H429,"PASS","FAIL"),"FAIL"),"FAIL")</f>
        <v>PASS</v>
      </c>
    </row>
    <row r="430" customFormat="false" ht="15" hidden="false" customHeight="false" outlineLevel="0" collapsed="false">
      <c r="B430" s="48" t="n">
        <v>421</v>
      </c>
      <c r="C430" s="9" t="s">
        <v>1079</v>
      </c>
      <c r="D430" s="9" t="s">
        <v>1167</v>
      </c>
      <c r="E430" s="10" t="n">
        <v>0.1932</v>
      </c>
      <c r="F430" s="56" t="n">
        <f aca="false">Sensitivities!$F$31</f>
        <v>0.193166066206727</v>
      </c>
      <c r="G430" s="50" t="n">
        <f aca="false">IFERROR(IF(ISNUMBER(F430),F430-E430,"n/a"),"n/a")</f>
        <v>-3.39337932725448E-005</v>
      </c>
      <c r="H430" s="51" t="n">
        <v>5.0001E-005</v>
      </c>
      <c r="I430" s="47" t="str">
        <f aca="false">IFERROR(IF(ISNUMBER(F430),IF(ABS(F430-E430)&lt;=H430,"PASS","FAIL"),"FAIL"),"FAIL")</f>
        <v>PASS</v>
      </c>
    </row>
    <row r="431" customFormat="false" ht="15" hidden="false" customHeight="false" outlineLevel="0" collapsed="false">
      <c r="B431" s="48" t="n">
        <v>422</v>
      </c>
      <c r="C431" s="9" t="s">
        <v>1079</v>
      </c>
      <c r="D431" s="9" t="s">
        <v>1168</v>
      </c>
      <c r="E431" s="54" t="n">
        <v>2.42</v>
      </c>
      <c r="F431" s="55" t="n">
        <f aca="false">Sensitivities!$G$31</f>
        <v>2.41826821336943</v>
      </c>
      <c r="G431" s="50" t="n">
        <f aca="false">IFERROR(IF(ISNUMBER(F431),F431-E431,"n/a"),"n/a")</f>
        <v>-0.00173178663056772</v>
      </c>
      <c r="H431" s="51" t="n">
        <v>0.005000001</v>
      </c>
      <c r="I431" s="47" t="str">
        <f aca="false">IFERROR(IF(ISNUMBER(F431),IF(ABS(F431-E431)&lt;=H431,"PASS","FAIL"),"FAIL"),"FAIL")</f>
        <v>PASS</v>
      </c>
    </row>
    <row r="432" customFormat="false" ht="15" hidden="false" customHeight="false" outlineLevel="0" collapsed="false">
      <c r="B432" s="48" t="n">
        <v>423</v>
      </c>
      <c r="C432" s="9" t="s">
        <v>1079</v>
      </c>
      <c r="D432" s="9" t="s">
        <v>1169</v>
      </c>
      <c r="E432" s="52" t="n">
        <v>9</v>
      </c>
      <c r="F432" s="53" t="n">
        <f aca="false">Sensitivities!$C$32</f>
        <v>9</v>
      </c>
      <c r="G432" s="50" t="n">
        <f aca="false">IFERROR(IF(ISNUMBER(F432),F432-E432,"n/a"),"n/a")</f>
        <v>0</v>
      </c>
      <c r="H432" s="51" t="n">
        <v>0.050000001</v>
      </c>
      <c r="I432" s="47" t="str">
        <f aca="false">IFERROR(IF(ISNUMBER(F432),IF(ABS(F432-E432)&lt;=H432,"PASS","FAIL"),"FAIL"),"FAIL")</f>
        <v>PASS</v>
      </c>
    </row>
    <row r="433" customFormat="false" ht="15" hidden="false" customHeight="false" outlineLevel="0" collapsed="false">
      <c r="B433" s="48" t="n">
        <v>424</v>
      </c>
      <c r="C433" s="9" t="s">
        <v>1079</v>
      </c>
      <c r="D433" s="9" t="s">
        <v>1170</v>
      </c>
      <c r="E433" s="52" t="n">
        <v>275</v>
      </c>
      <c r="F433" s="53" t="n">
        <f aca="false">Sensitivities!$D$32</f>
        <v>275</v>
      </c>
      <c r="G433" s="50" t="n">
        <f aca="false">IFERROR(IF(ISNUMBER(F433),F433-E433,"n/a"),"n/a")</f>
        <v>0</v>
      </c>
      <c r="H433" s="51" t="n">
        <v>0.050000001</v>
      </c>
      <c r="I433" s="47" t="str">
        <f aca="false">IFERROR(IF(ISNUMBER(F433),IF(ABS(F433-E433)&lt;=H433,"PASS","FAIL"),"FAIL"),"FAIL")</f>
        <v>PASS</v>
      </c>
    </row>
    <row r="434" customFormat="false" ht="15" hidden="false" customHeight="false" outlineLevel="0" collapsed="false">
      <c r="B434" s="48" t="n">
        <v>425</v>
      </c>
      <c r="C434" s="9" t="s">
        <v>1079</v>
      </c>
      <c r="D434" s="9" t="s">
        <v>1171</v>
      </c>
      <c r="E434" s="52" t="n">
        <v>200</v>
      </c>
      <c r="F434" s="53" t="n">
        <f aca="false">Sensitivities!$E$32</f>
        <v>200</v>
      </c>
      <c r="G434" s="50" t="n">
        <f aca="false">IFERROR(IF(ISNUMBER(F434),F434-E434,"n/a"),"n/a")</f>
        <v>0</v>
      </c>
      <c r="H434" s="51" t="n">
        <v>0.050000001</v>
      </c>
      <c r="I434" s="47" t="str">
        <f aca="false">IFERROR(IF(ISNUMBER(F434),IF(ABS(F434-E434)&lt;=H434,"PASS","FAIL"),"FAIL"),"FAIL")</f>
        <v>PASS</v>
      </c>
    </row>
    <row r="435" customFormat="false" ht="15" hidden="false" customHeight="false" outlineLevel="0" collapsed="false">
      <c r="B435" s="48" t="n">
        <v>426</v>
      </c>
      <c r="C435" s="9" t="s">
        <v>1079</v>
      </c>
      <c r="D435" s="9" t="s">
        <v>1172</v>
      </c>
      <c r="E435" s="10" t="n">
        <v>0.1705</v>
      </c>
      <c r="F435" s="56" t="n">
        <f aca="false">Sensitivities!$F$32</f>
        <v>0.170484343544686</v>
      </c>
      <c r="G435" s="50" t="n">
        <f aca="false">IFERROR(IF(ISNUMBER(F435),F435-E435,"n/a"),"n/a")</f>
        <v>-1.56564553139005E-005</v>
      </c>
      <c r="H435" s="51" t="n">
        <v>5.0001E-005</v>
      </c>
      <c r="I435" s="47" t="str">
        <f aca="false">IFERROR(IF(ISNUMBER(F435),IF(ABS(F435-E435)&lt;=H435,"PASS","FAIL"),"FAIL"),"FAIL")</f>
        <v>PASS</v>
      </c>
    </row>
    <row r="436" customFormat="false" ht="15" hidden="false" customHeight="false" outlineLevel="0" collapsed="false">
      <c r="B436" s="48" t="n">
        <v>427</v>
      </c>
      <c r="C436" s="9" t="s">
        <v>1079</v>
      </c>
      <c r="D436" s="9" t="s">
        <v>1173</v>
      </c>
      <c r="E436" s="54" t="n">
        <v>2.2</v>
      </c>
      <c r="F436" s="55" t="n">
        <f aca="false">Sensitivities!$G$32</f>
        <v>2.19698982032648</v>
      </c>
      <c r="G436" s="50" t="n">
        <f aca="false">IFERROR(IF(ISNUMBER(F436),F436-E436,"n/a"),"n/a")</f>
        <v>-0.00301017967352291</v>
      </c>
      <c r="H436" s="51" t="n">
        <v>0.005000001</v>
      </c>
      <c r="I436" s="47" t="str">
        <f aca="false">IFERROR(IF(ISNUMBER(F436),IF(ABS(F436-E436)&lt;=H436,"PASS","FAIL"),"FAIL"),"FAIL")</f>
        <v>PASS</v>
      </c>
    </row>
    <row r="437" customFormat="false" ht="15" hidden="false" customHeight="false" outlineLevel="0" collapsed="false">
      <c r="B437" s="48" t="n">
        <v>428</v>
      </c>
      <c r="C437" s="9" t="s">
        <v>1079</v>
      </c>
      <c r="D437" s="9" t="s">
        <v>1174</v>
      </c>
      <c r="E437" s="52" t="n">
        <v>9.5</v>
      </c>
      <c r="F437" s="53" t="n">
        <f aca="false">Sensitivities!$C$33</f>
        <v>9.5</v>
      </c>
      <c r="G437" s="50" t="n">
        <f aca="false">IFERROR(IF(ISNUMBER(F437),F437-E437,"n/a"),"n/a")</f>
        <v>0</v>
      </c>
      <c r="H437" s="51" t="n">
        <v>0.050000001</v>
      </c>
      <c r="I437" s="47" t="str">
        <f aca="false">IFERROR(IF(ISNUMBER(F437),IF(ABS(F437-E437)&lt;=H437,"PASS","FAIL"),"FAIL"),"FAIL")</f>
        <v>PASS</v>
      </c>
    </row>
    <row r="438" customFormat="false" ht="15" hidden="false" customHeight="false" outlineLevel="0" collapsed="false">
      <c r="B438" s="48" t="n">
        <v>429</v>
      </c>
      <c r="C438" s="9" t="s">
        <v>1079</v>
      </c>
      <c r="D438" s="9" t="s">
        <v>1175</v>
      </c>
      <c r="E438" s="52" t="n">
        <v>289.6</v>
      </c>
      <c r="F438" s="53" t="n">
        <f aca="false">Sensitivities!$D$33</f>
        <v>289.643237486688</v>
      </c>
      <c r="G438" s="50" t="n">
        <f aca="false">IFERROR(IF(ISNUMBER(F438),F438-E438,"n/a"),"n/a")</f>
        <v>0.0432374866879286</v>
      </c>
      <c r="H438" s="51" t="n">
        <v>0.050000001</v>
      </c>
      <c r="I438" s="47" t="str">
        <f aca="false">IFERROR(IF(ISNUMBER(F438),IF(ABS(F438-E438)&lt;=H438,"PASS","FAIL"),"FAIL"),"FAIL")</f>
        <v>PASS</v>
      </c>
    </row>
    <row r="439" customFormat="false" ht="15" hidden="false" customHeight="false" outlineLevel="0" collapsed="false">
      <c r="B439" s="48" t="n">
        <v>430</v>
      </c>
      <c r="C439" s="9" t="s">
        <v>1079</v>
      </c>
      <c r="D439" s="9" t="s">
        <v>1176</v>
      </c>
      <c r="E439" s="52" t="n">
        <v>210.6</v>
      </c>
      <c r="F439" s="53" t="n">
        <f aca="false">Sensitivities!$E$33</f>
        <v>210.649627263046</v>
      </c>
      <c r="G439" s="50" t="n">
        <f aca="false">IFERROR(IF(ISNUMBER(F439),F439-E439,"n/a"),"n/a")</f>
        <v>0.049627263045835</v>
      </c>
      <c r="H439" s="51" t="n">
        <v>0.050000001</v>
      </c>
      <c r="I439" s="47" t="str">
        <f aca="false">IFERROR(IF(ISNUMBER(F439),IF(ABS(F439-E439)&lt;=H439,"PASS","FAIL"),"FAIL"),"FAIL")</f>
        <v>PASS</v>
      </c>
    </row>
    <row r="440" customFormat="false" ht="15" hidden="false" customHeight="false" outlineLevel="0" collapsed="false">
      <c r="B440" s="48" t="n">
        <v>431</v>
      </c>
      <c r="C440" s="9" t="s">
        <v>1079</v>
      </c>
      <c r="D440" s="9" t="s">
        <v>1177</v>
      </c>
      <c r="E440" s="10" t="n">
        <v>0.1529</v>
      </c>
      <c r="F440" s="56" t="n">
        <f aca="false">Sensitivities!$F$33</f>
        <v>0.152883292716046</v>
      </c>
      <c r="G440" s="50" t="n">
        <f aca="false">IFERROR(IF(ISNUMBER(F440),F440-E440,"n/a"),"n/a")</f>
        <v>-1.67072839535876E-005</v>
      </c>
      <c r="H440" s="51" t="n">
        <v>5.0001E-005</v>
      </c>
      <c r="I440" s="47" t="str">
        <f aca="false">IFERROR(IF(ISNUMBER(F440),IF(ABS(F440-E440)&lt;=H440,"PASS","FAIL"),"FAIL"),"FAIL")</f>
        <v>PASS</v>
      </c>
    </row>
    <row r="441" customFormat="false" ht="15" hidden="false" customHeight="false" outlineLevel="0" collapsed="false">
      <c r="B441" s="48" t="n">
        <v>432</v>
      </c>
      <c r="C441" s="9" t="s">
        <v>1079</v>
      </c>
      <c r="D441" s="9" t="s">
        <v>1178</v>
      </c>
      <c r="E441" s="54" t="n">
        <v>2.04</v>
      </c>
      <c r="F441" s="55" t="n">
        <f aca="false">Sensitivities!$G$33</f>
        <v>2.03669842587499</v>
      </c>
      <c r="G441" s="50" t="n">
        <f aca="false">IFERROR(IF(ISNUMBER(F441),F441-E441,"n/a"),"n/a")</f>
        <v>-0.00330157412501331</v>
      </c>
      <c r="H441" s="51" t="n">
        <v>0.005000001</v>
      </c>
      <c r="I441" s="47" t="str">
        <f aca="false">IFERROR(IF(ISNUMBER(F441),IF(ABS(F441-E441)&lt;=H441,"PASS","FAIL"),"FAIL"),"FAIL")</f>
        <v>PASS</v>
      </c>
    </row>
    <row r="442" customFormat="false" ht="15" hidden="false" customHeight="false" outlineLevel="0" collapsed="false">
      <c r="B442" s="48" t="n">
        <v>433</v>
      </c>
      <c r="C442" s="9" t="s">
        <v>1079</v>
      </c>
      <c r="D442" s="9" t="s">
        <v>1179</v>
      </c>
      <c r="E442" s="52" t="n">
        <v>10</v>
      </c>
      <c r="F442" s="53" t="n">
        <f aca="false">Sensitivities!$C$34</f>
        <v>10</v>
      </c>
      <c r="G442" s="50" t="n">
        <f aca="false">IFERROR(IF(ISNUMBER(F442),F442-E442,"n/a"),"n/a")</f>
        <v>0</v>
      </c>
      <c r="H442" s="51" t="n">
        <v>0.050000001</v>
      </c>
      <c r="I442" s="47" t="str">
        <f aca="false">IFERROR(IF(ISNUMBER(F442),IF(ABS(F442-E442)&lt;=H442,"PASS","FAIL"),"FAIL"),"FAIL")</f>
        <v>PASS</v>
      </c>
    </row>
    <row r="443" customFormat="false" ht="15" hidden="false" customHeight="false" outlineLevel="0" collapsed="false">
      <c r="B443" s="48" t="n">
        <v>434</v>
      </c>
      <c r="C443" s="9" t="s">
        <v>1079</v>
      </c>
      <c r="D443" s="9" t="s">
        <v>1180</v>
      </c>
      <c r="E443" s="52" t="n">
        <v>304.3</v>
      </c>
      <c r="F443" s="53" t="n">
        <f aca="false">Sensitivities!$D$34</f>
        <v>304.286474973376</v>
      </c>
      <c r="G443" s="50" t="n">
        <f aca="false">IFERROR(IF(ISNUMBER(F443),F443-E443,"n/a"),"n/a")</f>
        <v>-0.0135250266240519</v>
      </c>
      <c r="H443" s="51" t="n">
        <v>0.050000001</v>
      </c>
      <c r="I443" s="47" t="str">
        <f aca="false">IFERROR(IF(ISNUMBER(F443),IF(ABS(F443-E443)&lt;=H443,"PASS","FAIL"),"FAIL"),"FAIL")</f>
        <v>PASS</v>
      </c>
    </row>
    <row r="444" customFormat="false" ht="15" hidden="false" customHeight="false" outlineLevel="0" collapsed="false">
      <c r="B444" s="48" t="n">
        <v>435</v>
      </c>
      <c r="C444" s="9" t="s">
        <v>1079</v>
      </c>
      <c r="D444" s="9" t="s">
        <v>1181</v>
      </c>
      <c r="E444" s="52" t="n">
        <v>221.3</v>
      </c>
      <c r="F444" s="53" t="n">
        <f aca="false">Sensitivities!$E$34</f>
        <v>221.299254526092</v>
      </c>
      <c r="G444" s="50" t="n">
        <f aca="false">IFERROR(IF(ISNUMBER(F444),F444-E444,"n/a"),"n/a")</f>
        <v>-0.000745473908409622</v>
      </c>
      <c r="H444" s="51" t="n">
        <v>0.050000001</v>
      </c>
      <c r="I444" s="47" t="str">
        <f aca="false">IFERROR(IF(ISNUMBER(F444),IF(ABS(F444-E444)&lt;=H444,"PASS","FAIL"),"FAIL"),"FAIL")</f>
        <v>PASS</v>
      </c>
    </row>
    <row r="445" customFormat="false" ht="15" hidden="false" customHeight="false" outlineLevel="0" collapsed="false">
      <c r="B445" s="48" t="n">
        <v>436</v>
      </c>
      <c r="C445" s="9" t="s">
        <v>1079</v>
      </c>
      <c r="D445" s="9" t="s">
        <v>1182</v>
      </c>
      <c r="E445" s="10" t="n">
        <v>0.1305</v>
      </c>
      <c r="F445" s="56" t="n">
        <f aca="false">Sensitivities!$F$34</f>
        <v>0.130530022321263</v>
      </c>
      <c r="G445" s="50" t="n">
        <f aca="false">IFERROR(IF(ISNUMBER(F445),F445-E445,"n/a"),"n/a")</f>
        <v>3.00223212634787E-005</v>
      </c>
      <c r="H445" s="51" t="n">
        <v>5.0001E-005</v>
      </c>
      <c r="I445" s="47" t="str">
        <f aca="false">IFERROR(IF(ISNUMBER(F445),IF(ABS(F445-E445)&lt;=H445,"PASS","FAIL"),"FAIL"),"FAIL")</f>
        <v>PASS</v>
      </c>
    </row>
    <row r="446" customFormat="false" ht="15" hidden="false" customHeight="false" outlineLevel="0" collapsed="false">
      <c r="B446" s="48" t="n">
        <v>437</v>
      </c>
      <c r="C446" s="9" t="s">
        <v>1079</v>
      </c>
      <c r="D446" s="9" t="s">
        <v>1183</v>
      </c>
      <c r="E446" s="54" t="n">
        <v>1.85</v>
      </c>
      <c r="F446" s="55" t="n">
        <f aca="false">Sensitivities!$G$34</f>
        <v>1.84676017167843</v>
      </c>
      <c r="G446" s="50" t="n">
        <f aca="false">IFERROR(IF(ISNUMBER(F446),F446-E446,"n/a"),"n/a")</f>
        <v>-0.00323982832157044</v>
      </c>
      <c r="H446" s="51" t="n">
        <v>0.005000001</v>
      </c>
      <c r="I446" s="47" t="str">
        <f aca="false">IFERROR(IF(ISNUMBER(F446),IF(ABS(F446-E446)&lt;=H446,"PASS","FAIL"),"FAIL"),"FAIL")</f>
        <v>PASS</v>
      </c>
    </row>
    <row r="447" customFormat="false" ht="15" hidden="false" customHeight="false" outlineLevel="0" collapsed="false">
      <c r="B447" s="48" t="n">
        <v>438</v>
      </c>
      <c r="C447" s="9" t="s">
        <v>1079</v>
      </c>
      <c r="D447" s="9" t="s">
        <v>1184</v>
      </c>
      <c r="E447" s="21" t="n">
        <v>0.579</v>
      </c>
      <c r="F447" s="20" t="n">
        <f aca="false">Sensitivities!$D$28</f>
        <v>0.578947368421053</v>
      </c>
      <c r="G447" s="50" t="n">
        <f aca="false">IFERROR(IF(ISNUMBER(F447),F447-E447,"n/a"),"n/a")</f>
        <v>-5.26315789473042E-005</v>
      </c>
      <c r="H447" s="51" t="n">
        <v>0.000500001</v>
      </c>
      <c r="I447" s="47" t="str">
        <f aca="false">IFERROR(IF(ISNUMBER(F447),IF(ABS(F447-E447)&lt;=H447,"PASS","FAIL"),"FAIL"),"FAIL")</f>
        <v>PASS</v>
      </c>
    </row>
    <row r="448" customFormat="false" ht="15" hidden="false" customHeight="false" outlineLevel="0" collapsed="false">
      <c r="B448" s="48" t="n">
        <v>439</v>
      </c>
      <c r="C448" s="9" t="s">
        <v>1079</v>
      </c>
      <c r="D448" s="9" t="s">
        <v>1185</v>
      </c>
      <c r="E448" s="52" t="n">
        <v>10</v>
      </c>
      <c r="F448" s="53" t="n">
        <f aca="false">Sensitivities!$C$34</f>
        <v>10</v>
      </c>
      <c r="G448" s="50" t="n">
        <f aca="false">IFERROR(IF(ISNUMBER(F448),F448-E448,"n/a"),"n/a")</f>
        <v>0</v>
      </c>
      <c r="H448" s="51" t="n">
        <v>0.050000001</v>
      </c>
      <c r="I448" s="47" t="str">
        <f aca="false">IFERROR(IF(ISNUMBER(F448),IF(ABS(F448-E448)&lt;=H448,"PASS","FAIL"),"FAIL"),"FAIL")</f>
        <v>PASS</v>
      </c>
    </row>
    <row r="449" customFormat="false" ht="15" hidden="false" customHeight="false" outlineLevel="0" collapsed="false">
      <c r="B449" s="48" t="n">
        <v>440</v>
      </c>
      <c r="C449" s="9" t="s">
        <v>1079</v>
      </c>
      <c r="D449" s="9" t="s">
        <v>1186</v>
      </c>
      <c r="E449" s="10" t="n">
        <v>0.1305</v>
      </c>
      <c r="F449" s="56" t="n">
        <f aca="false">Sensitivities!$F$34</f>
        <v>0.130530022321263</v>
      </c>
      <c r="G449" s="50" t="n">
        <f aca="false">IFERROR(IF(ISNUMBER(F449),F449-E449,"n/a"),"n/a")</f>
        <v>3.00223212634787E-005</v>
      </c>
      <c r="H449" s="51" t="n">
        <v>5.0001E-005</v>
      </c>
      <c r="I449" s="47" t="str">
        <f aca="false">IFERROR(IF(ISNUMBER(F449),IF(ABS(F449-E449)&lt;=H449,"PASS","FAIL"),"FAIL"),"FAIL")</f>
        <v>PASS</v>
      </c>
    </row>
    <row r="450" customFormat="false" ht="15" hidden="false" customHeight="false" outlineLevel="0" collapsed="false">
      <c r="B450" s="48" t="n">
        <v>441</v>
      </c>
      <c r="C450" s="9" t="s">
        <v>1079</v>
      </c>
      <c r="D450" s="9" t="s">
        <v>1187</v>
      </c>
      <c r="E450" s="52" t="n">
        <v>29.3</v>
      </c>
      <c r="F450" s="53" t="n">
        <f aca="false">Sensitivities!$D$35</f>
        <v>29.286474973376</v>
      </c>
      <c r="G450" s="50" t="n">
        <f aca="false">IFERROR(IF(ISNUMBER(F450),F450-E450,"n/a"),"n/a")</f>
        <v>-0.0135250266240412</v>
      </c>
      <c r="H450" s="51" t="n">
        <v>0.050000001</v>
      </c>
      <c r="I450" s="47" t="str">
        <f aca="false">IFERROR(IF(ISNUMBER(F450),IF(ABS(F450-E450)&lt;=H450,"PASS","FAIL"),"FAIL"),"FAIL")</f>
        <v>PASS</v>
      </c>
    </row>
    <row r="451" customFormat="false" ht="15" hidden="false" customHeight="false" outlineLevel="0" collapsed="false">
      <c r="B451" s="48" t="n">
        <v>442</v>
      </c>
      <c r="C451" s="9" t="s">
        <v>1079</v>
      </c>
      <c r="D451" s="9" t="s">
        <v>1188</v>
      </c>
      <c r="E451" s="54" t="n">
        <v>6.09</v>
      </c>
      <c r="F451" s="55" t="n">
        <f aca="false">Sensitivities!$H$34</f>
        <v>6.08572949946752</v>
      </c>
      <c r="G451" s="50" t="n">
        <f aca="false">IFERROR(IF(ISNUMBER(F451),F451-E451,"n/a"),"n/a")</f>
        <v>-0.00427050053248035</v>
      </c>
      <c r="H451" s="51" t="n">
        <v>0.005000001</v>
      </c>
      <c r="I451" s="47" t="str">
        <f aca="false">IFERROR(IF(ISNUMBER(F451),IF(ABS(F451-E451)&lt;=H451,"PASS","FAIL"),"FAIL"),"FAIL")</f>
        <v>PASS</v>
      </c>
    </row>
    <row r="452" customFormat="false" ht="30" hidden="false" customHeight="true" outlineLevel="0" collapsed="false">
      <c r="B452" s="48" t="n">
        <v>443</v>
      </c>
      <c r="C452" s="9" t="s">
        <v>1079</v>
      </c>
      <c r="D452" s="37" t="s">
        <v>1189</v>
      </c>
      <c r="E452" s="59" t="s">
        <v>784</v>
      </c>
      <c r="F452" s="60" t="str">
        <f aca="false">IFERROR(IF(ABS(Sensitivities!$F$32-Sensitivities!$X$20)&lt;0.000001,"holds","does not hold"),"error")</f>
        <v>holds</v>
      </c>
      <c r="G452" s="9"/>
      <c r="H452" s="9"/>
      <c r="I452" s="47" t="str">
        <f aca="false">IFERROR(IF(ABS(Sensitivities!$F$32-Sensitivities!$X$20)&lt;0.000001,"PASS","FAIL"),"FAIL")</f>
        <v>PASS</v>
      </c>
    </row>
    <row r="453" customFormat="false" ht="15" hidden="false" customHeight="false" outlineLevel="0" collapsed="false">
      <c r="B453" s="48" t="n">
        <v>444</v>
      </c>
      <c r="C453" s="9" t="s">
        <v>1079</v>
      </c>
      <c r="D453" s="9" t="s">
        <v>1190</v>
      </c>
      <c r="E453" s="52" t="n">
        <v>4.5</v>
      </c>
      <c r="F453" s="53" t="n">
        <f aca="false">Sensitivities!$C$40</f>
        <v>4.5</v>
      </c>
      <c r="G453" s="50" t="n">
        <f aca="false">IFERROR(IF(ISNUMBER(F453),F453-E453,"n/a"),"n/a")</f>
        <v>0</v>
      </c>
      <c r="H453" s="51" t="n">
        <v>0.050000001</v>
      </c>
      <c r="I453" s="47" t="str">
        <f aca="false">IFERROR(IF(ISNUMBER(F453),IF(ABS(F453-E453)&lt;=H453,"PASS","FAIL"),"FAIL"),"FAIL")</f>
        <v>PASS</v>
      </c>
    </row>
    <row r="454" customFormat="false" ht="15" hidden="false" customHeight="false" outlineLevel="0" collapsed="false">
      <c r="B454" s="48" t="n">
        <v>445</v>
      </c>
      <c r="C454" s="9" t="s">
        <v>1079</v>
      </c>
      <c r="D454" s="9" t="s">
        <v>1191</v>
      </c>
      <c r="E454" s="52" t="n">
        <v>225</v>
      </c>
      <c r="F454" s="53" t="n">
        <f aca="false">Sensitivities!$D$40</f>
        <v>225</v>
      </c>
      <c r="G454" s="50" t="n">
        <f aca="false">IFERROR(IF(ISNUMBER(F454),F454-E454,"n/a"),"n/a")</f>
        <v>0</v>
      </c>
      <c r="H454" s="51" t="n">
        <v>0.050000001</v>
      </c>
      <c r="I454" s="47" t="str">
        <f aca="false">IFERROR(IF(ISNUMBER(F454),IF(ABS(F454-E454)&lt;=H454,"PASS","FAIL"),"FAIL"),"FAIL")</f>
        <v>PASS</v>
      </c>
    </row>
    <row r="455" customFormat="false" ht="15" hidden="false" customHeight="false" outlineLevel="0" collapsed="false">
      <c r="B455" s="48" t="n">
        <v>446</v>
      </c>
      <c r="C455" s="9" t="s">
        <v>1079</v>
      </c>
      <c r="D455" s="9" t="s">
        <v>1192</v>
      </c>
      <c r="E455" s="52" t="n">
        <v>249</v>
      </c>
      <c r="F455" s="53" t="n">
        <f aca="false">Sensitivities!$E$40</f>
        <v>249</v>
      </c>
      <c r="G455" s="50" t="n">
        <f aca="false">IFERROR(IF(ISNUMBER(F455),F455-E455,"n/a"),"n/a")</f>
        <v>0</v>
      </c>
      <c r="H455" s="51" t="n">
        <v>0.050000001</v>
      </c>
      <c r="I455" s="47" t="str">
        <f aca="false">IFERROR(IF(ISNUMBER(F455),IF(ABS(F455-E455)&lt;=H455,"PASS","FAIL"),"FAIL"),"FAIL")</f>
        <v>PASS</v>
      </c>
    </row>
    <row r="456" customFormat="false" ht="15" hidden="false" customHeight="false" outlineLevel="0" collapsed="false">
      <c r="B456" s="48" t="n">
        <v>447</v>
      </c>
      <c r="C456" s="9" t="s">
        <v>1079</v>
      </c>
      <c r="D456" s="9" t="s">
        <v>1193</v>
      </c>
      <c r="E456" s="10" t="n">
        <v>0.1539</v>
      </c>
      <c r="F456" s="56" t="n">
        <f aca="false">Sensitivities!$F$40</f>
        <v>0.153860455733027</v>
      </c>
      <c r="G456" s="50" t="n">
        <f aca="false">IFERROR(IF(ISNUMBER(F456),F456-E456,"n/a"),"n/a")</f>
        <v>-3.95442669731683E-005</v>
      </c>
      <c r="H456" s="51" t="n">
        <v>5.0001E-005</v>
      </c>
      <c r="I456" s="47" t="str">
        <f aca="false">IFERROR(IF(ISNUMBER(F456),IF(ABS(F456-E456)&lt;=H456,"PASS","FAIL"),"FAIL"),"FAIL")</f>
        <v>PASS</v>
      </c>
    </row>
    <row r="457" customFormat="false" ht="15" hidden="false" customHeight="false" outlineLevel="0" collapsed="false">
      <c r="B457" s="48" t="n">
        <v>448</v>
      </c>
      <c r="C457" s="9" t="s">
        <v>1079</v>
      </c>
      <c r="D457" s="9" t="s">
        <v>1194</v>
      </c>
      <c r="E457" s="54" t="n">
        <v>2.05</v>
      </c>
      <c r="F457" s="55" t="n">
        <f aca="false">Sensitivities!$G$40</f>
        <v>2.0453444134772</v>
      </c>
      <c r="G457" s="50" t="n">
        <f aca="false">IFERROR(IF(ISNUMBER(F457),F457-E457,"n/a"),"n/a")</f>
        <v>-0.00465558652279929</v>
      </c>
      <c r="H457" s="51" t="n">
        <v>0.005000001</v>
      </c>
      <c r="I457" s="47" t="str">
        <f aca="false">IFERROR(IF(ISNUMBER(F457),IF(ABS(F457-E457)&lt;=H457,"PASS","FAIL"),"FAIL"),"FAIL")</f>
        <v>PASS</v>
      </c>
    </row>
    <row r="458" customFormat="false" ht="15" hidden="false" customHeight="false" outlineLevel="0" collapsed="false">
      <c r="B458" s="48" t="n">
        <v>449</v>
      </c>
      <c r="C458" s="9" t="s">
        <v>1079</v>
      </c>
      <c r="D458" s="9" t="s">
        <v>1195</v>
      </c>
      <c r="E458" s="54" t="n">
        <v>1.17</v>
      </c>
      <c r="F458" s="55" t="n">
        <f aca="false">Sensitivities!$H$40</f>
        <v>1.17290647161258</v>
      </c>
      <c r="G458" s="50" t="n">
        <f aca="false">IFERROR(IF(ISNUMBER(F458),F458-E458,"n/a"),"n/a")</f>
        <v>0.0029064716125764</v>
      </c>
      <c r="H458" s="51" t="n">
        <v>0.005000001</v>
      </c>
      <c r="I458" s="47" t="str">
        <f aca="false">IFERROR(IF(ISNUMBER(F458),IF(ABS(F458-E458)&lt;=H458,"PASS","FAIL"),"FAIL"),"FAIL")</f>
        <v>PASS</v>
      </c>
    </row>
    <row r="459" customFormat="false" ht="15" hidden="false" customHeight="false" outlineLevel="0" collapsed="false">
      <c r="B459" s="48" t="n">
        <v>450</v>
      </c>
      <c r="C459" s="9" t="s">
        <v>1079</v>
      </c>
      <c r="D459" s="9" t="s">
        <v>1196</v>
      </c>
      <c r="E459" s="52" t="n">
        <v>5</v>
      </c>
      <c r="F459" s="53" t="n">
        <f aca="false">Sensitivities!$C$41</f>
        <v>5</v>
      </c>
      <c r="G459" s="50" t="n">
        <f aca="false">IFERROR(IF(ISNUMBER(F459),F459-E459,"n/a"),"n/a")</f>
        <v>0</v>
      </c>
      <c r="H459" s="51" t="n">
        <v>0.050000001</v>
      </c>
      <c r="I459" s="47" t="str">
        <f aca="false">IFERROR(IF(ISNUMBER(F459),IF(ABS(F459-E459)&lt;=H459,"PASS","FAIL"),"FAIL"),"FAIL")</f>
        <v>PASS</v>
      </c>
    </row>
    <row r="460" customFormat="false" ht="15" hidden="false" customHeight="false" outlineLevel="0" collapsed="false">
      <c r="B460" s="48" t="n">
        <v>451</v>
      </c>
      <c r="C460" s="9" t="s">
        <v>1079</v>
      </c>
      <c r="D460" s="9" t="s">
        <v>1197</v>
      </c>
      <c r="E460" s="52" t="n">
        <v>250</v>
      </c>
      <c r="F460" s="53" t="n">
        <f aca="false">Sensitivities!$D$41</f>
        <v>250</v>
      </c>
      <c r="G460" s="50" t="n">
        <f aca="false">IFERROR(IF(ISNUMBER(F460),F460-E460,"n/a"),"n/a")</f>
        <v>0</v>
      </c>
      <c r="H460" s="51" t="n">
        <v>0.050000001</v>
      </c>
      <c r="I460" s="47" t="str">
        <f aca="false">IFERROR(IF(ISNUMBER(F460),IF(ABS(F460-E460)&lt;=H460,"PASS","FAIL"),"FAIL"),"FAIL")</f>
        <v>PASS</v>
      </c>
    </row>
    <row r="461" customFormat="false" ht="15" hidden="false" customHeight="false" outlineLevel="0" collapsed="false">
      <c r="B461" s="48" t="n">
        <v>452</v>
      </c>
      <c r="C461" s="9" t="s">
        <v>1079</v>
      </c>
      <c r="D461" s="9" t="s">
        <v>1198</v>
      </c>
      <c r="E461" s="52" t="n">
        <v>224.5</v>
      </c>
      <c r="F461" s="53" t="n">
        <f aca="false">Sensitivities!$E$41</f>
        <v>224.5</v>
      </c>
      <c r="G461" s="50" t="n">
        <f aca="false">IFERROR(IF(ISNUMBER(F461),F461-E461,"n/a"),"n/a")</f>
        <v>0</v>
      </c>
      <c r="H461" s="51" t="n">
        <v>0.050000001</v>
      </c>
      <c r="I461" s="47" t="str">
        <f aca="false">IFERROR(IF(ISNUMBER(F461),IF(ABS(F461-E461)&lt;=H461,"PASS","FAIL"),"FAIL"),"FAIL")</f>
        <v>PASS</v>
      </c>
    </row>
    <row r="462" customFormat="false" ht="15" hidden="false" customHeight="false" outlineLevel="0" collapsed="false">
      <c r="B462" s="48" t="n">
        <v>453</v>
      </c>
      <c r="C462" s="9" t="s">
        <v>1079</v>
      </c>
      <c r="D462" s="9" t="s">
        <v>1199</v>
      </c>
      <c r="E462" s="10" t="n">
        <v>0.1613</v>
      </c>
      <c r="F462" s="56" t="n">
        <f aca="false">Sensitivities!$F$41</f>
        <v>0.161313998103643</v>
      </c>
      <c r="G462" s="50" t="n">
        <f aca="false">IFERROR(IF(ISNUMBER(F462),F462-E462,"n/a"),"n/a")</f>
        <v>1.399810364347E-005</v>
      </c>
      <c r="H462" s="51" t="n">
        <v>5.0001E-005</v>
      </c>
      <c r="I462" s="47" t="str">
        <f aca="false">IFERROR(IF(ISNUMBER(F462),IF(ABS(F462-E462)&lt;=H462,"PASS","FAIL"),"FAIL"),"FAIL")</f>
        <v>PASS</v>
      </c>
    </row>
    <row r="463" customFormat="false" ht="15" hidden="false" customHeight="false" outlineLevel="0" collapsed="false">
      <c r="B463" s="48" t="n">
        <v>454</v>
      </c>
      <c r="C463" s="9" t="s">
        <v>1079</v>
      </c>
      <c r="D463" s="9" t="s">
        <v>1200</v>
      </c>
      <c r="E463" s="54" t="n">
        <v>2.11</v>
      </c>
      <c r="F463" s="55" t="n">
        <f aca="false">Sensitivities!$G$41</f>
        <v>2.11226452186265</v>
      </c>
      <c r="G463" s="50" t="n">
        <f aca="false">IFERROR(IF(ISNUMBER(F463),F463-E463,"n/a"),"n/a")</f>
        <v>0.00226452186264625</v>
      </c>
      <c r="H463" s="51" t="n">
        <v>0.005000001</v>
      </c>
      <c r="I463" s="47" t="str">
        <f aca="false">IFERROR(IF(ISNUMBER(F463),IF(ABS(F463-E463)&lt;=H463,"PASS","FAIL"),"FAIL"),"FAIL")</f>
        <v>PASS</v>
      </c>
    </row>
    <row r="464" customFormat="false" ht="15" hidden="false" customHeight="false" outlineLevel="0" collapsed="false">
      <c r="B464" s="48" t="n">
        <v>455</v>
      </c>
      <c r="C464" s="9" t="s">
        <v>1079</v>
      </c>
      <c r="D464" s="9" t="s">
        <v>1201</v>
      </c>
      <c r="E464" s="54" t="n">
        <v>0.65</v>
      </c>
      <c r="F464" s="55" t="n">
        <f aca="false">Sensitivities!$H$41</f>
        <v>0.65060359312175</v>
      </c>
      <c r="G464" s="50" t="n">
        <f aca="false">IFERROR(IF(ISNUMBER(F464),F464-E464,"n/a"),"n/a")</f>
        <v>0.000603593121750179</v>
      </c>
      <c r="H464" s="51" t="n">
        <v>0.005000001</v>
      </c>
      <c r="I464" s="47" t="str">
        <f aca="false">IFERROR(IF(ISNUMBER(F464),IF(ABS(F464-E464)&lt;=H464,"PASS","FAIL"),"FAIL"),"FAIL")</f>
        <v>PASS</v>
      </c>
    </row>
    <row r="465" customFormat="false" ht="15" hidden="false" customHeight="false" outlineLevel="0" collapsed="false">
      <c r="B465" s="48" t="n">
        <v>456</v>
      </c>
      <c r="C465" s="9" t="s">
        <v>1079</v>
      </c>
      <c r="D465" s="9" t="s">
        <v>1202</v>
      </c>
      <c r="E465" s="52" t="n">
        <v>5.5</v>
      </c>
      <c r="F465" s="53" t="n">
        <f aca="false">Sensitivities!$C$42</f>
        <v>5.5</v>
      </c>
      <c r="G465" s="50" t="n">
        <f aca="false">IFERROR(IF(ISNUMBER(F465),F465-E465,"n/a"),"n/a")</f>
        <v>0</v>
      </c>
      <c r="H465" s="51" t="n">
        <v>0.050000001</v>
      </c>
      <c r="I465" s="47" t="str">
        <f aca="false">IFERROR(IF(ISNUMBER(F465),IF(ABS(F465-E465)&lt;=H465,"PASS","FAIL"),"FAIL"),"FAIL")</f>
        <v>PASS</v>
      </c>
    </row>
    <row r="466" customFormat="false" ht="15" hidden="false" customHeight="false" outlineLevel="0" collapsed="false">
      <c r="B466" s="48" t="n">
        <v>457</v>
      </c>
      <c r="C466" s="9" t="s">
        <v>1079</v>
      </c>
      <c r="D466" s="9" t="s">
        <v>1203</v>
      </c>
      <c r="E466" s="52" t="n">
        <v>275</v>
      </c>
      <c r="F466" s="53" t="n">
        <f aca="false">Sensitivities!$D$42</f>
        <v>275</v>
      </c>
      <c r="G466" s="50" t="n">
        <f aca="false">IFERROR(IF(ISNUMBER(F466),F466-E466,"n/a"),"n/a")</f>
        <v>0</v>
      </c>
      <c r="H466" s="51" t="n">
        <v>0.050000001</v>
      </c>
      <c r="I466" s="47" t="str">
        <f aca="false">IFERROR(IF(ISNUMBER(F466),IF(ABS(F466-E466)&lt;=H466,"PASS","FAIL"),"FAIL"),"FAIL")</f>
        <v>PASS</v>
      </c>
    </row>
    <row r="467" customFormat="false" ht="15" hidden="false" customHeight="false" outlineLevel="0" collapsed="false">
      <c r="B467" s="48" t="n">
        <v>458</v>
      </c>
      <c r="C467" s="9" t="s">
        <v>1079</v>
      </c>
      <c r="D467" s="9" t="s">
        <v>1204</v>
      </c>
      <c r="E467" s="52" t="n">
        <v>200</v>
      </c>
      <c r="F467" s="53" t="n">
        <f aca="false">Sensitivities!$E$42</f>
        <v>200</v>
      </c>
      <c r="G467" s="50" t="n">
        <f aca="false">IFERROR(IF(ISNUMBER(F467),F467-E467,"n/a"),"n/a")</f>
        <v>0</v>
      </c>
      <c r="H467" s="51" t="n">
        <v>0.050000001</v>
      </c>
      <c r="I467" s="47" t="str">
        <f aca="false">IFERROR(IF(ISNUMBER(F467),IF(ABS(F467-E467)&lt;=H467,"PASS","FAIL"),"FAIL"),"FAIL")</f>
        <v>PASS</v>
      </c>
    </row>
    <row r="468" customFormat="false" ht="15" hidden="false" customHeight="false" outlineLevel="0" collapsed="false">
      <c r="B468" s="48" t="n">
        <v>459</v>
      </c>
      <c r="C468" s="9" t="s">
        <v>1079</v>
      </c>
      <c r="D468" s="9" t="s">
        <v>1205</v>
      </c>
      <c r="E468" s="10" t="n">
        <v>0.1705</v>
      </c>
      <c r="F468" s="56" t="n">
        <f aca="false">Sensitivities!$F$42</f>
        <v>0.170484343544686</v>
      </c>
      <c r="G468" s="50" t="n">
        <f aca="false">IFERROR(IF(ISNUMBER(F468),F468-E468,"n/a"),"n/a")</f>
        <v>-1.56564553139005E-005</v>
      </c>
      <c r="H468" s="51" t="n">
        <v>5.0001E-005</v>
      </c>
      <c r="I468" s="47" t="str">
        <f aca="false">IFERROR(IF(ISNUMBER(F468),IF(ABS(F468-E468)&lt;=H468,"PASS","FAIL"),"FAIL"),"FAIL")</f>
        <v>PASS</v>
      </c>
    </row>
    <row r="469" customFormat="false" ht="15" hidden="false" customHeight="false" outlineLevel="0" collapsed="false">
      <c r="B469" s="48" t="n">
        <v>460</v>
      </c>
      <c r="C469" s="9" t="s">
        <v>1079</v>
      </c>
      <c r="D469" s="9" t="s">
        <v>1206</v>
      </c>
      <c r="E469" s="54" t="n">
        <v>2.2</v>
      </c>
      <c r="F469" s="55" t="n">
        <f aca="false">Sensitivities!$G$42</f>
        <v>2.19698982032648</v>
      </c>
      <c r="G469" s="50" t="n">
        <f aca="false">IFERROR(IF(ISNUMBER(F469),F469-E469,"n/a"),"n/a")</f>
        <v>-0.00301017967352291</v>
      </c>
      <c r="H469" s="51" t="n">
        <v>0.005000001</v>
      </c>
      <c r="I469" s="47" t="str">
        <f aca="false">IFERROR(IF(ISNUMBER(F469),IF(ABS(F469-E469)&lt;=H469,"PASS","FAIL"),"FAIL"),"FAIL")</f>
        <v>PASS</v>
      </c>
    </row>
    <row r="470" customFormat="false" ht="15" hidden="false" customHeight="false" outlineLevel="0" collapsed="false">
      <c r="B470" s="48" t="n">
        <v>461</v>
      </c>
      <c r="C470" s="9" t="s">
        <v>1079</v>
      </c>
      <c r="D470" s="9" t="s">
        <v>1207</v>
      </c>
      <c r="E470" s="54" t="n">
        <v>0.12</v>
      </c>
      <c r="F470" s="55" t="n">
        <f aca="false">Sensitivities!$H$42</f>
        <v>0.122771617622552</v>
      </c>
      <c r="G470" s="50" t="n">
        <f aca="false">IFERROR(IF(ISNUMBER(F470),F470-E470,"n/a"),"n/a")</f>
        <v>0.0027716176225524</v>
      </c>
      <c r="H470" s="51" t="n">
        <v>0.005000001</v>
      </c>
      <c r="I470" s="47" t="str">
        <f aca="false">IFERROR(IF(ISNUMBER(F470),IF(ABS(F470-E470)&lt;=H470,"PASS","FAIL"),"FAIL"),"FAIL")</f>
        <v>PASS</v>
      </c>
    </row>
    <row r="471" customFormat="false" ht="15" hidden="false" customHeight="false" outlineLevel="0" collapsed="false">
      <c r="B471" s="48" t="n">
        <v>462</v>
      </c>
      <c r="C471" s="9" t="s">
        <v>1079</v>
      </c>
      <c r="D471" s="9" t="s">
        <v>1208</v>
      </c>
      <c r="E471" s="52" t="n">
        <v>6</v>
      </c>
      <c r="F471" s="53" t="n">
        <f aca="false">Sensitivities!$C$43</f>
        <v>6</v>
      </c>
      <c r="G471" s="50" t="n">
        <f aca="false">IFERROR(IF(ISNUMBER(F471),F471-E471,"n/a"),"n/a")</f>
        <v>0</v>
      </c>
      <c r="H471" s="51" t="n">
        <v>0.050000001</v>
      </c>
      <c r="I471" s="47" t="str">
        <f aca="false">IFERROR(IF(ISNUMBER(F471),IF(ABS(F471-E471)&lt;=H471,"PASS","FAIL"),"FAIL"),"FAIL")</f>
        <v>PASS</v>
      </c>
    </row>
    <row r="472" customFormat="false" ht="15" hidden="false" customHeight="false" outlineLevel="0" collapsed="false">
      <c r="B472" s="48" t="n">
        <v>463</v>
      </c>
      <c r="C472" s="9" t="s">
        <v>1079</v>
      </c>
      <c r="D472" s="9" t="s">
        <v>1209</v>
      </c>
      <c r="E472" s="52" t="n">
        <v>300</v>
      </c>
      <c r="F472" s="53" t="n">
        <f aca="false">Sensitivities!$D$43</f>
        <v>300</v>
      </c>
      <c r="G472" s="50" t="n">
        <f aca="false">IFERROR(IF(ISNUMBER(F472),F472-E472,"n/a"),"n/a")</f>
        <v>0</v>
      </c>
      <c r="H472" s="51" t="n">
        <v>0.050000001</v>
      </c>
      <c r="I472" s="47" t="str">
        <f aca="false">IFERROR(IF(ISNUMBER(F472),IF(ABS(F472-E472)&lt;=H472,"PASS","FAIL"),"FAIL"),"FAIL")</f>
        <v>PASS</v>
      </c>
    </row>
    <row r="473" customFormat="false" ht="15" hidden="false" customHeight="false" outlineLevel="0" collapsed="false">
      <c r="B473" s="48" t="n">
        <v>464</v>
      </c>
      <c r="C473" s="9" t="s">
        <v>1079</v>
      </c>
      <c r="D473" s="9" t="s">
        <v>1210</v>
      </c>
      <c r="E473" s="52" t="n">
        <v>175.5</v>
      </c>
      <c r="F473" s="53" t="n">
        <f aca="false">Sensitivities!$E$43</f>
        <v>175.5</v>
      </c>
      <c r="G473" s="50" t="n">
        <f aca="false">IFERROR(IF(ISNUMBER(F473),F473-E473,"n/a"),"n/a")</f>
        <v>0</v>
      </c>
      <c r="H473" s="51" t="n">
        <v>0.050000001</v>
      </c>
      <c r="I473" s="47" t="str">
        <f aca="false">IFERROR(IF(ISNUMBER(F473),IF(ABS(F473-E473)&lt;=H473,"PASS","FAIL"),"FAIL"),"FAIL")</f>
        <v>PASS</v>
      </c>
    </row>
    <row r="474" customFormat="false" ht="15" hidden="false" customHeight="false" outlineLevel="0" collapsed="false">
      <c r="B474" s="48" t="n">
        <v>465</v>
      </c>
      <c r="C474" s="9" t="s">
        <v>1079</v>
      </c>
      <c r="D474" s="9" t="s">
        <v>1211</v>
      </c>
      <c r="E474" s="10" t="n">
        <v>0.1811</v>
      </c>
      <c r="F474" s="56" t="n">
        <f aca="false">Sensitivities!$F$43</f>
        <v>0.181095497761061</v>
      </c>
      <c r="G474" s="50" t="n">
        <f aca="false">IFERROR(IF(ISNUMBER(F474),F474-E474,"n/a"),"n/a")</f>
        <v>-4.50223893869173E-006</v>
      </c>
      <c r="H474" s="51" t="n">
        <v>5.0001E-005</v>
      </c>
      <c r="I474" s="47" t="str">
        <f aca="false">IFERROR(IF(ISNUMBER(F474),IF(ABS(F474-E474)&lt;=H474,"PASS","FAIL"),"FAIL"),"FAIL")</f>
        <v>PASS</v>
      </c>
    </row>
    <row r="475" customFormat="false" ht="15" hidden="false" customHeight="false" outlineLevel="0" collapsed="false">
      <c r="B475" s="48" t="n">
        <v>466</v>
      </c>
      <c r="C475" s="9" t="s">
        <v>1079</v>
      </c>
      <c r="D475" s="9" t="s">
        <v>1212</v>
      </c>
      <c r="E475" s="54" t="n">
        <v>2.3</v>
      </c>
      <c r="F475" s="55" t="n">
        <f aca="false">Sensitivities!$G$43</f>
        <v>2.29839712687024</v>
      </c>
      <c r="G475" s="50" t="n">
        <f aca="false">IFERROR(IF(ISNUMBER(F475),F475-E475,"n/a"),"n/a")</f>
        <v>-0.00160287312976326</v>
      </c>
      <c r="H475" s="51" t="n">
        <v>0.005000001</v>
      </c>
      <c r="I475" s="47" t="str">
        <f aca="false">IFERROR(IF(ISNUMBER(F475),IF(ABS(F475-E475)&lt;=H475,"PASS","FAIL"),"FAIL"),"FAIL")</f>
        <v>PASS</v>
      </c>
    </row>
    <row r="476" customFormat="false" ht="15" hidden="false" customHeight="false" outlineLevel="0" collapsed="false">
      <c r="B476" s="48" t="n">
        <v>467</v>
      </c>
      <c r="C476" s="9" t="s">
        <v>1079</v>
      </c>
      <c r="D476" s="9" t="s">
        <v>1213</v>
      </c>
      <c r="E476" s="54" t="n">
        <v>-0.41</v>
      </c>
      <c r="F476" s="55" t="n">
        <f aca="false">Sensitivities!$H$43</f>
        <v>-0.407246664945171</v>
      </c>
      <c r="G476" s="50" t="n">
        <f aca="false">IFERROR(IF(ISNUMBER(F476),F476-E476,"n/a"),"n/a")</f>
        <v>0.00275333505482928</v>
      </c>
      <c r="H476" s="51" t="n">
        <v>0.005000001</v>
      </c>
      <c r="I476" s="47" t="str">
        <f aca="false">IFERROR(IF(ISNUMBER(F476),IF(ABS(F476-E476)&lt;=H476,"PASS","FAIL"),"FAIL"),"FAIL")</f>
        <v>PASS</v>
      </c>
    </row>
    <row r="477" customFormat="false" ht="15" hidden="false" customHeight="false" outlineLevel="0" collapsed="false">
      <c r="B477" s="48" t="n">
        <v>468</v>
      </c>
      <c r="C477" s="9" t="s">
        <v>1079</v>
      </c>
      <c r="D477" s="9" t="s">
        <v>1214</v>
      </c>
      <c r="E477" s="52" t="n">
        <v>6.5</v>
      </c>
      <c r="F477" s="53" t="n">
        <f aca="false">Sensitivities!$C$44</f>
        <v>6.5</v>
      </c>
      <c r="G477" s="50" t="n">
        <f aca="false">IFERROR(IF(ISNUMBER(F477),F477-E477,"n/a"),"n/a")</f>
        <v>0</v>
      </c>
      <c r="H477" s="51" t="n">
        <v>0.050000001</v>
      </c>
      <c r="I477" s="47" t="str">
        <f aca="false">IFERROR(IF(ISNUMBER(F477),IF(ABS(F477-E477)&lt;=H477,"PASS","FAIL"),"FAIL"),"FAIL")</f>
        <v>PASS</v>
      </c>
    </row>
    <row r="478" customFormat="false" ht="15" hidden="false" customHeight="false" outlineLevel="0" collapsed="false">
      <c r="B478" s="48" t="n">
        <v>469</v>
      </c>
      <c r="C478" s="9" t="s">
        <v>1079</v>
      </c>
      <c r="D478" s="9" t="s">
        <v>1215</v>
      </c>
      <c r="E478" s="52" t="n">
        <v>325</v>
      </c>
      <c r="F478" s="53" t="n">
        <f aca="false">Sensitivities!$D$44</f>
        <v>325</v>
      </c>
      <c r="G478" s="50" t="n">
        <f aca="false">IFERROR(IF(ISNUMBER(F478),F478-E478,"n/a"),"n/a")</f>
        <v>0</v>
      </c>
      <c r="H478" s="51" t="n">
        <v>0.050000001</v>
      </c>
      <c r="I478" s="47" t="str">
        <f aca="false">IFERROR(IF(ISNUMBER(F478),IF(ABS(F478-E478)&lt;=H478,"PASS","FAIL"),"FAIL"),"FAIL")</f>
        <v>PASS</v>
      </c>
    </row>
    <row r="479" customFormat="false" ht="15" hidden="false" customHeight="false" outlineLevel="0" collapsed="false">
      <c r="B479" s="48" t="n">
        <v>470</v>
      </c>
      <c r="C479" s="9" t="s">
        <v>1079</v>
      </c>
      <c r="D479" s="9" t="s">
        <v>1216</v>
      </c>
      <c r="E479" s="52" t="n">
        <v>151</v>
      </c>
      <c r="F479" s="53" t="n">
        <f aca="false">Sensitivities!$E$44</f>
        <v>151</v>
      </c>
      <c r="G479" s="50" t="n">
        <f aca="false">IFERROR(IF(ISNUMBER(F479),F479-E479,"n/a"),"n/a")</f>
        <v>0</v>
      </c>
      <c r="H479" s="51" t="n">
        <v>0.050000001</v>
      </c>
      <c r="I479" s="47" t="str">
        <f aca="false">IFERROR(IF(ISNUMBER(F479),IF(ABS(F479-E479)&lt;=H479,"PASS","FAIL"),"FAIL"),"FAIL")</f>
        <v>PASS</v>
      </c>
    </row>
    <row r="480" customFormat="false" ht="15" hidden="false" customHeight="false" outlineLevel="0" collapsed="false">
      <c r="B480" s="48" t="n">
        <v>471</v>
      </c>
      <c r="C480" s="9" t="s">
        <v>1079</v>
      </c>
      <c r="D480" s="9" t="s">
        <v>1217</v>
      </c>
      <c r="E480" s="10" t="n">
        <v>0.1946</v>
      </c>
      <c r="F480" s="56" t="n">
        <f aca="false">Sensitivities!$F$44</f>
        <v>0.194587812879672</v>
      </c>
      <c r="G480" s="50" t="n">
        <f aca="false">IFERROR(IF(ISNUMBER(F480),F480-E480,"n/a"),"n/a")</f>
        <v>-1.21871203275781E-005</v>
      </c>
      <c r="H480" s="51" t="n">
        <v>5.0001E-005</v>
      </c>
      <c r="I480" s="47" t="str">
        <f aca="false">IFERROR(IF(ISNUMBER(F480),IF(ABS(F480-E480)&lt;=H480,"PASS","FAIL"),"FAIL"),"FAIL")</f>
        <v>PASS</v>
      </c>
    </row>
    <row r="481" customFormat="false" ht="15" hidden="false" customHeight="false" outlineLevel="0" collapsed="false">
      <c r="B481" s="48" t="n">
        <v>472</v>
      </c>
      <c r="C481" s="9" t="s">
        <v>1079</v>
      </c>
      <c r="D481" s="9" t="s">
        <v>1218</v>
      </c>
      <c r="E481" s="54" t="n">
        <v>2.43</v>
      </c>
      <c r="F481" s="55" t="n">
        <f aca="false">Sensitivities!$G$44</f>
        <v>2.43271032798698</v>
      </c>
      <c r="G481" s="50" t="n">
        <f aca="false">IFERROR(IF(ISNUMBER(F481),F481-E481,"n/a"),"n/a")</f>
        <v>0.00271032798698156</v>
      </c>
      <c r="H481" s="51" t="n">
        <v>0.005000001</v>
      </c>
      <c r="I481" s="47" t="str">
        <f aca="false">IFERROR(IF(ISNUMBER(F481),IF(ABS(F481-E481)&lt;=H481,"PASS","FAIL"),"FAIL"),"FAIL")</f>
        <v>PASS</v>
      </c>
    </row>
    <row r="482" customFormat="false" ht="15" hidden="false" customHeight="false" outlineLevel="0" collapsed="false">
      <c r="B482" s="48" t="n">
        <v>473</v>
      </c>
      <c r="C482" s="9" t="s">
        <v>1079</v>
      </c>
      <c r="D482" s="9" t="s">
        <v>1219</v>
      </c>
      <c r="E482" s="54" t="n">
        <v>-0.94</v>
      </c>
      <c r="F482" s="55" t="n">
        <f aca="false">Sensitivities!$H$44</f>
        <v>-0.938371260194337</v>
      </c>
      <c r="G482" s="50" t="n">
        <f aca="false">IFERROR(IF(ISNUMBER(F482),F482-E482,"n/a"),"n/a")</f>
        <v>0.00162873980566269</v>
      </c>
      <c r="H482" s="51" t="n">
        <v>0.005000001</v>
      </c>
      <c r="I482" s="47" t="str">
        <f aca="false">IFERROR(IF(ISNUMBER(F482),IF(ABS(F482-E482)&lt;=H482,"PASS","FAIL"),"FAIL"),"FAIL")</f>
        <v>PASS</v>
      </c>
    </row>
    <row r="483" customFormat="false" ht="15" hidden="false" customHeight="false" outlineLevel="0" collapsed="false">
      <c r="B483" s="48" t="n">
        <v>474</v>
      </c>
      <c r="C483" s="9" t="s">
        <v>1079</v>
      </c>
      <c r="D483" s="9" t="s">
        <v>1220</v>
      </c>
      <c r="E483" s="52" t="n">
        <v>50</v>
      </c>
      <c r="F483" s="53" t="n">
        <f aca="false">Sensitivities!$D$38</f>
        <v>50</v>
      </c>
      <c r="G483" s="50" t="n">
        <f aca="false">IFERROR(IF(ISNUMBER(F483),F483-E483,"n/a"),"n/a")</f>
        <v>0</v>
      </c>
      <c r="H483" s="51" t="n">
        <v>0.050000001</v>
      </c>
      <c r="I483" s="47" t="str">
        <f aca="false">IFERROR(IF(ISNUMBER(F483),IF(ABS(F483-E483)&lt;=H483,"PASS","FAIL"),"FAIL"),"FAIL")</f>
        <v>PASS</v>
      </c>
    </row>
    <row r="484" customFormat="false" ht="15" hidden="false" customHeight="false" outlineLevel="0" collapsed="false">
      <c r="B484" s="48" t="n">
        <v>475</v>
      </c>
      <c r="C484" s="9" t="s">
        <v>1079</v>
      </c>
      <c r="D484" s="9" t="s">
        <v>1221</v>
      </c>
      <c r="E484" s="52" t="n">
        <v>6</v>
      </c>
      <c r="F484" s="53" t="n">
        <f aca="false">Sensitivities!$C$43</f>
        <v>6</v>
      </c>
      <c r="G484" s="50" t="n">
        <f aca="false">IFERROR(IF(ISNUMBER(F484),F484-E484,"n/a"),"n/a")</f>
        <v>0</v>
      </c>
      <c r="H484" s="51" t="n">
        <v>0.050000001</v>
      </c>
      <c r="I484" s="47" t="str">
        <f aca="false">IFERROR(IF(ISNUMBER(F484),IF(ABS(F484-E484)&lt;=H484,"PASS","FAIL"),"FAIL"),"FAIL")</f>
        <v>PASS</v>
      </c>
    </row>
    <row r="485" customFormat="false" ht="15" hidden="false" customHeight="false" outlineLevel="0" collapsed="false">
      <c r="B485" s="48" t="n">
        <v>476</v>
      </c>
      <c r="C485" s="9" t="s">
        <v>1079</v>
      </c>
      <c r="D485" s="9" t="s">
        <v>1222</v>
      </c>
      <c r="E485" s="52" t="n">
        <v>6.5</v>
      </c>
      <c r="F485" s="53" t="n">
        <f aca="false">Sensitivities!$C$44</f>
        <v>6.5</v>
      </c>
      <c r="G485" s="50" t="n">
        <f aca="false">IFERROR(IF(ISNUMBER(F485),F485-E485,"n/a"),"n/a")</f>
        <v>0</v>
      </c>
      <c r="H485" s="51" t="n">
        <v>0.050000001</v>
      </c>
      <c r="I485" s="47" t="str">
        <f aca="false">IFERROR(IF(ISNUMBER(F485),IF(ABS(F485-E485)&lt;=H485,"PASS","FAIL"),"FAIL"),"FAIL")</f>
        <v>PASS</v>
      </c>
    </row>
    <row r="486" customFormat="false" ht="15" hidden="false" customHeight="false" outlineLevel="0" collapsed="false">
      <c r="B486" s="48" t="n">
        <v>477</v>
      </c>
      <c r="C486" s="9" t="s">
        <v>1079</v>
      </c>
      <c r="D486" s="9" t="s">
        <v>1223</v>
      </c>
      <c r="E486" s="52" t="n">
        <v>57.9</v>
      </c>
      <c r="F486" s="53" t="n">
        <f aca="false">Sensitivities!$I$48</f>
        <v>57.864608</v>
      </c>
      <c r="G486" s="50" t="n">
        <f aca="false">IFERROR(IF(ISNUMBER(F486),F486-E486,"n/a"),"n/a")</f>
        <v>-0.0353920000000016</v>
      </c>
      <c r="H486" s="51" t="n">
        <v>0.050000001</v>
      </c>
      <c r="I486" s="47" t="str">
        <f aca="false">IFERROR(IF(ISNUMBER(F486),IF(ABS(F486-E486)&lt;=H486,"PASS","FAIL"),"FAIL"),"FAIL")</f>
        <v>PASS</v>
      </c>
    </row>
    <row r="487" customFormat="false" ht="15" hidden="false" customHeight="false" outlineLevel="0" collapsed="false">
      <c r="B487" s="48" t="n">
        <v>478</v>
      </c>
      <c r="C487" s="9" t="s">
        <v>1079</v>
      </c>
      <c r="D487" s="9" t="s">
        <v>1224</v>
      </c>
      <c r="E487" s="52" t="n">
        <v>277</v>
      </c>
      <c r="F487" s="53" t="n">
        <f aca="false">Sensitivities!$J$48</f>
        <v>277.0072132375</v>
      </c>
      <c r="G487" s="50" t="n">
        <f aca="false">IFERROR(IF(ISNUMBER(F487),F487-E487,"n/a"),"n/a")</f>
        <v>0.00721323749996827</v>
      </c>
      <c r="H487" s="51" t="n">
        <v>0.050000001</v>
      </c>
      <c r="I487" s="47" t="str">
        <f aca="false">IFERROR(IF(ISNUMBER(F487),IF(ABS(F487-E487)&lt;=H487,"PASS","FAIL"),"FAIL"),"FAIL")</f>
        <v>PASS</v>
      </c>
    </row>
    <row r="488" customFormat="false" ht="15" hidden="false" customHeight="false" outlineLevel="0" collapsed="false">
      <c r="B488" s="48" t="n">
        <v>479</v>
      </c>
      <c r="C488" s="9" t="s">
        <v>1079</v>
      </c>
      <c r="D488" s="9" t="s">
        <v>1225</v>
      </c>
      <c r="E488" s="52" t="n">
        <v>236</v>
      </c>
      <c r="F488" s="53" t="n">
        <f aca="false">Sensitivities!$M$48</f>
        <v>235.9625366825</v>
      </c>
      <c r="G488" s="50" t="n">
        <f aca="false">IFERROR(IF(ISNUMBER(F488),F488-E488,"n/a"),"n/a")</f>
        <v>-0.0374633174999701</v>
      </c>
      <c r="H488" s="51" t="n">
        <v>0.050000001</v>
      </c>
      <c r="I488" s="47" t="str">
        <f aca="false">IFERROR(IF(ISNUMBER(F488),IF(ABS(F488-E488)&lt;=H488,"PASS","FAIL"),"FAIL"),"FAIL")</f>
        <v>PASS</v>
      </c>
    </row>
    <row r="489" customFormat="false" ht="15" hidden="false" customHeight="false" outlineLevel="0" collapsed="false">
      <c r="B489" s="48" t="n">
        <v>480</v>
      </c>
      <c r="C489" s="9" t="s">
        <v>1079</v>
      </c>
      <c r="D489" s="9" t="s">
        <v>1226</v>
      </c>
      <c r="E489" s="10" t="n">
        <v>0.0544</v>
      </c>
      <c r="F489" s="56" t="n">
        <f aca="false">Sensitivities!$X$48</f>
        <v>0.0544244109184953</v>
      </c>
      <c r="G489" s="50" t="n">
        <f aca="false">IFERROR(IF(ISNUMBER(F489),F489-E489,"n/a"),"n/a")</f>
        <v>2.44109184952615E-005</v>
      </c>
      <c r="H489" s="51" t="n">
        <v>5.0001E-005</v>
      </c>
      <c r="I489" s="47" t="str">
        <f aca="false">IFERROR(IF(ISNUMBER(F489),IF(ABS(F489-E489)&lt;=H489,"PASS","FAIL"),"FAIL"),"FAIL")</f>
        <v>PASS</v>
      </c>
    </row>
    <row r="490" customFormat="false" ht="15" hidden="false" customHeight="false" outlineLevel="0" collapsed="false">
      <c r="B490" s="48" t="n">
        <v>481</v>
      </c>
      <c r="C490" s="9" t="s">
        <v>1079</v>
      </c>
      <c r="D490" s="9" t="s">
        <v>1227</v>
      </c>
      <c r="E490" s="54" t="n">
        <v>1.17</v>
      </c>
      <c r="F490" s="55" t="n">
        <f aca="false">Sensitivities!$W$48</f>
        <v>1.17232048827031</v>
      </c>
      <c r="G490" s="50" t="n">
        <f aca="false">IFERROR(IF(ISNUMBER(F490),F490-E490,"n/a"),"n/a")</f>
        <v>0.00232048827031273</v>
      </c>
      <c r="H490" s="51" t="n">
        <v>0.005000001</v>
      </c>
      <c r="I490" s="47" t="str">
        <f aca="false">IFERROR(IF(ISNUMBER(F490),IF(ABS(F490-E490)&lt;=H490,"PASS","FAIL"),"FAIL"),"FAIL")</f>
        <v>PASS</v>
      </c>
    </row>
    <row r="491" customFormat="false" ht="15" hidden="false" customHeight="false" outlineLevel="0" collapsed="false">
      <c r="B491" s="48" t="n">
        <v>482</v>
      </c>
      <c r="C491" s="9" t="s">
        <v>1079</v>
      </c>
      <c r="D491" s="9" t="s">
        <v>1228</v>
      </c>
      <c r="E491" s="52" t="n">
        <v>70.3</v>
      </c>
      <c r="F491" s="53" t="n">
        <f aca="false">Sensitivities!$I$49</f>
        <v>70.26004512</v>
      </c>
      <c r="G491" s="50" t="n">
        <f aca="false">IFERROR(IF(ISNUMBER(F491),F491-E491,"n/a"),"n/a")</f>
        <v>-0.0399548799999963</v>
      </c>
      <c r="H491" s="51" t="n">
        <v>0.050000001</v>
      </c>
      <c r="I491" s="47" t="str">
        <f aca="false">IFERROR(IF(ISNUMBER(F491),IF(ABS(F491-E491)&lt;=H491,"PASS","FAIL"),"FAIL"),"FAIL")</f>
        <v>PASS</v>
      </c>
    </row>
    <row r="492" customFormat="false" ht="15" hidden="false" customHeight="false" outlineLevel="0" collapsed="false">
      <c r="B492" s="48" t="n">
        <v>483</v>
      </c>
      <c r="C492" s="9" t="s">
        <v>1079</v>
      </c>
      <c r="D492" s="9" t="s">
        <v>1229</v>
      </c>
      <c r="E492" s="52" t="n">
        <v>257.2</v>
      </c>
      <c r="F492" s="53" t="n">
        <f aca="false">Sensitivities!$J$49</f>
        <v>257.249427357219</v>
      </c>
      <c r="G492" s="50" t="n">
        <f aca="false">IFERROR(IF(ISNUMBER(F492),F492-E492,"n/a"),"n/a")</f>
        <v>0.0494273572187467</v>
      </c>
      <c r="H492" s="51" t="n">
        <v>0.050000001</v>
      </c>
      <c r="I492" s="47" t="str">
        <f aca="false">IFERROR(IF(ISNUMBER(F492),IF(ABS(F492-E492)&lt;=H492,"PASS","FAIL"),"FAIL"),"FAIL")</f>
        <v>PASS</v>
      </c>
    </row>
    <row r="493" customFormat="false" ht="15" hidden="false" customHeight="false" outlineLevel="0" collapsed="false">
      <c r="B493" s="48" t="n">
        <v>484</v>
      </c>
      <c r="C493" s="9" t="s">
        <v>1079</v>
      </c>
      <c r="D493" s="9" t="s">
        <v>1230</v>
      </c>
      <c r="E493" s="52" t="n">
        <v>365.6</v>
      </c>
      <c r="F493" s="53" t="n">
        <f aca="false">Sensitivities!$M$49</f>
        <v>365.605872631581</v>
      </c>
      <c r="G493" s="50" t="n">
        <f aca="false">IFERROR(IF(ISNUMBER(F493),F493-E493,"n/a"),"n/a")</f>
        <v>0.00587263158121232</v>
      </c>
      <c r="H493" s="51" t="n">
        <v>0.050000001</v>
      </c>
      <c r="I493" s="47" t="str">
        <f aca="false">IFERROR(IF(ISNUMBER(F493),IF(ABS(F493-E493)&lt;=H493,"PASS","FAIL"),"FAIL"),"FAIL")</f>
        <v>PASS</v>
      </c>
    </row>
    <row r="494" customFormat="false" ht="15" hidden="false" customHeight="false" outlineLevel="0" collapsed="false">
      <c r="B494" s="48" t="n">
        <v>485</v>
      </c>
      <c r="C494" s="9" t="s">
        <v>1079</v>
      </c>
      <c r="D494" s="9" t="s">
        <v>1231</v>
      </c>
      <c r="E494" s="10" t="n">
        <v>0.1572</v>
      </c>
      <c r="F494" s="56" t="n">
        <f aca="false">Sensitivities!$X$49</f>
        <v>0.157249625042556</v>
      </c>
      <c r="G494" s="50" t="n">
        <f aca="false">IFERROR(IF(ISNUMBER(F494),F494-E494,"n/a"),"n/a")</f>
        <v>4.96250425561229E-005</v>
      </c>
      <c r="H494" s="51" t="n">
        <v>5.0001E-005</v>
      </c>
      <c r="I494" s="47" t="str">
        <f aca="false">IFERROR(IF(ISNUMBER(F494),IF(ABS(F494-E494)&lt;=H494,"PASS","FAIL"),"FAIL"),"FAIL")</f>
        <v>PASS</v>
      </c>
    </row>
    <row r="495" customFormat="false" ht="15" hidden="false" customHeight="false" outlineLevel="0" collapsed="false">
      <c r="B495" s="48" t="n">
        <v>486</v>
      </c>
      <c r="C495" s="9" t="s">
        <v>1079</v>
      </c>
      <c r="D495" s="9" t="s">
        <v>1232</v>
      </c>
      <c r="E495" s="54" t="n">
        <v>1.79</v>
      </c>
      <c r="F495" s="55" t="n">
        <f aca="false">Sensitivities!$W$49</f>
        <v>1.79352813969299</v>
      </c>
      <c r="G495" s="50" t="n">
        <f aca="false">IFERROR(IF(ISNUMBER(F495),F495-E495,"n/a"),"n/a")</f>
        <v>0.00352813969299359</v>
      </c>
      <c r="H495" s="51" t="n">
        <v>0.005000001</v>
      </c>
      <c r="I495" s="47" t="str">
        <f aca="false">IFERROR(IF(ISNUMBER(F495),IF(ABS(F495-E495)&lt;=H495,"PASS","FAIL"),"FAIL"),"FAIL")</f>
        <v>PASS</v>
      </c>
    </row>
    <row r="496" customFormat="false" ht="15" hidden="false" customHeight="false" outlineLevel="0" collapsed="false">
      <c r="B496" s="48" t="n">
        <v>487</v>
      </c>
      <c r="C496" s="9" t="s">
        <v>1079</v>
      </c>
      <c r="D496" s="9" t="s">
        <v>1233</v>
      </c>
      <c r="E496" s="52" t="n">
        <v>77.8</v>
      </c>
      <c r="F496" s="53" t="n">
        <f aca="false">Sensitivities!$I$50</f>
        <v>77.82288952</v>
      </c>
      <c r="G496" s="50" t="n">
        <f aca="false">IFERROR(IF(ISNUMBER(F496),F496-E496,"n/a"),"n/a")</f>
        <v>0.0228895200000068</v>
      </c>
      <c r="H496" s="51" t="n">
        <v>0.050000001</v>
      </c>
      <c r="I496" s="47" t="str">
        <f aca="false">IFERROR(IF(ISNUMBER(F496),IF(ABS(F496-E496)&lt;=H496,"PASS","FAIL"),"FAIL"),"FAIL")</f>
        <v>PASS</v>
      </c>
    </row>
    <row r="497" customFormat="false" ht="15" hidden="false" customHeight="false" outlineLevel="0" collapsed="false">
      <c r="B497" s="48" t="n">
        <v>488</v>
      </c>
      <c r="C497" s="9" t="s">
        <v>1079</v>
      </c>
      <c r="D497" s="9" t="s">
        <v>1234</v>
      </c>
      <c r="E497" s="52" t="n">
        <v>229.7</v>
      </c>
      <c r="F497" s="53" t="n">
        <f aca="false">Sensitivities!$J$50</f>
        <v>229.684737262957</v>
      </c>
      <c r="G497" s="50" t="n">
        <f aca="false">IFERROR(IF(ISNUMBER(F497),F497-E497,"n/a"),"n/a")</f>
        <v>-0.0152627370429173</v>
      </c>
      <c r="H497" s="51" t="n">
        <v>0.050000001</v>
      </c>
      <c r="I497" s="47" t="str">
        <f aca="false">IFERROR(IF(ISNUMBER(F497),IF(ABS(F497-E497)&lt;=H497,"PASS","FAIL"),"FAIL"),"FAIL")</f>
        <v>PASS</v>
      </c>
    </row>
    <row r="498" customFormat="false" ht="15" hidden="false" customHeight="false" outlineLevel="0" collapsed="false">
      <c r="B498" s="48" t="n">
        <v>489</v>
      </c>
      <c r="C498" s="9" t="s">
        <v>1079</v>
      </c>
      <c r="D498" s="9" t="s">
        <v>1235</v>
      </c>
      <c r="E498" s="52" t="n">
        <v>460.2</v>
      </c>
      <c r="F498" s="53" t="n">
        <f aca="false">Sensitivities!$M$50</f>
        <v>460.215178331843</v>
      </c>
      <c r="G498" s="50" t="n">
        <f aca="false">IFERROR(IF(ISNUMBER(F498),F498-E498,"n/a"),"n/a")</f>
        <v>0.0151783318429466</v>
      </c>
      <c r="H498" s="51" t="n">
        <v>0.050000001</v>
      </c>
      <c r="I498" s="47" t="str">
        <f aca="false">IFERROR(IF(ISNUMBER(F498),IF(ABS(F498-E498)&lt;=H498,"PASS","FAIL"),"FAIL"),"FAIL")</f>
        <v>PASS</v>
      </c>
    </row>
    <row r="499" customFormat="false" ht="15" hidden="false" customHeight="false" outlineLevel="0" collapsed="false">
      <c r="B499" s="48" t="n">
        <v>490</v>
      </c>
      <c r="C499" s="9" t="s">
        <v>1079</v>
      </c>
      <c r="D499" s="9" t="s">
        <v>1236</v>
      </c>
      <c r="E499" s="10" t="n">
        <v>0.1705</v>
      </c>
      <c r="F499" s="56" t="n">
        <f aca="false">Sensitivities!$X$50</f>
        <v>0.170484343544686</v>
      </c>
      <c r="G499" s="50" t="n">
        <f aca="false">IFERROR(IF(ISNUMBER(F499),F499-E499,"n/a"),"n/a")</f>
        <v>-1.56564553139005E-005</v>
      </c>
      <c r="H499" s="51" t="n">
        <v>5.0001E-005</v>
      </c>
      <c r="I499" s="47" t="str">
        <f aca="false">IFERROR(IF(ISNUMBER(F499),IF(ABS(F499-E499)&lt;=H499,"PASS","FAIL"),"FAIL"),"FAIL")</f>
        <v>PASS</v>
      </c>
    </row>
    <row r="500" customFormat="false" ht="15" hidden="false" customHeight="false" outlineLevel="0" collapsed="false">
      <c r="B500" s="48" t="n">
        <v>491</v>
      </c>
      <c r="C500" s="9" t="s">
        <v>1079</v>
      </c>
      <c r="D500" s="9" t="s">
        <v>1237</v>
      </c>
      <c r="E500" s="54" t="n">
        <v>2.2</v>
      </c>
      <c r="F500" s="55" t="n">
        <f aca="false">Sensitivities!$W$50</f>
        <v>2.19698982032648</v>
      </c>
      <c r="G500" s="50" t="n">
        <f aca="false">IFERROR(IF(ISNUMBER(F500),F500-E500,"n/a"),"n/a")</f>
        <v>-0.00301017967352291</v>
      </c>
      <c r="H500" s="51" t="n">
        <v>0.005000001</v>
      </c>
      <c r="I500" s="47" t="str">
        <f aca="false">IFERROR(IF(ISNUMBER(F500),IF(ABS(F500-E500)&lt;=H500,"PASS","FAIL"),"FAIL"),"FAIL")</f>
        <v>PASS</v>
      </c>
    </row>
    <row r="501" customFormat="false" ht="15" hidden="false" customHeight="false" outlineLevel="0" collapsed="false">
      <c r="B501" s="48" t="n">
        <v>492</v>
      </c>
      <c r="C501" s="9" t="s">
        <v>1079</v>
      </c>
      <c r="D501" s="9" t="s">
        <v>1238</v>
      </c>
      <c r="E501" s="52" t="n">
        <v>80.8</v>
      </c>
      <c r="F501" s="53" t="n">
        <f aca="false">Sensitivities!$I$51</f>
        <v>80.8158051008</v>
      </c>
      <c r="G501" s="50" t="n">
        <f aca="false">IFERROR(IF(ISNUMBER(F501),F501-E501,"n/a"),"n/a")</f>
        <v>0.0158051007999944</v>
      </c>
      <c r="H501" s="51" t="n">
        <v>0.050000001</v>
      </c>
      <c r="I501" s="47" t="str">
        <f aca="false">IFERROR(IF(ISNUMBER(F501),IF(ABS(F501-E501)&lt;=H501,"PASS","FAIL"),"FAIL"),"FAIL")</f>
        <v>PASS</v>
      </c>
    </row>
    <row r="502" customFormat="false" ht="15" hidden="false" customHeight="false" outlineLevel="0" collapsed="false">
      <c r="B502" s="48" t="n">
        <v>493</v>
      </c>
      <c r="C502" s="9" t="s">
        <v>1079</v>
      </c>
      <c r="D502" s="9" t="s">
        <v>1239</v>
      </c>
      <c r="E502" s="52" t="n">
        <v>198.4</v>
      </c>
      <c r="F502" s="53" t="n">
        <f aca="false">Sensitivities!$J$51</f>
        <v>198.371876130385</v>
      </c>
      <c r="G502" s="50" t="n">
        <f aca="false">IFERROR(IF(ISNUMBER(F502),F502-E502,"n/a"),"n/a")</f>
        <v>-0.028123869615257</v>
      </c>
      <c r="H502" s="51" t="n">
        <v>0.050000001</v>
      </c>
      <c r="I502" s="47" t="str">
        <f aca="false">IFERROR(IF(ISNUMBER(F502),IF(ABS(F502-E502)&lt;=H502,"PASS","FAIL"),"FAIL"),"FAIL")</f>
        <v>PASS</v>
      </c>
    </row>
    <row r="503" customFormat="false" ht="15" hidden="false" customHeight="false" outlineLevel="0" collapsed="false">
      <c r="B503" s="48" t="n">
        <v>494</v>
      </c>
      <c r="C503" s="9" t="s">
        <v>1079</v>
      </c>
      <c r="D503" s="9" t="s">
        <v>1240</v>
      </c>
      <c r="E503" s="52" t="n">
        <v>518.1</v>
      </c>
      <c r="F503" s="53" t="n">
        <f aca="false">Sensitivities!$M$51</f>
        <v>518.060236088207</v>
      </c>
      <c r="G503" s="50" t="n">
        <f aca="false">IFERROR(IF(ISNUMBER(F503),F503-E503,"n/a"),"n/a")</f>
        <v>-0.0397639117928748</v>
      </c>
      <c r="H503" s="51" t="n">
        <v>0.050000001</v>
      </c>
      <c r="I503" s="47" t="str">
        <f aca="false">IFERROR(IF(ISNUMBER(F503),IF(ABS(F503-E503)&lt;=H503,"PASS","FAIL"),"FAIL"),"FAIL")</f>
        <v>PASS</v>
      </c>
    </row>
    <row r="504" customFormat="false" ht="15" hidden="false" customHeight="false" outlineLevel="0" collapsed="false">
      <c r="B504" s="48" t="n">
        <v>495</v>
      </c>
      <c r="C504" s="9" t="s">
        <v>1079</v>
      </c>
      <c r="D504" s="9" t="s">
        <v>1241</v>
      </c>
      <c r="E504" s="10" t="n">
        <v>0.1621</v>
      </c>
      <c r="F504" s="56" t="n">
        <f aca="false">Sensitivities!$X$51</f>
        <v>0.162107580165833</v>
      </c>
      <c r="G504" s="50" t="n">
        <f aca="false">IFERROR(IF(ISNUMBER(F504),F504-E504,"n/a"),"n/a")</f>
        <v>7.58016583315979E-006</v>
      </c>
      <c r="H504" s="51" t="n">
        <v>5.0001E-005</v>
      </c>
      <c r="I504" s="47" t="str">
        <f aca="false">IFERROR(IF(ISNUMBER(F504),IF(ABS(F504-E504)&lt;=H504,"PASS","FAIL"),"FAIL"),"FAIL")</f>
        <v>PASS</v>
      </c>
    </row>
    <row r="505" customFormat="false" ht="15" hidden="false" customHeight="false" outlineLevel="0" collapsed="false">
      <c r="B505" s="48" t="n">
        <v>496</v>
      </c>
      <c r="C505" s="9" t="s">
        <v>1079</v>
      </c>
      <c r="D505" s="9" t="s">
        <v>1242</v>
      </c>
      <c r="E505" s="54" t="n">
        <v>2.46</v>
      </c>
      <c r="F505" s="55" t="n">
        <f aca="false">Sensitivities!$W$51</f>
        <v>2.46307708600575</v>
      </c>
      <c r="G505" s="50" t="n">
        <f aca="false">IFERROR(IF(ISNUMBER(F505),F505-E505,"n/a"),"n/a")</f>
        <v>0.00307708600575296</v>
      </c>
      <c r="H505" s="51" t="n">
        <v>0.005000001</v>
      </c>
      <c r="I505" s="47" t="str">
        <f aca="false">IFERROR(IF(ISNUMBER(F505),IF(ABS(F505-E505)&lt;=H505,"PASS","FAIL"),"FAIL"),"FAIL")</f>
        <v>PASS</v>
      </c>
    </row>
    <row r="506" customFormat="false" ht="15" hidden="false" customHeight="false" outlineLevel="0" collapsed="false">
      <c r="B506" s="48" t="n">
        <v>497</v>
      </c>
      <c r="C506" s="9" t="s">
        <v>1079</v>
      </c>
      <c r="D506" s="9" t="s">
        <v>1243</v>
      </c>
      <c r="E506" s="52" t="n">
        <v>83.9</v>
      </c>
      <c r="F506" s="53" t="n">
        <f aca="false">Sensitivities!$I$52</f>
        <v>83.928437304832</v>
      </c>
      <c r="G506" s="50" t="n">
        <f aca="false">IFERROR(IF(ISNUMBER(F506),F506-E506,"n/a"),"n/a")</f>
        <v>0.0284373048319821</v>
      </c>
      <c r="H506" s="51" t="n">
        <v>0.050000001</v>
      </c>
      <c r="I506" s="47" t="str">
        <f aca="false">IFERROR(IF(ISNUMBER(F506),IF(ABS(F506-E506)&lt;=H506,"PASS","FAIL"),"FAIL"),"FAIL")</f>
        <v>PASS</v>
      </c>
    </row>
    <row r="507" customFormat="false" ht="15" hidden="false" customHeight="false" outlineLevel="0" collapsed="false">
      <c r="B507" s="48" t="n">
        <v>498</v>
      </c>
      <c r="C507" s="9" t="s">
        <v>1079</v>
      </c>
      <c r="D507" s="9" t="s">
        <v>1244</v>
      </c>
      <c r="E507" s="52" t="n">
        <v>164.2</v>
      </c>
      <c r="F507" s="53" t="n">
        <f aca="false">Sensitivities!$J$52</f>
        <v>164.169930854169</v>
      </c>
      <c r="G507" s="50" t="n">
        <f aca="false">IFERROR(IF(ISNUMBER(F507),F507-E507,"n/a"),"n/a")</f>
        <v>-0.0300691458310496</v>
      </c>
      <c r="H507" s="51" t="n">
        <v>0.050000001</v>
      </c>
      <c r="I507" s="47" t="str">
        <f aca="false">IFERROR(IF(ISNUMBER(F507),IF(ABS(F507-E507)&lt;=H507,"PASS","FAIL"),"FAIL"),"FAIL")</f>
        <v>PASS</v>
      </c>
    </row>
    <row r="508" customFormat="false" ht="15" hidden="false" customHeight="false" outlineLevel="0" collapsed="false">
      <c r="B508" s="48" t="n">
        <v>499</v>
      </c>
      <c r="C508" s="9" t="s">
        <v>1079</v>
      </c>
      <c r="D508" s="9" t="s">
        <v>1245</v>
      </c>
      <c r="E508" s="52" t="n">
        <v>579.9</v>
      </c>
      <c r="F508" s="53" t="n">
        <f aca="false">Sensitivities!$M$52</f>
        <v>579.855665853167</v>
      </c>
      <c r="G508" s="50" t="n">
        <f aca="false">IFERROR(IF(ISNUMBER(F508),F508-E508,"n/a"),"n/a")</f>
        <v>-0.0443341468333074</v>
      </c>
      <c r="H508" s="51" t="n">
        <v>0.050000001</v>
      </c>
      <c r="I508" s="47" t="str">
        <f aca="false">IFERROR(IF(ISNUMBER(F508),IF(ABS(F508-E508)&lt;=H508,"PASS","FAIL"),"FAIL"),"FAIL")</f>
        <v>PASS</v>
      </c>
    </row>
    <row r="509" customFormat="false" ht="15" hidden="false" customHeight="false" outlineLevel="0" collapsed="false">
      <c r="B509" s="48" t="n">
        <v>500</v>
      </c>
      <c r="C509" s="9" t="s">
        <v>1079</v>
      </c>
      <c r="D509" s="9" t="s">
        <v>1246</v>
      </c>
      <c r="E509" s="10" t="n">
        <v>0.1553</v>
      </c>
      <c r="F509" s="56" t="n">
        <f aca="false">Sensitivities!$X$52</f>
        <v>0.155318383319837</v>
      </c>
      <c r="G509" s="50" t="n">
        <f aca="false">IFERROR(IF(ISNUMBER(F509),F509-E509,"n/a"),"n/a")</f>
        <v>1.83833198370564E-005</v>
      </c>
      <c r="H509" s="51" t="n">
        <v>5.0001E-005</v>
      </c>
      <c r="I509" s="47" t="str">
        <f aca="false">IFERROR(IF(ISNUMBER(F509),IF(ABS(F509-E509)&lt;=H509,"PASS","FAIL"),"FAIL"),"FAIL")</f>
        <v>PASS</v>
      </c>
    </row>
    <row r="510" customFormat="false" ht="15" hidden="false" customHeight="false" outlineLevel="0" collapsed="false">
      <c r="B510" s="48" t="n">
        <v>501</v>
      </c>
      <c r="C510" s="9" t="s">
        <v>1079</v>
      </c>
      <c r="D510" s="9" t="s">
        <v>1247</v>
      </c>
      <c r="E510" s="54" t="n">
        <v>2.75</v>
      </c>
      <c r="F510" s="55" t="n">
        <f aca="false">Sensitivities!$W$52</f>
        <v>2.74733606292457</v>
      </c>
      <c r="G510" s="50" t="n">
        <f aca="false">IFERROR(IF(ISNUMBER(F510),F510-E510,"n/a"),"n/a")</f>
        <v>-0.00266393707543333</v>
      </c>
      <c r="H510" s="51" t="n">
        <v>0.005000001</v>
      </c>
      <c r="I510" s="47" t="str">
        <f aca="false">IFERROR(IF(ISNUMBER(F510),IF(ABS(F510-E510)&lt;=H510,"PASS","FAIL"),"FAIL"),"FAIL")</f>
        <v>PASS</v>
      </c>
    </row>
    <row r="511" customFormat="false" ht="15" hidden="false" customHeight="false" outlineLevel="0" collapsed="false">
      <c r="B511" s="48" t="n">
        <v>502</v>
      </c>
      <c r="C511" s="9" t="s">
        <v>1079</v>
      </c>
      <c r="D511" s="9" t="s">
        <v>1248</v>
      </c>
      <c r="E511" s="49" t="n">
        <v>5</v>
      </c>
      <c r="F511" s="34" t="n">
        <f aca="false">Sensitivities!$D$53</f>
        <v>5</v>
      </c>
      <c r="G511" s="50" t="n">
        <f aca="false">IFERROR(IF(ISNUMBER(F511),F511-E511,"n/a"),"n/a")</f>
        <v>0</v>
      </c>
      <c r="H511" s="51" t="n">
        <v>0.500000001</v>
      </c>
      <c r="I511" s="47" t="str">
        <f aca="false">IFERROR(IF(ISNUMBER(F511),IF(ABS(F511-E511)&lt;=H511,"PASS","FAIL"),"FAIL"),"FAIL")</f>
        <v>PASS</v>
      </c>
    </row>
    <row r="512" customFormat="false" ht="15" hidden="false" customHeight="false" outlineLevel="0" collapsed="false">
      <c r="B512" s="48" t="n">
        <v>503</v>
      </c>
      <c r="C512" s="9" t="s">
        <v>1079</v>
      </c>
      <c r="D512" s="9" t="s">
        <v>1249</v>
      </c>
      <c r="E512" s="10" t="n">
        <v>0.0544</v>
      </c>
      <c r="F512" s="56" t="n">
        <f aca="false">Sensitivities!$X$48</f>
        <v>0.0544244109184953</v>
      </c>
      <c r="G512" s="50" t="n">
        <f aca="false">IFERROR(IF(ISNUMBER(F512),F512-E512,"n/a"),"n/a")</f>
        <v>2.44109184952615E-005</v>
      </c>
      <c r="H512" s="51" t="n">
        <v>5.0001E-005</v>
      </c>
      <c r="I512" s="47" t="str">
        <f aca="false">IFERROR(IF(ISNUMBER(F512),IF(ABS(F512-E512)&lt;=H512,"PASS","FAIL"),"FAIL"),"FAIL")</f>
        <v>PASS</v>
      </c>
    </row>
    <row r="513" customFormat="false" ht="15" hidden="false" customHeight="false" outlineLevel="0" collapsed="false">
      <c r="B513" s="48" t="n">
        <v>504</v>
      </c>
      <c r="C513" s="9" t="s">
        <v>1250</v>
      </c>
      <c r="D513" s="9" t="s">
        <v>1251</v>
      </c>
      <c r="E513" s="52" t="n">
        <v>9</v>
      </c>
      <c r="F513" s="53" t="n">
        <f aca="false">Assumptions!$D$131</f>
        <v>9</v>
      </c>
      <c r="G513" s="50" t="n">
        <f aca="false">IFERROR(IF(ISNUMBER(F513),F513-E513,"n/a"),"n/a")</f>
        <v>0</v>
      </c>
      <c r="H513" s="51" t="n">
        <v>0.050000001</v>
      </c>
      <c r="I513" s="47" t="str">
        <f aca="false">IFERROR(IF(ISNUMBER(F513),IF(ABS(F513-E513)&lt;=H513,"PASS","FAIL"),"FAIL"),"FAIL")</f>
        <v>PASS</v>
      </c>
    </row>
    <row r="514" customFormat="false" ht="15" hidden="false" customHeight="false" outlineLevel="0" collapsed="false">
      <c r="B514" s="48" t="n">
        <v>505</v>
      </c>
      <c r="C514" s="9" t="s">
        <v>1079</v>
      </c>
      <c r="D514" s="9" t="s">
        <v>1252</v>
      </c>
      <c r="E514" s="11" t="n">
        <v>0</v>
      </c>
      <c r="F514" s="25" t="n">
        <f aca="false">Sensitivities!$C$57</f>
        <v>0</v>
      </c>
      <c r="G514" s="50" t="n">
        <f aca="false">IFERROR(IF(ISNUMBER(F514),F514-E514,"n/a"),"n/a")</f>
        <v>0</v>
      </c>
      <c r="H514" s="51" t="n">
        <v>0.005000001</v>
      </c>
      <c r="I514" s="47" t="str">
        <f aca="false">IFERROR(IF(ISNUMBER(F514),IF(ABS(F514-E514)&lt;=H514,"PASS","FAIL"),"FAIL"),"FAIL")</f>
        <v>PASS</v>
      </c>
    </row>
    <row r="515" customFormat="false" ht="15" hidden="false" customHeight="false" outlineLevel="0" collapsed="false">
      <c r="B515" s="48" t="n">
        <v>506</v>
      </c>
      <c r="C515" s="9" t="s">
        <v>1079</v>
      </c>
      <c r="D515" s="9" t="s">
        <v>1253</v>
      </c>
      <c r="E515" s="21" t="n">
        <v>0.16</v>
      </c>
      <c r="F515" s="20" t="n">
        <f aca="false">Sensitivities!$D$57</f>
        <v>0.159525963647508</v>
      </c>
      <c r="G515" s="50" t="n">
        <f aca="false">IFERROR(IF(ISNUMBER(F515),F515-E515,"n/a"),"n/a")</f>
        <v>-0.000474036352492074</v>
      </c>
      <c r="H515" s="51" t="n">
        <v>0.000500001</v>
      </c>
      <c r="I515" s="47" t="str">
        <f aca="false">IFERROR(IF(ISNUMBER(F515),IF(ABS(F515-E515)&lt;=H515,"PASS","FAIL"),"FAIL"),"FAIL")</f>
        <v>PASS</v>
      </c>
    </row>
    <row r="516" customFormat="false" ht="15" hidden="false" customHeight="false" outlineLevel="0" collapsed="false">
      <c r="B516" s="48" t="n">
        <v>507</v>
      </c>
      <c r="C516" s="9" t="s">
        <v>1079</v>
      </c>
      <c r="D516" s="9" t="s">
        <v>1254</v>
      </c>
      <c r="E516" s="52" t="n">
        <v>70.8</v>
      </c>
      <c r="F516" s="53" t="n">
        <f aca="false">Sensitivities!$E$57</f>
        <v>70.7703205</v>
      </c>
      <c r="G516" s="50" t="n">
        <f aca="false">IFERROR(IF(ISNUMBER(F516),F516-E516,"n/a"),"n/a")</f>
        <v>-0.0296795000000003</v>
      </c>
      <c r="H516" s="51" t="n">
        <v>0.050000001</v>
      </c>
      <c r="I516" s="47" t="str">
        <f aca="false">IFERROR(IF(ISNUMBER(F516),IF(ABS(F516-E516)&lt;=H516,"PASS","FAIL"),"FAIL"),"FAIL")</f>
        <v>PASS</v>
      </c>
    </row>
    <row r="517" customFormat="false" ht="15" hidden="false" customHeight="false" outlineLevel="0" collapsed="false">
      <c r="B517" s="48" t="n">
        <v>508</v>
      </c>
      <c r="C517" s="9" t="s">
        <v>1079</v>
      </c>
      <c r="D517" s="9" t="s">
        <v>1255</v>
      </c>
      <c r="E517" s="10" t="n">
        <v>0.1284</v>
      </c>
      <c r="F517" s="56" t="n">
        <f aca="false">Sensitivities!$F$57</f>
        <v>0.128391866356015</v>
      </c>
      <c r="G517" s="50" t="n">
        <f aca="false">IFERROR(IF(ISNUMBER(F517),F517-E517,"n/a"),"n/a")</f>
        <v>-8.13364398505323E-006</v>
      </c>
      <c r="H517" s="51" t="n">
        <v>5.0001E-005</v>
      </c>
      <c r="I517" s="47" t="str">
        <f aca="false">IFERROR(IF(ISNUMBER(F517),IF(ABS(F517-E517)&lt;=H517,"PASS","FAIL"),"FAIL"),"FAIL")</f>
        <v>PASS</v>
      </c>
    </row>
    <row r="518" customFormat="false" ht="15" hidden="false" customHeight="false" outlineLevel="0" collapsed="false">
      <c r="B518" s="48" t="n">
        <v>509</v>
      </c>
      <c r="C518" s="9" t="s">
        <v>1079</v>
      </c>
      <c r="D518" s="9" t="s">
        <v>1256</v>
      </c>
      <c r="E518" s="54" t="n">
        <v>1.83</v>
      </c>
      <c r="F518" s="55" t="n">
        <f aca="false">Sensitivities!$G$57</f>
        <v>1.829362343565</v>
      </c>
      <c r="G518" s="50" t="n">
        <f aca="false">IFERROR(IF(ISNUMBER(F518),F518-E518,"n/a"),"n/a")</f>
        <v>-0.000637656434995471</v>
      </c>
      <c r="H518" s="51" t="n">
        <v>0.005000001</v>
      </c>
      <c r="I518" s="47" t="str">
        <f aca="false">IFERROR(IF(ISNUMBER(F518),IF(ABS(F518-E518)&lt;=H518,"PASS","FAIL"),"FAIL"),"FAIL")</f>
        <v>PASS</v>
      </c>
    </row>
    <row r="519" customFormat="false" ht="15" hidden="false" customHeight="false" outlineLevel="0" collapsed="false">
      <c r="B519" s="48" t="n">
        <v>510</v>
      </c>
      <c r="C519" s="9" t="s">
        <v>1079</v>
      </c>
      <c r="D519" s="9" t="s">
        <v>1257</v>
      </c>
      <c r="E519" s="54" t="n">
        <v>-0.63</v>
      </c>
      <c r="F519" s="55" t="n">
        <f aca="false">Sensitivities!$H$57</f>
        <v>-0.631861202674595</v>
      </c>
      <c r="G519" s="50" t="n">
        <f aca="false">IFERROR(IF(ISNUMBER(F519),F519-E519,"n/a"),"n/a")</f>
        <v>-0.00186120267459511</v>
      </c>
      <c r="H519" s="51" t="n">
        <v>0.005000001</v>
      </c>
      <c r="I519" s="47" t="str">
        <f aca="false">IFERROR(IF(ISNUMBER(F519),IF(ABS(F519-E519)&lt;=H519,"PASS","FAIL"),"FAIL"),"FAIL")</f>
        <v>PASS</v>
      </c>
    </row>
    <row r="520" customFormat="false" ht="15" hidden="false" customHeight="false" outlineLevel="0" collapsed="false">
      <c r="B520" s="48" t="n">
        <v>511</v>
      </c>
      <c r="C520" s="9" t="s">
        <v>1079</v>
      </c>
      <c r="D520" s="9" t="s">
        <v>1258</v>
      </c>
      <c r="E520" s="10" t="n">
        <v>0.1284</v>
      </c>
      <c r="F520" s="56" t="n">
        <f aca="false">Sensitivities!$F$57</f>
        <v>0.128391866356015</v>
      </c>
      <c r="G520" s="50" t="n">
        <f aca="false">IFERROR(IF(ISNUMBER(F520),F520-E520,"n/a"),"n/a")</f>
        <v>-8.13364398505323E-006</v>
      </c>
      <c r="H520" s="51" t="n">
        <v>5.0001E-005</v>
      </c>
      <c r="I520" s="47" t="str">
        <f aca="false">IFERROR(IF(ISNUMBER(F520),IF(ABS(F520-E520)&lt;=H520,"PASS","FAIL"),"FAIL"),"FAIL")</f>
        <v>PASS</v>
      </c>
    </row>
    <row r="521" customFormat="false" ht="15" hidden="false" customHeight="false" outlineLevel="0" collapsed="false">
      <c r="B521" s="48" t="n">
        <v>512</v>
      </c>
      <c r="C521" s="9" t="s">
        <v>1079</v>
      </c>
      <c r="D521" s="9" t="s">
        <v>1259</v>
      </c>
      <c r="E521" s="11" t="n">
        <v>0.5</v>
      </c>
      <c r="F521" s="25" t="n">
        <f aca="false">Sensitivities!$C$58</f>
        <v>0.5</v>
      </c>
      <c r="G521" s="50" t="n">
        <f aca="false">IFERROR(IF(ISNUMBER(F521),F521-E521,"n/a"),"n/a")</f>
        <v>0</v>
      </c>
      <c r="H521" s="51" t="n">
        <v>0.005000001</v>
      </c>
      <c r="I521" s="47" t="str">
        <f aca="false">IFERROR(IF(ISNUMBER(F521),IF(ABS(F521-E521)&lt;=H521,"PASS","FAIL"),"FAIL"),"FAIL")</f>
        <v>PASS</v>
      </c>
    </row>
    <row r="522" customFormat="false" ht="15" hidden="false" customHeight="false" outlineLevel="0" collapsed="false">
      <c r="B522" s="48" t="n">
        <v>513</v>
      </c>
      <c r="C522" s="9" t="s">
        <v>1079</v>
      </c>
      <c r="D522" s="9" t="s">
        <v>1260</v>
      </c>
      <c r="E522" s="21" t="n">
        <v>0.167</v>
      </c>
      <c r="F522" s="20" t="n">
        <f aca="false">Sensitivities!$D$58</f>
        <v>0.167474690325283</v>
      </c>
      <c r="G522" s="50" t="n">
        <f aca="false">IFERROR(IF(ISNUMBER(F522),F522-E522,"n/a"),"n/a")</f>
        <v>0.000474690325282828</v>
      </c>
      <c r="H522" s="51" t="n">
        <v>0.000500001</v>
      </c>
      <c r="I522" s="47" t="str">
        <f aca="false">IFERROR(IF(ISNUMBER(F522),IF(ABS(F522-E522)&lt;=H522,"PASS","FAIL"),"FAIL"),"FAIL")</f>
        <v>PASS</v>
      </c>
    </row>
    <row r="523" customFormat="false" ht="15" hidden="false" customHeight="false" outlineLevel="0" collapsed="false">
      <c r="B523" s="48" t="n">
        <v>514</v>
      </c>
      <c r="C523" s="9" t="s">
        <v>1079</v>
      </c>
      <c r="D523" s="9" t="s">
        <v>1261</v>
      </c>
      <c r="E523" s="52" t="n">
        <v>74.3</v>
      </c>
      <c r="F523" s="53" t="n">
        <f aca="false">Sensitivities!$E$58</f>
        <v>74.29660501</v>
      </c>
      <c r="G523" s="50" t="n">
        <f aca="false">IFERROR(IF(ISNUMBER(F523),F523-E523,"n/a"),"n/a")</f>
        <v>-0.00339499000000387</v>
      </c>
      <c r="H523" s="51" t="n">
        <v>0.050000001</v>
      </c>
      <c r="I523" s="47" t="str">
        <f aca="false">IFERROR(IF(ISNUMBER(F523),IF(ABS(F523-E523)&lt;=H523,"PASS","FAIL"),"FAIL"),"FAIL")</f>
        <v>PASS</v>
      </c>
    </row>
    <row r="524" customFormat="false" ht="15" hidden="false" customHeight="false" outlineLevel="0" collapsed="false">
      <c r="B524" s="48" t="n">
        <v>515</v>
      </c>
      <c r="C524" s="9" t="s">
        <v>1079</v>
      </c>
      <c r="D524" s="9" t="s">
        <v>1262</v>
      </c>
      <c r="E524" s="10" t="n">
        <v>0.153</v>
      </c>
      <c r="F524" s="56" t="n">
        <f aca="false">Sensitivities!$F$58</f>
        <v>0.153043445678605</v>
      </c>
      <c r="G524" s="50" t="n">
        <f aca="false">IFERROR(IF(ISNUMBER(F524),F524-E524,"n/a"),"n/a")</f>
        <v>4.34456786053417E-005</v>
      </c>
      <c r="H524" s="51" t="n">
        <v>5.0001E-005</v>
      </c>
      <c r="I524" s="47" t="str">
        <f aca="false">IFERROR(IF(ISNUMBER(F524),IF(ABS(F524-E524)&lt;=H524,"PASS","FAIL"),"FAIL"),"FAIL")</f>
        <v>PASS</v>
      </c>
    </row>
    <row r="525" customFormat="false" ht="15" hidden="false" customHeight="false" outlineLevel="0" collapsed="false">
      <c r="B525" s="48" t="n">
        <v>516</v>
      </c>
      <c r="C525" s="9" t="s">
        <v>1079</v>
      </c>
      <c r="D525" s="9" t="s">
        <v>1263</v>
      </c>
      <c r="E525" s="54" t="n">
        <v>2.04</v>
      </c>
      <c r="F525" s="55" t="n">
        <f aca="false">Sensitivities!$G$58</f>
        <v>2.03811346035853</v>
      </c>
      <c r="G525" s="50" t="n">
        <f aca="false">IFERROR(IF(ISNUMBER(F525),F525-E525,"n/a"),"n/a")</f>
        <v>-0.00188653964147489</v>
      </c>
      <c r="H525" s="51" t="n">
        <v>0.005000001</v>
      </c>
      <c r="I525" s="47" t="str">
        <f aca="false">IFERROR(IF(ISNUMBER(F525),IF(ABS(F525-E525)&lt;=H525,"PASS","FAIL"),"FAIL"),"FAIL")</f>
        <v>PASS</v>
      </c>
    </row>
    <row r="526" customFormat="false" ht="15" hidden="false" customHeight="false" outlineLevel="0" collapsed="false">
      <c r="B526" s="48" t="n">
        <v>517</v>
      </c>
      <c r="C526" s="9" t="s">
        <v>1079</v>
      </c>
      <c r="D526" s="9" t="s">
        <v>1264</v>
      </c>
      <c r="E526" s="54" t="n">
        <v>-0.23</v>
      </c>
      <c r="F526" s="55" t="n">
        <f aca="false">Sensitivities!$H$58</f>
        <v>-0.233547002847136</v>
      </c>
      <c r="G526" s="50" t="n">
        <f aca="false">IFERROR(IF(ISNUMBER(F526),F526-E526,"n/a"),"n/a")</f>
        <v>-0.00354700284713647</v>
      </c>
      <c r="H526" s="51" t="n">
        <v>0.005000001</v>
      </c>
      <c r="I526" s="47" t="str">
        <f aca="false">IFERROR(IF(ISNUMBER(F526),IF(ABS(F526-E526)&lt;=H526,"PASS","FAIL"),"FAIL"),"FAIL")</f>
        <v>PASS</v>
      </c>
    </row>
    <row r="527" customFormat="false" ht="15" hidden="false" customHeight="false" outlineLevel="0" collapsed="false">
      <c r="B527" s="48" t="n">
        <v>518</v>
      </c>
      <c r="C527" s="9" t="s">
        <v>1079</v>
      </c>
      <c r="D527" s="9" t="s">
        <v>1265</v>
      </c>
      <c r="E527" s="10" t="n">
        <v>0.153</v>
      </c>
      <c r="F527" s="56" t="n">
        <f aca="false">Sensitivities!$F$58</f>
        <v>0.153043445678605</v>
      </c>
      <c r="G527" s="50" t="n">
        <f aca="false">IFERROR(IF(ISNUMBER(F527),F527-E527,"n/a"),"n/a")</f>
        <v>4.34456786053417E-005</v>
      </c>
      <c r="H527" s="51" t="n">
        <v>5.0001E-005</v>
      </c>
      <c r="I527" s="47" t="str">
        <f aca="false">IFERROR(IF(ISNUMBER(F527),IF(ABS(F527-E527)&lt;=H527,"PASS","FAIL"),"FAIL"),"FAIL")</f>
        <v>PASS</v>
      </c>
    </row>
    <row r="528" customFormat="false" ht="15" hidden="false" customHeight="false" outlineLevel="0" collapsed="false">
      <c r="B528" s="48" t="n">
        <v>519</v>
      </c>
      <c r="C528" s="9" t="s">
        <v>1079</v>
      </c>
      <c r="D528" s="9" t="s">
        <v>1266</v>
      </c>
      <c r="E528" s="11" t="n">
        <v>1</v>
      </c>
      <c r="F528" s="25" t="n">
        <f aca="false">Sensitivities!$C$59</f>
        <v>1</v>
      </c>
      <c r="G528" s="50" t="n">
        <f aca="false">IFERROR(IF(ISNUMBER(F528),F528-E528,"n/a"),"n/a")</f>
        <v>0</v>
      </c>
      <c r="H528" s="51" t="n">
        <v>0.005000001</v>
      </c>
      <c r="I528" s="47" t="str">
        <f aca="false">IFERROR(IF(ISNUMBER(F528),IF(ABS(F528-E528)&lt;=H528,"PASS","FAIL"),"FAIL"),"FAIL")</f>
        <v>PASS</v>
      </c>
    </row>
    <row r="529" customFormat="false" ht="15" hidden="false" customHeight="false" outlineLevel="0" collapsed="false">
      <c r="B529" s="48" t="n">
        <v>520</v>
      </c>
      <c r="C529" s="9" t="s">
        <v>1079</v>
      </c>
      <c r="D529" s="9" t="s">
        <v>1267</v>
      </c>
      <c r="E529" s="21" t="n">
        <v>0.175</v>
      </c>
      <c r="F529" s="20" t="n">
        <f aca="false">Sensitivities!$D$59</f>
        <v>0.175423417003058</v>
      </c>
      <c r="G529" s="50" t="n">
        <f aca="false">IFERROR(IF(ISNUMBER(F529),F529-E529,"n/a"),"n/a")</f>
        <v>0.000423417003057786</v>
      </c>
      <c r="H529" s="51" t="n">
        <v>0.000500001</v>
      </c>
      <c r="I529" s="47" t="str">
        <f aca="false">IFERROR(IF(ISNUMBER(F529),IF(ABS(F529-E529)&lt;=H529,"PASS","FAIL"),"FAIL"),"FAIL")</f>
        <v>PASS</v>
      </c>
    </row>
    <row r="530" customFormat="false" ht="15" hidden="false" customHeight="false" outlineLevel="0" collapsed="false">
      <c r="B530" s="48" t="n">
        <v>521</v>
      </c>
      <c r="C530" s="9" t="s">
        <v>1079</v>
      </c>
      <c r="D530" s="9" t="s">
        <v>1268</v>
      </c>
      <c r="E530" s="52" t="n">
        <v>77.8</v>
      </c>
      <c r="F530" s="53" t="n">
        <f aca="false">Sensitivities!$E$59</f>
        <v>77.82288952</v>
      </c>
      <c r="G530" s="50" t="n">
        <f aca="false">IFERROR(IF(ISNUMBER(F530),F530-E530,"n/a"),"n/a")</f>
        <v>0.0228895200000068</v>
      </c>
      <c r="H530" s="51" t="n">
        <v>0.050000001</v>
      </c>
      <c r="I530" s="47" t="str">
        <f aca="false">IFERROR(IF(ISNUMBER(F530),IF(ABS(F530-E530)&lt;=H530,"PASS","FAIL"),"FAIL"),"FAIL")</f>
        <v>PASS</v>
      </c>
    </row>
    <row r="531" customFormat="false" ht="15" hidden="false" customHeight="false" outlineLevel="0" collapsed="false">
      <c r="B531" s="48" t="n">
        <v>522</v>
      </c>
      <c r="C531" s="9" t="s">
        <v>1079</v>
      </c>
      <c r="D531" s="9" t="s">
        <v>1269</v>
      </c>
      <c r="E531" s="10" t="n">
        <v>0.1705</v>
      </c>
      <c r="F531" s="56" t="n">
        <f aca="false">Sensitivities!$F$59</f>
        <v>0.170484343544686</v>
      </c>
      <c r="G531" s="50" t="n">
        <f aca="false">IFERROR(IF(ISNUMBER(F531),F531-E531,"n/a"),"n/a")</f>
        <v>-1.56564553139005E-005</v>
      </c>
      <c r="H531" s="51" t="n">
        <v>5.0001E-005</v>
      </c>
      <c r="I531" s="47" t="str">
        <f aca="false">IFERROR(IF(ISNUMBER(F531),IF(ABS(F531-E531)&lt;=H531,"PASS","FAIL"),"FAIL"),"FAIL")</f>
        <v>PASS</v>
      </c>
    </row>
    <row r="532" customFormat="false" ht="15" hidden="false" customHeight="false" outlineLevel="0" collapsed="false">
      <c r="B532" s="48" t="n">
        <v>523</v>
      </c>
      <c r="C532" s="9" t="s">
        <v>1079</v>
      </c>
      <c r="D532" s="9" t="s">
        <v>1270</v>
      </c>
      <c r="E532" s="54" t="n">
        <v>2.2</v>
      </c>
      <c r="F532" s="55" t="n">
        <f aca="false">Sensitivities!$G$59</f>
        <v>2.19698982032648</v>
      </c>
      <c r="G532" s="50" t="n">
        <f aca="false">IFERROR(IF(ISNUMBER(F532),F532-E532,"n/a"),"n/a")</f>
        <v>-0.00301017967352291</v>
      </c>
      <c r="H532" s="51" t="n">
        <v>0.005000001</v>
      </c>
      <c r="I532" s="47" t="str">
        <f aca="false">IFERROR(IF(ISNUMBER(F532),IF(ABS(F532-E532)&lt;=H532,"PASS","FAIL"),"FAIL"),"FAIL")</f>
        <v>PASS</v>
      </c>
    </row>
    <row r="533" customFormat="false" ht="15" hidden="false" customHeight="false" outlineLevel="0" collapsed="false">
      <c r="B533" s="48" t="n">
        <v>524</v>
      </c>
      <c r="C533" s="9" t="s">
        <v>1079</v>
      </c>
      <c r="D533" s="9" t="s">
        <v>1271</v>
      </c>
      <c r="E533" s="54" t="n">
        <v>0.12</v>
      </c>
      <c r="F533" s="55" t="n">
        <f aca="false">Sensitivities!$H$59</f>
        <v>0.122771617622552</v>
      </c>
      <c r="G533" s="50" t="n">
        <f aca="false">IFERROR(IF(ISNUMBER(F533),F533-E533,"n/a"),"n/a")</f>
        <v>0.0027716176225524</v>
      </c>
      <c r="H533" s="51" t="n">
        <v>0.005000001</v>
      </c>
      <c r="I533" s="47" t="str">
        <f aca="false">IFERROR(IF(ISNUMBER(F533),IF(ABS(F533-E533)&lt;=H533,"PASS","FAIL"),"FAIL"),"FAIL")</f>
        <v>PASS</v>
      </c>
    </row>
    <row r="534" customFormat="false" ht="15" hidden="false" customHeight="false" outlineLevel="0" collapsed="false">
      <c r="B534" s="48" t="n">
        <v>525</v>
      </c>
      <c r="C534" s="9" t="s">
        <v>1079</v>
      </c>
      <c r="D534" s="9" t="s">
        <v>1272</v>
      </c>
      <c r="E534" s="10" t="n">
        <v>0.1705</v>
      </c>
      <c r="F534" s="56" t="n">
        <f aca="false">Sensitivities!$F$59</f>
        <v>0.170484343544686</v>
      </c>
      <c r="G534" s="50" t="n">
        <f aca="false">IFERROR(IF(ISNUMBER(F534),F534-E534,"n/a"),"n/a")</f>
        <v>-1.56564553139005E-005</v>
      </c>
      <c r="H534" s="51" t="n">
        <v>5.0001E-005</v>
      </c>
      <c r="I534" s="47" t="str">
        <f aca="false">IFERROR(IF(ISNUMBER(F534),IF(ABS(F534-E534)&lt;=H534,"PASS","FAIL"),"FAIL"),"FAIL")</f>
        <v>PASS</v>
      </c>
    </row>
    <row r="535" customFormat="false" ht="15" hidden="false" customHeight="false" outlineLevel="0" collapsed="false">
      <c r="B535" s="48" t="n">
        <v>526</v>
      </c>
      <c r="C535" s="9" t="s">
        <v>1079</v>
      </c>
      <c r="D535" s="9" t="s">
        <v>1273</v>
      </c>
      <c r="E535" s="11" t="n">
        <v>1.5</v>
      </c>
      <c r="F535" s="25" t="n">
        <f aca="false">Sensitivities!$C$60</f>
        <v>1.5</v>
      </c>
      <c r="G535" s="50" t="n">
        <f aca="false">IFERROR(IF(ISNUMBER(F535),F535-E535,"n/a"),"n/a")</f>
        <v>0</v>
      </c>
      <c r="H535" s="51" t="n">
        <v>0.005000001</v>
      </c>
      <c r="I535" s="47" t="str">
        <f aca="false">IFERROR(IF(ISNUMBER(F535),IF(ABS(F535-E535)&lt;=H535,"PASS","FAIL"),"FAIL"),"FAIL")</f>
        <v>PASS</v>
      </c>
    </row>
    <row r="536" customFormat="false" ht="15" hidden="false" customHeight="false" outlineLevel="0" collapsed="false">
      <c r="B536" s="48" t="n">
        <v>527</v>
      </c>
      <c r="C536" s="9" t="s">
        <v>1079</v>
      </c>
      <c r="D536" s="9" t="s">
        <v>1274</v>
      </c>
      <c r="E536" s="21" t="n">
        <v>0.183</v>
      </c>
      <c r="F536" s="20" t="n">
        <f aca="false">Sensitivities!$D$60</f>
        <v>0.183372143680833</v>
      </c>
      <c r="G536" s="50" t="n">
        <f aca="false">IFERROR(IF(ISNUMBER(F536),F536-E536,"n/a"),"n/a")</f>
        <v>0.000372143680832715</v>
      </c>
      <c r="H536" s="51" t="n">
        <v>0.000500001</v>
      </c>
      <c r="I536" s="47" t="str">
        <f aca="false">IFERROR(IF(ISNUMBER(F536),IF(ABS(F536-E536)&lt;=H536,"PASS","FAIL"),"FAIL"),"FAIL")</f>
        <v>PASS</v>
      </c>
    </row>
    <row r="537" customFormat="false" ht="15" hidden="false" customHeight="false" outlineLevel="0" collapsed="false">
      <c r="B537" s="48" t="n">
        <v>528</v>
      </c>
      <c r="C537" s="9" t="s">
        <v>1079</v>
      </c>
      <c r="D537" s="9" t="s">
        <v>1275</v>
      </c>
      <c r="E537" s="52" t="n">
        <v>81.3</v>
      </c>
      <c r="F537" s="53" t="n">
        <f aca="false">Sensitivities!$E$60</f>
        <v>81.34917403</v>
      </c>
      <c r="G537" s="50" t="n">
        <f aca="false">IFERROR(IF(ISNUMBER(F537),F537-E537,"n/a"),"n/a")</f>
        <v>0.0491740300000174</v>
      </c>
      <c r="H537" s="51" t="n">
        <v>0.050000001</v>
      </c>
      <c r="I537" s="47" t="str">
        <f aca="false">IFERROR(IF(ISNUMBER(F537),IF(ABS(F537-E537)&lt;=H537,"PASS","FAIL"),"FAIL"),"FAIL")</f>
        <v>PASS</v>
      </c>
    </row>
    <row r="538" customFormat="false" ht="15" hidden="false" customHeight="false" outlineLevel="0" collapsed="false">
      <c r="B538" s="48" t="n">
        <v>529</v>
      </c>
      <c r="C538" s="9" t="s">
        <v>1079</v>
      </c>
      <c r="D538" s="9" t="s">
        <v>1276</v>
      </c>
      <c r="E538" s="10" t="n">
        <v>0.1909</v>
      </c>
      <c r="F538" s="56" t="n">
        <f aca="false">Sensitivities!$F$60</f>
        <v>0.190881161363862</v>
      </c>
      <c r="G538" s="50" t="n">
        <f aca="false">IFERROR(IF(ISNUMBER(F538),F538-E538,"n/a"),"n/a")</f>
        <v>-1.88386361380244E-005</v>
      </c>
      <c r="H538" s="51" t="n">
        <v>5.0001E-005</v>
      </c>
      <c r="I538" s="47" t="str">
        <f aca="false">IFERROR(IF(ISNUMBER(F538),IF(ABS(F538-E538)&lt;=H538,"PASS","FAIL"),"FAIL"),"FAIL")</f>
        <v>PASS</v>
      </c>
    </row>
    <row r="539" customFormat="false" ht="15" hidden="false" customHeight="false" outlineLevel="0" collapsed="false">
      <c r="B539" s="48" t="n">
        <v>530</v>
      </c>
      <c r="C539" s="9" t="s">
        <v>1079</v>
      </c>
      <c r="D539" s="9" t="s">
        <v>1277</v>
      </c>
      <c r="E539" s="54" t="n">
        <v>2.4</v>
      </c>
      <c r="F539" s="55" t="n">
        <f aca="false">Sensitivities!$G$60</f>
        <v>2.3952018910973</v>
      </c>
      <c r="G539" s="50" t="n">
        <f aca="false">IFERROR(IF(ISNUMBER(F539),F539-E539,"n/a"),"n/a")</f>
        <v>-0.00479810890270116</v>
      </c>
      <c r="H539" s="51" t="n">
        <v>0.005000001</v>
      </c>
      <c r="I539" s="47" t="str">
        <f aca="false">IFERROR(IF(ISNUMBER(F539),IF(ABS(F539-E539)&lt;=H539,"PASS","FAIL"),"FAIL"),"FAIL")</f>
        <v>PASS</v>
      </c>
    </row>
    <row r="540" customFormat="false" ht="15" hidden="false" customHeight="false" outlineLevel="0" collapsed="false">
      <c r="B540" s="48" t="n">
        <v>531</v>
      </c>
      <c r="C540" s="9" t="s">
        <v>1079</v>
      </c>
      <c r="D540" s="9" t="s">
        <v>1278</v>
      </c>
      <c r="E540" s="54" t="n">
        <v>0.44</v>
      </c>
      <c r="F540" s="55" t="n">
        <f aca="false">Sensitivities!$H$60</f>
        <v>0.443588492331263</v>
      </c>
      <c r="G540" s="50" t="n">
        <f aca="false">IFERROR(IF(ISNUMBER(F540),F540-E540,"n/a"),"n/a")</f>
        <v>0.00358849233126296</v>
      </c>
      <c r="H540" s="51" t="n">
        <v>0.005000001</v>
      </c>
      <c r="I540" s="47" t="str">
        <f aca="false">IFERROR(IF(ISNUMBER(F540),IF(ABS(F540-E540)&lt;=H540,"PASS","FAIL"),"FAIL"),"FAIL")</f>
        <v>PASS</v>
      </c>
    </row>
    <row r="541" customFormat="false" ht="15" hidden="false" customHeight="false" outlineLevel="0" collapsed="false">
      <c r="B541" s="48" t="n">
        <v>532</v>
      </c>
      <c r="C541" s="9" t="s">
        <v>1079</v>
      </c>
      <c r="D541" s="9" t="s">
        <v>1279</v>
      </c>
      <c r="E541" s="10" t="n">
        <v>0.1909</v>
      </c>
      <c r="F541" s="56" t="n">
        <f aca="false">Sensitivities!$F$60</f>
        <v>0.190881161363862</v>
      </c>
      <c r="G541" s="50" t="n">
        <f aca="false">IFERROR(IF(ISNUMBER(F541),F541-E541,"n/a"),"n/a")</f>
        <v>-1.88386361380244E-005</v>
      </c>
      <c r="H541" s="51" t="n">
        <v>5.0001E-005</v>
      </c>
      <c r="I541" s="47" t="str">
        <f aca="false">IFERROR(IF(ISNUMBER(F541),IF(ABS(F541-E541)&lt;=H541,"PASS","FAIL"),"FAIL"),"FAIL")</f>
        <v>PASS</v>
      </c>
    </row>
    <row r="542" customFormat="false" ht="15" hidden="false" customHeight="false" outlineLevel="0" collapsed="false">
      <c r="B542" s="48" t="n">
        <v>533</v>
      </c>
      <c r="C542" s="9" t="s">
        <v>1079</v>
      </c>
      <c r="D542" s="9" t="s">
        <v>1280</v>
      </c>
      <c r="E542" s="10" t="n">
        <v>0.0421</v>
      </c>
      <c r="F542" s="56" t="n">
        <f aca="false">Sensitivities!$D$61</f>
        <v>0.0420924771886712</v>
      </c>
      <c r="G542" s="50" t="n">
        <f aca="false">IFERROR(IF(ISNUMBER(F542),F542-E542,"n/a"),"n/a")</f>
        <v>-7.52281132881949E-006</v>
      </c>
      <c r="H542" s="51" t="n">
        <v>5.0001E-005</v>
      </c>
      <c r="I542" s="47" t="str">
        <f aca="false">IFERROR(IF(ISNUMBER(F542),IF(ABS(F542-E542)&lt;=H542,"PASS","FAIL"),"FAIL"),"FAIL")</f>
        <v>PASS</v>
      </c>
    </row>
    <row r="543" customFormat="false" ht="15" hidden="false" customHeight="false" outlineLevel="0" collapsed="false">
      <c r="B543" s="48" t="n">
        <v>534</v>
      </c>
      <c r="C543" s="9" t="s">
        <v>1079</v>
      </c>
      <c r="D543" s="9" t="s">
        <v>1281</v>
      </c>
      <c r="E543" s="10" t="n">
        <v>0.0421</v>
      </c>
      <c r="F543" s="56" t="n">
        <f aca="false">Sensitivities!$D$61</f>
        <v>0.0420924771886712</v>
      </c>
      <c r="G543" s="50" t="n">
        <f aca="false">IFERROR(IF(ISNUMBER(F543),F543-E543,"n/a"),"n/a")</f>
        <v>-7.52281132881949E-006</v>
      </c>
      <c r="H543" s="51" t="n">
        <v>5.0001E-005</v>
      </c>
      <c r="I543" s="47" t="str">
        <f aca="false">IFERROR(IF(ISNUMBER(F543),IF(ABS(F543-E543)&lt;=H543,"PASS","FAIL"),"FAIL"),"FAIL")</f>
        <v>PASS</v>
      </c>
    </row>
    <row r="544" customFormat="false" ht="15" hidden="false" customHeight="false" outlineLevel="0" collapsed="false">
      <c r="B544" s="48" t="n">
        <v>535</v>
      </c>
      <c r="C544" s="9" t="s">
        <v>1079</v>
      </c>
      <c r="D544" s="9" t="s">
        <v>1282</v>
      </c>
      <c r="E544" s="52" t="n">
        <v>7.5</v>
      </c>
      <c r="F544" s="53" t="n">
        <f aca="false">Sensitivities!$D$64</f>
        <v>7.5</v>
      </c>
      <c r="G544" s="50" t="n">
        <f aca="false">IFERROR(IF(ISNUMBER(F544),F544-E544,"n/a"),"n/a")</f>
        <v>0</v>
      </c>
      <c r="H544" s="51" t="n">
        <v>0.050000001</v>
      </c>
      <c r="I544" s="47" t="str">
        <f aca="false">IFERROR(IF(ISNUMBER(F544),IF(ABS(F544-E544)&lt;=H544,"PASS","FAIL"),"FAIL"),"FAIL")</f>
        <v>PASS</v>
      </c>
    </row>
    <row r="545" customFormat="false" ht="15" hidden="false" customHeight="false" outlineLevel="0" collapsed="false">
      <c r="B545" s="48" t="n">
        <v>536</v>
      </c>
      <c r="C545" s="9" t="s">
        <v>1079</v>
      </c>
      <c r="D545" s="9" t="s">
        <v>1283</v>
      </c>
      <c r="E545" s="52" t="n">
        <v>74.3</v>
      </c>
      <c r="F545" s="53" t="n">
        <f aca="false">Sensitivities!$D$66</f>
        <v>74.29660501</v>
      </c>
      <c r="G545" s="50" t="n">
        <f aca="false">IFERROR(IF(ISNUMBER(F545),F545-E545,"n/a"),"n/a")</f>
        <v>-0.00339499000000387</v>
      </c>
      <c r="H545" s="51" t="n">
        <v>0.050000001</v>
      </c>
      <c r="I545" s="47" t="str">
        <f aca="false">IFERROR(IF(ISNUMBER(F545),IF(ABS(F545-E545)&lt;=H545,"PASS","FAIL"),"FAIL"),"FAIL")</f>
        <v>PASS</v>
      </c>
    </row>
    <row r="546" customFormat="false" ht="15" hidden="false" customHeight="false" outlineLevel="0" collapsed="false">
      <c r="B546" s="48" t="n">
        <v>537</v>
      </c>
      <c r="C546" s="9" t="s">
        <v>1079</v>
      </c>
      <c r="D546" s="9" t="s">
        <v>1284</v>
      </c>
      <c r="E546" s="52" t="n">
        <v>306.9</v>
      </c>
      <c r="F546" s="53" t="n">
        <f aca="false">Sensitivities!$D$67</f>
        <v>306.876531737765</v>
      </c>
      <c r="G546" s="50" t="n">
        <f aca="false">IFERROR(IF(ISNUMBER(F546),F546-E546,"n/a"),"n/a")</f>
        <v>-0.0234682622349283</v>
      </c>
      <c r="H546" s="51" t="n">
        <v>0.050000001</v>
      </c>
      <c r="I546" s="47" t="str">
        <f aca="false">IFERROR(IF(ISNUMBER(F546),IF(ABS(F546-E546)&lt;=H546,"PASS","FAIL"),"FAIL"),"FAIL")</f>
        <v>PASS</v>
      </c>
    </row>
    <row r="547" customFormat="false" ht="15" hidden="false" customHeight="false" outlineLevel="0" collapsed="false">
      <c r="B547" s="48" t="n">
        <v>538</v>
      </c>
      <c r="C547" s="9" t="s">
        <v>1079</v>
      </c>
      <c r="D547" s="9" t="s">
        <v>1285</v>
      </c>
      <c r="E547" s="10" t="n">
        <v>0.0862</v>
      </c>
      <c r="F547" s="56" t="n">
        <f aca="false">Sensitivities!$D$68</f>
        <v>0.0862181687729054</v>
      </c>
      <c r="G547" s="50" t="n">
        <f aca="false">IFERROR(IF(ISNUMBER(F547),F547-E547,"n/a"),"n/a")</f>
        <v>1.81687729054331E-005</v>
      </c>
      <c r="H547" s="51" t="n">
        <v>5.0001E-005</v>
      </c>
      <c r="I547" s="47" t="str">
        <f aca="false">IFERROR(IF(ISNUMBER(F547),IF(ABS(F547-E547)&lt;=H547,"PASS","FAIL"),"FAIL"),"FAIL")</f>
        <v>PASS</v>
      </c>
    </row>
    <row r="548" customFormat="false" ht="15" hidden="false" customHeight="false" outlineLevel="0" collapsed="false">
      <c r="B548" s="48" t="n">
        <v>539</v>
      </c>
      <c r="C548" s="9" t="s">
        <v>1079</v>
      </c>
      <c r="D548" s="9" t="s">
        <v>1286</v>
      </c>
      <c r="E548" s="54" t="n">
        <v>1.51</v>
      </c>
      <c r="F548" s="55" t="n">
        <f aca="false">Sensitivities!$D$69</f>
        <v>1.51211671457679</v>
      </c>
      <c r="G548" s="50" t="n">
        <f aca="false">IFERROR(IF(ISNUMBER(F548),F548-E548,"n/a"),"n/a")</f>
        <v>0.00211671457679108</v>
      </c>
      <c r="H548" s="51" t="n">
        <v>0.005000001</v>
      </c>
      <c r="I548" s="47" t="str">
        <f aca="false">IFERROR(IF(ISNUMBER(F548),IF(ABS(F548-E548)&lt;=H548,"PASS","FAIL"),"FAIL"),"FAIL")</f>
        <v>PASS</v>
      </c>
    </row>
    <row r="549" customFormat="false" ht="15" hidden="false" customHeight="false" outlineLevel="0" collapsed="false">
      <c r="B549" s="48" t="n">
        <v>540</v>
      </c>
      <c r="C549" s="9" t="s">
        <v>1079</v>
      </c>
      <c r="D549" s="9" t="s">
        <v>1287</v>
      </c>
      <c r="E549" s="54" t="n">
        <v>0.23</v>
      </c>
      <c r="F549" s="55" t="n">
        <f aca="false">Sensitivities!$D$70</f>
        <v>0.233547002847136</v>
      </c>
      <c r="G549" s="50" t="n">
        <f aca="false">IFERROR(IF(ISNUMBER(F549),F549-E549,"n/a"),"n/a")</f>
        <v>0.00354700284713647</v>
      </c>
      <c r="H549" s="51" t="n">
        <v>0.005000001</v>
      </c>
      <c r="I549" s="47" t="str">
        <f aca="false">IFERROR(IF(ISNUMBER(F549),IF(ABS(F549-E549)&lt;=H549,"PASS","FAIL"),"FAIL"),"FAIL")</f>
        <v>PASS</v>
      </c>
    </row>
    <row r="550" customFormat="false" ht="15" hidden="false" customHeight="false" outlineLevel="0" collapsed="false">
      <c r="B550" s="48" t="n">
        <v>541</v>
      </c>
      <c r="C550" s="9" t="s">
        <v>1079</v>
      </c>
      <c r="D550" s="9" t="s">
        <v>1288</v>
      </c>
      <c r="E550" s="52" t="n">
        <v>7.5</v>
      </c>
      <c r="F550" s="53" t="n">
        <f aca="false">Sensitivities!$D$64</f>
        <v>7.5</v>
      </c>
      <c r="G550" s="50" t="n">
        <f aca="false">IFERROR(IF(ISNUMBER(F550),F550-E550,"n/a"),"n/a")</f>
        <v>0</v>
      </c>
      <c r="H550" s="51" t="n">
        <v>0.050000001</v>
      </c>
      <c r="I550" s="47" t="str">
        <f aca="false">IFERROR(IF(ISNUMBER(F550),IF(ABS(F550-E550)&lt;=H550,"PASS","FAIL"),"FAIL"),"FAIL")</f>
        <v>PASS</v>
      </c>
    </row>
    <row r="551" customFormat="false" ht="15" hidden="false" customHeight="false" outlineLevel="0" collapsed="false">
      <c r="B551" s="48" t="n">
        <v>542</v>
      </c>
      <c r="C551" s="9" t="s">
        <v>1079</v>
      </c>
      <c r="D551" s="9" t="s">
        <v>1289</v>
      </c>
      <c r="E551" s="54" t="n">
        <v>1.51</v>
      </c>
      <c r="F551" s="55" t="n">
        <f aca="false">Sensitivities!$D$69</f>
        <v>1.51211671457679</v>
      </c>
      <c r="G551" s="50" t="n">
        <f aca="false">IFERROR(IF(ISNUMBER(F551),F551-E551,"n/a"),"n/a")</f>
        <v>0.00211671457679108</v>
      </c>
      <c r="H551" s="51" t="n">
        <v>0.005000001</v>
      </c>
      <c r="I551" s="47" t="str">
        <f aca="false">IFERROR(IF(ISNUMBER(F551),IF(ABS(F551-E551)&lt;=H551,"PASS","FAIL"),"FAIL"),"FAIL")</f>
        <v>PASS</v>
      </c>
    </row>
    <row r="552" customFormat="false" ht="15" hidden="false" customHeight="false" outlineLevel="0" collapsed="false">
      <c r="B552" s="48" t="n">
        <v>543</v>
      </c>
      <c r="C552" s="9" t="s">
        <v>1079</v>
      </c>
      <c r="D552" s="9" t="s">
        <v>1290</v>
      </c>
      <c r="E552" s="54" t="n">
        <v>8.7</v>
      </c>
      <c r="F552" s="55" t="n">
        <f aca="false">Sensitivities!$D$71</f>
        <v>8.69565217391304</v>
      </c>
      <c r="G552" s="50" t="n">
        <f aca="false">IFERROR(IF(ISNUMBER(F552),F552-E552,"n/a"),"n/a")</f>
        <v>-0.00434782608695628</v>
      </c>
      <c r="H552" s="51" t="n">
        <v>0.005000001</v>
      </c>
      <c r="I552" s="47" t="str">
        <f aca="false">IFERROR(IF(ISNUMBER(F552),IF(ABS(F552-E552)&lt;=H552,"PASS","FAIL"),"FAIL"),"FAIL")</f>
        <v>PASS</v>
      </c>
    </row>
    <row r="553" customFormat="false" ht="15" hidden="false" customHeight="false" outlineLevel="0" collapsed="false">
      <c r="B553" s="48" t="n">
        <v>544</v>
      </c>
      <c r="C553" s="9" t="s">
        <v>1079</v>
      </c>
      <c r="D553" s="9" t="s">
        <v>1291</v>
      </c>
      <c r="E553" s="52" t="n">
        <v>19.6</v>
      </c>
      <c r="F553" s="53" t="n">
        <f aca="false">Sensitivities!$D$72</f>
        <v>19.5743559681748</v>
      </c>
      <c r="G553" s="50" t="n">
        <f aca="false">IFERROR(IF(ISNUMBER(F553),F553-E553,"n/a"),"n/a")</f>
        <v>-0.0256440318252125</v>
      </c>
      <c r="H553" s="51" t="n">
        <v>0.050000001</v>
      </c>
      <c r="I553" s="47" t="str">
        <f aca="false">IFERROR(IF(ISNUMBER(F553),IF(ABS(F553-E553)&lt;=H553,"PASS","FAIL"),"FAIL"),"FAIL")</f>
        <v>PASS</v>
      </c>
    </row>
    <row r="554" customFormat="false" ht="15" hidden="false" customHeight="false" outlineLevel="0" collapsed="false">
      <c r="B554" s="48" t="n">
        <v>545</v>
      </c>
      <c r="C554" s="9" t="s">
        <v>1079</v>
      </c>
      <c r="D554" s="9" t="s">
        <v>1292</v>
      </c>
      <c r="E554" s="52" t="n">
        <v>7.6</v>
      </c>
      <c r="F554" s="53" t="n">
        <f aca="false">Sensitivities!$D$73</f>
        <v>7.60708294614957</v>
      </c>
      <c r="G554" s="50" t="n">
        <f aca="false">IFERROR(IF(ISNUMBER(F554),F554-E554,"n/a"),"n/a")</f>
        <v>0.00708294614957161</v>
      </c>
      <c r="H554" s="51" t="n">
        <v>0.050000001</v>
      </c>
      <c r="I554" s="47" t="str">
        <f aca="false">IFERROR(IF(ISNUMBER(F554),IF(ABS(F554-E554)&lt;=H554,"PASS","FAIL"),"FAIL"),"FAIL")</f>
        <v>PASS</v>
      </c>
    </row>
    <row r="555" customFormat="false" ht="15" hidden="false" customHeight="false" outlineLevel="0" collapsed="false">
      <c r="B555" s="48" t="n">
        <v>546</v>
      </c>
      <c r="C555" s="9" t="s">
        <v>1250</v>
      </c>
      <c r="D555" s="9" t="s">
        <v>1293</v>
      </c>
      <c r="E555" s="52" t="n">
        <v>2</v>
      </c>
      <c r="F555" s="53" t="n">
        <f aca="false">Assumptions!$D$110</f>
        <v>2</v>
      </c>
      <c r="G555" s="50" t="n">
        <f aca="false">IFERROR(IF(ISNUMBER(F555),F555-E555,"n/a"),"n/a")</f>
        <v>0</v>
      </c>
      <c r="H555" s="51" t="n">
        <v>0.050000001</v>
      </c>
      <c r="I555" s="47" t="str">
        <f aca="false">IFERROR(IF(ISNUMBER(F555),IF(ABS(F555-E555)&lt;=H555,"PASS","FAIL"),"FAIL"),"FAIL")</f>
        <v>PASS</v>
      </c>
    </row>
    <row r="556" customFormat="false" ht="30" hidden="false" customHeight="true" outlineLevel="0" collapsed="false">
      <c r="B556" s="48" t="n">
        <v>547</v>
      </c>
      <c r="C556" s="9" t="s">
        <v>1079</v>
      </c>
      <c r="D556" s="37" t="s">
        <v>1294</v>
      </c>
      <c r="E556" s="59" t="s">
        <v>784</v>
      </c>
      <c r="F556" s="60" t="str">
        <f aca="false">IFERROR(IF(AND(Case_Downside!$D$194&lt;Assumptions!$D$110,ABS(Case_Downside!$D$197-0.5*Case_Downside!$D$191)&lt;0.000001),"holds","does not hold"),"error")</f>
        <v>holds</v>
      </c>
      <c r="G556" s="9"/>
      <c r="H556" s="9"/>
      <c r="I556" s="47" t="str">
        <f aca="false">IFERROR(IF(AND(Case_Downside!$D$194&lt;Assumptions!$D$110,ABS(Case_Downside!$D$197-0.5*Case_Downside!$D$191)&lt;0.000001),"PASS","FAIL"),"FAIL")</f>
        <v>PASS</v>
      </c>
    </row>
    <row r="557" customFormat="false" ht="15" hidden="false" customHeight="false" outlineLevel="0" collapsed="false">
      <c r="B557" s="48" t="n">
        <v>548</v>
      </c>
      <c r="C557" s="9" t="s">
        <v>1079</v>
      </c>
      <c r="D557" s="9" t="s">
        <v>1295</v>
      </c>
      <c r="E557" s="52" t="n">
        <v>7</v>
      </c>
      <c r="F557" s="53" t="n">
        <f aca="false">Sensitivities!$C$103</f>
        <v>7</v>
      </c>
      <c r="G557" s="50" t="n">
        <f aca="false">IFERROR(IF(ISNUMBER(F557),F557-E557,"n/a"),"n/a")</f>
        <v>0</v>
      </c>
      <c r="H557" s="51" t="n">
        <v>0.050000001</v>
      </c>
      <c r="I557" s="47" t="str">
        <f aca="false">IFERROR(IF(ISNUMBER(F557),IF(ABS(F557-E557)&lt;=H557,"PASS","FAIL"),"FAIL"),"FAIL")</f>
        <v>PASS</v>
      </c>
    </row>
    <row r="558" customFormat="false" ht="15" hidden="false" customHeight="false" outlineLevel="0" collapsed="false">
      <c r="B558" s="48" t="n">
        <v>549</v>
      </c>
      <c r="C558" s="9" t="s">
        <v>1079</v>
      </c>
      <c r="D558" s="9" t="s">
        <v>1296</v>
      </c>
      <c r="E558" s="52" t="n">
        <v>8</v>
      </c>
      <c r="F558" s="53" t="n">
        <f aca="false">Sensitivities!$D$103</f>
        <v>8</v>
      </c>
      <c r="G558" s="50" t="n">
        <f aca="false">IFERROR(IF(ISNUMBER(F558),F558-E558,"n/a"),"n/a")</f>
        <v>0</v>
      </c>
      <c r="H558" s="51" t="n">
        <v>0.050000001</v>
      </c>
      <c r="I558" s="47" t="str">
        <f aca="false">IFERROR(IF(ISNUMBER(F558),IF(ABS(F558-E558)&lt;=H558,"PASS","FAIL"),"FAIL"),"FAIL")</f>
        <v>PASS</v>
      </c>
    </row>
    <row r="559" customFormat="false" ht="15" hidden="false" customHeight="false" outlineLevel="0" collapsed="false">
      <c r="B559" s="48" t="n">
        <v>550</v>
      </c>
      <c r="C559" s="9" t="s">
        <v>1079</v>
      </c>
      <c r="D559" s="9" t="s">
        <v>1297</v>
      </c>
      <c r="E559" s="52" t="n">
        <v>9</v>
      </c>
      <c r="F559" s="53" t="n">
        <f aca="false">Sensitivities!$E$103</f>
        <v>9</v>
      </c>
      <c r="G559" s="50" t="n">
        <f aca="false">IFERROR(IF(ISNUMBER(F559),F559-E559,"n/a"),"n/a")</f>
        <v>0</v>
      </c>
      <c r="H559" s="51" t="n">
        <v>0.050000001</v>
      </c>
      <c r="I559" s="47" t="str">
        <f aca="false">IFERROR(IF(ISNUMBER(F559),IF(ABS(F559-E559)&lt;=H559,"PASS","FAIL"),"FAIL"),"FAIL")</f>
        <v>PASS</v>
      </c>
    </row>
    <row r="560" customFormat="false" ht="15" hidden="false" customHeight="false" outlineLevel="0" collapsed="false">
      <c r="B560" s="48" t="n">
        <v>551</v>
      </c>
      <c r="C560" s="9" t="s">
        <v>1079</v>
      </c>
      <c r="D560" s="9" t="s">
        <v>1298</v>
      </c>
      <c r="E560" s="52" t="n">
        <v>10</v>
      </c>
      <c r="F560" s="53" t="n">
        <f aca="false">Sensitivities!$F$103</f>
        <v>10</v>
      </c>
      <c r="G560" s="50" t="n">
        <f aca="false">IFERROR(IF(ISNUMBER(F560),F560-E560,"n/a"),"n/a")</f>
        <v>0</v>
      </c>
      <c r="H560" s="51" t="n">
        <v>0.050000001</v>
      </c>
      <c r="I560" s="47" t="str">
        <f aca="false">IFERROR(IF(ISNUMBER(F560),IF(ABS(F560-E560)&lt;=H560,"PASS","FAIL"),"FAIL"),"FAIL")</f>
        <v>PASS</v>
      </c>
    </row>
    <row r="561" customFormat="false" ht="15" hidden="false" customHeight="false" outlineLevel="0" collapsed="false">
      <c r="B561" s="48" t="n">
        <v>552</v>
      </c>
      <c r="C561" s="9" t="s">
        <v>1079</v>
      </c>
      <c r="D561" s="9" t="s">
        <v>1299</v>
      </c>
      <c r="E561" s="52" t="n">
        <v>11</v>
      </c>
      <c r="F561" s="53" t="n">
        <f aca="false">Sensitivities!$G$103</f>
        <v>11</v>
      </c>
      <c r="G561" s="50" t="n">
        <f aca="false">IFERROR(IF(ISNUMBER(F561),F561-E561,"n/a"),"n/a")</f>
        <v>0</v>
      </c>
      <c r="H561" s="51" t="n">
        <v>0.050000001</v>
      </c>
      <c r="I561" s="47" t="str">
        <f aca="false">IFERROR(IF(ISNUMBER(F561),IF(ABS(F561-E561)&lt;=H561,"PASS","FAIL"),"FAIL"),"FAIL")</f>
        <v>PASS</v>
      </c>
    </row>
    <row r="562" customFormat="false" ht="15" hidden="false" customHeight="false" outlineLevel="0" collapsed="false">
      <c r="B562" s="48" t="n">
        <v>553</v>
      </c>
      <c r="C562" s="9" t="s">
        <v>1079</v>
      </c>
      <c r="D562" s="9" t="s">
        <v>1300</v>
      </c>
      <c r="E562" s="52" t="n">
        <v>8</v>
      </c>
      <c r="F562" s="53" t="n">
        <f aca="false">Sensitivities!$B$104</f>
        <v>8</v>
      </c>
      <c r="G562" s="50" t="n">
        <f aca="false">IFERROR(IF(ISNUMBER(F562),F562-E562,"n/a"),"n/a")</f>
        <v>0</v>
      </c>
      <c r="H562" s="51" t="n">
        <v>0.050000001</v>
      </c>
      <c r="I562" s="47" t="str">
        <f aca="false">IFERROR(IF(ISNUMBER(F562),IF(ABS(F562-E562)&lt;=H562,"PASS","FAIL"),"FAIL"),"FAIL")</f>
        <v>PASS</v>
      </c>
    </row>
    <row r="563" customFormat="false" ht="15" hidden="false" customHeight="false" outlineLevel="0" collapsed="false">
      <c r="B563" s="48" t="n">
        <v>554</v>
      </c>
      <c r="C563" s="9" t="s">
        <v>1079</v>
      </c>
      <c r="D563" s="9" t="s">
        <v>1301</v>
      </c>
      <c r="E563" s="10" t="n">
        <v>0.149</v>
      </c>
      <c r="F563" s="56" t="n">
        <f aca="false">Sensitivities!$C$104</f>
        <v>0.148978818771661</v>
      </c>
      <c r="G563" s="50" t="n">
        <f aca="false">IFERROR(IF(ISNUMBER(F563),F563-E563,"n/a"),"n/a")</f>
        <v>-2.11812283394675E-005</v>
      </c>
      <c r="H563" s="51" t="n">
        <v>5.0001E-005</v>
      </c>
      <c r="I563" s="47" t="str">
        <f aca="false">IFERROR(IF(ISNUMBER(F563),IF(ABS(F563-E563)&lt;=H563,"PASS","FAIL"),"FAIL"),"FAIL")</f>
        <v>PASS</v>
      </c>
    </row>
    <row r="564" customFormat="false" ht="15" hidden="false" customHeight="false" outlineLevel="0" collapsed="false">
      <c r="B564" s="48" t="n">
        <v>555</v>
      </c>
      <c r="C564" s="9" t="s">
        <v>1079</v>
      </c>
      <c r="D564" s="9" t="s">
        <v>1302</v>
      </c>
      <c r="E564" s="10" t="n">
        <v>0.1946</v>
      </c>
      <c r="F564" s="56" t="n">
        <f aca="false">Sensitivities!$D$104</f>
        <v>0.194567065126789</v>
      </c>
      <c r="G564" s="50" t="n">
        <f aca="false">IFERROR(IF(ISNUMBER(F564),F564-E564,"n/a"),"n/a")</f>
        <v>-3.2934873210988E-005</v>
      </c>
      <c r="H564" s="51" t="n">
        <v>5.0001E-005</v>
      </c>
      <c r="I564" s="47" t="str">
        <f aca="false">IFERROR(IF(ISNUMBER(F564),IF(ABS(F564-E564)&lt;=H564,"PASS","FAIL"),"FAIL"),"FAIL")</f>
        <v>PASS</v>
      </c>
    </row>
    <row r="565" customFormat="false" ht="15" hidden="false" customHeight="false" outlineLevel="0" collapsed="false">
      <c r="B565" s="48" t="n">
        <v>556</v>
      </c>
      <c r="C565" s="9" t="s">
        <v>1079</v>
      </c>
      <c r="D565" s="9" t="s">
        <v>1303</v>
      </c>
      <c r="E565" s="10" t="n">
        <v>0.2375</v>
      </c>
      <c r="F565" s="56" t="n">
        <f aca="false">Sensitivities!$E$104</f>
        <v>0.237539378218018</v>
      </c>
      <c r="G565" s="50" t="n">
        <f aca="false">IFERROR(IF(ISNUMBER(F565),F565-E565,"n/a"),"n/a")</f>
        <v>3.93782180177493E-005</v>
      </c>
      <c r="H565" s="51" t="n">
        <v>5.0001E-005</v>
      </c>
      <c r="I565" s="47" t="str">
        <f aca="false">IFERROR(IF(ISNUMBER(F565),IF(ABS(F565-E565)&lt;=H565,"PASS","FAIL"),"FAIL"),"FAIL")</f>
        <v>PASS</v>
      </c>
    </row>
    <row r="566" customFormat="false" ht="15" hidden="false" customHeight="false" outlineLevel="0" collapsed="false">
      <c r="B566" s="48" t="n">
        <v>557</v>
      </c>
      <c r="C566" s="9" t="s">
        <v>1079</v>
      </c>
      <c r="D566" s="9" t="s">
        <v>1304</v>
      </c>
      <c r="E566" s="10" t="n">
        <v>0.2753</v>
      </c>
      <c r="F566" s="56" t="n">
        <f aca="false">Sensitivities!$F$104</f>
        <v>0.275258717372125</v>
      </c>
      <c r="G566" s="50" t="n">
        <f aca="false">IFERROR(IF(ISNUMBER(F566),F566-E566,"n/a"),"n/a")</f>
        <v>-4.12826278749501E-005</v>
      </c>
      <c r="H566" s="51" t="n">
        <v>5.0001E-005</v>
      </c>
      <c r="I566" s="47" t="str">
        <f aca="false">IFERROR(IF(ISNUMBER(F566),IF(ABS(F566-E566)&lt;=H566,"PASS","FAIL"),"FAIL"),"FAIL")</f>
        <v>PASS</v>
      </c>
    </row>
    <row r="567" customFormat="false" ht="15" hidden="false" customHeight="false" outlineLevel="0" collapsed="false">
      <c r="B567" s="48" t="n">
        <v>558</v>
      </c>
      <c r="C567" s="9" t="s">
        <v>1079</v>
      </c>
      <c r="D567" s="9" t="s">
        <v>1305</v>
      </c>
      <c r="E567" s="10" t="n">
        <v>0.309</v>
      </c>
      <c r="F567" s="56" t="n">
        <f aca="false">Sensitivities!$G$104</f>
        <v>0.30898056452746</v>
      </c>
      <c r="G567" s="50" t="n">
        <f aca="false">IFERROR(IF(ISNUMBER(F567),F567-E567,"n/a"),"n/a")</f>
        <v>-1.94354725400747E-005</v>
      </c>
      <c r="H567" s="51" t="n">
        <v>5.0001E-005</v>
      </c>
      <c r="I567" s="47" t="str">
        <f aca="false">IFERROR(IF(ISNUMBER(F567),IF(ABS(F567-E567)&lt;=H567,"PASS","FAIL"),"FAIL"),"FAIL")</f>
        <v>PASS</v>
      </c>
    </row>
    <row r="568" customFormat="false" ht="15" hidden="false" customHeight="false" outlineLevel="0" collapsed="false">
      <c r="B568" s="48" t="n">
        <v>559</v>
      </c>
      <c r="C568" s="9" t="s">
        <v>1079</v>
      </c>
      <c r="D568" s="9" t="s">
        <v>1306</v>
      </c>
      <c r="E568" s="52" t="n">
        <v>8.5</v>
      </c>
      <c r="F568" s="53" t="n">
        <f aca="false">Sensitivities!$B$105</f>
        <v>8.5</v>
      </c>
      <c r="G568" s="50" t="n">
        <f aca="false">IFERROR(IF(ISNUMBER(F568),F568-E568,"n/a"),"n/a")</f>
        <v>0</v>
      </c>
      <c r="H568" s="51" t="n">
        <v>0.050000001</v>
      </c>
      <c r="I568" s="47" t="str">
        <f aca="false">IFERROR(IF(ISNUMBER(F568),IF(ABS(F568-E568)&lt;=H568,"PASS","FAIL"),"FAIL"),"FAIL")</f>
        <v>PASS</v>
      </c>
    </row>
    <row r="569" customFormat="false" ht="15" hidden="false" customHeight="false" outlineLevel="0" collapsed="false">
      <c r="B569" s="48" t="n">
        <v>560</v>
      </c>
      <c r="C569" s="9" t="s">
        <v>1079</v>
      </c>
      <c r="D569" s="9" t="s">
        <v>1307</v>
      </c>
      <c r="E569" s="10" t="n">
        <v>0.1149</v>
      </c>
      <c r="F569" s="56" t="n">
        <f aca="false">Sensitivities!$C$105</f>
        <v>0.114867791924489</v>
      </c>
      <c r="G569" s="50" t="n">
        <f aca="false">IFERROR(IF(ISNUMBER(F569),F569-E569,"n/a"),"n/a")</f>
        <v>-3.22080755106313E-005</v>
      </c>
      <c r="H569" s="51" t="n">
        <v>5.0001E-005</v>
      </c>
      <c r="I569" s="47" t="str">
        <f aca="false">IFERROR(IF(ISNUMBER(F569),IF(ABS(F569-E569)&lt;=H569,"PASS","FAIL"),"FAIL"),"FAIL")</f>
        <v>PASS</v>
      </c>
    </row>
    <row r="570" customFormat="false" ht="15" hidden="false" customHeight="false" outlineLevel="0" collapsed="false">
      <c r="B570" s="48" t="n">
        <v>561</v>
      </c>
      <c r="C570" s="9" t="s">
        <v>1079</v>
      </c>
      <c r="D570" s="9" t="s">
        <v>1308</v>
      </c>
      <c r="E570" s="10" t="n">
        <v>0.1596</v>
      </c>
      <c r="F570" s="56" t="n">
        <f aca="false">Sensitivities!$D$105</f>
        <v>0.159567357497601</v>
      </c>
      <c r="G570" s="50" t="n">
        <f aca="false">IFERROR(IF(ISNUMBER(F570),F570-E570,"n/a"),"n/a")</f>
        <v>-3.26425023988997E-005</v>
      </c>
      <c r="H570" s="51" t="n">
        <v>5.0001E-005</v>
      </c>
      <c r="I570" s="47" t="str">
        <f aca="false">IFERROR(IF(ISNUMBER(F570),IF(ABS(F570-E570)&lt;=H570,"PASS","FAIL"),"FAIL"),"FAIL")</f>
        <v>PASS</v>
      </c>
    </row>
    <row r="571" customFormat="false" ht="15" hidden="false" customHeight="false" outlineLevel="0" collapsed="false">
      <c r="B571" s="48" t="n">
        <v>562</v>
      </c>
      <c r="C571" s="9" t="s">
        <v>1079</v>
      </c>
      <c r="D571" s="9" t="s">
        <v>1309</v>
      </c>
      <c r="E571" s="10" t="n">
        <v>0.2011</v>
      </c>
      <c r="F571" s="56" t="n">
        <f aca="false">Sensitivities!$E$105</f>
        <v>0.201068402306305</v>
      </c>
      <c r="G571" s="50" t="n">
        <f aca="false">IFERROR(IF(ISNUMBER(F571),F571-E571,"n/a"),"n/a")</f>
        <v>-3.15976936954843E-005</v>
      </c>
      <c r="H571" s="51" t="n">
        <v>5.0001E-005</v>
      </c>
      <c r="I571" s="47" t="str">
        <f aca="false">IFERROR(IF(ISNUMBER(F571),IF(ABS(F571-E571)&lt;=H571,"PASS","FAIL"),"FAIL"),"FAIL")</f>
        <v>PASS</v>
      </c>
    </row>
    <row r="572" customFormat="false" ht="15" hidden="false" customHeight="false" outlineLevel="0" collapsed="false">
      <c r="B572" s="48" t="n">
        <v>563</v>
      </c>
      <c r="C572" s="9" t="s">
        <v>1079</v>
      </c>
      <c r="D572" s="9" t="s">
        <v>1310</v>
      </c>
      <c r="E572" s="10" t="n">
        <v>0.2375</v>
      </c>
      <c r="F572" s="56" t="n">
        <f aca="false">Sensitivities!$F$105</f>
        <v>0.23751831599392</v>
      </c>
      <c r="G572" s="50" t="n">
        <f aca="false">IFERROR(IF(ISNUMBER(F572),F572-E572,"n/a"),"n/a")</f>
        <v>1.83159939196043E-005</v>
      </c>
      <c r="H572" s="51" t="n">
        <v>5.0001E-005</v>
      </c>
      <c r="I572" s="47" t="str">
        <f aca="false">IFERROR(IF(ISNUMBER(F572),IF(ABS(F572-E572)&lt;=H572,"PASS","FAIL"),"FAIL"),"FAIL")</f>
        <v>PASS</v>
      </c>
    </row>
    <row r="573" customFormat="false" ht="15" hidden="false" customHeight="false" outlineLevel="0" collapsed="false">
      <c r="B573" s="48" t="n">
        <v>564</v>
      </c>
      <c r="C573" s="9" t="s">
        <v>1079</v>
      </c>
      <c r="D573" s="9" t="s">
        <v>1311</v>
      </c>
      <c r="E573" s="10" t="n">
        <v>0.2701</v>
      </c>
      <c r="F573" s="56" t="n">
        <f aca="false">Sensitivities!$G$105</f>
        <v>0.270119780825261</v>
      </c>
      <c r="G573" s="50" t="n">
        <f aca="false">IFERROR(IF(ISNUMBER(F573),F573-E573,"n/a"),"n/a")</f>
        <v>1.97808252611065E-005</v>
      </c>
      <c r="H573" s="51" t="n">
        <v>5.0001E-005</v>
      </c>
      <c r="I573" s="47" t="str">
        <f aca="false">IFERROR(IF(ISNUMBER(F573),IF(ABS(F573-E573)&lt;=H573,"PASS","FAIL"),"FAIL"),"FAIL")</f>
        <v>PASS</v>
      </c>
    </row>
    <row r="574" customFormat="false" ht="15" hidden="false" customHeight="false" outlineLevel="0" collapsed="false">
      <c r="B574" s="48" t="n">
        <v>565</v>
      </c>
      <c r="C574" s="9" t="s">
        <v>1079</v>
      </c>
      <c r="D574" s="9" t="s">
        <v>1312</v>
      </c>
      <c r="E574" s="52" t="n">
        <v>9</v>
      </c>
      <c r="F574" s="53" t="n">
        <f aca="false">Sensitivities!$B$106</f>
        <v>9</v>
      </c>
      <c r="G574" s="50" t="n">
        <f aca="false">IFERROR(IF(ISNUMBER(F574),F574-E574,"n/a"),"n/a")</f>
        <v>0</v>
      </c>
      <c r="H574" s="51" t="n">
        <v>0.050000001</v>
      </c>
      <c r="I574" s="47" t="str">
        <f aca="false">IFERROR(IF(ISNUMBER(F574),IF(ABS(F574-E574)&lt;=H574,"PASS","FAIL"),"FAIL"),"FAIL")</f>
        <v>PASS</v>
      </c>
    </row>
    <row r="575" customFormat="false" ht="15" hidden="false" customHeight="false" outlineLevel="0" collapsed="false">
      <c r="B575" s="48" t="n">
        <v>566</v>
      </c>
      <c r="C575" s="9" t="s">
        <v>1079</v>
      </c>
      <c r="D575" s="9" t="s">
        <v>1313</v>
      </c>
      <c r="E575" s="10" t="n">
        <v>0.0862</v>
      </c>
      <c r="F575" s="56" t="n">
        <f aca="false">Sensitivities!$C$106</f>
        <v>0.0862371367757975</v>
      </c>
      <c r="G575" s="50" t="n">
        <f aca="false">IFERROR(IF(ISNUMBER(F575),F575-E575,"n/a"),"n/a")</f>
        <v>3.7136775797475E-005</v>
      </c>
      <c r="H575" s="51" t="n">
        <v>5.0001E-005</v>
      </c>
      <c r="I575" s="47" t="str">
        <f aca="false">IFERROR(IF(ISNUMBER(F575),IF(ABS(F575-E575)&lt;=H575,"PASS","FAIL"),"FAIL"),"FAIL")</f>
        <v>PASS</v>
      </c>
    </row>
    <row r="576" customFormat="false" ht="15" hidden="false" customHeight="false" outlineLevel="0" collapsed="false">
      <c r="B576" s="48" t="n">
        <v>567</v>
      </c>
      <c r="C576" s="9" t="s">
        <v>1079</v>
      </c>
      <c r="D576" s="9" t="s">
        <v>1314</v>
      </c>
      <c r="E576" s="10" t="n">
        <v>0.1345</v>
      </c>
      <c r="F576" s="56" t="n">
        <f aca="false">Sensitivities!$D$106</f>
        <v>0.134517189213139</v>
      </c>
      <c r="G576" s="50" t="n">
        <f aca="false">IFERROR(IF(ISNUMBER(F576),F576-E576,"n/a"),"n/a")</f>
        <v>1.71892131387019E-005</v>
      </c>
      <c r="H576" s="51" t="n">
        <v>5.0001E-005</v>
      </c>
      <c r="I576" s="47" t="str">
        <f aca="false">IFERROR(IF(ISNUMBER(F576),IF(ABS(F576-E576)&lt;=H576,"PASS","FAIL"),"FAIL"),"FAIL")</f>
        <v>PASS</v>
      </c>
    </row>
    <row r="577" customFormat="false" ht="15" hidden="false" customHeight="false" outlineLevel="0" collapsed="false">
      <c r="B577" s="48" t="n">
        <v>568</v>
      </c>
      <c r="C577" s="9" t="s">
        <v>1079</v>
      </c>
      <c r="D577" s="9" t="s">
        <v>1315</v>
      </c>
      <c r="E577" s="10" t="n">
        <v>0.1705</v>
      </c>
      <c r="F577" s="56" t="n">
        <f aca="false">Sensitivities!$E$106</f>
        <v>0.170484343544686</v>
      </c>
      <c r="G577" s="50" t="n">
        <f aca="false">IFERROR(IF(ISNUMBER(F577),F577-E577,"n/a"),"n/a")</f>
        <v>-1.56564553139005E-005</v>
      </c>
      <c r="H577" s="51" t="n">
        <v>5.0001E-005</v>
      </c>
      <c r="I577" s="47" t="str">
        <f aca="false">IFERROR(IF(ISNUMBER(F577),IF(ABS(F577-E577)&lt;=H577,"PASS","FAIL"),"FAIL"),"FAIL")</f>
        <v>PASS</v>
      </c>
    </row>
    <row r="578" customFormat="false" ht="15" hidden="false" customHeight="false" outlineLevel="0" collapsed="false">
      <c r="B578" s="48" t="n">
        <v>569</v>
      </c>
      <c r="C578" s="9" t="s">
        <v>1079</v>
      </c>
      <c r="D578" s="9" t="s">
        <v>1316</v>
      </c>
      <c r="E578" s="10" t="n">
        <v>0.2059</v>
      </c>
      <c r="F578" s="56" t="n">
        <f aca="false">Sensitivities!$F$106</f>
        <v>0.205853620791551</v>
      </c>
      <c r="G578" s="50" t="n">
        <f aca="false">IFERROR(IF(ISNUMBER(F578),F578-E578,"n/a"),"n/a")</f>
        <v>-4.63792084486603E-005</v>
      </c>
      <c r="H578" s="51" t="n">
        <v>5.0001E-005</v>
      </c>
      <c r="I578" s="47" t="str">
        <f aca="false">IFERROR(IF(ISNUMBER(F578),IF(ABS(F578-E578)&lt;=H578,"PASS","FAIL"),"FAIL"),"FAIL")</f>
        <v>PASS</v>
      </c>
    </row>
    <row r="579" customFormat="false" ht="15" hidden="false" customHeight="false" outlineLevel="0" collapsed="false">
      <c r="B579" s="48" t="n">
        <v>570</v>
      </c>
      <c r="C579" s="9" t="s">
        <v>1079</v>
      </c>
      <c r="D579" s="9" t="s">
        <v>1317</v>
      </c>
      <c r="E579" s="10" t="n">
        <v>0.2375</v>
      </c>
      <c r="F579" s="56" t="n">
        <f aca="false">Sensitivities!$G$106</f>
        <v>0.237502518384802</v>
      </c>
      <c r="G579" s="50" t="n">
        <f aca="false">IFERROR(IF(ISNUMBER(F579),F579-E579,"n/a"),"n/a")</f>
        <v>2.5183848016419E-006</v>
      </c>
      <c r="H579" s="51" t="n">
        <v>5.0001E-005</v>
      </c>
      <c r="I579" s="47" t="str">
        <f aca="false">IFERROR(IF(ISNUMBER(F579),IF(ABS(F579-E579)&lt;=H579,"PASS","FAIL"),"FAIL"),"FAIL")</f>
        <v>PASS</v>
      </c>
    </row>
    <row r="580" customFormat="false" ht="15" hidden="false" customHeight="false" outlineLevel="0" collapsed="false">
      <c r="B580" s="48" t="n">
        <v>571</v>
      </c>
      <c r="C580" s="9" t="s">
        <v>1079</v>
      </c>
      <c r="D580" s="9" t="s">
        <v>1318</v>
      </c>
      <c r="E580" s="52" t="n">
        <v>9.5</v>
      </c>
      <c r="F580" s="53" t="n">
        <f aca="false">Sensitivities!$B$107</f>
        <v>9.5</v>
      </c>
      <c r="G580" s="50" t="n">
        <f aca="false">IFERROR(IF(ISNUMBER(F580),F580-E580,"n/a"),"n/a")</f>
        <v>0</v>
      </c>
      <c r="H580" s="51" t="n">
        <v>0.050000001</v>
      </c>
      <c r="I580" s="47" t="str">
        <f aca="false">IFERROR(IF(ISNUMBER(F580),IF(ABS(F580-E580)&lt;=H580,"PASS","FAIL"),"FAIL"),"FAIL")</f>
        <v>PASS</v>
      </c>
    </row>
    <row r="581" customFormat="false" ht="15" hidden="false" customHeight="false" outlineLevel="0" collapsed="false">
      <c r="B581" s="48" t="n">
        <v>572</v>
      </c>
      <c r="C581" s="9" t="s">
        <v>1079</v>
      </c>
      <c r="D581" s="9" t="s">
        <v>1319</v>
      </c>
      <c r="E581" s="10" t="n">
        <v>0.0617</v>
      </c>
      <c r="F581" s="56" t="n">
        <f aca="false">Sensitivities!$C$107</f>
        <v>0.061677903800927</v>
      </c>
      <c r="G581" s="50" t="n">
        <f aca="false">IFERROR(IF(ISNUMBER(F581),F581-E581,"n/a"),"n/a")</f>
        <v>-2.20961990730281E-005</v>
      </c>
      <c r="H581" s="51" t="n">
        <v>5.0001E-005</v>
      </c>
      <c r="I581" s="47" t="str">
        <f aca="false">IFERROR(IF(ISNUMBER(F581),IF(ABS(F581-E581)&lt;=H581,"PASS","FAIL"),"FAIL"),"FAIL")</f>
        <v>PASS</v>
      </c>
    </row>
    <row r="582" customFormat="false" ht="15" hidden="false" customHeight="false" outlineLevel="0" collapsed="false">
      <c r="B582" s="48" t="n">
        <v>573</v>
      </c>
      <c r="C582" s="9" t="s">
        <v>1079</v>
      </c>
      <c r="D582" s="9" t="s">
        <v>1320</v>
      </c>
      <c r="E582" s="10" t="n">
        <v>0.1087</v>
      </c>
      <c r="F582" s="56" t="n">
        <f aca="false">Sensitivities!$D$107</f>
        <v>0.108717577283023</v>
      </c>
      <c r="G582" s="50" t="n">
        <f aca="false">IFERROR(IF(ISNUMBER(F582),F582-E582,"n/a"),"n/a")</f>
        <v>1.75772830228876E-005</v>
      </c>
      <c r="H582" s="51" t="n">
        <v>5.0001E-005</v>
      </c>
      <c r="I582" s="47" t="str">
        <f aca="false">IFERROR(IF(ISNUMBER(F582),IF(ABS(F582-E582)&lt;=H582,"PASS","FAIL"),"FAIL"),"FAIL")</f>
        <v>PASS</v>
      </c>
    </row>
    <row r="583" customFormat="false" ht="15" hidden="false" customHeight="false" outlineLevel="0" collapsed="false">
      <c r="B583" s="48" t="n">
        <v>574</v>
      </c>
      <c r="C583" s="9" t="s">
        <v>1079</v>
      </c>
      <c r="D583" s="9" t="s">
        <v>1321</v>
      </c>
      <c r="E583" s="10" t="n">
        <v>0.1489</v>
      </c>
      <c r="F583" s="56" t="n">
        <f aca="false">Sensitivities!$E$107</f>
        <v>0.148909916251947</v>
      </c>
      <c r="G583" s="50" t="n">
        <f aca="false">IFERROR(IF(ISNUMBER(F583),F583-E583,"n/a"),"n/a")</f>
        <v>9.91625194649015E-006</v>
      </c>
      <c r="H583" s="51" t="n">
        <v>5.0001E-005</v>
      </c>
      <c r="I583" s="47" t="str">
        <f aca="false">IFERROR(IF(ISNUMBER(F583),IF(ABS(F583-E583)&lt;=H583,"PASS","FAIL"),"FAIL"),"FAIL")</f>
        <v>PASS</v>
      </c>
    </row>
    <row r="584" customFormat="false" ht="15" hidden="false" customHeight="false" outlineLevel="0" collapsed="false">
      <c r="B584" s="48" t="n">
        <v>575</v>
      </c>
      <c r="C584" s="9" t="s">
        <v>1079</v>
      </c>
      <c r="D584" s="9" t="s">
        <v>1322</v>
      </c>
      <c r="E584" s="10" t="n">
        <v>0.1787</v>
      </c>
      <c r="F584" s="56" t="n">
        <f aca="false">Sensitivities!$F$107</f>
        <v>0.178702207188634</v>
      </c>
      <c r="G584" s="50" t="n">
        <f aca="false">IFERROR(IF(ISNUMBER(F584),F584-E584,"n/a"),"n/a")</f>
        <v>2.20718863350178E-006</v>
      </c>
      <c r="H584" s="51" t="n">
        <v>5.0001E-005</v>
      </c>
      <c r="I584" s="47" t="str">
        <f aca="false">IFERROR(IF(ISNUMBER(F584),IF(ABS(F584-E584)&lt;=H584,"PASS","FAIL"),"FAIL"),"FAIL")</f>
        <v>PASS</v>
      </c>
    </row>
    <row r="585" customFormat="false" ht="15" hidden="false" customHeight="false" outlineLevel="0" collapsed="false">
      <c r="B585" s="48" t="n">
        <v>576</v>
      </c>
      <c r="C585" s="9" t="s">
        <v>1079</v>
      </c>
      <c r="D585" s="9" t="s">
        <v>1323</v>
      </c>
      <c r="E585" s="10" t="n">
        <v>0.2095</v>
      </c>
      <c r="F585" s="56" t="n">
        <f aca="false">Sensitivities!$G$107</f>
        <v>0.209523628090407</v>
      </c>
      <c r="G585" s="50" t="n">
        <f aca="false">IFERROR(IF(ISNUMBER(F585),F585-E585,"n/a"),"n/a")</f>
        <v>2.36280904069297E-005</v>
      </c>
      <c r="H585" s="51" t="n">
        <v>5.0001E-005</v>
      </c>
      <c r="I585" s="47" t="str">
        <f aca="false">IFERROR(IF(ISNUMBER(F585),IF(ABS(F585-E585)&lt;=H585,"PASS","FAIL"),"FAIL"),"FAIL")</f>
        <v>PASS</v>
      </c>
    </row>
    <row r="586" customFormat="false" ht="15" hidden="false" customHeight="false" outlineLevel="0" collapsed="false">
      <c r="B586" s="48" t="n">
        <v>577</v>
      </c>
      <c r="C586" s="9" t="s">
        <v>1079</v>
      </c>
      <c r="D586" s="9" t="s">
        <v>1324</v>
      </c>
      <c r="E586" s="52" t="n">
        <v>10</v>
      </c>
      <c r="F586" s="53" t="n">
        <f aca="false">Sensitivities!$B$108</f>
        <v>10</v>
      </c>
      <c r="G586" s="50" t="n">
        <f aca="false">IFERROR(IF(ISNUMBER(F586),F586-E586,"n/a"),"n/a")</f>
        <v>0</v>
      </c>
      <c r="H586" s="51" t="n">
        <v>0.050000001</v>
      </c>
      <c r="I586" s="47" t="str">
        <f aca="false">IFERROR(IF(ISNUMBER(F586),IF(ABS(F586-E586)&lt;=H586,"PASS","FAIL"),"FAIL"),"FAIL")</f>
        <v>PASS</v>
      </c>
    </row>
    <row r="587" customFormat="false" ht="15" hidden="false" customHeight="false" outlineLevel="0" collapsed="false">
      <c r="B587" s="48" t="n">
        <v>578</v>
      </c>
      <c r="C587" s="9" t="s">
        <v>1079</v>
      </c>
      <c r="D587" s="9" t="s">
        <v>1325</v>
      </c>
      <c r="E587" s="10" t="n">
        <v>0.0403</v>
      </c>
      <c r="F587" s="56" t="n">
        <f aca="false">Sensitivities!$C$108</f>
        <v>0.0402528011800736</v>
      </c>
      <c r="G587" s="50" t="n">
        <f aca="false">IFERROR(IF(ISNUMBER(F587),F587-E587,"n/a"),"n/a")</f>
        <v>-4.71988199264306E-005</v>
      </c>
      <c r="H587" s="51" t="n">
        <v>5.0001E-005</v>
      </c>
      <c r="I587" s="47" t="str">
        <f aca="false">IFERROR(IF(ISNUMBER(F587),IF(ABS(F587-E587)&lt;=H587,"PASS","FAIL"),"FAIL"),"FAIL")</f>
        <v>PASS</v>
      </c>
    </row>
    <row r="588" customFormat="false" ht="15" hidden="false" customHeight="false" outlineLevel="0" collapsed="false">
      <c r="B588" s="48" t="n">
        <v>579</v>
      </c>
      <c r="C588" s="9" t="s">
        <v>1079</v>
      </c>
      <c r="D588" s="9" t="s">
        <v>1326</v>
      </c>
      <c r="E588" s="10" t="n">
        <v>0.0862</v>
      </c>
      <c r="F588" s="56" t="n">
        <f aca="false">Sensitivities!$D$108</f>
        <v>0.0861983238778794</v>
      </c>
      <c r="G588" s="50" t="n">
        <f aca="false">IFERROR(IF(ISNUMBER(F588),F588-E588,"n/a"),"n/a")</f>
        <v>-1.67612212059742E-006</v>
      </c>
      <c r="H588" s="51" t="n">
        <v>5.0001E-005</v>
      </c>
      <c r="I588" s="47" t="str">
        <f aca="false">IFERROR(IF(ISNUMBER(F588),IF(ABS(F588-E588)&lt;=H588,"PASS","FAIL"),"FAIL"),"FAIL")</f>
        <v>PASS</v>
      </c>
    </row>
    <row r="589" customFormat="false" ht="15" hidden="false" customHeight="false" outlineLevel="0" collapsed="false">
      <c r="B589" s="48" t="n">
        <v>580</v>
      </c>
      <c r="C589" s="9" t="s">
        <v>1079</v>
      </c>
      <c r="D589" s="9" t="s">
        <v>1327</v>
      </c>
      <c r="E589" s="10" t="n">
        <v>0.1255</v>
      </c>
      <c r="F589" s="56" t="n">
        <f aca="false">Sensitivities!$E$108</f>
        <v>0.125473114678262</v>
      </c>
      <c r="G589" s="50" t="n">
        <f aca="false">IFERROR(IF(ISNUMBER(F589),F589-E589,"n/a"),"n/a")</f>
        <v>-2.6885321737613E-005</v>
      </c>
      <c r="H589" s="51" t="n">
        <v>5.0001E-005</v>
      </c>
      <c r="I589" s="47" t="str">
        <f aca="false">IFERROR(IF(ISNUMBER(F589),IF(ABS(F589-E589)&lt;=H589,"PASS","FAIL"),"FAIL"),"FAIL")</f>
        <v>PASS</v>
      </c>
    </row>
    <row r="590" customFormat="false" ht="15" hidden="false" customHeight="false" outlineLevel="0" collapsed="false">
      <c r="B590" s="48" t="n">
        <v>581</v>
      </c>
      <c r="C590" s="9" t="s">
        <v>1079</v>
      </c>
      <c r="D590" s="9" t="s">
        <v>1328</v>
      </c>
      <c r="E590" s="10" t="n">
        <v>0.155</v>
      </c>
      <c r="F590" s="56" t="n">
        <f aca="false">Sensitivities!$F$108</f>
        <v>0.155024728561747</v>
      </c>
      <c r="G590" s="50" t="n">
        <f aca="false">IFERROR(IF(ISNUMBER(F590),F590-E590,"n/a"),"n/a")</f>
        <v>2.47285617465398E-005</v>
      </c>
      <c r="H590" s="51" t="n">
        <v>5.0001E-005</v>
      </c>
      <c r="I590" s="47" t="str">
        <f aca="false">IFERROR(IF(ISNUMBER(F590),IF(ABS(F590-E590)&lt;=H590,"PASS","FAIL"),"FAIL"),"FAIL")</f>
        <v>PASS</v>
      </c>
    </row>
    <row r="591" customFormat="false" ht="15" hidden="false" customHeight="false" outlineLevel="0" collapsed="false">
      <c r="B591" s="48" t="n">
        <v>582</v>
      </c>
      <c r="C591" s="9" t="s">
        <v>1079</v>
      </c>
      <c r="D591" s="9" t="s">
        <v>1329</v>
      </c>
      <c r="E591" s="10" t="n">
        <v>0.1851</v>
      </c>
      <c r="F591" s="56" t="n">
        <f aca="false">Sensitivities!$G$108</f>
        <v>0.185115298135754</v>
      </c>
      <c r="G591" s="50" t="n">
        <f aca="false">IFERROR(IF(ISNUMBER(F591),F591-E591,"n/a"),"n/a")</f>
        <v>1.52981357542381E-005</v>
      </c>
      <c r="H591" s="51" t="n">
        <v>5.0001E-005</v>
      </c>
      <c r="I591" s="47" t="str">
        <f aca="false">IFERROR(IF(ISNUMBER(F591),IF(ABS(F591-E591)&lt;=H591,"PASS","FAIL"),"FAIL"),"FAIL")</f>
        <v>PASS</v>
      </c>
    </row>
    <row r="592" customFormat="false" ht="15" hidden="false" customHeight="false" outlineLevel="0" collapsed="false">
      <c r="B592" s="48" t="n">
        <v>583</v>
      </c>
      <c r="C592" s="9" t="s">
        <v>1079</v>
      </c>
      <c r="D592" s="9" t="s">
        <v>1330</v>
      </c>
      <c r="E592" s="10" t="n">
        <v>0.1688</v>
      </c>
      <c r="F592" s="56" t="n">
        <f aca="false">Sensitivities!$D$111</f>
        <v>0.168829321968852</v>
      </c>
      <c r="G592" s="50" t="n">
        <f aca="false">IFERROR(IF(ISNUMBER(F592),F592-E592,"n/a"),"n/a")</f>
        <v>2.93219688519975E-005</v>
      </c>
      <c r="H592" s="51" t="n">
        <v>5.0001E-005</v>
      </c>
      <c r="I592" s="47" t="str">
        <f aca="false">IFERROR(IF(ISNUMBER(F592),IF(ABS(F592-E592)&lt;=H592,"PASS","FAIL"),"FAIL"),"FAIL")</f>
        <v>PASS</v>
      </c>
    </row>
    <row r="593" customFormat="false" ht="15" hidden="false" customHeight="false" outlineLevel="0" collapsed="false">
      <c r="B593" s="48" t="n">
        <v>584</v>
      </c>
      <c r="C593" s="9" t="s">
        <v>1079</v>
      </c>
      <c r="D593" s="9" t="s">
        <v>1331</v>
      </c>
      <c r="E593" s="54" t="n">
        <v>2.18</v>
      </c>
      <c r="F593" s="55" t="n">
        <f aca="false">Sensitivities!$D$112</f>
        <v>2.18150137069918</v>
      </c>
      <c r="G593" s="50" t="n">
        <f aca="false">IFERROR(IF(ISNUMBER(F593),F593-E593,"n/a"),"n/a")</f>
        <v>0.00150137069918355</v>
      </c>
      <c r="H593" s="51" t="n">
        <v>0.005000001</v>
      </c>
      <c r="I593" s="47" t="str">
        <f aca="false">IFERROR(IF(ISNUMBER(F593),IF(ABS(F593-E593)&lt;=H593,"PASS","FAIL"),"FAIL"),"FAIL")</f>
        <v>PASS</v>
      </c>
    </row>
    <row r="594" customFormat="false" ht="15" hidden="false" customHeight="false" outlineLevel="0" collapsed="false">
      <c r="B594" s="48" t="n">
        <v>585</v>
      </c>
      <c r="C594" s="9" t="s">
        <v>1079</v>
      </c>
      <c r="D594" s="9" t="s">
        <v>1332</v>
      </c>
      <c r="E594" s="10" t="n">
        <v>0.0017</v>
      </c>
      <c r="F594" s="56" t="n">
        <f aca="false">Sensitivities!$D$113</f>
        <v>0.00165502157583411</v>
      </c>
      <c r="G594" s="50" t="n">
        <f aca="false">IFERROR(IF(ISNUMBER(F594),F594-E594,"n/a"),"n/a")</f>
        <v>-4.49784241658908E-005</v>
      </c>
      <c r="H594" s="51" t="n">
        <v>5.0001E-005</v>
      </c>
      <c r="I594" s="47" t="str">
        <f aca="false">IFERROR(IF(ISNUMBER(F594),IF(ABS(F594-E594)&lt;=H594,"PASS","FAIL"),"FAIL"),"FAIL")</f>
        <v>PASS</v>
      </c>
    </row>
    <row r="595" customFormat="false" ht="15" hidden="false" customHeight="false" outlineLevel="0" collapsed="false">
      <c r="B595" s="48" t="n">
        <v>586</v>
      </c>
      <c r="C595" s="9" t="s">
        <v>1079</v>
      </c>
      <c r="D595" s="9" t="s">
        <v>1333</v>
      </c>
      <c r="E595" s="10" t="n">
        <v>0.085</v>
      </c>
      <c r="F595" s="56" t="n">
        <f aca="false">Sensitivities!$D$114</f>
        <v>0.085</v>
      </c>
      <c r="G595" s="50" t="n">
        <f aca="false">IFERROR(IF(ISNUMBER(F595),F595-E595,"n/a"),"n/a")</f>
        <v>0</v>
      </c>
      <c r="H595" s="51" t="n">
        <v>5.0001E-005</v>
      </c>
      <c r="I595" s="47" t="str">
        <f aca="false">IFERROR(IF(ISNUMBER(F595),IF(ABS(F595-E595)&lt;=H595,"PASS","FAIL"),"FAIL"),"FAIL")</f>
        <v>PASS</v>
      </c>
    </row>
    <row r="596" customFormat="false" ht="15" hidden="false" customHeight="false" outlineLevel="0" collapsed="false">
      <c r="B596" s="48" t="n">
        <v>587</v>
      </c>
      <c r="C596" s="9" t="s">
        <v>1079</v>
      </c>
      <c r="D596" s="9" t="s">
        <v>1334</v>
      </c>
      <c r="E596" s="10" t="n">
        <v>0.02</v>
      </c>
      <c r="F596" s="56" t="n">
        <f aca="false">Sensitivities!$D$115</f>
        <v>0.02</v>
      </c>
      <c r="G596" s="50" t="n">
        <f aca="false">IFERROR(IF(ISNUMBER(F596),F596-E596,"n/a"),"n/a")</f>
        <v>0</v>
      </c>
      <c r="H596" s="51" t="n">
        <v>5.0001E-005</v>
      </c>
      <c r="I596" s="47" t="str">
        <f aca="false">IFERROR(IF(ISNUMBER(F596),IF(ABS(F596-E596)&lt;=H596,"PASS","FAIL"),"FAIL"),"FAIL")</f>
        <v>PASS</v>
      </c>
    </row>
    <row r="597" customFormat="false" ht="15" hidden="false" customHeight="false" outlineLevel="0" collapsed="false">
      <c r="B597" s="48" t="n">
        <v>588</v>
      </c>
      <c r="C597" s="9" t="s">
        <v>1335</v>
      </c>
      <c r="D597" s="9" t="s">
        <v>1336</v>
      </c>
      <c r="E597" s="52" t="n">
        <v>275</v>
      </c>
      <c r="F597" s="53" t="n">
        <f aca="false">Scenarios!$D$21</f>
        <v>275</v>
      </c>
      <c r="G597" s="50" t="n">
        <f aca="false">IFERROR(IF(ISNUMBER(F597),F597-E597,"n/a"),"n/a")</f>
        <v>0</v>
      </c>
      <c r="H597" s="51" t="n">
        <v>0.050000001</v>
      </c>
      <c r="I597" s="47" t="str">
        <f aca="false">IFERROR(IF(ISNUMBER(F597),IF(ABS(F597-E597)&lt;=H597,"PASS","FAIL"),"FAIL"),"FAIL")</f>
        <v>PASS</v>
      </c>
    </row>
    <row r="598" customFormat="false" ht="15" hidden="false" customHeight="false" outlineLevel="0" collapsed="false">
      <c r="B598" s="48" t="n">
        <v>589</v>
      </c>
      <c r="C598" s="9" t="s">
        <v>1335</v>
      </c>
      <c r="D598" s="9" t="s">
        <v>1337</v>
      </c>
      <c r="E598" s="52" t="n">
        <v>5.5</v>
      </c>
      <c r="F598" s="53" t="n">
        <f aca="false">Scenarios!$D$22</f>
        <v>5.5</v>
      </c>
      <c r="G598" s="50" t="n">
        <f aca="false">IFERROR(IF(ISNUMBER(F598),F598-E598,"n/a"),"n/a")</f>
        <v>0</v>
      </c>
      <c r="H598" s="51" t="n">
        <v>0.050000001</v>
      </c>
      <c r="I598" s="47" t="str">
        <f aca="false">IFERROR(IF(ISNUMBER(F598),IF(ABS(F598-E598)&lt;=H598,"PASS","FAIL"),"FAIL"),"FAIL")</f>
        <v>PASS</v>
      </c>
    </row>
    <row r="599" customFormat="false" ht="15" hidden="false" customHeight="false" outlineLevel="0" collapsed="false">
      <c r="B599" s="48" t="n">
        <v>590</v>
      </c>
      <c r="C599" s="9" t="s">
        <v>1335</v>
      </c>
      <c r="D599" s="9" t="s">
        <v>1338</v>
      </c>
      <c r="E599" s="10" t="n">
        <v>0.06</v>
      </c>
      <c r="F599" s="56" t="n">
        <f aca="false">Scenarios!$D$23</f>
        <v>0.06</v>
      </c>
      <c r="G599" s="50" t="n">
        <f aca="false">IFERROR(IF(ISNUMBER(F599),F599-E599,"n/a"),"n/a")</f>
        <v>0</v>
      </c>
      <c r="H599" s="51" t="n">
        <v>5.0001E-005</v>
      </c>
      <c r="I599" s="47" t="str">
        <f aca="false">IFERROR(IF(ISNUMBER(F599),IF(ABS(F599-E599)&lt;=H599,"PASS","FAIL"),"FAIL"),"FAIL")</f>
        <v>PASS</v>
      </c>
    </row>
    <row r="600" customFormat="false" ht="15" hidden="false" customHeight="false" outlineLevel="0" collapsed="false">
      <c r="B600" s="48" t="n">
        <v>591</v>
      </c>
      <c r="C600" s="9" t="s">
        <v>1335</v>
      </c>
      <c r="D600" s="9" t="s">
        <v>1339</v>
      </c>
      <c r="E600" s="10" t="n">
        <v>0.1</v>
      </c>
      <c r="F600" s="56" t="n">
        <f aca="false">Scenarios!$D$24</f>
        <v>0.1</v>
      </c>
      <c r="G600" s="50" t="n">
        <f aca="false">IFERROR(IF(ISNUMBER(F600),F600-E600,"n/a"),"n/a")</f>
        <v>0</v>
      </c>
      <c r="H600" s="51" t="n">
        <v>5.0001E-005</v>
      </c>
      <c r="I600" s="47" t="str">
        <f aca="false">IFERROR(IF(ISNUMBER(F600),IF(ABS(F600-E600)&lt;=H600,"PASS","FAIL"),"FAIL"),"FAIL")</f>
        <v>PASS</v>
      </c>
    </row>
    <row r="601" customFormat="false" ht="15" hidden="false" customHeight="false" outlineLevel="0" collapsed="false">
      <c r="B601" s="48" t="n">
        <v>592</v>
      </c>
      <c r="C601" s="9" t="s">
        <v>1335</v>
      </c>
      <c r="D601" s="9" t="s">
        <v>1340</v>
      </c>
      <c r="E601" s="54" t="n">
        <v>27.5</v>
      </c>
      <c r="F601" s="55" t="n">
        <f aca="false">Scenarios!$D$25</f>
        <v>27.5</v>
      </c>
      <c r="G601" s="50" t="n">
        <f aca="false">IFERROR(IF(ISNUMBER(F601),F601-E601,"n/a"),"n/a")</f>
        <v>0</v>
      </c>
      <c r="H601" s="51" t="n">
        <v>0.005000001</v>
      </c>
      <c r="I601" s="47" t="str">
        <f aca="false">IFERROR(IF(ISNUMBER(F601),IF(ABS(F601-E601)&lt;=H601,"PASS","FAIL"),"FAIL"),"FAIL")</f>
        <v>PASS</v>
      </c>
    </row>
    <row r="602" customFormat="false" ht="15" hidden="false" customHeight="false" outlineLevel="0" collapsed="false">
      <c r="B602" s="48" t="n">
        <v>593</v>
      </c>
      <c r="C602" s="9" t="s">
        <v>1335</v>
      </c>
      <c r="D602" s="9" t="s">
        <v>1341</v>
      </c>
      <c r="E602" s="54" t="n">
        <v>24.63</v>
      </c>
      <c r="F602" s="55" t="n">
        <f aca="false">Scenarios!$D$26</f>
        <v>24.625</v>
      </c>
      <c r="G602" s="50" t="n">
        <f aca="false">IFERROR(IF(ISNUMBER(F602),F602-E602,"n/a"),"n/a")</f>
        <v>-0.00499999999999901</v>
      </c>
      <c r="H602" s="51" t="n">
        <v>0.005000001</v>
      </c>
      <c r="I602" s="47" t="str">
        <f aca="false">IFERROR(IF(ISNUMBER(F602),IF(ABS(F602-E602)&lt;=H602,"PASS","FAIL"),"FAIL"),"FAIL")</f>
        <v>PASS</v>
      </c>
    </row>
    <row r="603" customFormat="false" ht="15" hidden="false" customHeight="false" outlineLevel="0" collapsed="false">
      <c r="B603" s="48" t="n">
        <v>594</v>
      </c>
      <c r="C603" s="9" t="s">
        <v>1335</v>
      </c>
      <c r="D603" s="9" t="s">
        <v>1342</v>
      </c>
      <c r="E603" s="10" t="n">
        <v>0.1619</v>
      </c>
      <c r="F603" s="56" t="n">
        <f aca="false">Scenarios!$D$27</f>
        <v>0.161891707288726</v>
      </c>
      <c r="G603" s="50" t="n">
        <f aca="false">IFERROR(IF(ISNUMBER(F603),F603-E603,"n/a"),"n/a")</f>
        <v>-8.29271127361642E-006</v>
      </c>
      <c r="H603" s="51" t="n">
        <v>5.0001E-005</v>
      </c>
      <c r="I603" s="47" t="str">
        <f aca="false">IFERROR(IF(ISNUMBER(F603),IF(ABS(F603-E603)&lt;=H603,"PASS","FAIL"),"FAIL"),"FAIL")</f>
        <v>PASS</v>
      </c>
    </row>
    <row r="604" customFormat="false" ht="15" hidden="false" customHeight="false" outlineLevel="0" collapsed="false">
      <c r="B604" s="48" t="n">
        <v>595</v>
      </c>
      <c r="C604" s="9" t="s">
        <v>1335</v>
      </c>
      <c r="D604" s="9" t="s">
        <v>1343</v>
      </c>
      <c r="E604" s="54" t="n">
        <v>2.12</v>
      </c>
      <c r="F604" s="55" t="n">
        <f aca="false">Scenarios!$D$28</f>
        <v>2.11752360468336</v>
      </c>
      <c r="G604" s="50" t="n">
        <f aca="false">IFERROR(IF(ISNUMBER(F604),F604-E604,"n/a"),"n/a")</f>
        <v>-0.00247639531664046</v>
      </c>
      <c r="H604" s="51" t="n">
        <v>0.005000001</v>
      </c>
      <c r="I604" s="47" t="str">
        <f aca="false">IFERROR(IF(ISNUMBER(F604),IF(ABS(F604-E604)&lt;=H604,"PASS","FAIL"),"FAIL"),"FAIL")</f>
        <v>PASS</v>
      </c>
    </row>
    <row r="605" customFormat="false" ht="15" hidden="false" customHeight="false" outlineLevel="0" collapsed="false">
      <c r="B605" s="48" t="n">
        <v>596</v>
      </c>
      <c r="C605" s="9" t="s">
        <v>1335</v>
      </c>
      <c r="D605" s="9" t="s">
        <v>1344</v>
      </c>
      <c r="E605" s="54" t="n">
        <v>-0.04</v>
      </c>
      <c r="F605" s="55" t="n">
        <f aca="false">Scenarios!$D$29</f>
        <v>-0.0358042334462461</v>
      </c>
      <c r="G605" s="50" t="n">
        <f aca="false">IFERROR(IF(ISNUMBER(F605),F605-E605,"n/a"),"n/a")</f>
        <v>0.00419576655375394</v>
      </c>
      <c r="H605" s="51" t="n">
        <v>0.005000001</v>
      </c>
      <c r="I605" s="47" t="str">
        <f aca="false">IFERROR(IF(ISNUMBER(F605),IF(ABS(F605-E605)&lt;=H605,"PASS","FAIL"),"FAIL"),"FAIL")</f>
        <v>PASS</v>
      </c>
    </row>
    <row r="606" customFormat="false" ht="15" hidden="false" customHeight="false" outlineLevel="0" collapsed="false">
      <c r="B606" s="48" t="n">
        <v>597</v>
      </c>
      <c r="C606" s="9" t="s">
        <v>1335</v>
      </c>
      <c r="D606" s="9" t="s">
        <v>1345</v>
      </c>
      <c r="E606" s="54" t="n">
        <v>0.12</v>
      </c>
      <c r="F606" s="55" t="n">
        <f aca="false">Scenarios!$D$30</f>
        <v>0.122771617622552</v>
      </c>
      <c r="G606" s="50" t="n">
        <f aca="false">IFERROR(IF(ISNUMBER(F606),F606-E606,"n/a"),"n/a")</f>
        <v>0.0027716176225524</v>
      </c>
      <c r="H606" s="51" t="n">
        <v>0.005000001</v>
      </c>
      <c r="I606" s="47" t="str">
        <f aca="false">IFERROR(IF(ISNUMBER(F606),IF(ABS(F606-E606)&lt;=H606,"PASS","FAIL"),"FAIL"),"FAIL")</f>
        <v>PASS</v>
      </c>
    </row>
    <row r="607" customFormat="false" ht="15" hidden="false" customHeight="false" outlineLevel="0" collapsed="false">
      <c r="B607" s="48" t="n">
        <v>598</v>
      </c>
      <c r="C607" s="9" t="s">
        <v>1335</v>
      </c>
      <c r="D607" s="9" t="s">
        <v>1346</v>
      </c>
      <c r="E607" s="10" t="n">
        <v>0.06</v>
      </c>
      <c r="F607" s="56" t="n">
        <f aca="false">Scenarios!$D$31</f>
        <v>0.06</v>
      </c>
      <c r="G607" s="50" t="n">
        <f aca="false">IFERROR(IF(ISNUMBER(F607),F607-E607,"n/a"),"n/a")</f>
        <v>0</v>
      </c>
      <c r="H607" s="51" t="n">
        <v>5.0001E-005</v>
      </c>
      <c r="I607" s="47" t="str">
        <f aca="false">IFERROR(IF(ISNUMBER(F607),IF(ABS(F607-E607)&lt;=H607,"PASS","FAIL"),"FAIL"),"FAIL")</f>
        <v>PASS</v>
      </c>
    </row>
    <row r="608" customFormat="false" ht="15" hidden="false" customHeight="false" outlineLevel="0" collapsed="false">
      <c r="B608" s="48" t="n">
        <v>599</v>
      </c>
      <c r="C608" s="9" t="s">
        <v>1335</v>
      </c>
      <c r="D608" s="9" t="s">
        <v>1347</v>
      </c>
      <c r="E608" s="54" t="n">
        <v>29.13</v>
      </c>
      <c r="F608" s="55" t="n">
        <f aca="false">Scenarios!$D$32</f>
        <v>29.125</v>
      </c>
      <c r="G608" s="50" t="n">
        <f aca="false">IFERROR(IF(ISNUMBER(F608),F608-E608,"n/a"),"n/a")</f>
        <v>-0.00499999999999901</v>
      </c>
      <c r="H608" s="51" t="n">
        <v>0.005000001</v>
      </c>
      <c r="I608" s="47" t="str">
        <f aca="false">IFERROR(IF(ISNUMBER(F608),IF(ABS(F608-E608)&lt;=H608,"PASS","FAIL"),"FAIL"),"FAIL")</f>
        <v>PASS</v>
      </c>
    </row>
    <row r="609" customFormat="false" ht="15" hidden="false" customHeight="false" outlineLevel="0" collapsed="false">
      <c r="B609" s="48" t="n">
        <v>600</v>
      </c>
      <c r="C609" s="9" t="s">
        <v>1335</v>
      </c>
      <c r="D609" s="9" t="s">
        <v>1348</v>
      </c>
      <c r="E609" s="10" t="n">
        <v>0.1568</v>
      </c>
      <c r="F609" s="56" t="n">
        <f aca="false">Scenarios!$D$33</f>
        <v>0.156794550867137</v>
      </c>
      <c r="G609" s="50" t="n">
        <f aca="false">IFERROR(IF(ISNUMBER(F609),F609-E609,"n/a"),"n/a")</f>
        <v>-5.44913286340543E-006</v>
      </c>
      <c r="H609" s="51" t="n">
        <v>5.0001E-005</v>
      </c>
      <c r="I609" s="47" t="str">
        <f aca="false">IFERROR(IF(ISNUMBER(F609),IF(ABS(F609-E609)&lt;=H609,"PASS","FAIL"),"FAIL"),"FAIL")</f>
        <v>PASS</v>
      </c>
    </row>
    <row r="610" customFormat="false" ht="15" hidden="false" customHeight="false" outlineLevel="0" collapsed="false">
      <c r="B610" s="48" t="n">
        <v>601</v>
      </c>
      <c r="C610" s="9" t="s">
        <v>1335</v>
      </c>
      <c r="D610" s="9" t="s">
        <v>1349</v>
      </c>
      <c r="E610" s="54" t="n">
        <v>2.07</v>
      </c>
      <c r="F610" s="55" t="n">
        <f aca="false">Scenarios!$D$34</f>
        <v>2.07148203376512</v>
      </c>
      <c r="G610" s="50" t="n">
        <f aca="false">IFERROR(IF(ISNUMBER(F610),F610-E610,"n/a"),"n/a")</f>
        <v>0.00148203376511669</v>
      </c>
      <c r="H610" s="51" t="n">
        <v>0.005000001</v>
      </c>
      <c r="I610" s="47" t="str">
        <f aca="false">IFERROR(IF(ISNUMBER(F610),IF(ABS(F610-E610)&lt;=H610,"PASS","FAIL"),"FAIL"),"FAIL")</f>
        <v>PASS</v>
      </c>
    </row>
    <row r="611" customFormat="false" ht="15" hidden="false" customHeight="false" outlineLevel="0" collapsed="false">
      <c r="B611" s="48" t="n">
        <v>602</v>
      </c>
      <c r="C611" s="9" t="s">
        <v>1335</v>
      </c>
      <c r="D611" s="9" t="s">
        <v>1350</v>
      </c>
      <c r="E611" s="54" t="n">
        <v>-0.13</v>
      </c>
      <c r="F611" s="55" t="n">
        <f aca="false">Scenarios!$D$35</f>
        <v>-0.127273179087717</v>
      </c>
      <c r="G611" s="50" t="n">
        <f aca="false">IFERROR(IF(ISNUMBER(F611),F611-E611,"n/a"),"n/a")</f>
        <v>0.00272682091228316</v>
      </c>
      <c r="H611" s="51" t="n">
        <v>0.005000001</v>
      </c>
      <c r="I611" s="47" t="str">
        <f aca="false">IFERROR(IF(ISNUMBER(F611),IF(ABS(F611-E611)&lt;=H611,"PASS","FAIL"),"FAIL"),"FAIL")</f>
        <v>PASS</v>
      </c>
    </row>
    <row r="612" customFormat="false" ht="15" hidden="false" customHeight="false" outlineLevel="0" collapsed="false">
      <c r="B612" s="48" t="n">
        <v>603</v>
      </c>
      <c r="C612" s="9" t="s">
        <v>307</v>
      </c>
      <c r="D612" s="9" t="s">
        <v>1351</v>
      </c>
      <c r="E612" s="10" t="n">
        <v>0.1705</v>
      </c>
      <c r="F612" s="56" t="n">
        <f aca="false">Case_Base!$D$223</f>
        <v>0.170484343544686</v>
      </c>
      <c r="G612" s="50" t="n">
        <f aca="false">IFERROR(IF(ISNUMBER(F612),F612-E612,"n/a"),"n/a")</f>
        <v>-1.56564553139005E-005</v>
      </c>
      <c r="H612" s="51" t="n">
        <v>5.0001E-005</v>
      </c>
      <c r="I612" s="47" t="str">
        <f aca="false">IFERROR(IF(ISNUMBER(F612),IF(ABS(F612-E612)&lt;=H612,"PASS","FAIL"),"FAIL"),"FAIL")</f>
        <v>PASS</v>
      </c>
    </row>
    <row r="613" customFormat="false" ht="15" hidden="false" customHeight="false" outlineLevel="0" collapsed="false">
      <c r="B613" s="48" t="n">
        <v>604</v>
      </c>
      <c r="C613" s="9" t="s">
        <v>307</v>
      </c>
      <c r="D613" s="9" t="s">
        <v>1352</v>
      </c>
      <c r="E613" s="54" t="n">
        <v>2.2</v>
      </c>
      <c r="F613" s="55" t="n">
        <f aca="false">Case_Base!$D$225</f>
        <v>2.19698982032648</v>
      </c>
      <c r="G613" s="50" t="n">
        <f aca="false">IFERROR(IF(ISNUMBER(F613),F613-E613,"n/a"),"n/a")</f>
        <v>-0.00301017967352291</v>
      </c>
      <c r="H613" s="51" t="n">
        <v>0.005000001</v>
      </c>
      <c r="I613" s="47" t="str">
        <f aca="false">IFERROR(IF(ISNUMBER(F613),IF(ABS(F613-E613)&lt;=H613,"PASS","FAIL"),"FAIL"),"FAIL")</f>
        <v>PASS</v>
      </c>
    </row>
    <row r="614" customFormat="false" ht="15" hidden="false" customHeight="false" outlineLevel="0" collapsed="false">
      <c r="B614" s="48" t="n">
        <v>605</v>
      </c>
      <c r="C614" s="9" t="s">
        <v>1335</v>
      </c>
      <c r="D614" s="9" t="s">
        <v>1353</v>
      </c>
      <c r="E614" s="21" t="n">
        <v>-0.12</v>
      </c>
      <c r="F614" s="20" t="n">
        <f aca="false">Scenarios!$D$38</f>
        <v>-0.12</v>
      </c>
      <c r="G614" s="50" t="n">
        <f aca="false">IFERROR(IF(ISNUMBER(F614),F614-E614,"n/a"),"n/a")</f>
        <v>0</v>
      </c>
      <c r="H614" s="51" t="n">
        <v>0.000500001</v>
      </c>
      <c r="I614" s="47" t="str">
        <f aca="false">IFERROR(IF(ISNUMBER(F614),IF(ABS(F614-E614)&lt;=H614,"PASS","FAIL"),"FAIL"),"FAIL")</f>
        <v>PASS</v>
      </c>
    </row>
    <row r="615" customFormat="false" ht="15" hidden="false" customHeight="false" outlineLevel="0" collapsed="false">
      <c r="B615" s="48" t="n">
        <v>606</v>
      </c>
      <c r="C615" s="9" t="s">
        <v>1335</v>
      </c>
      <c r="D615" s="9" t="s">
        <v>1354</v>
      </c>
      <c r="E615" s="21" t="n">
        <v>0.13</v>
      </c>
      <c r="F615" s="20" t="n">
        <f aca="false">Scenarios!$D$39</f>
        <v>0.13</v>
      </c>
      <c r="G615" s="50" t="n">
        <f aca="false">IFERROR(IF(ISNUMBER(F615),F615-E615,"n/a"),"n/a")</f>
        <v>0</v>
      </c>
      <c r="H615" s="51" t="n">
        <v>0.000500001</v>
      </c>
      <c r="I615" s="47" t="str">
        <f aca="false">IFERROR(IF(ISNUMBER(F615),IF(ABS(F615-E615)&lt;=H615,"PASS","FAIL"),"FAIL"),"FAIL")</f>
        <v>PASS</v>
      </c>
    </row>
    <row r="616" customFormat="false" ht="15" hidden="false" customHeight="false" outlineLevel="0" collapsed="false">
      <c r="B616" s="48" t="n">
        <v>607</v>
      </c>
      <c r="C616" s="9" t="s">
        <v>1335</v>
      </c>
      <c r="D616" s="9" t="s">
        <v>1355</v>
      </c>
      <c r="E616" s="21" t="n">
        <v>-0.045</v>
      </c>
      <c r="F616" s="20" t="n">
        <f aca="false">Scenarios!$D$40</f>
        <v>-0.045</v>
      </c>
      <c r="G616" s="50" t="n">
        <f aca="false">IFERROR(IF(ISNUMBER(F616),F616-E616,"n/a"),"n/a")</f>
        <v>0</v>
      </c>
      <c r="H616" s="51" t="n">
        <v>0.000500001</v>
      </c>
      <c r="I616" s="47" t="str">
        <f aca="false">IFERROR(IF(ISNUMBER(F616),IF(ABS(F616-E616)&lt;=H616,"PASS","FAIL"),"FAIL"),"FAIL")</f>
        <v>PASS</v>
      </c>
    </row>
    <row r="617" customFormat="false" ht="15" hidden="false" customHeight="false" outlineLevel="0" collapsed="false">
      <c r="B617" s="48" t="n">
        <v>608</v>
      </c>
      <c r="C617" s="9" t="s">
        <v>1335</v>
      </c>
      <c r="D617" s="9" t="s">
        <v>1356</v>
      </c>
      <c r="E617" s="52" t="n">
        <v>40.7</v>
      </c>
      <c r="F617" s="53" t="n">
        <f aca="false">Scenarios!$D$41</f>
        <v>40.744704</v>
      </c>
      <c r="G617" s="50" t="n">
        <f aca="false">IFERROR(IF(ISNUMBER(F617),F617-E617,"n/a"),"n/a")</f>
        <v>0.044704000000003</v>
      </c>
      <c r="H617" s="51" t="n">
        <v>0.050000001</v>
      </c>
      <c r="I617" s="47" t="str">
        <f aca="false">IFERROR(IF(ISNUMBER(F617),IF(ABS(F617-E617)&lt;=H617,"PASS","FAIL"),"FAIL"),"FAIL")</f>
        <v>PASS</v>
      </c>
    </row>
    <row r="618" customFormat="false" ht="15" hidden="false" customHeight="false" outlineLevel="0" collapsed="false">
      <c r="B618" s="48" t="n">
        <v>609</v>
      </c>
      <c r="C618" s="9" t="s">
        <v>1335</v>
      </c>
      <c r="D618" s="9" t="s">
        <v>1357</v>
      </c>
      <c r="E618" s="52" t="n">
        <v>50.1</v>
      </c>
      <c r="F618" s="53" t="n">
        <f aca="false">Scenarios!$D$42</f>
        <v>50.064704</v>
      </c>
      <c r="G618" s="50" t="n">
        <f aca="false">IFERROR(IF(ISNUMBER(F618),F618-E618,"n/a"),"n/a")</f>
        <v>-0.0352959999999953</v>
      </c>
      <c r="H618" s="51" t="n">
        <v>0.050000001</v>
      </c>
      <c r="I618" s="47" t="str">
        <f aca="false">IFERROR(IF(ISNUMBER(F618),IF(ABS(F618-E618)&lt;=H618,"PASS","FAIL"),"FAIL"),"FAIL")</f>
        <v>PASS</v>
      </c>
    </row>
    <row r="619" customFormat="false" ht="15" hidden="false" customHeight="false" outlineLevel="0" collapsed="false">
      <c r="B619" s="48" t="n">
        <v>610</v>
      </c>
      <c r="C619" s="9" t="s">
        <v>1335</v>
      </c>
      <c r="D619" s="9" t="s">
        <v>1358</v>
      </c>
      <c r="E619" s="52" t="n">
        <v>280.4</v>
      </c>
      <c r="F619" s="53" t="n">
        <f aca="false">Scenarios!$D$43</f>
        <v>280.4236780375</v>
      </c>
      <c r="G619" s="50" t="n">
        <f aca="false">IFERROR(IF(ISNUMBER(F619),F619-E619,"n/a"),"n/a")</f>
        <v>0.0236780374999626</v>
      </c>
      <c r="H619" s="51" t="n">
        <v>0.050000001</v>
      </c>
      <c r="I619" s="47" t="str">
        <f aca="false">IFERROR(IF(ISNUMBER(F619),IF(ABS(F619-E619)&lt;=H619,"PASS","FAIL"),"FAIL"),"FAIL")</f>
        <v>PASS</v>
      </c>
    </row>
    <row r="620" customFormat="false" ht="15" hidden="false" customHeight="false" outlineLevel="0" collapsed="false">
      <c r="B620" s="48" t="n">
        <v>611</v>
      </c>
      <c r="C620" s="9" t="s">
        <v>1335</v>
      </c>
      <c r="D620" s="9" t="s">
        <v>1359</v>
      </c>
      <c r="E620" s="52" t="n">
        <v>52.1</v>
      </c>
      <c r="F620" s="53" t="n">
        <f aca="false">Scenarios!$D$44</f>
        <v>52.064704</v>
      </c>
      <c r="G620" s="50" t="n">
        <f aca="false">IFERROR(IF(ISNUMBER(F620),F620-E620,"n/a"),"n/a")</f>
        <v>-0.0352959999999953</v>
      </c>
      <c r="H620" s="51" t="n">
        <v>0.050000001</v>
      </c>
      <c r="I620" s="47" t="str">
        <f aca="false">IFERROR(IF(ISNUMBER(F620),IF(ABS(F620-E620)&lt;=H620,"PASS","FAIL"),"FAIL"),"FAIL")</f>
        <v>PASS</v>
      </c>
    </row>
    <row r="621" customFormat="false" ht="15" hidden="false" customHeight="false" outlineLevel="0" collapsed="false">
      <c r="B621" s="48" t="n">
        <v>612</v>
      </c>
      <c r="C621" s="9" t="s">
        <v>1335</v>
      </c>
      <c r="D621" s="9" t="s">
        <v>1360</v>
      </c>
      <c r="E621" s="54" t="n">
        <v>5.39</v>
      </c>
      <c r="F621" s="55" t="n">
        <f aca="false">Scenarios!$D$45</f>
        <v>5.38606112189747</v>
      </c>
      <c r="G621" s="50" t="n">
        <f aca="false">IFERROR(IF(ISNUMBER(F621),F621-E621,"n/a"),"n/a")</f>
        <v>-0.00393887810252558</v>
      </c>
      <c r="H621" s="51" t="n">
        <v>0.005000001</v>
      </c>
      <c r="I621" s="47" t="str">
        <f aca="false">IFERROR(IF(ISNUMBER(F621),IF(ABS(F621-E621)&lt;=H621,"PASS","FAIL"),"FAIL"),"FAIL")</f>
        <v>PASS</v>
      </c>
    </row>
    <row r="622" customFormat="false" ht="15" hidden="false" customHeight="false" outlineLevel="0" collapsed="false">
      <c r="B622" s="48" t="n">
        <v>613</v>
      </c>
      <c r="C622" s="9" t="s">
        <v>1335</v>
      </c>
      <c r="D622" s="9" t="s">
        <v>1361</v>
      </c>
      <c r="E622" s="54" t="n">
        <v>4.75</v>
      </c>
      <c r="F622" s="55" t="n">
        <f aca="false">Scenarios!$D$46</f>
        <v>4.75</v>
      </c>
      <c r="G622" s="50" t="n">
        <f aca="false">IFERROR(IF(ISNUMBER(F622),F622-E622,"n/a"),"n/a")</f>
        <v>0</v>
      </c>
      <c r="H622" s="51" t="n">
        <v>0.005000001</v>
      </c>
      <c r="I622" s="47" t="str">
        <f aca="false">IFERROR(IF(ISNUMBER(F622),IF(ABS(F622-E622)&lt;=H622,"PASS","FAIL"),"FAIL"),"FAIL")</f>
        <v>PASS</v>
      </c>
    </row>
    <row r="623" customFormat="false" ht="15" hidden="false" customHeight="false" outlineLevel="0" collapsed="false">
      <c r="B623" s="48" t="n">
        <v>614</v>
      </c>
      <c r="C623" s="9" t="s">
        <v>1335</v>
      </c>
      <c r="D623" s="9" t="s">
        <v>1362</v>
      </c>
      <c r="E623" s="54" t="n">
        <v>0.64</v>
      </c>
      <c r="F623" s="55" t="n">
        <f aca="false">Scenarios!$D$47</f>
        <v>0.636061121897474</v>
      </c>
      <c r="G623" s="50" t="n">
        <f aca="false">IFERROR(IF(ISNUMBER(F623),F623-E623,"n/a"),"n/a")</f>
        <v>-0.00393887810252591</v>
      </c>
      <c r="H623" s="51" t="n">
        <v>0.005000001</v>
      </c>
      <c r="I623" s="47" t="str">
        <f aca="false">IFERROR(IF(ISNUMBER(F623),IF(ABS(F623-E623)&lt;=H623,"PASS","FAIL"),"FAIL"),"FAIL")</f>
        <v>PASS</v>
      </c>
    </row>
    <row r="624" customFormat="false" ht="15" hidden="false" customHeight="false" outlineLevel="0" collapsed="false">
      <c r="B624" s="48" t="n">
        <v>615</v>
      </c>
      <c r="C624" s="9" t="s">
        <v>1335</v>
      </c>
      <c r="D624" s="9" t="s">
        <v>1363</v>
      </c>
      <c r="E624" s="10" t="n">
        <v>0.1515</v>
      </c>
      <c r="F624" s="56" t="n">
        <f aca="false">Scenarios!$D$48</f>
        <v>0.151458234262301</v>
      </c>
      <c r="G624" s="50" t="n">
        <f aca="false">IFERROR(IF(ISNUMBER(F624),F624-E624,"n/a"),"n/a")</f>
        <v>-4.17657376987624E-005</v>
      </c>
      <c r="H624" s="51" t="n">
        <v>5.0001E-005</v>
      </c>
      <c r="I624" s="47" t="str">
        <f aca="false">IFERROR(IF(ISNUMBER(F624),IF(ABS(F624-E624)&lt;=H624,"PASS","FAIL"),"FAIL"),"FAIL")</f>
        <v>PASS</v>
      </c>
    </row>
    <row r="625" customFormat="false" ht="15" hidden="false" customHeight="false" outlineLevel="0" collapsed="false">
      <c r="B625" s="48" t="n">
        <v>616</v>
      </c>
      <c r="C625" s="9" t="s">
        <v>1335</v>
      </c>
      <c r="D625" s="9" t="s">
        <v>1364</v>
      </c>
      <c r="E625" s="54" t="n">
        <v>2.02</v>
      </c>
      <c r="F625" s="55" t="n">
        <f aca="false">Scenarios!$D$49</f>
        <v>2.02414187333182</v>
      </c>
      <c r="G625" s="50" t="n">
        <f aca="false">IFERROR(IF(ISNUMBER(F625),F625-E625,"n/a"),"n/a")</f>
        <v>0.00414187333182348</v>
      </c>
      <c r="H625" s="51" t="n">
        <v>0.005000001</v>
      </c>
      <c r="I625" s="47" t="str">
        <f aca="false">IFERROR(IF(ISNUMBER(F625),IF(ABS(F625-E625)&lt;=H625,"PASS","FAIL"),"FAIL"),"FAIL")</f>
        <v>PASS</v>
      </c>
    </row>
    <row r="626" customFormat="false" ht="15" hidden="false" customHeight="false" outlineLevel="0" collapsed="false">
      <c r="B626" s="48" t="n">
        <v>617</v>
      </c>
      <c r="C626" s="9" t="s">
        <v>1335</v>
      </c>
      <c r="D626" s="9" t="s">
        <v>1365</v>
      </c>
      <c r="E626" s="54" t="n">
        <v>1.98</v>
      </c>
      <c r="F626" s="55" t="n">
        <f aca="false">Scenarios!$D$50</f>
        <v>1.98317619839855</v>
      </c>
      <c r="G626" s="50" t="n">
        <f aca="false">IFERROR(IF(ISNUMBER(F626),F626-E626,"n/a"),"n/a")</f>
        <v>0.00317619839855032</v>
      </c>
      <c r="H626" s="51" t="n">
        <v>0.005000001</v>
      </c>
      <c r="I626" s="47" t="str">
        <f aca="false">IFERROR(IF(ISNUMBER(F626),IF(ABS(F626-E626)&lt;=H626,"PASS","FAIL"),"FAIL"),"FAIL")</f>
        <v>PASS</v>
      </c>
    </row>
    <row r="627" customFormat="false" ht="15" hidden="false" customHeight="false" outlineLevel="0" collapsed="false">
      <c r="B627" s="48" t="n">
        <v>618</v>
      </c>
      <c r="C627" s="9" t="s">
        <v>1335</v>
      </c>
      <c r="D627" s="9" t="s">
        <v>1366</v>
      </c>
      <c r="E627" s="52" t="n">
        <v>2</v>
      </c>
      <c r="F627" s="53" t="n">
        <f aca="false">Scenarios!$D$51</f>
        <v>2</v>
      </c>
      <c r="G627" s="50" t="n">
        <f aca="false">IFERROR(IF(ISNUMBER(F627),F627-E627,"n/a"),"n/a")</f>
        <v>0</v>
      </c>
      <c r="H627" s="51" t="n">
        <v>0.050000001</v>
      </c>
      <c r="I627" s="47" t="str">
        <f aca="false">IFERROR(IF(ISNUMBER(F627),IF(ABS(F627-E627)&lt;=H627,"PASS","FAIL"),"FAIL"),"FAIL")</f>
        <v>PASS</v>
      </c>
    </row>
    <row r="628" customFormat="false" ht="15" hidden="false" customHeight="false" outlineLevel="0" collapsed="false">
      <c r="B628" s="48" t="n">
        <v>619</v>
      </c>
      <c r="C628" s="9" t="s">
        <v>1335</v>
      </c>
      <c r="D628" s="9" t="s">
        <v>1367</v>
      </c>
      <c r="E628" s="54" t="n">
        <v>2.02</v>
      </c>
      <c r="F628" s="55" t="n">
        <f aca="false">Scenarios!$D$49</f>
        <v>2.02414187333182</v>
      </c>
      <c r="G628" s="50" t="n">
        <f aca="false">IFERROR(IF(ISNUMBER(F628),F628-E628,"n/a"),"n/a")</f>
        <v>0.00414187333182348</v>
      </c>
      <c r="H628" s="51" t="n">
        <v>0.005000001</v>
      </c>
      <c r="I628" s="47" t="str">
        <f aca="false">IFERROR(IF(ISNUMBER(F628),IF(ABS(F628-E628)&lt;=H628,"PASS","FAIL"),"FAIL"),"FAIL")</f>
        <v>PASS</v>
      </c>
    </row>
    <row r="629" customFormat="false" ht="15" hidden="false" customHeight="false" outlineLevel="0" collapsed="false">
      <c r="B629" s="48" t="n">
        <v>620</v>
      </c>
      <c r="C629" s="9" t="s">
        <v>1335</v>
      </c>
      <c r="D629" s="9" t="s">
        <v>1368</v>
      </c>
      <c r="E629" s="54" t="n">
        <v>6.97</v>
      </c>
      <c r="F629" s="55" t="n">
        <f aca="false">Scenarios!$D$52</f>
        <v>6.9718597973684</v>
      </c>
      <c r="G629" s="50" t="n">
        <f aca="false">IFERROR(IF(ISNUMBER(F629),F629-E629,"n/a"),"n/a")</f>
        <v>0.00185979736840292</v>
      </c>
      <c r="H629" s="51" t="n">
        <v>0.005000001</v>
      </c>
      <c r="I629" s="47" t="str">
        <f aca="false">IFERROR(IF(ISNUMBER(F629),IF(ABS(F629-E629)&lt;=H629,"PASS","FAIL"),"FAIL"),"FAIL")</f>
        <v>PASS</v>
      </c>
    </row>
    <row r="630" customFormat="false" ht="15" hidden="false" customHeight="false" outlineLevel="0" collapsed="false">
      <c r="B630" s="48" t="n">
        <v>621</v>
      </c>
      <c r="C630" s="9" t="s">
        <v>1335</v>
      </c>
      <c r="D630" s="9" t="s">
        <v>1369</v>
      </c>
      <c r="E630" s="52" t="n">
        <v>7</v>
      </c>
      <c r="F630" s="53" t="n">
        <f aca="false">Scenarios!$D$53</f>
        <v>7</v>
      </c>
      <c r="G630" s="50" t="n">
        <f aca="false">IFERROR(IF(ISNUMBER(F630),F630-E630,"n/a"),"n/a")</f>
        <v>0</v>
      </c>
      <c r="H630" s="51" t="n">
        <v>0.050000001</v>
      </c>
      <c r="I630" s="47" t="str">
        <f aca="false">IFERROR(IF(ISNUMBER(F630),IF(ABS(F630-E630)&lt;=H630,"PASS","FAIL"),"FAIL"),"FAIL")</f>
        <v>PASS</v>
      </c>
    </row>
    <row r="631" customFormat="false" ht="15" hidden="false" customHeight="false" outlineLevel="0" collapsed="false">
      <c r="B631" s="48" t="n">
        <v>622</v>
      </c>
      <c r="C631" s="9" t="s">
        <v>1335</v>
      </c>
      <c r="D631" s="9" t="s">
        <v>1370</v>
      </c>
      <c r="E631" s="54" t="n">
        <v>4.63</v>
      </c>
      <c r="F631" s="55" t="n">
        <f aca="false">Scenarios!$D$54</f>
        <v>4.62922286104236</v>
      </c>
      <c r="G631" s="50" t="n">
        <f aca="false">IFERROR(IF(ISNUMBER(F631),F631-E631,"n/a"),"n/a")</f>
        <v>-0.000777138957643864</v>
      </c>
      <c r="H631" s="51" t="n">
        <v>0.005000001</v>
      </c>
      <c r="I631" s="47" t="str">
        <f aca="false">IFERROR(IF(ISNUMBER(F631),IF(ABS(F631-E631)&lt;=H631,"PASS","FAIL"),"FAIL"),"FAIL")</f>
        <v>PASS</v>
      </c>
    </row>
    <row r="632" customFormat="false" ht="15" hidden="false" customHeight="false" outlineLevel="0" collapsed="false">
      <c r="B632" s="48" t="n">
        <v>623</v>
      </c>
      <c r="C632" s="9" t="s">
        <v>1335</v>
      </c>
      <c r="D632" s="9" t="s">
        <v>1371</v>
      </c>
      <c r="E632" s="54" t="n">
        <v>0.12</v>
      </c>
      <c r="F632" s="55" t="n">
        <f aca="false">Scenarios!$D$55</f>
        <v>0.120777138957644</v>
      </c>
      <c r="G632" s="50" t="n">
        <f aca="false">IFERROR(IF(ISNUMBER(F632),F632-E632,"n/a"),"n/a")</f>
        <v>0.000777138957643975</v>
      </c>
      <c r="H632" s="51" t="n">
        <v>0.005000001</v>
      </c>
      <c r="I632" s="47" t="str">
        <f aca="false">IFERROR(IF(ISNUMBER(F632),IF(ABS(F632-E632)&lt;=H632,"PASS","FAIL"),"FAIL"),"FAIL")</f>
        <v>PASS</v>
      </c>
    </row>
    <row r="633" customFormat="false" ht="15" hidden="false" customHeight="false" outlineLevel="0" collapsed="false">
      <c r="B633" s="48" t="n">
        <v>624</v>
      </c>
      <c r="C633" s="9" t="s">
        <v>1335</v>
      </c>
      <c r="D633" s="9" t="s">
        <v>1372</v>
      </c>
      <c r="E633" s="10" t="n">
        <v>0.1509</v>
      </c>
      <c r="F633" s="56" t="n">
        <f aca="false">Scenarios!$D$56</f>
        <v>0.150943694003238</v>
      </c>
      <c r="G633" s="50" t="n">
        <f aca="false">IFERROR(IF(ISNUMBER(F633),F633-E633,"n/a"),"n/a")</f>
        <v>4.36940032379762E-005</v>
      </c>
      <c r="H633" s="51" t="n">
        <v>5.0001E-005</v>
      </c>
      <c r="I633" s="47" t="str">
        <f aca="false">IFERROR(IF(ISNUMBER(F633),IF(ABS(F633-E633)&lt;=H633,"PASS","FAIL"),"FAIL"),"FAIL")</f>
        <v>PASS</v>
      </c>
    </row>
    <row r="634" customFormat="false" ht="15" hidden="false" customHeight="false" outlineLevel="0" collapsed="false">
      <c r="B634" s="48" t="n">
        <v>625</v>
      </c>
      <c r="C634" s="9" t="s">
        <v>1335</v>
      </c>
      <c r="D634" s="9" t="s">
        <v>1373</v>
      </c>
      <c r="E634" s="54" t="n">
        <v>1.99</v>
      </c>
      <c r="F634" s="55" t="n">
        <f aca="false">Scenarios!$D$57</f>
        <v>1.99492965092577</v>
      </c>
      <c r="G634" s="50" t="n">
        <f aca="false">IFERROR(IF(ISNUMBER(F634),F634-E634,"n/a"),"n/a")</f>
        <v>0.00492965092577147</v>
      </c>
      <c r="H634" s="51" t="n">
        <v>0.005000001</v>
      </c>
      <c r="I634" s="47" t="str">
        <f aca="false">IFERROR(IF(ISNUMBER(F634),IF(ABS(F634-E634)&lt;=H634,"PASS","FAIL"),"FAIL"),"FAIL")</f>
        <v>PASS</v>
      </c>
    </row>
    <row r="635" customFormat="false" ht="15" hidden="false" customHeight="false" outlineLevel="0" collapsed="false">
      <c r="B635" s="48" t="n">
        <v>626</v>
      </c>
      <c r="C635" s="9" t="s">
        <v>1335</v>
      </c>
      <c r="D635" s="9" t="s">
        <v>1374</v>
      </c>
      <c r="E635" s="52" t="n">
        <v>197</v>
      </c>
      <c r="F635" s="53" t="n">
        <f aca="false">Scenarios!$D$58</f>
        <v>197</v>
      </c>
      <c r="G635" s="50" t="n">
        <f aca="false">IFERROR(IF(ISNUMBER(F635),F635-E635,"n/a"),"n/a")</f>
        <v>0</v>
      </c>
      <c r="H635" s="51" t="n">
        <v>0.050000001</v>
      </c>
      <c r="I635" s="47" t="str">
        <f aca="false">IFERROR(IF(ISNUMBER(F635),IF(ABS(F635-E635)&lt;=H635,"PASS","FAIL"),"FAIL"),"FAIL")</f>
        <v>PASS</v>
      </c>
    </row>
    <row r="636" customFormat="false" ht="15" hidden="false" customHeight="false" outlineLevel="0" collapsed="false">
      <c r="B636" s="48" t="n">
        <v>627</v>
      </c>
      <c r="C636" s="9" t="s">
        <v>1335</v>
      </c>
      <c r="D636" s="9" t="s">
        <v>1375</v>
      </c>
      <c r="E636" s="52" t="n">
        <v>190</v>
      </c>
      <c r="F636" s="53" t="n">
        <f aca="false">Scenarios!$D$59</f>
        <v>190</v>
      </c>
      <c r="G636" s="50" t="n">
        <f aca="false">IFERROR(IF(ISNUMBER(F636),F636-E636,"n/a"),"n/a")</f>
        <v>0</v>
      </c>
      <c r="H636" s="51" t="n">
        <v>0.050000001</v>
      </c>
      <c r="I636" s="47" t="str">
        <f aca="false">IFERROR(IF(ISNUMBER(F636),IF(ABS(F636-E636)&lt;=H636,"PASS","FAIL"),"FAIL"),"FAIL")</f>
        <v>PASS</v>
      </c>
    </row>
    <row r="637" customFormat="false" ht="15" hidden="false" customHeight="false" outlineLevel="0" collapsed="false">
      <c r="B637" s="48" t="n">
        <v>628</v>
      </c>
      <c r="C637" s="9" t="s">
        <v>1335</v>
      </c>
      <c r="D637" s="9" t="s">
        <v>1376</v>
      </c>
      <c r="E637" s="52" t="n">
        <v>7</v>
      </c>
      <c r="F637" s="53" t="n">
        <f aca="false">Scenarios!$D$53</f>
        <v>7</v>
      </c>
      <c r="G637" s="50" t="n">
        <f aca="false">IFERROR(IF(ISNUMBER(F637),F637-E637,"n/a"),"n/a")</f>
        <v>0</v>
      </c>
      <c r="H637" s="51" t="n">
        <v>0.050000001</v>
      </c>
      <c r="I637" s="47" t="str">
        <f aca="false">IFERROR(IF(ISNUMBER(F637),IF(ABS(F637-E637)&lt;=H637,"PASS","FAIL"),"FAIL"),"FAIL")</f>
        <v>PASS</v>
      </c>
    </row>
    <row r="638" customFormat="false" ht="15" hidden="false" customHeight="false" outlineLevel="0" collapsed="false">
      <c r="B638" s="48" t="n">
        <v>629</v>
      </c>
      <c r="C638" s="9" t="s">
        <v>1335</v>
      </c>
      <c r="D638" s="9" t="s">
        <v>1377</v>
      </c>
      <c r="E638" s="54" t="n">
        <v>1.92</v>
      </c>
      <c r="F638" s="55" t="n">
        <f aca="false">Scenarios!$D$60</f>
        <v>1.92084096327082</v>
      </c>
      <c r="G638" s="50" t="n">
        <f aca="false">IFERROR(IF(ISNUMBER(F638),F638-E638,"n/a"),"n/a")</f>
        <v>0.000840963270823725</v>
      </c>
      <c r="H638" s="51" t="n">
        <v>0.005000001</v>
      </c>
      <c r="I638" s="47" t="str">
        <f aca="false">IFERROR(IF(ISNUMBER(F638),IF(ABS(F638-E638)&lt;=H638,"PASS","FAIL"),"FAIL"),"FAIL")</f>
        <v>PASS</v>
      </c>
    </row>
    <row r="639" customFormat="false" ht="15" hidden="false" customHeight="false" outlineLevel="0" collapsed="false">
      <c r="B639" s="48" t="n">
        <v>630</v>
      </c>
      <c r="C639" s="9" t="s">
        <v>1335</v>
      </c>
      <c r="D639" s="9" t="s">
        <v>1378</v>
      </c>
      <c r="E639" s="21" t="n">
        <v>0.01</v>
      </c>
      <c r="F639" s="20" t="n">
        <f aca="false">Scenarios!$D$61</f>
        <v>0.01</v>
      </c>
      <c r="G639" s="50" t="n">
        <f aca="false">IFERROR(IF(ISNUMBER(F639),F639-E639,"n/a"),"n/a")</f>
        <v>0</v>
      </c>
      <c r="H639" s="51" t="n">
        <v>0.000500001</v>
      </c>
      <c r="I639" s="47" t="str">
        <f aca="false">IFERROR(IF(ISNUMBER(F639),IF(ABS(F639-E639)&lt;=H639,"PASS","FAIL"),"FAIL"),"FAIL")</f>
        <v>PASS</v>
      </c>
    </row>
    <row r="640" customFormat="false" ht="15" hidden="false" customHeight="false" outlineLevel="0" collapsed="false">
      <c r="B640" s="48" t="n">
        <v>631</v>
      </c>
      <c r="C640" s="9" t="s">
        <v>1335</v>
      </c>
      <c r="D640" s="9" t="s">
        <v>1379</v>
      </c>
      <c r="E640" s="54" t="n">
        <v>2.54</v>
      </c>
      <c r="F640" s="55" t="n">
        <f aca="false">Scenarios!$D$62</f>
        <v>2.537508175</v>
      </c>
      <c r="G640" s="50" t="n">
        <f aca="false">IFERROR(IF(ISNUMBER(F640),F640-E640,"n/a"),"n/a")</f>
        <v>-0.00249182500000034</v>
      </c>
      <c r="H640" s="51" t="n">
        <v>0.005000001</v>
      </c>
      <c r="I640" s="47" t="str">
        <f aca="false">IFERROR(IF(ISNUMBER(F640),IF(ABS(F640-E640)&lt;=H640,"PASS","FAIL"),"FAIL"),"FAIL")</f>
        <v>PASS</v>
      </c>
    </row>
    <row r="641" customFormat="false" ht="15" hidden="false" customHeight="false" outlineLevel="0" collapsed="false">
      <c r="B641" s="48" t="n">
        <v>632</v>
      </c>
      <c r="C641" s="9" t="s">
        <v>1335</v>
      </c>
      <c r="D641" s="9" t="s">
        <v>1380</v>
      </c>
      <c r="E641" s="10" t="n">
        <v>0.01</v>
      </c>
      <c r="F641" s="56" t="n">
        <f aca="false">Scenarios!$D$63</f>
        <v>0.01</v>
      </c>
      <c r="G641" s="50" t="n">
        <f aca="false">IFERROR(IF(ISNUMBER(F641),F641-E641,"n/a"),"n/a")</f>
        <v>0</v>
      </c>
      <c r="H641" s="51" t="n">
        <v>5.0001E-005</v>
      </c>
      <c r="I641" s="47" t="str">
        <f aca="false">IFERROR(IF(ISNUMBER(F641),IF(ABS(F641-E641)&lt;=H641,"PASS","FAIL"),"FAIL"),"FAIL")</f>
        <v>PASS</v>
      </c>
    </row>
    <row r="642" customFormat="false" ht="15" hidden="false" customHeight="false" outlineLevel="0" collapsed="false">
      <c r="B642" s="48" t="n">
        <v>633</v>
      </c>
      <c r="C642" s="9" t="s">
        <v>1335</v>
      </c>
      <c r="D642" s="9" t="s">
        <v>1381</v>
      </c>
      <c r="E642" s="54" t="n">
        <v>0.75</v>
      </c>
      <c r="F642" s="55" t="n">
        <f aca="false">Scenarios!$D$64</f>
        <v>0.75</v>
      </c>
      <c r="G642" s="50" t="n">
        <f aca="false">IFERROR(IF(ISNUMBER(F642),F642-E642,"n/a"),"n/a")</f>
        <v>0</v>
      </c>
      <c r="H642" s="51" t="n">
        <v>0.005000001</v>
      </c>
      <c r="I642" s="47" t="str">
        <f aca="false">IFERROR(IF(ISNUMBER(F642),IF(ABS(F642-E642)&lt;=H642,"PASS","FAIL"),"FAIL"),"FAIL")</f>
        <v>PASS</v>
      </c>
    </row>
    <row r="643" customFormat="false" ht="15" hidden="false" customHeight="false" outlineLevel="0" collapsed="false">
      <c r="B643" s="48" t="n">
        <v>634</v>
      </c>
      <c r="C643" s="9" t="s">
        <v>1335</v>
      </c>
      <c r="D643" s="9" t="s">
        <v>1382</v>
      </c>
      <c r="E643" s="54" t="n">
        <v>5.42</v>
      </c>
      <c r="F643" s="55" t="n">
        <f aca="false">Scenarios!$D$65</f>
        <v>5.42261431408023</v>
      </c>
      <c r="G643" s="50" t="n">
        <f aca="false">IFERROR(IF(ISNUMBER(F643),F643-E643,"n/a"),"n/a")</f>
        <v>0.00261431408022528</v>
      </c>
      <c r="H643" s="51" t="n">
        <v>0.005000001</v>
      </c>
      <c r="I643" s="47" t="str">
        <f aca="false">IFERROR(IF(ISNUMBER(F643),IF(ABS(F643-E643)&lt;=H643,"PASS","FAIL"),"FAIL"),"FAIL")</f>
        <v>PASS</v>
      </c>
    </row>
    <row r="644" customFormat="false" ht="15" hidden="false" customHeight="false" outlineLevel="0" collapsed="false">
      <c r="B644" s="48" t="n">
        <v>635</v>
      </c>
      <c r="C644" s="9" t="s">
        <v>1335</v>
      </c>
      <c r="D644" s="9" t="s">
        <v>1383</v>
      </c>
      <c r="E644" s="54" t="n">
        <v>5.5</v>
      </c>
      <c r="F644" s="55" t="n">
        <f aca="false">Scenarios!$D$66</f>
        <v>5.5</v>
      </c>
      <c r="G644" s="50" t="n">
        <f aca="false">IFERROR(IF(ISNUMBER(F644),F644-E644,"n/a"),"n/a")</f>
        <v>0</v>
      </c>
      <c r="H644" s="51" t="n">
        <v>0.005000001</v>
      </c>
      <c r="I644" s="47" t="str">
        <f aca="false">IFERROR(IF(ISNUMBER(F644),IF(ABS(F644-E644)&lt;=H644,"PASS","FAIL"),"FAIL"),"FAIL")</f>
        <v>PASS</v>
      </c>
    </row>
    <row r="645" customFormat="false" ht="15" hidden="false" customHeight="false" outlineLevel="0" collapsed="false">
      <c r="B645" s="48" t="n">
        <v>636</v>
      </c>
      <c r="C645" s="9" t="s">
        <v>1335</v>
      </c>
      <c r="D645" s="9" t="s">
        <v>1384</v>
      </c>
      <c r="E645" s="10" t="n">
        <v>0.1476</v>
      </c>
      <c r="F645" s="56" t="n">
        <f aca="false">Scenarios!$D$67</f>
        <v>0.147564115443235</v>
      </c>
      <c r="G645" s="50" t="n">
        <f aca="false">IFERROR(IF(ISNUMBER(F645),F645-E645,"n/a"),"n/a")</f>
        <v>-3.58845567651478E-005</v>
      </c>
      <c r="H645" s="51" t="n">
        <v>5.0001E-005</v>
      </c>
      <c r="I645" s="47" t="str">
        <f aca="false">IFERROR(IF(ISNUMBER(F645),IF(ABS(F645-E645)&lt;=H645,"PASS","FAIL"),"FAIL"),"FAIL")</f>
        <v>PASS</v>
      </c>
    </row>
    <row r="646" customFormat="false" ht="15" hidden="false" customHeight="false" outlineLevel="0" collapsed="false">
      <c r="B646" s="48" t="n">
        <v>637</v>
      </c>
      <c r="C646" s="9" t="s">
        <v>1335</v>
      </c>
      <c r="D646" s="9" t="s">
        <v>1385</v>
      </c>
      <c r="E646" s="54" t="n">
        <v>1.99</v>
      </c>
      <c r="F646" s="55" t="n">
        <f aca="false">Scenarios!$D$68</f>
        <v>1.99014535161455</v>
      </c>
      <c r="G646" s="50" t="n">
        <f aca="false">IFERROR(IF(ISNUMBER(F646),F646-E646,"n/a"),"n/a")</f>
        <v>0.000145351614546207</v>
      </c>
      <c r="H646" s="51" t="n">
        <v>0.005000001</v>
      </c>
      <c r="I646" s="47" t="str">
        <f aca="false">IFERROR(IF(ISNUMBER(F646),IF(ABS(F646-E646)&lt;=H646,"PASS","FAIL"),"FAIL"),"FAIL")</f>
        <v>PASS</v>
      </c>
    </row>
    <row r="647" customFormat="false" ht="15" hidden="false" customHeight="false" outlineLevel="0" collapsed="false">
      <c r="B647" s="48" t="n">
        <v>638</v>
      </c>
      <c r="C647" s="9" t="s">
        <v>1335</v>
      </c>
      <c r="D647" s="9" t="s">
        <v>1386</v>
      </c>
      <c r="E647" s="54" t="n">
        <v>5.19</v>
      </c>
      <c r="F647" s="55" t="n">
        <f aca="false">Scenarios!$D$69</f>
        <v>5.19179514018176</v>
      </c>
      <c r="G647" s="50" t="n">
        <f aca="false">IFERROR(IF(ISNUMBER(F647),F647-E647,"n/a"),"n/a")</f>
        <v>0.00179514018175997</v>
      </c>
      <c r="H647" s="51" t="n">
        <v>0.005000001</v>
      </c>
      <c r="I647" s="47" t="str">
        <f aca="false">IFERROR(IF(ISNUMBER(F647),IF(ABS(F647-E647)&lt;=H647,"PASS","FAIL"),"FAIL"),"FAIL")</f>
        <v>PASS</v>
      </c>
    </row>
    <row r="648" customFormat="false" ht="15" hidden="false" customHeight="false" outlineLevel="0" collapsed="false">
      <c r="B648" s="48" t="n">
        <v>639</v>
      </c>
      <c r="C648" s="9" t="s">
        <v>1335</v>
      </c>
      <c r="D648" s="9" t="s">
        <v>1387</v>
      </c>
      <c r="E648" s="21" t="n">
        <v>0.04</v>
      </c>
      <c r="F648" s="20" t="n">
        <f aca="false">Scenarios!$D$70</f>
        <v>0.04</v>
      </c>
      <c r="G648" s="50" t="n">
        <f aca="false">IFERROR(IF(ISNUMBER(F648),F648-E648,"n/a"),"n/a")</f>
        <v>0</v>
      </c>
      <c r="H648" s="51" t="n">
        <v>0.000500001</v>
      </c>
      <c r="I648" s="47" t="str">
        <f aca="false">IFERROR(IF(ISNUMBER(F648),IF(ABS(F648-E648)&lt;=H648,"PASS","FAIL"),"FAIL"),"FAIL")</f>
        <v>PASS</v>
      </c>
    </row>
    <row r="649" customFormat="false" ht="15" hidden="false" customHeight="false" outlineLevel="0" collapsed="false">
      <c r="B649" s="48" t="n">
        <v>640</v>
      </c>
      <c r="C649" s="9" t="s">
        <v>1335</v>
      </c>
      <c r="D649" s="9" t="s">
        <v>1388</v>
      </c>
      <c r="E649" s="10" t="n">
        <v>0.2088</v>
      </c>
      <c r="F649" s="56" t="n">
        <f aca="false">Scenarios!$D$71</f>
        <v>0.208757407070763</v>
      </c>
      <c r="G649" s="50" t="n">
        <f aca="false">IFERROR(IF(ISNUMBER(F649),F649-E649,"n/a"),"n/a")</f>
        <v>-4.25929292370009E-005</v>
      </c>
      <c r="H649" s="51" t="n">
        <v>5.0001E-005</v>
      </c>
      <c r="I649" s="47" t="str">
        <f aca="false">IFERROR(IF(ISNUMBER(F649),IF(ABS(F649-E649)&lt;=H649,"PASS","FAIL"),"FAIL"),"FAIL")</f>
        <v>PASS</v>
      </c>
    </row>
    <row r="650" customFormat="false" ht="15" hidden="false" customHeight="false" outlineLevel="0" collapsed="false">
      <c r="B650" s="48" t="n">
        <v>641</v>
      </c>
      <c r="C650" s="9" t="s">
        <v>1335</v>
      </c>
      <c r="D650" s="9" t="s">
        <v>1389</v>
      </c>
      <c r="E650" s="54" t="n">
        <v>2.58</v>
      </c>
      <c r="F650" s="55" t="n">
        <f aca="false">Scenarios!$D$72</f>
        <v>2.58045174409221</v>
      </c>
      <c r="G650" s="50" t="n">
        <f aca="false">IFERROR(IF(ISNUMBER(F650),F650-E650,"n/a"),"n/a")</f>
        <v>0.000451744092213602</v>
      </c>
      <c r="H650" s="51" t="n">
        <v>0.005000001</v>
      </c>
      <c r="I650" s="47" t="str">
        <f aca="false">IFERROR(IF(ISNUMBER(F650),IF(ABS(F650-E650)&lt;=H650,"PASS","FAIL"),"FAIL"),"FAIL")</f>
        <v>PASS</v>
      </c>
    </row>
    <row r="651" customFormat="false" ht="15" hidden="false" customHeight="false" outlineLevel="0" collapsed="false">
      <c r="B651" s="48" t="n">
        <v>642</v>
      </c>
      <c r="C651" s="9" t="s">
        <v>1335</v>
      </c>
      <c r="D651" s="9" t="s">
        <v>1390</v>
      </c>
      <c r="E651" s="10" t="n">
        <v>0.0383</v>
      </c>
      <c r="F651" s="56" t="n">
        <f aca="false">Scenarios!$D$73</f>
        <v>0.0382730635260769</v>
      </c>
      <c r="G651" s="50" t="n">
        <f aca="false">IFERROR(IF(ISNUMBER(F651),F651-E651,"n/a"),"n/a")</f>
        <v>-2.69364739231004E-005</v>
      </c>
      <c r="H651" s="51" t="n">
        <v>5.0001E-005</v>
      </c>
      <c r="I651" s="47" t="str">
        <f aca="false">IFERROR(IF(ISNUMBER(F651),IF(ABS(F651-E651)&lt;=H651,"PASS","FAIL"),"FAIL"),"FAIL")</f>
        <v>PASS</v>
      </c>
    </row>
    <row r="652" customFormat="false" ht="15" hidden="false" customHeight="false" outlineLevel="0" collapsed="false">
      <c r="B652" s="48" t="n">
        <v>643</v>
      </c>
      <c r="C652" s="9" t="s">
        <v>1335</v>
      </c>
      <c r="D652" s="9" t="s">
        <v>1391</v>
      </c>
      <c r="E652" s="52" t="n">
        <v>83.4</v>
      </c>
      <c r="F652" s="53" t="n">
        <f aca="false">Scenarios!$D$74</f>
        <v>83.36128777516</v>
      </c>
      <c r="G652" s="50" t="n">
        <f aca="false">IFERROR(IF(ISNUMBER(F652),F652-E652,"n/a"),"n/a")</f>
        <v>-0.0387122248399976</v>
      </c>
      <c r="H652" s="51" t="n">
        <v>0.050000001</v>
      </c>
      <c r="I652" s="47" t="str">
        <f aca="false">IFERROR(IF(ISNUMBER(F652),IF(ABS(F652-E652)&lt;=H652,"PASS","FAIL"),"FAIL"),"FAIL")</f>
        <v>PASS</v>
      </c>
    </row>
    <row r="653" customFormat="false" ht="15" hidden="false" customHeight="false" outlineLevel="0" collapsed="false">
      <c r="B653" s="48" t="n">
        <v>644</v>
      </c>
      <c r="C653" s="9" t="s">
        <v>1335</v>
      </c>
      <c r="D653" s="9" t="s">
        <v>1392</v>
      </c>
      <c r="E653" s="10" t="n">
        <v>0.0383</v>
      </c>
      <c r="F653" s="56" t="n">
        <f aca="false">Scenarios!$D$73</f>
        <v>0.0382730635260769</v>
      </c>
      <c r="G653" s="50" t="n">
        <f aca="false">IFERROR(IF(ISNUMBER(F653),F653-E653,"n/a"),"n/a")</f>
        <v>-2.69364739231004E-005</v>
      </c>
      <c r="H653" s="51" t="n">
        <v>5.0001E-005</v>
      </c>
      <c r="I653" s="47" t="str">
        <f aca="false">IFERROR(IF(ISNUMBER(F653),IF(ABS(F653-E653)&lt;=H653,"PASS","FAIL"),"FAIL"),"FAIL")</f>
        <v>PASS</v>
      </c>
    </row>
    <row r="654" customFormat="false" ht="30" hidden="false" customHeight="true" outlineLevel="0" collapsed="false">
      <c r="B654" s="48" t="n">
        <v>645</v>
      </c>
      <c r="C654" s="9" t="s">
        <v>1335</v>
      </c>
      <c r="D654" s="37" t="s">
        <v>1393</v>
      </c>
      <c r="E654" s="59" t="s">
        <v>784</v>
      </c>
      <c r="F654" s="60" t="str">
        <f aca="false">IFERROR(IF(AND(Case_Deeper_Bad_Year!$H$163&lt;0,Case_Equity_Cure!$H$163&gt;=0),"holds","does not hold"),"error")</f>
        <v>holds</v>
      </c>
      <c r="G654" s="9"/>
      <c r="H654" s="9"/>
      <c r="I654" s="47" t="str">
        <f aca="false">IFERROR(IF(AND(Case_Deeper_Bad_Year!$H$163&lt;0,Case_Equity_Cure!$H$163&gt;=0),"PASS","FAIL"),"FAIL")</f>
        <v>PASS</v>
      </c>
    </row>
    <row r="655" customFormat="false" ht="30" hidden="false" customHeight="true" outlineLevel="0" collapsed="false">
      <c r="B655" s="48" t="n">
        <v>646</v>
      </c>
      <c r="C655" s="9" t="s">
        <v>1335</v>
      </c>
      <c r="D655" s="37" t="s">
        <v>1394</v>
      </c>
      <c r="E655" s="59" t="s">
        <v>784</v>
      </c>
      <c r="F655" s="60" t="str">
        <f aca="false">IFERROR(IF(AND(Case_Equity_Cure!$D$15&gt;=Case_Deeper_Bad_Year!$H$166-0.000001,Case_Equity_Cure!$D$15&lt;Case_Deeper_Bad_Year!$H$166+0.1),"holds","does not hold"),"error")</f>
        <v>holds</v>
      </c>
      <c r="G655" s="9"/>
      <c r="H655" s="9"/>
      <c r="I655" s="47" t="str">
        <f aca="false">IFERROR(IF(AND(Case_Equity_Cure!$D$15&gt;=Case_Deeper_Bad_Year!$H$166-0.000001,Case_Equity_Cure!$D$15&lt;Case_Deeper_Bad_Year!$H$166+0.1),"PASS","FAIL"),"FAIL")</f>
        <v>PASS</v>
      </c>
    </row>
    <row r="656" customFormat="false" ht="15" hidden="false" customHeight="true" outlineLevel="0" collapsed="false">
      <c r="B656" s="48" t="n">
        <v>647</v>
      </c>
      <c r="C656" s="9" t="s">
        <v>1335</v>
      </c>
      <c r="D656" s="37" t="s">
        <v>1395</v>
      </c>
      <c r="E656" s="59" t="s">
        <v>784</v>
      </c>
      <c r="F656" s="60" t="str">
        <f aca="false">IFERROR(IF(Case_Amend_Extend!$H$163&gt;=0,"holds","does not hold"),"error")</f>
        <v>holds</v>
      </c>
      <c r="G656" s="9"/>
      <c r="H656" s="9"/>
      <c r="I656" s="47" t="str">
        <f aca="false">IFERROR(IF(Case_Amend_Extend!$H$163&gt;=0,"PASS","FAIL"),"FAIL")</f>
        <v>PASS</v>
      </c>
    </row>
    <row r="657" customFormat="false" ht="15" hidden="false" customHeight="false" outlineLevel="0" collapsed="false">
      <c r="B657" s="48" t="n">
        <v>648</v>
      </c>
      <c r="C657" s="9" t="s">
        <v>1335</v>
      </c>
      <c r="D657" s="9" t="s">
        <v>1396</v>
      </c>
      <c r="E657" s="52" t="n">
        <v>35</v>
      </c>
      <c r="F657" s="53" t="n">
        <f aca="false">Scenarios!$D$77</f>
        <v>35</v>
      </c>
      <c r="G657" s="50" t="n">
        <f aca="false">IFERROR(IF(ISNUMBER(F657),F657-E657,"n/a"),"n/a")</f>
        <v>0</v>
      </c>
      <c r="H657" s="51" t="n">
        <v>0.050000001</v>
      </c>
      <c r="I657" s="47" t="str">
        <f aca="false">IFERROR(IF(ISNUMBER(F657),IF(ABS(F657-E657)&lt;=H657,"PASS","FAIL"),"FAIL"),"FAIL")</f>
        <v>PASS</v>
      </c>
    </row>
    <row r="658" customFormat="false" ht="15" hidden="false" customHeight="false" outlineLevel="0" collapsed="false">
      <c r="B658" s="48" t="n">
        <v>649</v>
      </c>
      <c r="C658" s="9" t="s">
        <v>1335</v>
      </c>
      <c r="D658" s="9" t="s">
        <v>1397</v>
      </c>
      <c r="E658" s="21" t="n">
        <v>0.02</v>
      </c>
      <c r="F658" s="20" t="n">
        <f aca="false">Scenarios!$D$78</f>
        <v>0.02</v>
      </c>
      <c r="G658" s="50" t="n">
        <f aca="false">IFERROR(IF(ISNUMBER(F658),F658-E658,"n/a"),"n/a")</f>
        <v>0</v>
      </c>
      <c r="H658" s="51" t="n">
        <v>0.000500001</v>
      </c>
      <c r="I658" s="47" t="str">
        <f aca="false">IFERROR(IF(ISNUMBER(F658),IF(ABS(F658-E658)&lt;=H658,"PASS","FAIL"),"FAIL"),"FAIL")</f>
        <v>PASS</v>
      </c>
    </row>
    <row r="659" customFormat="false" ht="15" hidden="false" customHeight="false" outlineLevel="0" collapsed="false">
      <c r="B659" s="48" t="n">
        <v>650</v>
      </c>
      <c r="C659" s="9" t="s">
        <v>1335</v>
      </c>
      <c r="D659" s="9" t="s">
        <v>1398</v>
      </c>
      <c r="E659" s="52" t="n">
        <v>0.7</v>
      </c>
      <c r="F659" s="53" t="n">
        <f aca="false">Scenarios!$D$79</f>
        <v>0.7</v>
      </c>
      <c r="G659" s="50" t="n">
        <f aca="false">IFERROR(IF(ISNUMBER(F659),F659-E659,"n/a"),"n/a")</f>
        <v>0</v>
      </c>
      <c r="H659" s="51" t="n">
        <v>0.050000001</v>
      </c>
      <c r="I659" s="47" t="str">
        <f aca="false">IFERROR(IF(ISNUMBER(F659),IF(ABS(F659-E659)&lt;=H659,"PASS","FAIL"),"FAIL"),"FAIL")</f>
        <v>PASS</v>
      </c>
    </row>
    <row r="660" customFormat="false" ht="15" hidden="false" customHeight="false" outlineLevel="0" collapsed="false">
      <c r="B660" s="48" t="n">
        <v>651</v>
      </c>
      <c r="C660" s="9" t="s">
        <v>1335</v>
      </c>
      <c r="D660" s="9" t="s">
        <v>1399</v>
      </c>
      <c r="E660" s="52" t="n">
        <v>33.3</v>
      </c>
      <c r="F660" s="53" t="n">
        <f aca="false">Scenarios!$D$80</f>
        <v>33.25</v>
      </c>
      <c r="G660" s="50" t="n">
        <f aca="false">IFERROR(IF(ISNUMBER(F660),F660-E660,"n/a"),"n/a")</f>
        <v>-0.0499999999999972</v>
      </c>
      <c r="H660" s="51" t="n">
        <v>0.050000001</v>
      </c>
      <c r="I660" s="47" t="str">
        <f aca="false">IFERROR(IF(ISNUMBER(F660),IF(ABS(F660-E660)&lt;=H660,"PASS","FAIL"),"FAIL"),"FAIL")</f>
        <v>PASS</v>
      </c>
    </row>
    <row r="661" customFormat="false" ht="15" hidden="false" customHeight="false" outlineLevel="0" collapsed="false">
      <c r="B661" s="48" t="n">
        <v>652</v>
      </c>
      <c r="C661" s="9" t="s">
        <v>1335</v>
      </c>
      <c r="D661" s="9" t="s">
        <v>1400</v>
      </c>
      <c r="E661" s="52" t="n">
        <v>1.8</v>
      </c>
      <c r="F661" s="53" t="n">
        <f aca="false">Scenarios!$D$81</f>
        <v>1.75</v>
      </c>
      <c r="G661" s="50" t="n">
        <f aca="false">IFERROR(IF(ISNUMBER(F661),F661-E661,"n/a"),"n/a")</f>
        <v>-0.05</v>
      </c>
      <c r="H661" s="51" t="n">
        <v>0.050000001</v>
      </c>
      <c r="I661" s="47" t="str">
        <f aca="false">IFERROR(IF(ISNUMBER(F661),IF(ABS(F661-E661)&lt;=H661,"PASS","FAIL"),"FAIL"),"FAIL")</f>
        <v>PASS</v>
      </c>
    </row>
    <row r="662" customFormat="false" ht="15" hidden="false" customHeight="false" outlineLevel="0" collapsed="false">
      <c r="B662" s="48" t="n">
        <v>653</v>
      </c>
      <c r="C662" s="9" t="s">
        <v>1335</v>
      </c>
      <c r="D662" s="9" t="s">
        <v>1401</v>
      </c>
      <c r="E662" s="54" t="n">
        <v>4.17</v>
      </c>
      <c r="F662" s="55" t="n">
        <f aca="false">Scenarios!$D$82</f>
        <v>4.16701166156636</v>
      </c>
      <c r="G662" s="50" t="n">
        <f aca="false">IFERROR(IF(ISNUMBER(F662),F662-E662,"n/a"),"n/a")</f>
        <v>-0.00298833843363955</v>
      </c>
      <c r="H662" s="51" t="n">
        <v>0.005000001</v>
      </c>
      <c r="I662" s="47" t="str">
        <f aca="false">IFERROR(IF(ISNUMBER(F662),IF(ABS(F662-E662)&lt;=H662,"PASS","FAIL"),"FAIL"),"FAIL")</f>
        <v>PASS</v>
      </c>
    </row>
    <row r="663" customFormat="false" ht="15" hidden="false" customHeight="false" outlineLevel="0" collapsed="false">
      <c r="B663" s="48" t="n">
        <v>654</v>
      </c>
      <c r="C663" s="9" t="s">
        <v>1335</v>
      </c>
      <c r="D663" s="9" t="s">
        <v>1402</v>
      </c>
      <c r="E663" s="52" t="n">
        <v>292.8</v>
      </c>
      <c r="F663" s="53" t="n">
        <f aca="false">Scenarios!$D$83</f>
        <v>292.774427357219</v>
      </c>
      <c r="G663" s="50" t="n">
        <f aca="false">IFERROR(IF(ISNUMBER(F663),F663-E663,"n/a"),"n/a")</f>
        <v>-0.0255726427813556</v>
      </c>
      <c r="H663" s="51" t="n">
        <v>0.050000001</v>
      </c>
      <c r="I663" s="47" t="str">
        <f aca="false">IFERROR(IF(ISNUMBER(F663),IF(ABS(F663-E663)&lt;=H663,"PASS","FAIL"),"FAIL"),"FAIL")</f>
        <v>PASS</v>
      </c>
    </row>
    <row r="664" customFormat="false" ht="15" hidden="false" customHeight="false" outlineLevel="0" collapsed="false">
      <c r="B664" s="48" t="n">
        <v>655</v>
      </c>
      <c r="C664" s="9" t="s">
        <v>1335</v>
      </c>
      <c r="D664" s="9" t="s">
        <v>1403</v>
      </c>
      <c r="E664" s="54" t="n">
        <v>4.25</v>
      </c>
      <c r="F664" s="55" t="n">
        <f aca="false">Scenarios!$D$84</f>
        <v>4.25</v>
      </c>
      <c r="G664" s="50" t="n">
        <f aca="false">IFERROR(IF(ISNUMBER(F664),F664-E664,"n/a"),"n/a")</f>
        <v>0</v>
      </c>
      <c r="H664" s="51" t="n">
        <v>0.005000001</v>
      </c>
      <c r="I664" s="47" t="str">
        <f aca="false">IFERROR(IF(ISNUMBER(F664),IF(ABS(F664-E664)&lt;=H664,"PASS","FAIL"),"FAIL"),"FAIL")</f>
        <v>PASS</v>
      </c>
    </row>
    <row r="665" customFormat="false" ht="15" hidden="false" customHeight="false" outlineLevel="0" collapsed="false">
      <c r="B665" s="48" t="n">
        <v>656</v>
      </c>
      <c r="C665" s="9" t="s">
        <v>1335</v>
      </c>
      <c r="D665" s="9" t="s">
        <v>1404</v>
      </c>
      <c r="E665" s="54" t="n">
        <v>0.11</v>
      </c>
      <c r="F665" s="55" t="n">
        <f aca="false">Scenarios!$D$85</f>
        <v>0.112433003530303</v>
      </c>
      <c r="G665" s="50" t="n">
        <f aca="false">IFERROR(IF(ISNUMBER(F665),F665-E665,"n/a"),"n/a")</f>
        <v>0.0024330035303025</v>
      </c>
      <c r="H665" s="51" t="n">
        <v>0.005000001</v>
      </c>
      <c r="I665" s="47" t="str">
        <f aca="false">IFERROR(IF(ISNUMBER(F665),IF(ABS(F665-E665)&lt;=H665,"PASS","FAIL"),"FAIL"),"FAIL")</f>
        <v>PASS</v>
      </c>
    </row>
    <row r="666" customFormat="false" ht="15" hidden="false" customHeight="false" outlineLevel="0" collapsed="false">
      <c r="B666" s="48" t="n">
        <v>657</v>
      </c>
      <c r="C666" s="9" t="s">
        <v>1335</v>
      </c>
      <c r="D666" s="9" t="s">
        <v>1405</v>
      </c>
      <c r="E666" s="52" t="n">
        <v>268.2</v>
      </c>
      <c r="F666" s="53" t="n">
        <f aca="false">Scenarios!$D$87</f>
        <v>268.212299762957</v>
      </c>
      <c r="G666" s="50" t="n">
        <f aca="false">IFERROR(IF(ISNUMBER(F666),F666-E666,"n/a"),"n/a")</f>
        <v>0.0122997629570136</v>
      </c>
      <c r="H666" s="51" t="n">
        <v>0.050000001</v>
      </c>
      <c r="I666" s="47" t="str">
        <f aca="false">IFERROR(IF(ISNUMBER(F666),IF(ABS(F666-E666)&lt;=H666,"PASS","FAIL"),"FAIL"),"FAIL")</f>
        <v>PASS</v>
      </c>
    </row>
    <row r="667" customFormat="false" ht="15" hidden="false" customHeight="false" outlineLevel="0" collapsed="false">
      <c r="B667" s="48" t="n">
        <v>658</v>
      </c>
      <c r="C667" s="9" t="s">
        <v>1335</v>
      </c>
      <c r="D667" s="9" t="s">
        <v>1406</v>
      </c>
      <c r="E667" s="52" t="n">
        <v>421.7</v>
      </c>
      <c r="F667" s="53" t="n">
        <f aca="false">Scenarios!$D$88</f>
        <v>421.687615831843</v>
      </c>
      <c r="G667" s="50" t="n">
        <f aca="false">IFERROR(IF(ISNUMBER(F667),F667-E667,"n/a"),"n/a")</f>
        <v>-0.0123841681569843</v>
      </c>
      <c r="H667" s="51" t="n">
        <v>0.050000001</v>
      </c>
      <c r="I667" s="47" t="str">
        <f aca="false">IFERROR(IF(ISNUMBER(F667),IF(ABS(F667-E667)&lt;=H667,"PASS","FAIL"),"FAIL"),"FAIL")</f>
        <v>PASS</v>
      </c>
    </row>
    <row r="668" customFormat="false" ht="15" hidden="false" customHeight="false" outlineLevel="0" collapsed="false">
      <c r="B668" s="48" t="n">
        <v>659</v>
      </c>
      <c r="C668" s="9" t="s">
        <v>1335</v>
      </c>
      <c r="D668" s="9" t="s">
        <v>1407</v>
      </c>
      <c r="E668" s="52" t="n">
        <v>38.5</v>
      </c>
      <c r="F668" s="53" t="n">
        <f aca="false">Scenarios!$D$89</f>
        <v>38.5275624999999</v>
      </c>
      <c r="G668" s="50" t="n">
        <f aca="false">IFERROR(IF(ISNUMBER(F668),F668-E668,"n/a"),"n/a")</f>
        <v>0.0275624999999309</v>
      </c>
      <c r="H668" s="51" t="n">
        <v>0.050000001</v>
      </c>
      <c r="I668" s="47" t="str">
        <f aca="false">IFERROR(IF(ISNUMBER(F668),IF(ABS(F668-E668)&lt;=H668,"PASS","FAIL"),"FAIL"),"FAIL")</f>
        <v>PASS</v>
      </c>
    </row>
    <row r="669" customFormat="false" ht="15" hidden="false" customHeight="false" outlineLevel="0" collapsed="false">
      <c r="B669" s="48" t="n">
        <v>660</v>
      </c>
      <c r="C669" s="9" t="s">
        <v>1335</v>
      </c>
      <c r="D669" s="9" t="s">
        <v>1408</v>
      </c>
      <c r="E669" s="52" t="n">
        <v>35</v>
      </c>
      <c r="F669" s="53" t="n">
        <f aca="false">Scenarios!$D$77</f>
        <v>35</v>
      </c>
      <c r="G669" s="50" t="n">
        <f aca="false">IFERROR(IF(ISNUMBER(F669),F669-E669,"n/a"),"n/a")</f>
        <v>0</v>
      </c>
      <c r="H669" s="51" t="n">
        <v>0.050000001</v>
      </c>
      <c r="I669" s="47" t="str">
        <f aca="false">IFERROR(IF(ISNUMBER(F669),IF(ABS(F669-E669)&lt;=H669,"PASS","FAIL"),"FAIL"),"FAIL")</f>
        <v>PASS</v>
      </c>
    </row>
    <row r="670" customFormat="false" ht="15" hidden="false" customHeight="false" outlineLevel="0" collapsed="false">
      <c r="B670" s="48" t="n">
        <v>661</v>
      </c>
      <c r="C670" s="9" t="s">
        <v>1335</v>
      </c>
      <c r="D670" s="9" t="s">
        <v>1409</v>
      </c>
      <c r="E670" s="52" t="n">
        <v>3.5</v>
      </c>
      <c r="F670" s="53" t="n">
        <f aca="false">Scenarios!$D$90</f>
        <v>3.52756249999993</v>
      </c>
      <c r="G670" s="50" t="n">
        <f aca="false">IFERROR(IF(ISNUMBER(F670),F670-E670,"n/a"),"n/a")</f>
        <v>0.0275624999999309</v>
      </c>
      <c r="H670" s="51" t="n">
        <v>0.050000001</v>
      </c>
      <c r="I670" s="47" t="str">
        <f aca="false">IFERROR(IF(ISNUMBER(F670),IF(ABS(F670-E670)&lt;=H670,"PASS","FAIL"),"FAIL"),"FAIL")</f>
        <v>PASS</v>
      </c>
    </row>
    <row r="671" customFormat="false" ht="15" hidden="false" customHeight="false" outlineLevel="0" collapsed="false">
      <c r="B671" s="48" t="n">
        <v>662</v>
      </c>
      <c r="C671" s="9" t="s">
        <v>1335</v>
      </c>
      <c r="D671" s="9" t="s">
        <v>1410</v>
      </c>
      <c r="E671" s="52" t="n">
        <v>33.3</v>
      </c>
      <c r="F671" s="53" t="n">
        <f aca="false">Scenarios!$D$91</f>
        <v>33.25</v>
      </c>
      <c r="G671" s="50" t="n">
        <f aca="false">IFERROR(IF(ISNUMBER(F671),F671-E671,"n/a"),"n/a")</f>
        <v>-0.0499999999999972</v>
      </c>
      <c r="H671" s="51" t="n">
        <v>0.050000001</v>
      </c>
      <c r="I671" s="47" t="str">
        <f aca="false">IFERROR(IF(ISNUMBER(F671),IF(ABS(F671-E671)&lt;=H671,"PASS","FAIL"),"FAIL"),"FAIL")</f>
        <v>PASS</v>
      </c>
    </row>
    <row r="672" customFormat="false" ht="15" hidden="false" customHeight="false" outlineLevel="0" collapsed="false">
      <c r="B672" s="48" t="n">
        <v>663</v>
      </c>
      <c r="C672" s="9" t="s">
        <v>1335</v>
      </c>
      <c r="D672" s="9" t="s">
        <v>1411</v>
      </c>
      <c r="E672" s="52" t="n">
        <v>383.8</v>
      </c>
      <c r="F672" s="53" t="n">
        <f aca="false">Scenarios!$D$92</f>
        <v>383.754976237031</v>
      </c>
      <c r="G672" s="50" t="n">
        <f aca="false">IFERROR(IF(ISNUMBER(F672),F672-E672,"n/a"),"n/a")</f>
        <v>-0.0450237629692651</v>
      </c>
      <c r="H672" s="51" t="n">
        <v>0.050000001</v>
      </c>
      <c r="I672" s="47" t="str">
        <f aca="false">IFERROR(IF(ISNUMBER(F672),IF(ABS(F672-E672)&lt;=H672,"PASS","FAIL"),"FAIL"),"FAIL")</f>
        <v>PASS</v>
      </c>
    </row>
    <row r="673" customFormat="false" ht="15" hidden="false" customHeight="false" outlineLevel="0" collapsed="false">
      <c r="B673" s="48" t="n">
        <v>664</v>
      </c>
      <c r="C673" s="9" t="s">
        <v>1335</v>
      </c>
      <c r="D673" s="9" t="s">
        <v>1412</v>
      </c>
      <c r="E673" s="10" t="n">
        <v>0.1735</v>
      </c>
      <c r="F673" s="56" t="n">
        <f aca="false">Scenarios!$D$93</f>
        <v>0.17346644129639</v>
      </c>
      <c r="G673" s="50" t="n">
        <f aca="false">IFERROR(IF(ISNUMBER(F673),F673-E673,"n/a"),"n/a")</f>
        <v>-3.35587036097984E-005</v>
      </c>
      <c r="H673" s="51" t="n">
        <v>5.0001E-005</v>
      </c>
      <c r="I673" s="47" t="str">
        <f aca="false">IFERROR(IF(ISNUMBER(F673),IF(ABS(F673-E673)&lt;=H673,"PASS","FAIL"),"FAIL"),"FAIL")</f>
        <v>PASS</v>
      </c>
    </row>
    <row r="674" customFormat="false" ht="15" hidden="false" customHeight="false" outlineLevel="0" collapsed="false">
      <c r="B674" s="48" t="n">
        <v>665</v>
      </c>
      <c r="C674" s="9" t="s">
        <v>1335</v>
      </c>
      <c r="D674" s="9" t="s">
        <v>1413</v>
      </c>
      <c r="E674" s="54" t="n">
        <v>2.19</v>
      </c>
      <c r="F674" s="55" t="n">
        <f aca="false">Scenarios!$D$94</f>
        <v>2.19476303282648</v>
      </c>
      <c r="G674" s="50" t="n">
        <f aca="false">IFERROR(IF(ISNUMBER(F674),F674-E674,"n/a"),"n/a")</f>
        <v>0.00476303282647761</v>
      </c>
      <c r="H674" s="51" t="n">
        <v>0.005000001</v>
      </c>
      <c r="I674" s="47" t="str">
        <f aca="false">IFERROR(IF(ISNUMBER(F674),IF(ABS(F674-E674)&lt;=H674,"PASS","FAIL"),"FAIL"),"FAIL")</f>
        <v>PASS</v>
      </c>
    </row>
    <row r="675" customFormat="false" ht="15" hidden="false" customHeight="false" outlineLevel="0" collapsed="false">
      <c r="B675" s="48" t="n">
        <v>666</v>
      </c>
      <c r="C675" s="9" t="s">
        <v>1335</v>
      </c>
      <c r="D675" s="9" t="s">
        <v>1414</v>
      </c>
      <c r="E675" s="10" t="n">
        <v>0.003</v>
      </c>
      <c r="F675" s="56" t="n">
        <f aca="false">Scenarios!$D$95</f>
        <v>0.00298209775170408</v>
      </c>
      <c r="G675" s="50" t="n">
        <f aca="false">IFERROR(IF(ISNUMBER(F675),F675-E675,"n/a"),"n/a")</f>
        <v>-1.79022482959231E-005</v>
      </c>
      <c r="H675" s="51" t="n">
        <v>5.0001E-005</v>
      </c>
      <c r="I675" s="47" t="str">
        <f aca="false">IFERROR(IF(ISNUMBER(F675),IF(ABS(F675-E675)&lt;=H675,"PASS","FAIL"),"FAIL"),"FAIL")</f>
        <v>PASS</v>
      </c>
    </row>
    <row r="676" customFormat="false" ht="15" hidden="false" customHeight="false" outlineLevel="0" collapsed="false">
      <c r="B676" s="48" t="n">
        <v>667</v>
      </c>
      <c r="C676" s="9" t="s">
        <v>1335</v>
      </c>
      <c r="D676" s="9" t="s">
        <v>1415</v>
      </c>
      <c r="E676" s="57" t="n">
        <v>0.002</v>
      </c>
      <c r="F676" s="58" t="n">
        <f aca="false">Scenarios!$D$96</f>
        <v>0.00222678749999972</v>
      </c>
      <c r="G676" s="50" t="n">
        <f aca="false">IFERROR(IF(ISNUMBER(F676),F676-E676,"n/a"),"n/a")</f>
        <v>0.000226787499999716</v>
      </c>
      <c r="H676" s="51" t="n">
        <v>0.000500001</v>
      </c>
      <c r="I676" s="47" t="str">
        <f aca="false">IFERROR(IF(ISNUMBER(F676),IF(ABS(F676-E676)&lt;=H676,"PASS","FAIL"),"FAIL"),"FAIL")</f>
        <v>PASS</v>
      </c>
    </row>
    <row r="677" customFormat="false" ht="15" hidden="false" customHeight="false" outlineLevel="0" collapsed="false">
      <c r="B677" s="48" t="n">
        <v>668</v>
      </c>
      <c r="C677" s="9" t="s">
        <v>1335</v>
      </c>
      <c r="D677" s="9" t="s">
        <v>1416</v>
      </c>
      <c r="E677" s="21" t="n">
        <v>0.175</v>
      </c>
      <c r="F677" s="20" t="n">
        <f aca="false">Scenarios!$D$97</f>
        <v>0.175</v>
      </c>
      <c r="G677" s="50" t="n">
        <f aca="false">IFERROR(IF(ISNUMBER(F677),F677-E677,"n/a"),"n/a")</f>
        <v>0</v>
      </c>
      <c r="H677" s="51" t="n">
        <v>0.000500001</v>
      </c>
      <c r="I677" s="47" t="str">
        <f aca="false">IFERROR(IF(ISNUMBER(F677),IF(ABS(F677-E677)&lt;=H677,"PASS","FAIL"),"FAIL"),"FAIL")</f>
        <v>PASS</v>
      </c>
    </row>
    <row r="678" customFormat="false" ht="15" hidden="false" customHeight="false" outlineLevel="0" collapsed="false">
      <c r="B678" s="48" t="n">
        <v>669</v>
      </c>
      <c r="C678" s="9" t="s">
        <v>1335</v>
      </c>
      <c r="D678" s="9" t="s">
        <v>1417</v>
      </c>
      <c r="E678" s="54" t="n">
        <v>3.45</v>
      </c>
      <c r="F678" s="55" t="n">
        <f aca="false">Scenarios!$D$98</f>
        <v>3.44644488809463</v>
      </c>
      <c r="G678" s="50" t="n">
        <f aca="false">IFERROR(IF(ISNUMBER(F678),F678-E678,"n/a"),"n/a")</f>
        <v>-0.0035551119053725</v>
      </c>
      <c r="H678" s="51" t="n">
        <v>0.005000001</v>
      </c>
      <c r="I678" s="47" t="str">
        <f aca="false">IFERROR(IF(ISNUMBER(F678),IF(ABS(F678-E678)&lt;=H678,"PASS","FAIL"),"FAIL"),"FAIL")</f>
        <v>PASS</v>
      </c>
    </row>
    <row r="679" customFormat="false" ht="15" hidden="false" customHeight="false" outlineLevel="0" collapsed="false">
      <c r="B679" s="48" t="n">
        <v>670</v>
      </c>
      <c r="C679" s="9" t="s">
        <v>1335</v>
      </c>
      <c r="D679" s="9" t="s">
        <v>1418</v>
      </c>
      <c r="E679" s="54" t="n">
        <v>27.75</v>
      </c>
      <c r="F679" s="55" t="n">
        <f aca="false">Scenarios!$D$99</f>
        <v>27.7537879357383</v>
      </c>
      <c r="G679" s="50" t="n">
        <f aca="false">IFERROR(IF(ISNUMBER(F679),F679-E679,"n/a"),"n/a")</f>
        <v>0.00378793573834813</v>
      </c>
      <c r="H679" s="51" t="n">
        <v>0.005000001</v>
      </c>
      <c r="I679" s="47" t="str">
        <f aca="false">IFERROR(IF(ISNUMBER(F679),IF(ABS(F679-E679)&lt;=H679,"PASS","FAIL"),"FAIL"),"FAIL")</f>
        <v>PASS</v>
      </c>
    </row>
    <row r="680" customFormat="false" ht="15" hidden="false" customHeight="false" outlineLevel="0" collapsed="false">
      <c r="B680" s="48" t="n">
        <v>671</v>
      </c>
      <c r="C680" s="9" t="s">
        <v>1335</v>
      </c>
      <c r="D680" s="9" t="s">
        <v>1419</v>
      </c>
      <c r="E680" s="52" t="n">
        <v>268.4</v>
      </c>
      <c r="F680" s="53" t="n">
        <f aca="false">Scenarios!$D$100</f>
        <v>268.376523477443</v>
      </c>
      <c r="G680" s="50" t="n">
        <f aca="false">IFERROR(IF(ISNUMBER(F680),F680-E680,"n/a"),"n/a")</f>
        <v>-0.0234765225569618</v>
      </c>
      <c r="H680" s="51" t="n">
        <v>0.050000001</v>
      </c>
      <c r="I680" s="47" t="str">
        <f aca="false">IFERROR(IF(ISNUMBER(F680),IF(ABS(F680-E680)&lt;=H680,"PASS","FAIL"),"FAIL"),"FAIL")</f>
        <v>PASS</v>
      </c>
    </row>
    <row r="681" customFormat="false" ht="15" hidden="false" customHeight="false" outlineLevel="0" collapsed="false">
      <c r="B681" s="48" t="n">
        <v>672</v>
      </c>
      <c r="C681" s="9" t="s">
        <v>1335</v>
      </c>
      <c r="D681" s="9" t="s">
        <v>1420</v>
      </c>
      <c r="E681" s="54" t="n">
        <v>1.5</v>
      </c>
      <c r="F681" s="55" t="n">
        <f aca="false">Scenarios!$D$101</f>
        <v>1.50263750832941</v>
      </c>
      <c r="G681" s="50" t="n">
        <f aca="false">IFERROR(IF(ISNUMBER(F681),F681-E681,"n/a"),"n/a")</f>
        <v>0.00263750832941456</v>
      </c>
      <c r="H681" s="51" t="n">
        <v>0.005000001</v>
      </c>
      <c r="I681" s="47" t="str">
        <f aca="false">IFERROR(IF(ISNUMBER(F681),IF(ABS(F681-E681)&lt;=H681,"PASS","FAIL"),"FAIL"),"FAIL")</f>
        <v>PASS</v>
      </c>
    </row>
    <row r="682" customFormat="false" ht="15" hidden="false" customHeight="false" outlineLevel="0" collapsed="false">
      <c r="B682" s="48" t="n">
        <v>673</v>
      </c>
      <c r="C682" s="9" t="s">
        <v>1335</v>
      </c>
      <c r="D682" s="9" t="s">
        <v>1421</v>
      </c>
      <c r="E682" s="54" t="n">
        <v>0.61</v>
      </c>
      <c r="F682" s="55" t="n">
        <f aca="false">Scenarios!$D$86</f>
        <v>0.614481863727524</v>
      </c>
      <c r="G682" s="50" t="n">
        <f aca="false">IFERROR(IF(ISNUMBER(F682),F682-E682,"n/a"),"n/a")</f>
        <v>0.00448186372752379</v>
      </c>
      <c r="H682" s="51" t="n">
        <v>0.005000001</v>
      </c>
      <c r="I682" s="47" t="str">
        <f aca="false">IFERROR(IF(ISNUMBER(F682),IF(ABS(F682-E682)&lt;=H682,"PASS","FAIL"),"FAIL"),"FAIL")</f>
        <v>PASS</v>
      </c>
    </row>
    <row r="683" customFormat="false" ht="30" hidden="false" customHeight="true" outlineLevel="0" collapsed="false">
      <c r="B683" s="48" t="n">
        <v>674</v>
      </c>
      <c r="C683" s="9" t="s">
        <v>1335</v>
      </c>
      <c r="D683" s="37" t="s">
        <v>1422</v>
      </c>
      <c r="E683" s="59" t="s">
        <v>784</v>
      </c>
      <c r="F683" s="60" t="str">
        <f aca="false">IFERROR(IF(Case_Recap!$I$125&lt;=Assumptions!$D$141,"holds","does not hold"),"error")</f>
        <v>holds</v>
      </c>
      <c r="G683" s="9"/>
      <c r="H683" s="9"/>
      <c r="I683" s="47" t="str">
        <f aca="false">IFERROR(IF(Case_Recap!$I$125&lt;=Assumptions!$D$141,"PASS","FAIL"),"FAIL")</f>
        <v>PASS</v>
      </c>
    </row>
    <row r="684" customFormat="false" ht="30" hidden="false" customHeight="true" outlineLevel="0" collapsed="false">
      <c r="B684" s="48" t="n">
        <v>675</v>
      </c>
      <c r="C684" s="9" t="s">
        <v>1335</v>
      </c>
      <c r="D684" s="37" t="s">
        <v>1423</v>
      </c>
      <c r="E684" s="59" t="s">
        <v>784</v>
      </c>
      <c r="F684" s="60" t="str">
        <f aca="false">IFERROR(IF(ABS(Scenarios!$D$80+Scenarios!$D$81-Case_Recap!$I$88)&lt;0.000001,"holds","does not hold"),"error")</f>
        <v>holds</v>
      </c>
      <c r="G684" s="9"/>
      <c r="H684" s="9"/>
      <c r="I684" s="47" t="str">
        <f aca="false">IFERROR(IF(ABS(Scenarios!$D$80+Scenarios!$D$81-Case_Recap!$I$88)&lt;0.000001,"PASS","FAIL"),"FAIL")</f>
        <v>PASS</v>
      </c>
    </row>
  </sheetData>
  <mergeCells count="1">
    <mergeCell ref="C7:D7"/>
  </mergeCells>
  <conditionalFormatting sqref="I10:I684">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2026-09-25T22:01:05Z</dcterms:created>
  <dc:creator>openpyxl</dc:creator>
  <dc:description/>
  <dc:language>en-US</dc:language>
  <cp:lastModifiedBy/>
  <dcterms:modified xsi:type="dcterms:W3CDTF">2026-09-25T22:01:06Z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