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Case_Base" sheetId="3" state="visible" r:id="rId5"/>
    <sheet name="Fund_Waterfall" sheetId="4" state="visible" r:id="rId6"/>
    <sheet name="Subscription_Line" sheetId="5" state="visible" r:id="rId7"/>
    <sheet name="Gross_to_Net"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<sst xmlns="http://schemas.openxmlformats.org/spreadsheetml/2006/main" count="894" uniqueCount="579">
  <si>
    <t xml:space="preserve">Kestrel Deal to Fund</t>
  </si>
  <si>
    <t xml:space="preserve">Companion workbook to The Buyout Investor: Private Equity Buyouts by the Numbers: Entry Price, Leverage, Value Creation and Exit, Where the Return Really Comes From, With the Models Supplied. By Julian R. Sterling. julianrsterling.com/buyouts</t>
  </si>
  <si>
    <t xml:space="preserve">What it is</t>
  </si>
  <si>
    <t xml:space="preserve">From the deal's return to the subscriber's net return: the fund's terms (management fee on committed capital, carried interest above a preferred return with a full catch-up) applied to this one deal as if it were the fund, with and without a subscription line.</t>
  </si>
  <si>
    <t xml:space="preserve">Where it is in the book</t>
  </si>
  <si>
    <t xml:space="preserve">Chapter 17 (from the deal to the subscriber) and the fourth of the five lines of the Introduction and the Conclusion.</t>
  </si>
  <si>
    <t xml:space="preserve">Sheets</t>
  </si>
  <si>
    <t xml:space="preserve">Assumptions, Case_Base (the whole model of the base case, whose sponsor flows feed the fund), Fund_Waterfall (without a subscription line), Subscription_Line (with it), Gross_to_Net (the table of the chapter), Checks.</t>
  </si>
  <si>
    <t xml:space="preserve">Conventions</t>
  </si>
  <si>
    <t xml:space="preserve">Yellow cells with blue type are inputs; grey cells are formulas. Change an input and every sheet follows. Amounts in millions of US dollars. Time in years from closing: year 0 is the twelve months before closing, year 1 the first year of ownership; every flow falls at a year end. IRRs are annual effective rates on year-end flows; MOIC is proceeds divided by the equity invested. Interest and commitment fees are computed on opening balances and the excess cash flow sweep from the year's cash after mandatory amortization: no circular reference, no iterative calculation. No macros, nothing locked, protected or hidden.</t>
  </si>
  <si>
    <t xml:space="preserve">The preferred return is compounded on each contribution from its own date to the exit; the carry is nothing below the hurdle, then the whole distribution until the general partner holds the carry share of the total profit (full catch-up), which completes here. The subscription line borrows the investment at closing and calls it from the subscriber later with its interest: the company earns the same money, the clock starts later.</t>
  </si>
  <si>
    <t xml:space="preserve">The fund, the company, the add-on, the people and every figure in the case are fictional. Every rate, multiple and fee is the book's assumption, not a market statistic. The tax treatment is a simplified assumption modeled on the US rule as the book was written; it is not tax advice.</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</si>
  <si>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</si>
  <si>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</si>
  <si>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</si>
  <si>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every input of the model</t>
  </si>
  <si>
    <t xml:space="preserve">Yellow cells with blue type are inputs; grey cells are derived from them. Amounts in millions of US dollars; years counted from closing (year 0 = the twelve months before closing). Every figure is fictional.</t>
  </si>
  <si>
    <t xml:space="preserve">The market, tax and cash</t>
  </si>
  <si>
    <t xml:space="preserve">Base rate (SOFR), flat in every year of the base case</t>
  </si>
  <si>
    <t xml:space="preserve">Corporate tax rate</t>
  </si>
  <si>
    <t xml:space="preserve">Deductible interest, cap as a share of EBITDA (assumption modeled on the US rule)</t>
  </si>
  <si>
    <t xml:space="preserve">Interest earned on opening cash</t>
  </si>
  <si>
    <t xml:space="preserve">Closing date (for the dated-flow check only; the book uses no dates)</t>
  </si>
  <si>
    <t xml:space="preserve">The target at closing (year 0, last twelve months)</t>
  </si>
  <si>
    <t xml:space="preserve">Revenue</t>
  </si>
  <si>
    <t xml:space="preserve">$ millions</t>
  </si>
  <si>
    <t xml:space="preserve">Reported EBITDA</t>
  </si>
  <si>
    <t xml:space="preserve">Reported margin</t>
  </si>
  <si>
    <t xml:space="preserve">Adjustment to EBITDA</t>
  </si>
  <si>
    <t xml:space="preserve">Seller's claim</t>
  </si>
  <si>
    <t xml:space="preserve">Accepted by the fund</t>
  </si>
  <si>
    <t xml:space="preserve">Litigation settlement, one-off</t>
  </si>
  <si>
    <t xml:space="preserve">Owner compensation above market rate</t>
  </si>
  <si>
    <t xml:space="preserve">Run-rate procurement savings</t>
  </si>
  <si>
    <t xml:space="preserve">Price increase announced, not yet invoiced</t>
  </si>
  <si>
    <t xml:space="preserve">Total adjustments</t>
  </si>
  <si>
    <t xml:space="preserve">Seller's adjusted EBITDA</t>
  </si>
  <si>
    <t xml:space="preserve">Seller's adjusted margin</t>
  </si>
  <si>
    <t xml:space="preserve">Underwriting EBITDA (reported plus accepted adjustments)</t>
  </si>
  <si>
    <t xml:space="preserve">Underwriting margin (year 0)</t>
  </si>
  <si>
    <t xml:space="preserve">Adjustments rejected (into the value plan, not the price)</t>
  </si>
  <si>
    <t xml:space="preserve">Net working capital, share of revenue</t>
  </si>
  <si>
    <t xml:space="preserve">Net fixed assets at closing, share of revenue</t>
  </si>
  <si>
    <t xml:space="preserve">Depreciation and amortization, share of revenue</t>
  </si>
  <si>
    <t xml:space="preserve">Capital expenditure, share of revenue</t>
  </si>
  <si>
    <t xml:space="preserve">Year-0 EBITDA less capital expenditure</t>
  </si>
  <si>
    <t xml:space="preserve">Cash conversion (EBITDA less capex, share of EBITDA)</t>
  </si>
  <si>
    <t xml:space="preserve">Bank debt repaid at closing</t>
  </si>
  <si>
    <t xml:space="preserve">Finance leases (debt-like)</t>
  </si>
  <si>
    <t xml:space="preserve">Unpaid part of the litigation settlement (debt-like)</t>
  </si>
  <si>
    <t xml:space="preserve">Cash on the target's balance sheet</t>
  </si>
  <si>
    <t xml:space="preserve">Net debt and debt-like items</t>
  </si>
  <si>
    <t xml:space="preserve">Diligence (chapters 3 and 4)</t>
  </si>
  <si>
    <t xml:space="preserve">Ten largest customers, share of revenue</t>
  </si>
  <si>
    <t xml:space="preserve">Spare parts and service (recurring), share of revenue</t>
  </si>
  <si>
    <t xml:space="preserve">Last year's revenue growth from price</t>
  </si>
  <si>
    <t xml:space="preserve">Last year's revenue growth from volume</t>
  </si>
  <si>
    <t xml:space="preserve">Last year's revenue growth</t>
  </si>
  <si>
    <t xml:space="preserve">Listed comparables (fictional)</t>
  </si>
  <si>
    <t xml:space="preserve">EV / LTM EBITDA</t>
  </si>
  <si>
    <t xml:space="preserve">Ardent Flow Technologies</t>
  </si>
  <si>
    <t xml:space="preserve">Beaumont Industrial</t>
  </si>
  <si>
    <t xml:space="preserve">Corvell Process Equipment</t>
  </si>
  <si>
    <t xml:space="preserve">Delamere Controls</t>
  </si>
  <si>
    <t xml:space="preserve">Ellsworth Valve Group</t>
  </si>
  <si>
    <t xml:space="preserve">Median of the listed set</t>
  </si>
  <si>
    <t xml:space="preserve">Lowest of the listed set</t>
  </si>
  <si>
    <t xml:space="preserve">Highest of the listed set</t>
  </si>
  <si>
    <t xml:space="preserve">Precedent transactions (fictional)</t>
  </si>
  <si>
    <t xml:space="preserve">EV / EBITDA</t>
  </si>
  <si>
    <t xml:space="preserve">Northgate Pumps</t>
  </si>
  <si>
    <t xml:space="preserve">Sable Actuation</t>
  </si>
  <si>
    <t xml:space="preserve">Tremont Filtration</t>
  </si>
  <si>
    <t xml:space="preserve">Winslow Seals</t>
  </si>
  <si>
    <t xml:space="preserve">Median of the precedents</t>
  </si>
  <si>
    <t xml:space="preserve">Lowest precedent</t>
  </si>
  <si>
    <t xml:space="preserve">Highest precedent</t>
  </si>
  <si>
    <t xml:space="preserve">The entry and the fees</t>
  </si>
  <si>
    <t xml:space="preserve">Entry multiple (enterprise value / underwriting EBITDA)</t>
  </si>
  <si>
    <t xml:space="preserve">x</t>
  </si>
  <si>
    <t xml:space="preserve">Enterprise value at entry</t>
  </si>
  <si>
    <t xml:space="preserve">Equity purchase price (paid to the seller)</t>
  </si>
  <si>
    <t xml:space="preserve">The same price as a multiple of the seller's EBITDA</t>
  </si>
  <si>
    <t xml:space="preserve">Price had the fund paid the entry multiple on the seller's EBITDA</t>
  </si>
  <si>
    <t xml:space="preserve">Difference against the agreed price</t>
  </si>
  <si>
    <t xml:space="preserve">One million of accepted EBITDA adjustment</t>
  </si>
  <si>
    <t xml:space="preserve">Its worth in price at the entry multiple</t>
  </si>
  <si>
    <t xml:space="preserve">A price one turn higher, for comparison</t>
  </si>
  <si>
    <t xml:space="preserve">Transaction fees: advisory</t>
  </si>
  <si>
    <t xml:space="preserve">Transaction fees: due diligence</t>
  </si>
  <si>
    <t xml:space="preserve">Transaction fees: legal</t>
  </si>
  <si>
    <t xml:space="preserve">Transaction fees, total (expensed at closing)</t>
  </si>
  <si>
    <t xml:space="preserve">Financing fees, share of funded debt (capitalized, amortized over the term loan's life)</t>
  </si>
  <si>
    <t xml:space="preserve">Cash to the balance sheet at closing</t>
  </si>
  <si>
    <t xml:space="preserve">Minimum cash kept on the balance sheet</t>
  </si>
  <si>
    <t xml:space="preserve">The debt</t>
  </si>
  <si>
    <t xml:space="preserve">First-lien term loan B, multiple of underwriting EBITDA</t>
  </si>
  <si>
    <t xml:space="preserve">Term loan margin over SOFR</t>
  </si>
  <si>
    <t xml:space="preserve">Term loan all-in rate in the base case</t>
  </si>
  <si>
    <t xml:space="preserve">Mandatory amortization, share of original principal a year</t>
  </si>
  <si>
    <t xml:space="preserve">Term loan maturity (years); also the life of the capitalized financing fees</t>
  </si>
  <si>
    <t xml:space="preserve">years</t>
  </si>
  <si>
    <t xml:space="preserve">Second-lien loan, multiple of underwriting EBITDA</t>
  </si>
  <si>
    <t xml:space="preserve">Second-lien fixed rate</t>
  </si>
  <si>
    <t xml:space="preserve">Second-lien maturity (bullet)</t>
  </si>
  <si>
    <t xml:space="preserve">Revolver commitment</t>
  </si>
  <si>
    <t xml:space="preserve">Revolver margin over SOFR when drawn</t>
  </si>
  <si>
    <t xml:space="preserve">Revolver commitment fee on the undrawn amount</t>
  </si>
  <si>
    <t xml:space="preserve">Revolver maturity</t>
  </si>
  <si>
    <t xml:space="preserve">Drawn share that would switch on a springing test in many loans (not modeled)</t>
  </si>
  <si>
    <t xml:space="preserve">Unitranche alternative: margin over SOFR (chapter 6 scenario)</t>
  </si>
  <si>
    <t xml:space="preserve">Unitranche all-in rate</t>
  </si>
  <si>
    <t xml:space="preserve">Unitranche size, multiple of EBITDA (first and second lien combined)</t>
  </si>
  <si>
    <t xml:space="preserve">Excess cash flow sweep on (1) or off (0)</t>
  </si>
  <si>
    <t xml:space="preserve">Sweep steps, on net leverage at the start of the year</t>
  </si>
  <si>
    <t xml:space="preserve">Net leverage above</t>
  </si>
  <si>
    <t xml:space="preserve">Sweep share</t>
  </si>
  <si>
    <t xml:space="preserve">Step 1</t>
  </si>
  <si>
    <t xml:space="preserve">Step 2</t>
  </si>
  <si>
    <t xml:space="preserve">Step 3</t>
  </si>
  <si>
    <t xml:space="preserve">Covenant EBITDA: run-rate synergy add-back, cap as a share of covenant EBITDA</t>
  </si>
  <si>
    <t xml:space="preserve">Run-rate cost synergies of the add-on</t>
  </si>
  <si>
    <t xml:space="preserve">The equity and the management package</t>
  </si>
  <si>
    <t xml:space="preserve">Management rollover (ordinary shares)</t>
  </si>
  <si>
    <t xml:space="preserve">Share price at closing (also the option strike)</t>
  </si>
  <si>
    <t xml:space="preserve">$ per share</t>
  </si>
  <si>
    <t xml:space="preserve">Option pool, share of fully diluted equity</t>
  </si>
  <si>
    <t xml:space="preserve">Performance vesting: half the pool vests only if the sponsor's MOIC reaches</t>
  </si>
  <si>
    <t xml:space="preserve">The CEO's share of the management rollover</t>
  </si>
  <si>
    <t xml:space="preserve">The CEO's share of the option pool</t>
  </si>
  <si>
    <t xml:space="preserve">The add-on (closes at the end of the add-on year)</t>
  </si>
  <si>
    <t xml:space="preserve">Add-on acquired (1 = yes, 0 = no)</t>
  </si>
  <si>
    <t xml:space="preserve">Year of the add-on</t>
  </si>
  <si>
    <t xml:space="preserve">year</t>
  </si>
  <si>
    <t xml:space="preserve">Add-on revenue at acquisition</t>
  </si>
  <si>
    <t xml:space="preserve">Add-on EBITDA at acquisition</t>
  </si>
  <si>
    <t xml:space="preserve">Add-on margin</t>
  </si>
  <si>
    <t xml:space="preserve">Add-on price, multiple of its EBITDA</t>
  </si>
  <si>
    <t xml:space="preserve">Add-on enterprise value (bought debt-free, cash-free)</t>
  </si>
  <si>
    <t xml:space="preserve">Add-on transaction fees (expensed)</t>
  </si>
  <si>
    <t xml:space="preserve">Add-on revenue growth a year</t>
  </si>
  <si>
    <t xml:space="preserve">Add-on net fixed assets, share of its revenue</t>
  </si>
  <si>
    <t xml:space="preserve">Incremental first-lien term loan for the add-on (same terms)</t>
  </si>
  <si>
    <t xml:space="preserve">Financing fee on the incremental loan</t>
  </si>
  <si>
    <t xml:space="preserve">Cash of the company used for the add-on</t>
  </si>
  <si>
    <t xml:space="preserve">Add-on fees of both kinds</t>
  </si>
  <si>
    <t xml:space="preserve">The exit</t>
  </si>
  <si>
    <t xml:space="preserve">Exit multiple (enterprise value / EBITDA of the exit year)</t>
  </si>
  <si>
    <t xml:space="preserve">Exit fees (advisers), share of enterprise value</t>
  </si>
  <si>
    <t xml:space="preserve">Holding period: exit at the end of year (3 to 7)</t>
  </si>
  <si>
    <t xml:space="preserve">Scenario switches and stress parameters (base case values; the scenarios override them)</t>
  </si>
  <si>
    <t xml:space="preserve">Share of the margin plan delivered (1 = the plan)</t>
  </si>
  <si>
    <t xml:space="preserve">Dividend recapitalization (1 = yes, 0 = no)</t>
  </si>
  <si>
    <t xml:space="preserve">Year of the recapitalization</t>
  </si>
  <si>
    <t xml:space="preserve">Incremental term loan drawn and paid out as a dividend</t>
  </si>
  <si>
    <t xml:space="preserve">Fee on the incremental loan</t>
  </si>
  <si>
    <t xml:space="preserve">Incremental-debt test: net leverage after the recap at most</t>
  </si>
  <si>
    <t xml:space="preserve">All-equity purchase (1 = yes, 0 = no)</t>
  </si>
  <si>
    <t xml:space="preserve">Equity cure injected by the sponsor</t>
  </si>
  <si>
    <t xml:space="preserve">Year of the equity cure (0 = none)</t>
  </si>
  <si>
    <t xml:space="preserve">Amend and extend (1 = yes, 0 = no)</t>
  </si>
  <si>
    <t xml:space="preserve">Year of the amend and extend (fee and covenant reset from that year; margin step-up after)</t>
  </si>
  <si>
    <t xml:space="preserve">Amend-and-extend consent fee, share of the term loan</t>
  </si>
  <si>
    <t xml:space="preserve">Margin step-up after the amend and extend</t>
  </si>
  <si>
    <t xml:space="preserve">Covenant reset (turns added to every remaining test)</t>
  </si>
  <si>
    <t xml:space="preserve">Deeper bad year: platform revenue growth in year 3</t>
  </si>
  <si>
    <t xml:space="preserve">Deeper bad year: margin shock in year 3</t>
  </si>
  <si>
    <t xml:space="preserve">Debt held at a fixed share of total uses (0 = off; the mistaken sensitivity of chapter 19)</t>
  </si>
  <si>
    <t xml:space="preserve">Rates scenario: base rate two points higher</t>
  </si>
  <si>
    <t xml:space="preserve">The fund (chapter 17)</t>
  </si>
  <si>
    <t xml:space="preserve">Management fee on committed capital, a year</t>
  </si>
  <si>
    <t xml:space="preserve">Carried interest</t>
  </si>
  <si>
    <t xml:space="preserve">Split after the catch-up: the subscriber</t>
  </si>
  <si>
    <t xml:space="preserve">Preferred return a year, compounded</t>
  </si>
  <si>
    <t xml:space="preserve">Subscription line rate</t>
  </si>
  <si>
    <t xml:space="preserve">Subscription line: capital called this many months after closing</t>
  </si>
  <si>
    <t xml:space="preserve">months</t>
  </si>
  <si>
    <t xml:space="preserve">The plan by year</t>
  </si>
  <si>
    <t xml:space="preserve">Year</t>
  </si>
  <si>
    <t xml:space="preserve">Platform revenue growth</t>
  </si>
  <si>
    <t xml:space="preserve">Margin improvement from the plan (points over the year-0 margin)</t>
  </si>
  <si>
    <t xml:space="preserve">Bad-year margin shock (points)</t>
  </si>
  <si>
    <t xml:space="preserve">Cost synergies from the add-on</t>
  </si>
  <si>
    <t xml:space="preserve">Covenant: maximum total net debt / covenant EBITDA</t>
  </si>
  <si>
    <t xml:space="preserve">Year-3 margin the plan called for (year-0 margin plus the improvement)</t>
  </si>
  <si>
    <t xml:space="preserve">Case: Base case</t>
  </si>
  <si>
    <t xml:space="preserve">Scenario inputs at the top; the full model of the case below. Yellow = this scenario's own value; grey = follows Assumptions.</t>
  </si>
  <si>
    <t xml:space="preserve">Scenario inputs</t>
  </si>
  <si>
    <t xml:space="preserve">Exit multiple</t>
  </si>
  <si>
    <t xml:space="preserve">First-lien term loan B, multiple of EBITDA</t>
  </si>
  <si>
    <t xml:space="preserve">Second-lien loan, multiple of EBITDA</t>
  </si>
  <si>
    <t xml:space="preserve">Add-on acquired at the end of year 2 (1 = yes, 0 = no)</t>
  </si>
  <si>
    <t xml:space="preserve">Dividend recapitalization in the recap year (1 = yes, 0 = no)</t>
  </si>
  <si>
    <t xml:space="preserve">All-equity purchase, no debt (1 = yes, 0 = no)</t>
  </si>
  <si>
    <t xml:space="preserve">Amend and extend agreed in year 3 (1 = yes, 0 = no)</t>
  </si>
  <si>
    <t xml:space="preserve">Base rate (SOFR), flat in every year</t>
  </si>
  <si>
    <t xml:space="preserve">Exit fees, share of enterprise value at exit</t>
  </si>
  <si>
    <t xml:space="preserve">Debt held at a fixed share of total uses (0 = off; the mistaken sensitivity)</t>
  </si>
  <si>
    <t xml:space="preserve">Sources and uses at closing ($ millions)</t>
  </si>
  <si>
    <t xml:space="preserve">Underwriting EBITDA</t>
  </si>
  <si>
    <t xml:space="preserve">Enterprise value = entry multiple x underwriting EBITDA</t>
  </si>
  <si>
    <t xml:space="preserve">Debt if held at a fixed share of total uses (0 unless that switch is on)</t>
  </si>
  <si>
    <t xml:space="preserve">Second-lien loan</t>
  </si>
  <si>
    <t xml:space="preserve">First-lien term loan B</t>
  </si>
  <si>
    <t xml:space="preserve">Financing fees on the funded debt</t>
  </si>
  <si>
    <t xml:space="preserve">Uses</t>
  </si>
  <si>
    <t xml:space="preserve">Purchase of the equity (paid to the seller)</t>
  </si>
  <si>
    <t xml:space="preserve">Refinancing of net debt and debt-like items</t>
  </si>
  <si>
    <t xml:space="preserve">Transaction fees (expensed)</t>
  </si>
  <si>
    <t xml:space="preserve">Financing fees (capitalized)</t>
  </si>
  <si>
    <t xml:space="preserve">Cash to the balance sheet</t>
  </si>
  <si>
    <t xml:space="preserve">Total uses</t>
  </si>
  <si>
    <t xml:space="preserve">Sources</t>
  </si>
  <si>
    <t xml:space="preserve">Revolver drawn at closing</t>
  </si>
  <si>
    <t xml:space="preserve">Total equity (the balancing item)</t>
  </si>
  <si>
    <t xml:space="preserve">Management rollover</t>
  </si>
  <si>
    <t xml:space="preserve">Sponsor equity</t>
  </si>
  <si>
    <t xml:space="preserve">Total sources</t>
  </si>
  <si>
    <t xml:space="preserve">Sources less uses (must be zero)</t>
  </si>
  <si>
    <t xml:space="preserve">Leverage and fees at closing</t>
  </si>
  <si>
    <t xml:space="preserve">Total debt</t>
  </si>
  <si>
    <t xml:space="preserve">Total debt / EBITDA</t>
  </si>
  <si>
    <t xml:space="preserve">Net debt at closing</t>
  </si>
  <si>
    <t xml:space="preserve">Net debt / EBITDA</t>
  </si>
  <si>
    <t xml:space="preserve">Equity, share of total sources</t>
  </si>
  <si>
    <t xml:space="preserve">Debt, share of total sources</t>
  </si>
  <si>
    <t xml:space="preserve">Debt to enterprise value</t>
  </si>
  <si>
    <t xml:space="preserve">Fees of both kinds</t>
  </si>
  <si>
    <t xml:space="preserve">Fees, share of enterprise value</t>
  </si>
  <si>
    <t xml:space="preserve">Fees, share of the equity</t>
  </si>
  <si>
    <t xml:space="preserve">Equity needed at the comparison price with the same debt</t>
  </si>
  <si>
    <t xml:space="preserve">Operating model ($ millions)</t>
  </si>
  <si>
    <t xml:space="preserve">Platform revenue</t>
  </si>
  <si>
    <t xml:space="preserve">Platform EBITDA margin (year-0 margin + plan x improvement + shock)</t>
  </si>
  <si>
    <t xml:space="preserve">Platform EBITDA</t>
  </si>
  <si>
    <t xml:space="preserve">Add-on revenue (owned from the end of the add-on year)</t>
  </si>
  <si>
    <t xml:space="preserve">Add-on EBITDA</t>
  </si>
  <si>
    <t xml:space="preserve">Cost synergies achieved</t>
  </si>
  <si>
    <t xml:space="preserve">Revenue (the add-on counts from the year after its acquisition)</t>
  </si>
  <si>
    <t xml:space="preserve">EBITDA</t>
  </si>
  <si>
    <t xml:space="preserve">EBITDA margin</t>
  </si>
  <si>
    <t xml:space="preserve">Depreciation and amortization</t>
  </si>
  <si>
    <t xml:space="preserve">Capital expenditure</t>
  </si>
  <si>
    <t xml:space="preserve">Net working capital on the year's revenue</t>
  </si>
  <si>
    <t xml:space="preserve">Working capital arriving with the add-on (not through cash flow)</t>
  </si>
  <si>
    <t xml:space="preserve">Net working capital on the balance sheet</t>
  </si>
  <si>
    <t xml:space="preserve">Change in net working capital (cash use)</t>
  </si>
  <si>
    <t xml:space="preserve">Events and free cash flow ($ millions)</t>
  </si>
  <si>
    <t xml:space="preserve">Add-on purchase price</t>
  </si>
  <si>
    <t xml:space="preserve">Add-on fees (expensed)</t>
  </si>
  <si>
    <t xml:space="preserve">Incremental term loan drawn for the add-on</t>
  </si>
  <si>
    <t xml:space="preserve">Financing fee on the incremental loan (capitalized)</t>
  </si>
  <si>
    <t xml:space="preserve">Incremental term loan drawn for the recapitalization</t>
  </si>
  <si>
    <t xml:space="preserve">Recapitalization fee (expensed)</t>
  </si>
  <si>
    <t xml:space="preserve">Dividend paid to all shareholders</t>
  </si>
  <si>
    <t xml:space="preserve">Amend-and-extend consent fee (expensed)</t>
  </si>
  <si>
    <t xml:space="preserve">Equity cure received from the sponsor</t>
  </si>
  <si>
    <t xml:space="preserve">Free cash flow (EBITDA - cash taxes - cash interest - capex - change in NWC - expensed fees)</t>
  </si>
  <si>
    <t xml:space="preserve">Capital expenditure plus change in NWC</t>
  </si>
  <si>
    <t xml:space="preserve">Cash roll ($ millions)</t>
  </si>
  <si>
    <t xml:space="preserve">Opening cash</t>
  </si>
  <si>
    <t xml:space="preserve">Cash before the revolver and the sweep (opening + FCF - amortization - add-on and recap flows + cure)</t>
  </si>
  <si>
    <t xml:space="preserve">Closing cash (after the revolver draw or repayment and the sweep)</t>
  </si>
  <si>
    <t xml:space="preserve">Interest on opening balances ($ millions)</t>
  </si>
  <si>
    <t xml:space="preserve">Term loan margin (stepped up after an amend and extend)</t>
  </si>
  <si>
    <t xml:space="preserve">Term loan rate</t>
  </si>
  <si>
    <t xml:space="preserve">Term loan interest</t>
  </si>
  <si>
    <t xml:space="preserve">Second-lien interest</t>
  </si>
  <si>
    <t xml:space="preserve">Revolver interest and commitment fee</t>
  </si>
  <si>
    <t xml:space="preserve">Less interest on cash</t>
  </si>
  <si>
    <t xml:space="preserve">Net cash interest</t>
  </si>
  <si>
    <t xml:space="preserve">Amortization of capitalized financing fees (straight line over the remaining life)</t>
  </si>
  <si>
    <t xml:space="preserve">Interest cover (EBITDA / net cash interest)</t>
  </si>
  <si>
    <t xml:space="preserve">Debt service ($ millions)</t>
  </si>
  <si>
    <t xml:space="preserve">Mandatory amortization of the term loan</t>
  </si>
  <si>
    <t xml:space="preserve">Revolver drawn to hold the minimum cash</t>
  </si>
  <si>
    <t xml:space="preserve">Revolver repaid from cash above the minimum</t>
  </si>
  <si>
    <t xml:space="preserve">Cash before the sweep</t>
  </si>
  <si>
    <t xml:space="preserve">Sweep share (step rule on net leverage at the start of the year)</t>
  </si>
  <si>
    <t xml:space="preserve">Cash above the minimum, available for the sweep</t>
  </si>
  <si>
    <t xml:space="preserve">Excess cash flow sweep (only when the revolver is undrawn)</t>
  </si>
  <si>
    <t xml:space="preserve">Sweep above the available cash (must be zero)</t>
  </si>
  <si>
    <t xml:space="preserve">Balances at the year end ($ millions)</t>
  </si>
  <si>
    <t xml:space="preserve">Term loan original principal (for the mandatory amortization)</t>
  </si>
  <si>
    <t xml:space="preserve">Revolver drawn</t>
  </si>
  <si>
    <t xml:space="preserve">Cash</t>
  </si>
  <si>
    <t xml:space="preserve">Net debt</t>
  </si>
  <si>
    <t xml:space="preserve">Closing debt less (opening debt - repayments + draws) (must be zero)</t>
  </si>
  <si>
    <t xml:space="preserve">Income statement and tax ($ millions)</t>
  </si>
  <si>
    <t xml:space="preserve">EBIT (EBITDA - D&amp;A)</t>
  </si>
  <si>
    <t xml:space="preserve">Interest expense (net cash interest + fee amortization)</t>
  </si>
  <si>
    <t xml:space="preserve">Pretax income (after expensed deal fees)</t>
  </si>
  <si>
    <t xml:space="preserve">Deductible interest cap (share of EBITDA)</t>
  </si>
  <si>
    <t xml:space="preserve">Interest brought to the test (this year's plus the carryforward)</t>
  </si>
  <si>
    <t xml:space="preserve">Deductible interest</t>
  </si>
  <si>
    <t xml:space="preserve">Disallowed interest carried forward</t>
  </si>
  <si>
    <t xml:space="preserve">Taxable income before losses</t>
  </si>
  <si>
    <t xml:space="preserve">Tax losses used</t>
  </si>
  <si>
    <t xml:space="preserve">Tax losses carried forward</t>
  </si>
  <si>
    <t xml:space="preserve">Cash taxes</t>
  </si>
  <si>
    <t xml:space="preserve">Net income</t>
  </si>
  <si>
    <t xml:space="preserve">Tax without the interest cap (for comparison)</t>
  </si>
  <si>
    <t xml:space="preserve">Cash cost of the cap</t>
  </si>
  <si>
    <t xml:space="preserve">Balance sheet at the year end ($ millions)</t>
  </si>
  <si>
    <t xml:space="preserve">Net working capital</t>
  </si>
  <si>
    <t xml:space="preserve">Net fixed assets</t>
  </si>
  <si>
    <t xml:space="preserve">Goodwill and intangibles</t>
  </si>
  <si>
    <t xml:space="preserve">Capitalized financing fees</t>
  </si>
  <si>
    <t xml:space="preserve">Total assets</t>
  </si>
  <si>
    <t xml:space="preserve">Debt</t>
  </si>
  <si>
    <t xml:space="preserve">Equity (book value)</t>
  </si>
  <si>
    <t xml:space="preserve">Debt and equity</t>
  </si>
  <si>
    <t xml:space="preserve">Assets less debt and equity (must be zero)</t>
  </si>
  <si>
    <t xml:space="preserve">Covenant test at each year end</t>
  </si>
  <si>
    <t xml:space="preserve">EBITDA pro forma for the add-on (full year in the year of acquisition)</t>
  </si>
  <si>
    <t xml:space="preserve">Run-rate synergy add-back (synergies not yet achieved, capped)</t>
  </si>
  <si>
    <t xml:space="preserve">Covenant EBITDA (pro forma + add-back + equity cure deemed EBITDA)</t>
  </si>
  <si>
    <t xml:space="preserve">Total net debt</t>
  </si>
  <si>
    <t xml:space="preserve">Covenant leverage (net debt / covenant EBITDA)</t>
  </si>
  <si>
    <t xml:space="preserve">Maximum allowed (reset after an amend and extend)</t>
  </si>
  <si>
    <t xml:space="preserve">Headroom (turns)</t>
  </si>
  <si>
    <t xml:space="preserve">EBITDA cushion (how far covenant EBITDA could fall)</t>
  </si>
  <si>
    <t xml:space="preserve">EBITDA cushion in dollars</t>
  </si>
  <si>
    <t xml:space="preserve">Equity cure that would restore the original test (0 if it passes)</t>
  </si>
  <si>
    <t xml:space="preserve">Breach without the synergy add-back (net debt / EBITDA less the original maximum)</t>
  </si>
  <si>
    <t xml:space="preserve">Breach in turns (covenant leverage less the maximum; negative when the test passes)</t>
  </si>
  <si>
    <t xml:space="preserve">Exit at the end of the holding period ($ millions)</t>
  </si>
  <si>
    <t xml:space="preserve">Exit year</t>
  </si>
  <si>
    <t xml:space="preserve">EBITDA of the exit year</t>
  </si>
  <si>
    <t xml:space="preserve">Enterprise value = exit multiple x EBITDA</t>
  </si>
  <si>
    <t xml:space="preserve">Less net debt at exit</t>
  </si>
  <si>
    <t xml:space="preserve">of which term loan</t>
  </si>
  <si>
    <t xml:space="preserve">of which second lien</t>
  </si>
  <si>
    <t xml:space="preserve">of which revolver</t>
  </si>
  <si>
    <t xml:space="preserve">less cash</t>
  </si>
  <si>
    <t xml:space="preserve">Less exit fees</t>
  </si>
  <si>
    <t xml:space="preserve">Equity value at exit</t>
  </si>
  <si>
    <t xml:space="preserve">One turn of exit multiple, in equity after exit fees</t>
  </si>
  <si>
    <t xml:space="preserve">The shares, the options and the price per share</t>
  </si>
  <si>
    <t xml:space="preserve">Ordinary shares at closing (million)</t>
  </si>
  <si>
    <t xml:space="preserve">of which the sponsor</t>
  </si>
  <si>
    <t xml:space="preserve">Sponsor share of the ordinary shares at closing</t>
  </si>
  <si>
    <t xml:space="preserve">of which management's rollover</t>
  </si>
  <si>
    <t xml:space="preserve">Management share of the ordinary shares</t>
  </si>
  <si>
    <t xml:space="preserve">of which the CEO</t>
  </si>
  <si>
    <t xml:space="preserve">Equity cures received during the hold (new shares to the sponsor at the entry price)</t>
  </si>
  <si>
    <t xml:space="preserve">Ordinary shares at exit (million)</t>
  </si>
  <si>
    <t xml:space="preserve">Sponsor shares at exit (million)</t>
  </si>
  <si>
    <t xml:space="preserve">Options in the pool (million), on the shares at closing</t>
  </si>
  <si>
    <t xml:space="preserve">Price per share with the whole pool exercised (treasury method: the strike is paid in)</t>
  </si>
  <si>
    <t xml:space="preserve">Interim flows to the sponsor during the hold (dividends less cures)</t>
  </si>
  <si>
    <t xml:space="preserve">Sponsor multiple with the whole pool exercised (the performance test)</t>
  </si>
  <si>
    <t xml:space="preserve">Options vested: the whole pool if the test is met, half otherwise</t>
  </si>
  <si>
    <t xml:space="preserve">Price per share with the vested options exercised</t>
  </si>
  <si>
    <t xml:space="preserve">Options exercised (none if out of the money)</t>
  </si>
  <si>
    <t xml:space="preserve">Price per share at exit</t>
  </si>
  <si>
    <t xml:space="preserve">Who gets what</t>
  </si>
  <si>
    <t xml:space="preserve">Sponsor proceeds</t>
  </si>
  <si>
    <t xml:space="preserve">Sponsor share of the equity value</t>
  </si>
  <si>
    <t xml:space="preserve">Management's rollover shares</t>
  </si>
  <si>
    <t xml:space="preserve">Value of the options (price less strike, on the options exercised)</t>
  </si>
  <si>
    <t xml:space="preserve">Sponsor + management shares + options - equity value (must be zero)</t>
  </si>
  <si>
    <t xml:space="preserve">Management in total (shares and options)</t>
  </si>
  <si>
    <t xml:space="preserve">Management multiple on the rollover</t>
  </si>
  <si>
    <t xml:space="preserve">The CEO's rollover shares</t>
  </si>
  <si>
    <t xml:space="preserve">The CEO's share of the option value</t>
  </si>
  <si>
    <t xml:space="preserve">The CEO in total, before tax</t>
  </si>
  <si>
    <t xml:space="preserve">The CEO's multiple on the rollover</t>
  </si>
  <si>
    <t xml:space="preserve">Sponsor proceeds had there been no option pool</t>
  </si>
  <si>
    <t xml:space="preserve">Cost of the pool to the sponsor</t>
  </si>
  <si>
    <t xml:space="preserve">Cash flows and returns ($ millions)</t>
  </si>
  <si>
    <t xml:space="preserve">Cumulative equity cures</t>
  </si>
  <si>
    <t xml:space="preserve">Sponsor shares outstanding (million)</t>
  </si>
  <si>
    <t xml:space="preserve">All shares outstanding (million)</t>
  </si>
  <si>
    <t xml:space="preserve">Interim flow to the sponsor (its share of the dividend, less the cure it funds)</t>
  </si>
  <si>
    <t xml:space="preserve">Sponsor cash flows</t>
  </si>
  <si>
    <t xml:space="preserve">All shareholders' cash flows</t>
  </si>
  <si>
    <t xml:space="preserve">Date of the flow (from the closing date)</t>
  </si>
  <si>
    <t xml:space="preserve">Sponsor IRR (annual flows at year ends)</t>
  </si>
  <si>
    <t xml:space="preserve">Sponsor IRR by XIRR on the dated flows</t>
  </si>
  <si>
    <t xml:space="preserve">Sponsor multiple of money (proceeds / equity invested)</t>
  </si>
  <si>
    <t xml:space="preserve">Sponsor equity invested in total (including cures)</t>
  </si>
  <si>
    <t xml:space="preserve">All shareholders' IRR</t>
  </si>
  <si>
    <t xml:space="preserve">All shareholders' multiple</t>
  </si>
  <si>
    <t xml:space="preserve">Gain of all shareholders (sum of the flows)</t>
  </si>
  <si>
    <t xml:space="preserve">Over the holding period</t>
  </si>
  <si>
    <t xml:space="preserve">Cumulative free cash flow</t>
  </si>
  <si>
    <t xml:space="preserve">Cumulative net cash interest</t>
  </si>
  <si>
    <t xml:space="preserve">Cumulative cash taxes</t>
  </si>
  <si>
    <t xml:space="preserve">Cumulative mandatory amortization</t>
  </si>
  <si>
    <t xml:space="preserve">Cumulative sweep</t>
  </si>
  <si>
    <t xml:space="preserve">Dividends paid</t>
  </si>
  <si>
    <t xml:space="preserve">Term loan repaid (mandatory plus sweep)</t>
  </si>
  <si>
    <t xml:space="preserve">Deleveraging: net debt at closing less net debt at exit</t>
  </si>
  <si>
    <t xml:space="preserve">EBITDA growth a year, compounded</t>
  </si>
  <si>
    <t xml:space="preserve">Revenue growth a year, compounded</t>
  </si>
  <si>
    <t xml:space="preserve">Gain in enterprise value</t>
  </si>
  <si>
    <t xml:space="preserve">Gain in enterprise value, share of the entry value</t>
  </si>
  <si>
    <t xml:space="preserve">Enterprise value growth a year, compounded</t>
  </si>
  <si>
    <t xml:space="preserve">Gain on the equity, share of the equity invested</t>
  </si>
  <si>
    <t xml:space="preserve">From the deal to the subscriber, without a subscription line (chapter 17)</t>
  </si>
  <si>
    <t xml:space="preserve">The subscriber's contributions, the fund's fees, the preferred return, the catch-up and the carry, the net flows.</t>
  </si>
  <si>
    <t xml:space="preserve">Terms (from Assumptions) and the investment (from Case_Base)</t>
  </si>
  <si>
    <t xml:space="preserve">Subscription line used: the investment is borrowed at closing and called from the subscriber later (1 = yes, 0 = no)</t>
  </si>
  <si>
    <t xml:space="preserve">The sponsor's investment in the deal (the fund's equity check)</t>
  </si>
  <si>
    <t xml:space="preserve">Management fee on committed capital, a year, for the years of the hold</t>
  </si>
  <si>
    <t xml:space="preserve">Months between closing and the capital call through the line</t>
  </si>
  <si>
    <t xml:space="preserve">Commitment behind the investment = investment / (1 - fee x years)</t>
  </si>
  <si>
    <t xml:space="preserve">Management fee a year</t>
  </si>
  <si>
    <t xml:space="preserve">Management fees over the hold</t>
  </si>
  <si>
    <t xml:space="preserve">Interest on the subscription line (0 without the line)</t>
  </si>
  <si>
    <t xml:space="preserve">The subscriber's flows by year ($ millions; contributions negative)</t>
  </si>
  <si>
    <t xml:space="preserve">Capital called for the investment (at closing, or through the line with its interest)</t>
  </si>
  <si>
    <t xml:space="preserve">Capital called for the management fee (at the start of each year of the hold)</t>
  </si>
  <si>
    <t xml:space="preserve">Contributions</t>
  </si>
  <si>
    <t xml:space="preserve">Gross distributions: the sponsor's flows from the deal</t>
  </si>
  <si>
    <t xml:space="preserve">Gross flows to the subscriber (after fees, before carry)</t>
  </si>
  <si>
    <t xml:space="preserve">Preferred return owed on the year's contribution, compounded to the exit</t>
  </si>
  <si>
    <t xml:space="preserve">The waterfall at exit</t>
  </si>
  <si>
    <t xml:space="preserve">Contributions in total</t>
  </si>
  <si>
    <t xml:space="preserve">Gross proceeds in total</t>
  </si>
  <si>
    <t xml:space="preserve">Profit before carry</t>
  </si>
  <si>
    <t xml:space="preserve">Preferred return owed on the contributions at their dates</t>
  </si>
  <si>
    <t xml:space="preserve">Contributions plus the preferred return</t>
  </si>
  <si>
    <t xml:space="preserve">Carried interest: nothing below the hurdle, then the full catch-up up to the carry share of the whole profit</t>
  </si>
  <si>
    <t xml:space="preserve">The carry as a share of the profit</t>
  </si>
  <si>
    <t xml:space="preserve">Net proceeds to the subscriber</t>
  </si>
  <si>
    <t xml:space="preserve">Net flows and returns</t>
  </si>
  <si>
    <t xml:space="preserve">Carry paid to the general partner at exit</t>
  </si>
  <si>
    <t xml:space="preserve">Net flows to the subscriber (after fees and carry)</t>
  </si>
  <si>
    <t xml:space="preserve">Date of the flow (from the closing date on Assumptions)</t>
  </si>
  <si>
    <t xml:space="preserve">The deal: the sponsor's IRR</t>
  </si>
  <si>
    <t xml:space="preserve">The deal: the sponsor's MOIC</t>
  </si>
  <si>
    <t xml:space="preserve">Gross to the subscriber: IRR after management fees, before carry</t>
  </si>
  <si>
    <t xml:space="preserve">Gross to the subscriber: multiple</t>
  </si>
  <si>
    <t xml:space="preserve">Net to the subscriber: IRR after fees and carry</t>
  </si>
  <si>
    <t xml:space="preserve">Net to the subscriber: multiple</t>
  </si>
  <si>
    <t xml:space="preserve">Net IRR by XIRR on the dated flows</t>
  </si>
  <si>
    <t xml:space="preserve">IRR taken by the management fee (deal less gross)</t>
  </si>
  <si>
    <t xml:space="preserve">points</t>
  </si>
  <si>
    <t xml:space="preserve">IRR taken by the carry (gross less net)</t>
  </si>
  <si>
    <t xml:space="preserve">IRR taken in all (deal less net)</t>
  </si>
  <si>
    <t xml:space="preserve">Multiple taken in all (deal less net)</t>
  </si>
  <si>
    <t xml:space="preserve">Of every dollar of the deal's profit, the subscriber keeps</t>
  </si>
  <si>
    <t xml:space="preserve">The same fund with a subscription line: the investment is called twelve months after closing, with interest</t>
  </si>
  <si>
    <t xml:space="preserve">Everything else is the same. The net IRR rises because the clock starts later; the net multiple falls by the interest.</t>
  </si>
  <si>
    <t xml:space="preserve">Gross to net: the deal, the subscriber before carry, the subscriber after carry, and with the line</t>
  </si>
  <si>
    <t xml:space="preserve">IRR and multiple at each level; the gaps between them; what the subscriber keeps of every dollar of the deal's profit.</t>
  </si>
  <si>
    <t xml:space="preserve">The terms</t>
  </si>
  <si>
    <t xml:space="preserve">Management fee a year on committed capital</t>
  </si>
  <si>
    <t xml:space="preserve">Split after the catch-up: the general partner</t>
  </si>
  <si>
    <t xml:space="preserve">The subscriber's commitment behind the deal (Fund_Waterfall)</t>
  </si>
  <si>
    <t xml:space="preserve">The sponsor's investment in the deal</t>
  </si>
  <si>
    <t xml:space="preserve">Commitment: the investment plus the fees of the hold</t>
  </si>
  <si>
    <t xml:space="preserve">Management fees in total</t>
  </si>
  <si>
    <t xml:space="preserve">Gross proceeds at exit</t>
  </si>
  <si>
    <t xml:space="preserve">Preferred return owed</t>
  </si>
  <si>
    <t xml:space="preserve">Contributions plus preferred return</t>
  </si>
  <si>
    <t xml:space="preserve">Gross to net</t>
  </si>
  <si>
    <t xml:space="preserve">Level</t>
  </si>
  <si>
    <t xml:space="preserve">IRR</t>
  </si>
  <si>
    <t xml:space="preserve">Multiple</t>
  </si>
  <si>
    <t xml:space="preserve">The deal (the sponsor's equity in, its proceeds out)</t>
  </si>
  <si>
    <t xml:space="preserve">Gross to the subscriber (after management fees, before carry)</t>
  </si>
  <si>
    <t xml:space="preserve">Net to the subscriber (after fees and carry)</t>
  </si>
  <si>
    <t xml:space="preserve">Net, with a subscription line</t>
  </si>
  <si>
    <t xml:space="preserve">The gaps</t>
  </si>
  <si>
    <t xml:space="preserve">The sponsor put in</t>
  </si>
  <si>
    <t xml:space="preserve">and took out</t>
  </si>
  <si>
    <t xml:space="preserve">IRR taken by the management fee</t>
  </si>
  <si>
    <t xml:space="preserve">IRR taken by the carry</t>
  </si>
  <si>
    <t xml:space="preserve">IRR taken in all</t>
  </si>
  <si>
    <t xml:space="preserve">Multiple taken in all</t>
  </si>
  <si>
    <t xml:space="preserve">The subscription line (Subscription_Line)</t>
  </si>
  <si>
    <t xml:space="preserve">Borrowed by the fund at closing</t>
  </si>
  <si>
    <t xml:space="preserve">Interest paid by the subscriber with the call</t>
  </si>
  <si>
    <t xml:space="preserve">Net IRR added by the line</t>
  </si>
  <si>
    <t xml:space="preserve">Net multiple taken by the line</t>
  </si>
  <si>
    <t xml:space="preserve">Carry with the line (the interest reduces the profit)</t>
  </si>
  <si>
    <t xml:space="preserve">Preferred return with the line (computed from the later call date)</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</si>
  <si>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</si>
  <si>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</si>
  <si>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</si>
  <si>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</si>
  <si>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</si>
  <si>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</si>
  <si>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</si>
  <si>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</si>
  <si>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</si>
  <si>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</si>
  <si>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</si>
  <si>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</si>
  <si>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</si>
  <si>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</si>
  <si>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Case_Base</t>
  </si>
  <si>
    <t xml:space="preserve">BASE: sources = uses</t>
  </si>
  <si>
    <t xml:space="preserve">holds</t>
  </si>
  <si>
    <t xml:space="preserve">BASE: the balance sheet closes every year (assets = debt + equity)</t>
  </si>
  <si>
    <t xml:space="preserve">BASE: closing debt = opening debt - repayments + draws, every year</t>
  </si>
  <si>
    <t xml:space="preserve">BASE: the sweep never exceeds the cash above the minimum</t>
  </si>
  <si>
    <t xml:space="preserve">BASE: cash never falls below the minimum while the revolver has room (levered cases)</t>
  </si>
  <si>
    <t xml:space="preserve">BASE: year-3 covenant headroom = maximum less covenant leverage</t>
  </si>
  <si>
    <t xml:space="preserve">BASE: sponsor + management shares + options = equity value at exit</t>
  </si>
  <si>
    <t xml:space="preserve">BASE: sponsor IRR by XIRR on dated flows equals the IRR shown within 0.0005</t>
  </si>
  <si>
    <t xml:space="preserve">BASE: the sponsor's multiple = proceeds / equity invested</t>
  </si>
  <si>
    <t xml:space="preserve">Fund_Waterfall</t>
  </si>
  <si>
    <t xml:space="preserve">F: the commitment covers the investment and the fees of the hold</t>
  </si>
  <si>
    <t xml:space="preserve">F: contributions = the investment, the line's interest and the fees</t>
  </si>
  <si>
    <t xml:space="preserve">F: net proceeds = gross proceeds less the carry</t>
  </si>
  <si>
    <t xml:space="preserve">F: the carry is at most the carry share of the profit and at most the proceeds above the hurdle</t>
  </si>
  <si>
    <t xml:space="preserve">F: net to the subscriber below gross to the subscriber (IRR and multiple)</t>
  </si>
  <si>
    <t xml:space="preserve">F: net to the subscriber below the deal's IRR and multiple</t>
  </si>
  <si>
    <t xml:space="preserve">F: net IRR by XIRR on dated flows equals the net IRR shown within 0.0005</t>
  </si>
  <si>
    <t xml:space="preserve">F: the net flows sum to the net proceeds less the contributions</t>
  </si>
  <si>
    <t xml:space="preserve">Subscription_Line</t>
  </si>
  <si>
    <t xml:space="preserve">FS: the commitment covers the investment and the fees of the hold</t>
  </si>
  <si>
    <t xml:space="preserve">FS: contributions = the investment, the line's interest and the fees</t>
  </si>
  <si>
    <t xml:space="preserve">FS: net proceeds = gross proceeds less the carry</t>
  </si>
  <si>
    <t xml:space="preserve">FS: the carry is at most the carry share of the profit and at most the proceeds above the hurdle</t>
  </si>
  <si>
    <t xml:space="preserve">FS: net to the subscriber below gross to the subscriber (IRR and multiple)</t>
  </si>
  <si>
    <t xml:space="preserve">FS: net to the subscriber below the deal's IRR and multiple</t>
  </si>
  <si>
    <t xml:space="preserve">FS: net IRR by XIRR on dated flows equals the net IRR shown within 0.0005</t>
  </si>
  <si>
    <t xml:space="preserve">FS: the net flows sum to the net proceeds less the contributions</t>
  </si>
  <si>
    <t xml:space="preserve">Gross_to_Net</t>
  </si>
  <si>
    <t xml:space="preserve">MGMT_FEE: Management fee a year on committed capital</t>
  </si>
  <si>
    <t xml:space="preserve">CARRY: Carried interest</t>
  </si>
  <si>
    <t xml:space="preserve">PREF: Preferred return a year, compounded</t>
  </si>
  <si>
    <t xml:space="preserve">CARRY_2: Carried interest</t>
  </si>
  <si>
    <t xml:space="preserve">SPLIT_LP: Split after the catch-up: the subscriber</t>
  </si>
  <si>
    <t xml:space="preserve">SPLIT_GP: Split after the catch-up: the general partner</t>
  </si>
  <si>
    <t xml:space="preserve">SP_EQ_17: The sponsor's investment in the deal</t>
  </si>
  <si>
    <t xml:space="preserve">COMMITTED: Commitment: the investment plus the fees of the hold</t>
  </si>
  <si>
    <t xml:space="preserve">FEE_YEAR: Management fee a year</t>
  </si>
  <si>
    <t xml:space="preserve">FEES_TOTAL: Management fees in total</t>
  </si>
  <si>
    <t xml:space="preserve">CONTRIB: Contributions</t>
  </si>
  <si>
    <t xml:space="preserve">PROCEEDS_17: Gross proceeds at exit</t>
  </si>
  <si>
    <t xml:space="preserve">PROFIT_17: Profit before carry</t>
  </si>
  <si>
    <t xml:space="preserve">PREF_AMT: Preferred return owed</t>
  </si>
  <si>
    <t xml:space="preserve">HURDLE_TOTAL: Contributions plus preferred return</t>
  </si>
  <si>
    <t xml:space="preserve">CARRY_3: Carried interest</t>
  </si>
  <si>
    <t xml:space="preserve">CARRY_AMT: Carried interest</t>
  </si>
  <si>
    <t xml:space="preserve">NET_PROCEEDS: Net proceeds to the subscriber</t>
  </si>
  <si>
    <t xml:space="preserve">SP_EQ_17B: The sponsor put in</t>
  </si>
  <si>
    <t xml:space="preserve">SP_PROCEEDS_17: and took out</t>
  </si>
  <si>
    <t xml:space="preserve">DEAL_IRR: The deal (the sponsor's equity in, its proceeds out): IRR</t>
  </si>
  <si>
    <t xml:space="preserve">DEAL_MOIC: The deal (the sponsor's equity in, its proceeds out): multiple</t>
  </si>
  <si>
    <t xml:space="preserve">GROSS_IRR: Gross to the subscriber (after management fees, before carry): IRR</t>
  </si>
  <si>
    <t xml:space="preserve">GROSS_MOIC: Gross to the subscriber (after management fees, before carry): multiple</t>
  </si>
  <si>
    <t xml:space="preserve">NET_IRR: Net to the subscriber (after fees and carry): IRR</t>
  </si>
  <si>
    <t xml:space="preserve">NET_MOIC: Net to the subscriber (after fees and carry): multiple</t>
  </si>
  <si>
    <t xml:space="preserve">SUBLINE_MONTHS: Subscription line: capital called this many months after closing</t>
  </si>
  <si>
    <t xml:space="preserve">SUBLINE_RATE: Subscription line rate</t>
  </si>
  <si>
    <t xml:space="preserve">NET_IRR_SL: Net, with a subscription line: IRR</t>
  </si>
  <si>
    <t xml:space="preserve">NET_MOIC_SL: Net, with a subscription line: multiple</t>
  </si>
  <si>
    <t xml:space="preserve">FEE_DRAG: IRR taken by the management fee</t>
  </si>
  <si>
    <t xml:space="preserve">CARRY_DRAG: IRR taken by the carry</t>
  </si>
  <si>
    <t xml:space="preserve">TOTAL_DRAG: IRR taken in all</t>
  </si>
  <si>
    <t xml:space="preserve">MOIC_DRAG: Multiple taken in all</t>
  </si>
  <si>
    <t xml:space="preserve">LP_KEEPS: Of every dollar of the deal's profit, the subscriber keeps</t>
  </si>
  <si>
    <t xml:space="preserve">SUBLINE_AMT: Borrowed by the fund at closing</t>
  </si>
  <si>
    <t xml:space="preserve">SUBLINE_MONTHS_2: Subscription line: capital called this many months after closing</t>
  </si>
  <si>
    <t xml:space="preserve">SUBLINE_INT: Interest paid by the subscriber with the call</t>
  </si>
  <si>
    <t xml:space="preserve">NET_IRR_2: Net to the subscriber (after fees and carry): IRR</t>
  </si>
  <si>
    <t xml:space="preserve">NET_IRR_SL_2: Net, with a subscription line: IRR</t>
  </si>
  <si>
    <t xml:space="preserve">SUBLINE_IRR_GAIN: Net IRR added by the line</t>
  </si>
  <si>
    <t xml:space="preserve">NET_MOIC_2: Net to the subscriber (after fees and carry): multiple</t>
  </si>
  <si>
    <t xml:space="preserve">NET_MOIC_SL_2: Net, with a subscription line: multiple</t>
  </si>
  <si>
    <t xml:space="preserve">CARRY_SL: Carry with the line (the interest reduces the profit)</t>
  </si>
  <si>
    <t xml:space="preserve">PREF_SL: Preferred return with the line (computed from the later call date)</t>
  </si>
  <si>
    <t xml:space="preserve">PREF_AMT_2: Preferred return owed</t>
  </si>
  <si>
    <t xml:space="preserve">DEAL_IRR_2: The deal (the sponsor's equity in, its proceeds out): IRR</t>
  </si>
  <si>
    <t xml:space="preserve">NET_IRR_3: Net to the subscriber (after fees and carry): IRR</t>
  </si>
  <si>
    <t xml:space="preserve">NET_IRR_SL_3: Net, with a subscription line: IRR</t>
  </si>
  <si>
    <t xml:space="preserve">L4_NET: Net to the subscriber (after fees and carry): IRR</t>
  </si>
  <si>
    <t xml:space="preserve">L4_GROSS: The deal (the sponsor's equity in, its proceeds out): IRR</t>
  </si>
  <si>
    <t xml:space="preserve">L4_DRAG: IRR taken in all</t>
  </si>
  <si>
    <t xml:space="preserve">L4_SUBLINE: Net IRR added by the line</t>
  </si>
  <si>
    <t xml:space="preserve">Gross to net: the line raises the net IRR and lowers the net multiple</t>
  </si>
  <si>
    <t xml:space="preserve">Gross to net: the fee drag and the carry drag add to the total drag</t>
  </si>
</sst>
</file>

<file path=xl/styles.xml><?xml version="1.0" encoding="utf-8"?>
<styleSheet xmlns="http://schemas.openxmlformats.org/spreadsheetml/2006/main">
  <numFmts count="21">
    <numFmt numFmtId="164" formatCode="General"/>
    <numFmt numFmtId="165" formatCode="0.00%"/>
    <numFmt numFmtId="166" formatCode="0%"/>
    <numFmt numFmtId="167" formatCode="yyyy\-mm\-dd"/>
    <numFmt numFmtId="168" formatCode="\$#,##0.0;&quot;-$&quot;#,##0.0;\$0.0"/>
    <numFmt numFmtId="169" formatCode="0.0%"/>
    <numFmt numFmtId="170" formatCode="0.000%"/>
    <numFmt numFmtId="171" formatCode="0.0\x"/>
    <numFmt numFmtId="172" formatCode="0.00\x"/>
    <numFmt numFmtId="173" formatCode="0"/>
    <numFmt numFmtId="174" formatCode="\$#,##0.00;&quot;-$&quot;#,##0.00;\$0.00"/>
    <numFmt numFmtId="175" formatCode="&quot;Year &quot;0"/>
    <numFmt numFmtId="176" formatCode="#,##0.0"/>
    <numFmt numFmtId="177" formatCode="#,##0.00"/>
    <numFmt numFmtId="178" formatCode="\$#,##0.0000;&quot;-$&quot;#,##0.0000;\$0.0000"/>
    <numFmt numFmtId="179" formatCode="0.000\x"/>
    <numFmt numFmtId="180" formatCode="0.000000"/>
    <numFmt numFmtId="181" formatCode="#,##0.000"/>
    <numFmt numFmtId="182" formatCode="#,##0.0000"/>
    <numFmt numFmtId="183" formatCode="0.0000%"/>
    <numFmt numFmtId="184" formatCode="#,##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75" fontId="7" fillId="2" borderId="1" xfId="0" applyFont="true" applyBorder="tru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4" fontId="7" fillId="4" borderId="1" xfId="0" applyFont="true" applyBorder="true" applyAlignment="false" applyProtection="false">
      <alignment horizontal="general" vertical="bottom" textRotation="0" wrapText="false" indent="0" shrinkToFit="false"/>
      <protection locked="true" hidden="false"/>
    </xf>
    <xf numFmtId="172" fontId="7"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8" fontId="7"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80" fontId="8" fillId="3"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82" fontId="6" fillId="4" borderId="1" xfId="0" applyFont="true" applyBorder="true" applyAlignment="false" applyProtection="false">
      <alignment horizontal="general" vertical="bottom" textRotation="0" wrapText="false" indent="0" shrinkToFit="false"/>
      <protection locked="true" hidden="false"/>
    </xf>
    <xf numFmtId="183" fontId="6" fillId="4" borderId="1" xfId="0" applyFont="true" applyBorder="true" applyAlignment="false" applyProtection="false">
      <alignment horizontal="general" vertical="bottom" textRotation="0" wrapText="false" indent="0" shrinkToFit="false"/>
      <protection locked="true" hidden="false"/>
    </xf>
    <xf numFmtId="184"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28.3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75" hidden="false" customHeight="true" outlineLevel="0" collapsed="false">
      <c r="B12" s="3" t="s">
        <v>9</v>
      </c>
    </row>
    <row r="13" customFormat="false" ht="60" hidden="false" customHeight="true" outlineLevel="0" collapsed="false">
      <c r="B13" s="3" t="s">
        <v>10</v>
      </c>
    </row>
    <row r="14" customFormat="false" ht="45" hidden="false" customHeight="true" outlineLevel="0" collapsed="false">
      <c r="B14" s="3" t="s">
        <v>11</v>
      </c>
    </row>
    <row r="15" customFormat="false" ht="15" hidden="false" customHeight="false" outlineLevel="0" collapsed="false">
      <c r="B15" s="4" t="s">
        <v>12</v>
      </c>
    </row>
    <row r="16" customFormat="false" ht="30" hidden="false" customHeight="true" outlineLevel="0" collapsed="false">
      <c r="B16" s="3" t="s">
        <v>13</v>
      </c>
    </row>
    <row r="17" customFormat="false" ht="15" hidden="false" customHeight="false" outlineLevel="0" collapsed="false">
      <c r="B17" s="3"/>
    </row>
    <row r="18" customFormat="false" ht="15" hidden="false" customHeight="true" outlineLevel="0" collapsed="false">
      <c r="B18" s="3" t="s">
        <v>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1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2"/>
    <col collapsed="false" customWidth="true" hidden="false" outlineLevel="0" max="4" min="4" style="0" width="14"/>
    <col collapsed="false" customWidth="true" hidden="false" outlineLevel="0" max="12" min="5" style="0" width="12"/>
    <col collapsed="false" customWidth="true" hidden="false" outlineLevel="0" max="13" min="13" style="0" width="14"/>
  </cols>
  <sheetData>
    <row r="1" customFormat="false" ht="6" hidden="false" customHeight="true" outlineLevel="0" collapsed="false"/>
    <row r="2" customFormat="false" ht="17.35" hidden="false" customHeight="false" outlineLevel="0" collapsed="false">
      <c r="B2" s="5" t="s">
        <v>15</v>
      </c>
    </row>
    <row r="3" customFormat="false" ht="15" hidden="false" customHeight="false" outlineLevel="0" collapsed="false">
      <c r="B3" s="6" t="s">
        <v>16</v>
      </c>
    </row>
    <row r="5" customFormat="false" ht="15" hidden="false" customHeight="false" outlineLevel="0" collapsed="false">
      <c r="B5" s="7" t="s">
        <v>17</v>
      </c>
      <c r="C5" s="8"/>
      <c r="D5" s="8"/>
      <c r="E5" s="8"/>
      <c r="F5" s="8"/>
      <c r="G5" s="8"/>
      <c r="H5" s="8"/>
      <c r="I5" s="8"/>
      <c r="J5" s="8"/>
      <c r="K5" s="8"/>
      <c r="L5" s="8"/>
    </row>
    <row r="6" customFormat="false" ht="15" hidden="false" customHeight="false" outlineLevel="0" collapsed="false">
      <c r="B6" s="9" t="s">
        <v>18</v>
      </c>
      <c r="D6" s="10" t="n">
        <v>0.04</v>
      </c>
    </row>
    <row r="7" customFormat="false" ht="15" hidden="false" customHeight="false" outlineLevel="0" collapsed="false">
      <c r="B7" s="9" t="s">
        <v>19</v>
      </c>
      <c r="D7" s="11" t="n">
        <v>0.25</v>
      </c>
    </row>
    <row r="8" customFormat="false" ht="15" hidden="false" customHeight="false" outlineLevel="0" collapsed="false">
      <c r="B8" s="9" t="s">
        <v>20</v>
      </c>
      <c r="D8" s="11" t="n">
        <v>0.3</v>
      </c>
    </row>
    <row r="9" customFormat="false" ht="15" hidden="false" customHeight="false" outlineLevel="0" collapsed="false">
      <c r="B9" s="9" t="s">
        <v>21</v>
      </c>
      <c r="D9" s="10" t="n">
        <v>0.02</v>
      </c>
    </row>
    <row r="10" customFormat="false" ht="15" hidden="false" customHeight="false" outlineLevel="0" collapsed="false">
      <c r="B10" s="9" t="s">
        <v>22</v>
      </c>
      <c r="D10" s="12" t="n">
        <v>46203</v>
      </c>
    </row>
    <row r="12" customFormat="false" ht="15" hidden="false" customHeight="false" outlineLevel="0" collapsed="false">
      <c r="B12" s="7" t="s">
        <v>23</v>
      </c>
      <c r="C12" s="8"/>
      <c r="D12" s="8"/>
      <c r="E12" s="8"/>
      <c r="F12" s="8"/>
      <c r="G12" s="8"/>
      <c r="H12" s="8"/>
      <c r="I12" s="8"/>
      <c r="J12" s="8"/>
      <c r="K12" s="8"/>
      <c r="L12" s="8"/>
    </row>
    <row r="13" customFormat="false" ht="15" hidden="false" customHeight="false" outlineLevel="0" collapsed="false">
      <c r="B13" s="9" t="s">
        <v>24</v>
      </c>
      <c r="C13" s="6" t="s">
        <v>25</v>
      </c>
      <c r="D13" s="13" t="n">
        <v>320</v>
      </c>
    </row>
    <row r="14" customFormat="false" ht="15" hidden="false" customHeight="false" outlineLevel="0" collapsed="false">
      <c r="B14" s="9" t="s">
        <v>26</v>
      </c>
      <c r="C14" s="6" t="s">
        <v>25</v>
      </c>
      <c r="D14" s="13" t="n">
        <v>46.5</v>
      </c>
    </row>
    <row r="15" customFormat="false" ht="15" hidden="false" customHeight="false" outlineLevel="0" collapsed="false">
      <c r="B15" s="9" t="s">
        <v>27</v>
      </c>
      <c r="D15" s="14" t="n">
        <f aca="false">$D$14/$D$13</f>
        <v>0.1453125</v>
      </c>
    </row>
    <row r="16" customFormat="false" ht="30" hidden="false" customHeight="true" outlineLevel="0" collapsed="false">
      <c r="B16" s="15" t="s">
        <v>28</v>
      </c>
      <c r="C16" s="16"/>
      <c r="D16" s="16" t="s">
        <v>29</v>
      </c>
      <c r="E16" s="16" t="s">
        <v>30</v>
      </c>
    </row>
    <row r="17" customFormat="false" ht="15" hidden="false" customHeight="false" outlineLevel="0" collapsed="false">
      <c r="B17" s="9" t="s">
        <v>31</v>
      </c>
      <c r="D17" s="13" t="n">
        <v>2.5</v>
      </c>
      <c r="E17" s="13" t="n">
        <v>2.5</v>
      </c>
    </row>
    <row r="18" customFormat="false" ht="15" hidden="false" customHeight="false" outlineLevel="0" collapsed="false">
      <c r="B18" s="9" t="s">
        <v>32</v>
      </c>
      <c r="D18" s="13" t="n">
        <v>1</v>
      </c>
      <c r="E18" s="13" t="n">
        <v>1</v>
      </c>
    </row>
    <row r="19" customFormat="false" ht="15" hidden="false" customHeight="false" outlineLevel="0" collapsed="false">
      <c r="B19" s="9" t="s">
        <v>33</v>
      </c>
      <c r="D19" s="13" t="n">
        <v>3</v>
      </c>
      <c r="E19" s="13" t="n">
        <v>0</v>
      </c>
    </row>
    <row r="20" customFormat="false" ht="15" hidden="false" customHeight="false" outlineLevel="0" collapsed="false">
      <c r="B20" s="9" t="s">
        <v>34</v>
      </c>
      <c r="D20" s="13" t="n">
        <v>2</v>
      </c>
      <c r="E20" s="13" t="n">
        <v>0</v>
      </c>
    </row>
    <row r="21" customFormat="false" ht="15" hidden="false" customHeight="false" outlineLevel="0" collapsed="false">
      <c r="B21" s="17" t="s">
        <v>35</v>
      </c>
      <c r="D21" s="18" t="n">
        <f aca="false">SUM(D17:D20)</f>
        <v>8.5</v>
      </c>
      <c r="E21" s="18" t="n">
        <f aca="false">SUM(E17:E20)</f>
        <v>3.5</v>
      </c>
    </row>
    <row r="22" customFormat="false" ht="15" hidden="false" customHeight="false" outlineLevel="0" collapsed="false">
      <c r="B22" s="9" t="s">
        <v>36</v>
      </c>
      <c r="C22" s="6" t="s">
        <v>25</v>
      </c>
      <c r="D22" s="19" t="n">
        <f aca="false">$D$14+$D$21</f>
        <v>55</v>
      </c>
    </row>
    <row r="23" customFormat="false" ht="15" hidden="false" customHeight="false" outlineLevel="0" collapsed="false">
      <c r="B23" s="9" t="s">
        <v>37</v>
      </c>
      <c r="D23" s="14" t="n">
        <f aca="false">$D$22/$D$13</f>
        <v>0.171875</v>
      </c>
    </row>
    <row r="24" customFormat="false" ht="15" hidden="false" customHeight="false" outlineLevel="0" collapsed="false">
      <c r="B24" s="9" t="s">
        <v>38</v>
      </c>
      <c r="C24" s="6" t="s">
        <v>25</v>
      </c>
      <c r="D24" s="19" t="n">
        <f aca="false">$D$14+$E$21</f>
        <v>50</v>
      </c>
    </row>
    <row r="25" customFormat="false" ht="15" hidden="false" customHeight="false" outlineLevel="0" collapsed="false">
      <c r="B25" s="9" t="s">
        <v>39</v>
      </c>
      <c r="D25" s="20" t="n">
        <f aca="false">$D$24/$D$13</f>
        <v>0.15625</v>
      </c>
    </row>
    <row r="26" customFormat="false" ht="15" hidden="false" customHeight="false" outlineLevel="0" collapsed="false">
      <c r="B26" s="9" t="s">
        <v>40</v>
      </c>
      <c r="C26" s="6" t="s">
        <v>25</v>
      </c>
      <c r="D26" s="19" t="n">
        <f aca="false">$D$21-$E$21</f>
        <v>5</v>
      </c>
    </row>
    <row r="27" customFormat="false" ht="15" hidden="false" customHeight="false" outlineLevel="0" collapsed="false">
      <c r="B27" s="9" t="s">
        <v>41</v>
      </c>
      <c r="D27" s="11" t="n">
        <v>0.12</v>
      </c>
    </row>
    <row r="28" customFormat="false" ht="15" hidden="false" customHeight="false" outlineLevel="0" collapsed="false">
      <c r="B28" s="9" t="s">
        <v>42</v>
      </c>
      <c r="D28" s="11" t="n">
        <v>0.15</v>
      </c>
    </row>
    <row r="29" customFormat="false" ht="15" hidden="false" customHeight="false" outlineLevel="0" collapsed="false">
      <c r="B29" s="9" t="s">
        <v>43</v>
      </c>
      <c r="D29" s="21" t="n">
        <v>0.035</v>
      </c>
    </row>
    <row r="30" customFormat="false" ht="15" hidden="false" customHeight="false" outlineLevel="0" collapsed="false">
      <c r="B30" s="9" t="s">
        <v>44</v>
      </c>
      <c r="D30" s="21" t="n">
        <v>0.03</v>
      </c>
    </row>
    <row r="31" customFormat="false" ht="15" hidden="false" customHeight="false" outlineLevel="0" collapsed="false">
      <c r="B31" s="9" t="s">
        <v>45</v>
      </c>
      <c r="C31" s="6" t="s">
        <v>25</v>
      </c>
      <c r="D31" s="19" t="n">
        <f aca="false">$D$24-$D$30*$D$13</f>
        <v>40.4</v>
      </c>
    </row>
    <row r="32" customFormat="false" ht="15" hidden="false" customHeight="false" outlineLevel="0" collapsed="false">
      <c r="B32" s="9" t="s">
        <v>46</v>
      </c>
      <c r="D32" s="14" t="n">
        <f aca="false">$D$31/$D$24</f>
        <v>0.808</v>
      </c>
    </row>
    <row r="33" customFormat="false" ht="15" hidden="false" customHeight="false" outlineLevel="0" collapsed="false">
      <c r="B33" s="9" t="s">
        <v>47</v>
      </c>
      <c r="C33" s="6" t="s">
        <v>25</v>
      </c>
      <c r="D33" s="13" t="n">
        <v>40</v>
      </c>
    </row>
    <row r="34" customFormat="false" ht="15" hidden="false" customHeight="false" outlineLevel="0" collapsed="false">
      <c r="B34" s="9" t="s">
        <v>48</v>
      </c>
      <c r="C34" s="6" t="s">
        <v>25</v>
      </c>
      <c r="D34" s="13" t="n">
        <v>3</v>
      </c>
    </row>
    <row r="35" customFormat="false" ht="15" hidden="false" customHeight="false" outlineLevel="0" collapsed="false">
      <c r="B35" s="9" t="s">
        <v>49</v>
      </c>
      <c r="C35" s="6" t="s">
        <v>25</v>
      </c>
      <c r="D35" s="13" t="n">
        <v>2</v>
      </c>
    </row>
    <row r="36" customFormat="false" ht="15" hidden="false" customHeight="false" outlineLevel="0" collapsed="false">
      <c r="B36" s="9" t="s">
        <v>50</v>
      </c>
      <c r="C36" s="6" t="s">
        <v>25</v>
      </c>
      <c r="D36" s="13" t="n">
        <v>10</v>
      </c>
    </row>
    <row r="37" customFormat="false" ht="15" hidden="false" customHeight="false" outlineLevel="0" collapsed="false">
      <c r="B37" s="9" t="s">
        <v>51</v>
      </c>
      <c r="C37" s="6" t="s">
        <v>25</v>
      </c>
      <c r="D37" s="19" t="n">
        <f aca="false">$D$33+$D$34+$D$35-$D$36</f>
        <v>35</v>
      </c>
    </row>
    <row r="39" customFormat="false" ht="15" hidden="false" customHeight="false" outlineLevel="0" collapsed="false">
      <c r="B39" s="7" t="s">
        <v>52</v>
      </c>
      <c r="C39" s="8"/>
      <c r="D39" s="8"/>
      <c r="E39" s="8"/>
      <c r="F39" s="8"/>
      <c r="G39" s="8"/>
      <c r="H39" s="8"/>
      <c r="I39" s="8"/>
      <c r="J39" s="8"/>
      <c r="K39" s="8"/>
      <c r="L39" s="8"/>
    </row>
    <row r="40" customFormat="false" ht="15" hidden="false" customHeight="false" outlineLevel="0" collapsed="false">
      <c r="B40" s="9" t="s">
        <v>53</v>
      </c>
      <c r="D40" s="11" t="n">
        <v>0.38</v>
      </c>
    </row>
    <row r="41" customFormat="false" ht="15" hidden="false" customHeight="false" outlineLevel="0" collapsed="false">
      <c r="B41" s="9" t="s">
        <v>54</v>
      </c>
      <c r="D41" s="11" t="n">
        <v>0.45</v>
      </c>
    </row>
    <row r="42" customFormat="false" ht="15" hidden="false" customHeight="false" outlineLevel="0" collapsed="false">
      <c r="B42" s="9" t="s">
        <v>55</v>
      </c>
      <c r="D42" s="21" t="n">
        <v>0.03</v>
      </c>
    </row>
    <row r="43" customFormat="false" ht="15" hidden="false" customHeight="false" outlineLevel="0" collapsed="false">
      <c r="B43" s="9" t="s">
        <v>56</v>
      </c>
      <c r="D43" s="21" t="n">
        <v>0.015</v>
      </c>
    </row>
    <row r="44" customFormat="false" ht="15" hidden="false" customHeight="false" outlineLevel="0" collapsed="false">
      <c r="B44" s="9" t="s">
        <v>57</v>
      </c>
      <c r="D44" s="14" t="n">
        <f aca="false">$D$42+$D$43</f>
        <v>0.045</v>
      </c>
    </row>
    <row r="45" customFormat="false" ht="21.75" hidden="false" customHeight="true" outlineLevel="0" collapsed="false">
      <c r="B45" s="15" t="s">
        <v>58</v>
      </c>
      <c r="C45" s="16"/>
      <c r="D45" s="16" t="s">
        <v>59</v>
      </c>
    </row>
    <row r="46" customFormat="false" ht="15" hidden="false" customHeight="false" outlineLevel="0" collapsed="false">
      <c r="B46" s="9" t="s">
        <v>60</v>
      </c>
      <c r="D46" s="22" t="n">
        <v>10.6</v>
      </c>
    </row>
    <row r="47" customFormat="false" ht="15" hidden="false" customHeight="false" outlineLevel="0" collapsed="false">
      <c r="B47" s="9" t="s">
        <v>61</v>
      </c>
      <c r="D47" s="22" t="n">
        <v>9.4</v>
      </c>
    </row>
    <row r="48" customFormat="false" ht="15" hidden="false" customHeight="false" outlineLevel="0" collapsed="false">
      <c r="B48" s="9" t="s">
        <v>62</v>
      </c>
      <c r="D48" s="22" t="n">
        <v>8.2</v>
      </c>
    </row>
    <row r="49" customFormat="false" ht="15" hidden="false" customHeight="false" outlineLevel="0" collapsed="false">
      <c r="B49" s="9" t="s">
        <v>63</v>
      </c>
      <c r="D49" s="22" t="n">
        <v>10.1</v>
      </c>
    </row>
    <row r="50" customFormat="false" ht="15" hidden="false" customHeight="false" outlineLevel="0" collapsed="false">
      <c r="B50" s="9" t="s">
        <v>64</v>
      </c>
      <c r="D50" s="22" t="n">
        <v>8.8</v>
      </c>
    </row>
    <row r="51" customFormat="false" ht="15" hidden="false" customHeight="false" outlineLevel="0" collapsed="false">
      <c r="B51" s="9" t="s">
        <v>65</v>
      </c>
      <c r="D51" s="23" t="n">
        <f aca="false">MEDIAN(D46:D50)</f>
        <v>9.4</v>
      </c>
    </row>
    <row r="52" customFormat="false" ht="15" hidden="false" customHeight="false" outlineLevel="0" collapsed="false">
      <c r="B52" s="9" t="s">
        <v>66</v>
      </c>
      <c r="D52" s="23" t="n">
        <f aca="false">MIN(D46:D50)</f>
        <v>8.2</v>
      </c>
    </row>
    <row r="53" customFormat="false" ht="15" hidden="false" customHeight="false" outlineLevel="0" collapsed="false">
      <c r="B53" s="9" t="s">
        <v>67</v>
      </c>
      <c r="D53" s="23" t="n">
        <f aca="false">MAX(D46:D50)</f>
        <v>10.6</v>
      </c>
    </row>
    <row r="54" customFormat="false" ht="21.75" hidden="false" customHeight="true" outlineLevel="0" collapsed="false">
      <c r="B54" s="15" t="s">
        <v>68</v>
      </c>
      <c r="C54" s="16"/>
      <c r="D54" s="16" t="s">
        <v>69</v>
      </c>
    </row>
    <row r="55" customFormat="false" ht="15" hidden="false" customHeight="false" outlineLevel="0" collapsed="false">
      <c r="B55" s="9" t="s">
        <v>70</v>
      </c>
      <c r="D55" s="22" t="n">
        <v>9.6</v>
      </c>
    </row>
    <row r="56" customFormat="false" ht="15" hidden="false" customHeight="false" outlineLevel="0" collapsed="false">
      <c r="B56" s="9" t="s">
        <v>71</v>
      </c>
      <c r="D56" s="22" t="n">
        <v>8.5</v>
      </c>
    </row>
    <row r="57" customFormat="false" ht="15" hidden="false" customHeight="false" outlineLevel="0" collapsed="false">
      <c r="B57" s="9" t="s">
        <v>72</v>
      </c>
      <c r="D57" s="22" t="n">
        <v>10</v>
      </c>
    </row>
    <row r="58" customFormat="false" ht="15" hidden="false" customHeight="false" outlineLevel="0" collapsed="false">
      <c r="B58" s="9" t="s">
        <v>73</v>
      </c>
      <c r="D58" s="22" t="n">
        <v>8.9</v>
      </c>
    </row>
    <row r="59" customFormat="false" ht="15" hidden="false" customHeight="false" outlineLevel="0" collapsed="false">
      <c r="B59" s="9" t="s">
        <v>74</v>
      </c>
      <c r="D59" s="24" t="n">
        <f aca="false">MEDIAN(D55:D58)</f>
        <v>9.25</v>
      </c>
    </row>
    <row r="60" customFormat="false" ht="15" hidden="false" customHeight="false" outlineLevel="0" collapsed="false">
      <c r="B60" s="9" t="s">
        <v>75</v>
      </c>
      <c r="D60" s="23" t="n">
        <f aca="false">MIN(D55:D58)</f>
        <v>8.5</v>
      </c>
    </row>
    <row r="61" customFormat="false" ht="15" hidden="false" customHeight="false" outlineLevel="0" collapsed="false">
      <c r="B61" s="9" t="s">
        <v>76</v>
      </c>
      <c r="D61" s="23" t="n">
        <f aca="false">MAX(D55:D58)</f>
        <v>10</v>
      </c>
    </row>
    <row r="63" customFormat="false" ht="15" hidden="false" customHeight="false" outlineLevel="0" collapsed="false">
      <c r="B63" s="7" t="s">
        <v>77</v>
      </c>
      <c r="C63" s="8"/>
      <c r="D63" s="8"/>
      <c r="E63" s="8"/>
      <c r="F63" s="8"/>
      <c r="G63" s="8"/>
      <c r="H63" s="8"/>
      <c r="I63" s="8"/>
      <c r="J63" s="8"/>
      <c r="K63" s="8"/>
      <c r="L63" s="8"/>
    </row>
    <row r="64" customFormat="false" ht="15" hidden="false" customHeight="false" outlineLevel="0" collapsed="false">
      <c r="B64" s="9" t="s">
        <v>78</v>
      </c>
      <c r="C64" s="6" t="s">
        <v>79</v>
      </c>
      <c r="D64" s="22" t="n">
        <v>9</v>
      </c>
    </row>
    <row r="65" customFormat="false" ht="15" hidden="false" customHeight="false" outlineLevel="0" collapsed="false">
      <c r="B65" s="9" t="s">
        <v>80</v>
      </c>
      <c r="C65" s="6" t="s">
        <v>25</v>
      </c>
      <c r="D65" s="19" t="n">
        <f aca="false">$D$64*$D$24</f>
        <v>450</v>
      </c>
    </row>
    <row r="66" customFormat="false" ht="15" hidden="false" customHeight="false" outlineLevel="0" collapsed="false">
      <c r="B66" s="9" t="s">
        <v>81</v>
      </c>
      <c r="C66" s="6" t="s">
        <v>25</v>
      </c>
      <c r="D66" s="19" t="n">
        <f aca="false">$D$65-$D$37</f>
        <v>415</v>
      </c>
    </row>
    <row r="67" customFormat="false" ht="15" hidden="false" customHeight="false" outlineLevel="0" collapsed="false">
      <c r="B67" s="9" t="s">
        <v>82</v>
      </c>
      <c r="D67" s="23" t="n">
        <f aca="false">$D$65/$D$22</f>
        <v>8.18181818181818</v>
      </c>
    </row>
    <row r="68" customFormat="false" ht="15" hidden="false" customHeight="false" outlineLevel="0" collapsed="false">
      <c r="B68" s="9" t="s">
        <v>83</v>
      </c>
      <c r="C68" s="6" t="s">
        <v>25</v>
      </c>
      <c r="D68" s="19" t="n">
        <f aca="false">$D$64*$D$22</f>
        <v>495</v>
      </c>
    </row>
    <row r="69" customFormat="false" ht="15" hidden="false" customHeight="false" outlineLevel="0" collapsed="false">
      <c r="B69" s="9" t="s">
        <v>84</v>
      </c>
      <c r="C69" s="6" t="s">
        <v>25</v>
      </c>
      <c r="D69" s="19" t="n">
        <f aca="false">$D$68-$D$65</f>
        <v>45</v>
      </c>
    </row>
    <row r="70" customFormat="false" ht="15" hidden="false" customHeight="false" outlineLevel="0" collapsed="false">
      <c r="B70" s="9" t="s">
        <v>85</v>
      </c>
      <c r="C70" s="6" t="s">
        <v>25</v>
      </c>
      <c r="D70" s="13" t="n">
        <v>1</v>
      </c>
    </row>
    <row r="71" customFormat="false" ht="15" hidden="false" customHeight="false" outlineLevel="0" collapsed="false">
      <c r="B71" s="9" t="s">
        <v>86</v>
      </c>
      <c r="C71" s="6" t="s">
        <v>25</v>
      </c>
      <c r="D71" s="19" t="n">
        <f aca="false">$D$64*$D$70</f>
        <v>9</v>
      </c>
    </row>
    <row r="72" customFormat="false" ht="15" hidden="false" customHeight="false" outlineLevel="0" collapsed="false">
      <c r="B72" s="9" t="s">
        <v>87</v>
      </c>
      <c r="C72" s="6" t="s">
        <v>79</v>
      </c>
      <c r="D72" s="22" t="n">
        <v>10</v>
      </c>
    </row>
    <row r="73" customFormat="false" ht="15" hidden="false" customHeight="false" outlineLevel="0" collapsed="false">
      <c r="B73" s="9" t="s">
        <v>88</v>
      </c>
      <c r="C73" s="6" t="s">
        <v>25</v>
      </c>
      <c r="D73" s="13" t="n">
        <v>4.5</v>
      </c>
    </row>
    <row r="74" customFormat="false" ht="15" hidden="false" customHeight="false" outlineLevel="0" collapsed="false">
      <c r="B74" s="9" t="s">
        <v>89</v>
      </c>
      <c r="C74" s="6" t="s">
        <v>25</v>
      </c>
      <c r="D74" s="13" t="n">
        <v>3</v>
      </c>
    </row>
    <row r="75" customFormat="false" ht="15" hidden="false" customHeight="false" outlineLevel="0" collapsed="false">
      <c r="B75" s="9" t="s">
        <v>90</v>
      </c>
      <c r="C75" s="6" t="s">
        <v>25</v>
      </c>
      <c r="D75" s="13" t="n">
        <v>2</v>
      </c>
    </row>
    <row r="76" customFormat="false" ht="15" hidden="false" customHeight="false" outlineLevel="0" collapsed="false">
      <c r="B76" s="9" t="s">
        <v>91</v>
      </c>
      <c r="C76" s="6" t="s">
        <v>25</v>
      </c>
      <c r="D76" s="19" t="n">
        <f aca="false">$D$73+$D$74+$D$75</f>
        <v>9.5</v>
      </c>
    </row>
    <row r="77" customFormat="false" ht="15" hidden="false" customHeight="false" outlineLevel="0" collapsed="false">
      <c r="B77" s="9" t="s">
        <v>92</v>
      </c>
      <c r="D77" s="21" t="n">
        <v>0.02</v>
      </c>
    </row>
    <row r="78" customFormat="false" ht="15" hidden="false" customHeight="false" outlineLevel="0" collapsed="false">
      <c r="B78" s="9" t="s">
        <v>93</v>
      </c>
      <c r="C78" s="6" t="s">
        <v>25</v>
      </c>
      <c r="D78" s="13" t="n">
        <v>10</v>
      </c>
    </row>
    <row r="79" customFormat="false" ht="15" hidden="false" customHeight="false" outlineLevel="0" collapsed="false">
      <c r="B79" s="9" t="s">
        <v>94</v>
      </c>
      <c r="C79" s="6" t="s">
        <v>25</v>
      </c>
      <c r="D79" s="13" t="n">
        <v>10</v>
      </c>
    </row>
    <row r="81" customFormat="false" ht="15" hidden="false" customHeight="false" outlineLevel="0" collapsed="false">
      <c r="B81" s="7" t="s">
        <v>95</v>
      </c>
      <c r="C81" s="8"/>
      <c r="D81" s="8"/>
      <c r="E81" s="8"/>
      <c r="F81" s="8"/>
      <c r="G81" s="8"/>
      <c r="H81" s="8"/>
      <c r="I81" s="8"/>
      <c r="J81" s="8"/>
      <c r="K81" s="8"/>
      <c r="L81" s="8"/>
    </row>
    <row r="82" customFormat="false" ht="15" hidden="false" customHeight="false" outlineLevel="0" collapsed="false">
      <c r="B82" s="9" t="s">
        <v>96</v>
      </c>
      <c r="C82" s="6" t="s">
        <v>79</v>
      </c>
      <c r="D82" s="22" t="n">
        <v>4.5</v>
      </c>
    </row>
    <row r="83" customFormat="false" ht="15" hidden="false" customHeight="false" outlineLevel="0" collapsed="false">
      <c r="B83" s="9" t="s">
        <v>97</v>
      </c>
      <c r="D83" s="10" t="n">
        <v>0.045</v>
      </c>
    </row>
    <row r="84" customFormat="false" ht="15" hidden="false" customHeight="false" outlineLevel="0" collapsed="false">
      <c r="B84" s="9" t="s">
        <v>98</v>
      </c>
      <c r="D84" s="25" t="n">
        <f aca="false">$D$6+$D$83</f>
        <v>0.085</v>
      </c>
    </row>
    <row r="85" customFormat="false" ht="15" hidden="false" customHeight="false" outlineLevel="0" collapsed="false">
      <c r="B85" s="9" t="s">
        <v>99</v>
      </c>
      <c r="D85" s="11" t="n">
        <v>0.01</v>
      </c>
    </row>
    <row r="86" customFormat="false" ht="15" hidden="false" customHeight="false" outlineLevel="0" collapsed="false">
      <c r="B86" s="9" t="s">
        <v>100</v>
      </c>
      <c r="C86" s="6" t="s">
        <v>101</v>
      </c>
      <c r="D86" s="26" t="n">
        <v>7</v>
      </c>
    </row>
    <row r="87" customFormat="false" ht="15" hidden="false" customHeight="false" outlineLevel="0" collapsed="false">
      <c r="B87" s="9" t="s">
        <v>102</v>
      </c>
      <c r="C87" s="6" t="s">
        <v>79</v>
      </c>
      <c r="D87" s="22" t="n">
        <v>1</v>
      </c>
    </row>
    <row r="88" customFormat="false" ht="15" hidden="false" customHeight="false" outlineLevel="0" collapsed="false">
      <c r="B88" s="9" t="s">
        <v>103</v>
      </c>
      <c r="D88" s="10" t="n">
        <v>0.11</v>
      </c>
    </row>
    <row r="89" customFormat="false" ht="15" hidden="false" customHeight="false" outlineLevel="0" collapsed="false">
      <c r="B89" s="9" t="s">
        <v>104</v>
      </c>
      <c r="C89" s="6" t="s">
        <v>101</v>
      </c>
      <c r="D89" s="26" t="n">
        <v>8</v>
      </c>
    </row>
    <row r="90" customFormat="false" ht="15" hidden="false" customHeight="false" outlineLevel="0" collapsed="false">
      <c r="B90" s="9" t="s">
        <v>105</v>
      </c>
      <c r="C90" s="6" t="s">
        <v>25</v>
      </c>
      <c r="D90" s="13" t="n">
        <v>40</v>
      </c>
    </row>
    <row r="91" customFormat="false" ht="15" hidden="false" customHeight="false" outlineLevel="0" collapsed="false">
      <c r="B91" s="9" t="s">
        <v>106</v>
      </c>
      <c r="D91" s="10" t="n">
        <v>0.04</v>
      </c>
    </row>
    <row r="92" customFormat="false" ht="15" hidden="false" customHeight="false" outlineLevel="0" collapsed="false">
      <c r="B92" s="9" t="s">
        <v>107</v>
      </c>
      <c r="D92" s="10" t="n">
        <v>0.005</v>
      </c>
    </row>
    <row r="93" customFormat="false" ht="15" hidden="false" customHeight="false" outlineLevel="0" collapsed="false">
      <c r="B93" s="9" t="s">
        <v>108</v>
      </c>
      <c r="C93" s="6" t="s">
        <v>101</v>
      </c>
      <c r="D93" s="26" t="n">
        <v>6</v>
      </c>
    </row>
    <row r="94" customFormat="false" ht="15" hidden="false" customHeight="false" outlineLevel="0" collapsed="false">
      <c r="B94" s="9" t="s">
        <v>109</v>
      </c>
      <c r="D94" s="11" t="n">
        <v>0.35</v>
      </c>
    </row>
    <row r="95" customFormat="false" ht="15" hidden="false" customHeight="false" outlineLevel="0" collapsed="false">
      <c r="B95" s="9" t="s">
        <v>110</v>
      </c>
      <c r="D95" s="10" t="n">
        <v>0.06</v>
      </c>
    </row>
    <row r="96" customFormat="false" ht="15" hidden="false" customHeight="false" outlineLevel="0" collapsed="false">
      <c r="B96" s="9" t="s">
        <v>111</v>
      </c>
      <c r="D96" s="25" t="n">
        <f aca="false">$D$6+$D$95</f>
        <v>0.1</v>
      </c>
    </row>
    <row r="97" customFormat="false" ht="15" hidden="false" customHeight="false" outlineLevel="0" collapsed="false">
      <c r="B97" s="9" t="s">
        <v>112</v>
      </c>
      <c r="C97" s="6" t="s">
        <v>79</v>
      </c>
      <c r="D97" s="23" t="n">
        <f aca="false">$D$82+$D$87</f>
        <v>5.5</v>
      </c>
    </row>
    <row r="98" customFormat="false" ht="15" hidden="false" customHeight="false" outlineLevel="0" collapsed="false">
      <c r="B98" s="9" t="s">
        <v>113</v>
      </c>
      <c r="D98" s="26" t="n">
        <v>1</v>
      </c>
    </row>
    <row r="99" customFormat="false" ht="30" hidden="false" customHeight="true" outlineLevel="0" collapsed="false">
      <c r="B99" s="15" t="s">
        <v>114</v>
      </c>
      <c r="C99" s="16"/>
      <c r="D99" s="16" t="s">
        <v>115</v>
      </c>
      <c r="E99" s="16" t="s">
        <v>116</v>
      </c>
    </row>
    <row r="100" customFormat="false" ht="15" hidden="false" customHeight="false" outlineLevel="0" collapsed="false">
      <c r="B100" s="9" t="s">
        <v>117</v>
      </c>
      <c r="D100" s="22" t="n">
        <v>4.5</v>
      </c>
      <c r="E100" s="11" t="n">
        <v>0.5</v>
      </c>
    </row>
    <row r="101" customFormat="false" ht="15" hidden="false" customHeight="false" outlineLevel="0" collapsed="false">
      <c r="B101" s="9" t="s">
        <v>118</v>
      </c>
      <c r="D101" s="22" t="n">
        <v>3.5</v>
      </c>
      <c r="E101" s="11" t="n">
        <v>0.25</v>
      </c>
    </row>
    <row r="102" customFormat="false" ht="15" hidden="false" customHeight="false" outlineLevel="0" collapsed="false">
      <c r="B102" s="9" t="s">
        <v>119</v>
      </c>
      <c r="D102" s="22" t="n">
        <v>0</v>
      </c>
      <c r="E102" s="11" t="n">
        <v>0</v>
      </c>
    </row>
    <row r="103" customFormat="false" ht="15" hidden="false" customHeight="false" outlineLevel="0" collapsed="false">
      <c r="B103" s="9" t="s">
        <v>120</v>
      </c>
      <c r="D103" s="11" t="n">
        <v>0.2</v>
      </c>
    </row>
    <row r="104" customFormat="false" ht="15" hidden="false" customHeight="false" outlineLevel="0" collapsed="false">
      <c r="B104" s="9" t="s">
        <v>121</v>
      </c>
      <c r="C104" s="6" t="s">
        <v>25</v>
      </c>
      <c r="D104" s="13" t="n">
        <v>3</v>
      </c>
    </row>
    <row r="106" customFormat="false" ht="15" hidden="false" customHeight="false" outlineLevel="0" collapsed="false">
      <c r="B106" s="7" t="s">
        <v>122</v>
      </c>
      <c r="C106" s="8"/>
      <c r="D106" s="8"/>
      <c r="E106" s="8"/>
      <c r="F106" s="8"/>
      <c r="G106" s="8"/>
      <c r="H106" s="8"/>
      <c r="I106" s="8"/>
      <c r="J106" s="8"/>
      <c r="K106" s="8"/>
      <c r="L106" s="8"/>
    </row>
    <row r="107" customFormat="false" ht="15" hidden="false" customHeight="false" outlineLevel="0" collapsed="false">
      <c r="B107" s="9" t="s">
        <v>123</v>
      </c>
      <c r="C107" s="6" t="s">
        <v>25</v>
      </c>
      <c r="D107" s="13" t="n">
        <v>10</v>
      </c>
    </row>
    <row r="108" customFormat="false" ht="15" hidden="false" customHeight="false" outlineLevel="0" collapsed="false">
      <c r="B108" s="9" t="s">
        <v>124</v>
      </c>
      <c r="C108" s="6" t="s">
        <v>125</v>
      </c>
      <c r="D108" s="27" t="n">
        <v>1</v>
      </c>
    </row>
    <row r="109" customFormat="false" ht="15" hidden="false" customHeight="false" outlineLevel="0" collapsed="false">
      <c r="B109" s="9" t="s">
        <v>126</v>
      </c>
      <c r="D109" s="11" t="n">
        <v>0.08</v>
      </c>
    </row>
    <row r="110" customFormat="false" ht="15" hidden="false" customHeight="false" outlineLevel="0" collapsed="false">
      <c r="B110" s="9" t="s">
        <v>127</v>
      </c>
      <c r="C110" s="6" t="s">
        <v>79</v>
      </c>
      <c r="D110" s="22" t="n">
        <v>2</v>
      </c>
    </row>
    <row r="111" customFormat="false" ht="15" hidden="false" customHeight="false" outlineLevel="0" collapsed="false">
      <c r="B111" s="9" t="s">
        <v>128</v>
      </c>
      <c r="C111" s="6" t="s">
        <v>25</v>
      </c>
      <c r="D111" s="13" t="n">
        <v>4</v>
      </c>
    </row>
    <row r="112" customFormat="false" ht="15" hidden="false" customHeight="false" outlineLevel="0" collapsed="false">
      <c r="B112" s="9" t="s">
        <v>129</v>
      </c>
      <c r="D112" s="11" t="n">
        <v>0.35</v>
      </c>
    </row>
    <row r="114" customFormat="false" ht="15" hidden="false" customHeight="false" outlineLevel="0" collapsed="false">
      <c r="B114" s="7" t="s">
        <v>130</v>
      </c>
      <c r="C114" s="8"/>
      <c r="D114" s="8"/>
      <c r="E114" s="8"/>
      <c r="F114" s="8"/>
      <c r="G114" s="8"/>
      <c r="H114" s="8"/>
      <c r="I114" s="8"/>
      <c r="J114" s="8"/>
      <c r="K114" s="8"/>
      <c r="L114" s="8"/>
    </row>
    <row r="115" customFormat="false" ht="15" hidden="false" customHeight="false" outlineLevel="0" collapsed="false">
      <c r="B115" s="9" t="s">
        <v>131</v>
      </c>
      <c r="D115" s="26" t="n">
        <v>1</v>
      </c>
    </row>
    <row r="116" customFormat="false" ht="15" hidden="false" customHeight="false" outlineLevel="0" collapsed="false">
      <c r="B116" s="9" t="s">
        <v>132</v>
      </c>
      <c r="C116" s="6" t="s">
        <v>133</v>
      </c>
      <c r="D116" s="26" t="n">
        <v>2</v>
      </c>
    </row>
    <row r="117" customFormat="false" ht="15" hidden="false" customHeight="false" outlineLevel="0" collapsed="false">
      <c r="B117" s="9" t="s">
        <v>134</v>
      </c>
      <c r="C117" s="6" t="s">
        <v>25</v>
      </c>
      <c r="D117" s="13" t="n">
        <v>60</v>
      </c>
    </row>
    <row r="118" customFormat="false" ht="15" hidden="false" customHeight="false" outlineLevel="0" collapsed="false">
      <c r="B118" s="9" t="s">
        <v>135</v>
      </c>
      <c r="C118" s="6" t="s">
        <v>25</v>
      </c>
      <c r="D118" s="13" t="n">
        <v>8</v>
      </c>
    </row>
    <row r="119" customFormat="false" ht="15" hidden="false" customHeight="false" outlineLevel="0" collapsed="false">
      <c r="B119" s="9" t="s">
        <v>136</v>
      </c>
      <c r="D119" s="14" t="n">
        <f aca="false">$D$118/$D$117</f>
        <v>0.133333333333333</v>
      </c>
    </row>
    <row r="120" customFormat="false" ht="15" hidden="false" customHeight="false" outlineLevel="0" collapsed="false">
      <c r="B120" s="9" t="s">
        <v>137</v>
      </c>
      <c r="C120" s="6" t="s">
        <v>79</v>
      </c>
      <c r="D120" s="22" t="n">
        <v>6.5</v>
      </c>
    </row>
    <row r="121" customFormat="false" ht="15" hidden="false" customHeight="false" outlineLevel="0" collapsed="false">
      <c r="B121" s="9" t="s">
        <v>138</v>
      </c>
      <c r="C121" s="6" t="s">
        <v>25</v>
      </c>
      <c r="D121" s="19" t="n">
        <f aca="false">$D$120*$D$118</f>
        <v>52</v>
      </c>
    </row>
    <row r="122" customFormat="false" ht="15" hidden="false" customHeight="false" outlineLevel="0" collapsed="false">
      <c r="B122" s="9" t="s">
        <v>139</v>
      </c>
      <c r="C122" s="6" t="s">
        <v>25</v>
      </c>
      <c r="D122" s="13" t="n">
        <v>1.5</v>
      </c>
    </row>
    <row r="123" customFormat="false" ht="15" hidden="false" customHeight="false" outlineLevel="0" collapsed="false">
      <c r="B123" s="9" t="s">
        <v>140</v>
      </c>
      <c r="D123" s="21" t="n">
        <v>0.04</v>
      </c>
    </row>
    <row r="124" customFormat="false" ht="15" hidden="false" customHeight="false" outlineLevel="0" collapsed="false">
      <c r="B124" s="9" t="s">
        <v>141</v>
      </c>
      <c r="D124" s="11" t="n">
        <v>0.1</v>
      </c>
    </row>
    <row r="125" customFormat="false" ht="15" hidden="false" customHeight="false" outlineLevel="0" collapsed="false">
      <c r="B125" s="9" t="s">
        <v>142</v>
      </c>
      <c r="C125" s="6" t="s">
        <v>25</v>
      </c>
      <c r="D125" s="13" t="n">
        <v>40</v>
      </c>
    </row>
    <row r="126" customFormat="false" ht="15" hidden="false" customHeight="false" outlineLevel="0" collapsed="false">
      <c r="B126" s="9" t="s">
        <v>143</v>
      </c>
      <c r="C126" s="6" t="s">
        <v>25</v>
      </c>
      <c r="D126" s="19" t="n">
        <f aca="false">$D$77*$D$125</f>
        <v>0.8</v>
      </c>
    </row>
    <row r="127" customFormat="false" ht="15" hidden="false" customHeight="false" outlineLevel="0" collapsed="false">
      <c r="B127" s="9" t="s">
        <v>144</v>
      </c>
      <c r="C127" s="6" t="s">
        <v>25</v>
      </c>
      <c r="D127" s="19" t="n">
        <f aca="false">$D$121+$D$122+$D$126-$D$125</f>
        <v>14.3</v>
      </c>
    </row>
    <row r="128" customFormat="false" ht="15" hidden="false" customHeight="false" outlineLevel="0" collapsed="false">
      <c r="B128" s="9" t="s">
        <v>145</v>
      </c>
      <c r="C128" s="6" t="s">
        <v>25</v>
      </c>
      <c r="D128" s="19" t="n">
        <f aca="false">$D$122+$D$126</f>
        <v>2.3</v>
      </c>
    </row>
    <row r="130" customFormat="false" ht="15" hidden="false" customHeight="false" outlineLevel="0" collapsed="false">
      <c r="B130" s="7" t="s">
        <v>146</v>
      </c>
      <c r="C130" s="8"/>
      <c r="D130" s="8"/>
      <c r="E130" s="8"/>
      <c r="F130" s="8"/>
      <c r="G130" s="8"/>
      <c r="H130" s="8"/>
      <c r="I130" s="8"/>
      <c r="J130" s="8"/>
      <c r="K130" s="8"/>
      <c r="L130" s="8"/>
    </row>
    <row r="131" customFormat="false" ht="15" hidden="false" customHeight="false" outlineLevel="0" collapsed="false">
      <c r="B131" s="9" t="s">
        <v>147</v>
      </c>
      <c r="C131" s="6" t="s">
        <v>79</v>
      </c>
      <c r="D131" s="22" t="n">
        <v>9</v>
      </c>
    </row>
    <row r="132" customFormat="false" ht="15" hidden="false" customHeight="false" outlineLevel="0" collapsed="false">
      <c r="B132" s="9" t="s">
        <v>148</v>
      </c>
      <c r="D132" s="21" t="n">
        <v>0.015</v>
      </c>
    </row>
    <row r="133" customFormat="false" ht="15" hidden="false" customHeight="false" outlineLevel="0" collapsed="false">
      <c r="B133" s="9" t="s">
        <v>149</v>
      </c>
      <c r="C133" s="6" t="s">
        <v>133</v>
      </c>
      <c r="D133" s="26" t="n">
        <v>5</v>
      </c>
    </row>
    <row r="135" customFormat="false" ht="15" hidden="false" customHeight="false" outlineLevel="0" collapsed="false">
      <c r="B135" s="7" t="s">
        <v>150</v>
      </c>
      <c r="C135" s="8"/>
      <c r="D135" s="8"/>
      <c r="E135" s="8"/>
      <c r="F135" s="8"/>
      <c r="G135" s="8"/>
      <c r="H135" s="8"/>
      <c r="I135" s="8"/>
      <c r="J135" s="8"/>
      <c r="K135" s="8"/>
      <c r="L135" s="8"/>
    </row>
    <row r="136" customFormat="false" ht="15" hidden="false" customHeight="false" outlineLevel="0" collapsed="false">
      <c r="B136" s="9" t="s">
        <v>151</v>
      </c>
      <c r="D136" s="11" t="n">
        <v>1</v>
      </c>
    </row>
    <row r="137" customFormat="false" ht="15" hidden="false" customHeight="false" outlineLevel="0" collapsed="false">
      <c r="B137" s="9" t="s">
        <v>152</v>
      </c>
      <c r="D137" s="26" t="n">
        <v>0</v>
      </c>
    </row>
    <row r="138" customFormat="false" ht="15" hidden="false" customHeight="false" outlineLevel="0" collapsed="false">
      <c r="B138" s="9" t="s">
        <v>153</v>
      </c>
      <c r="C138" s="6" t="s">
        <v>133</v>
      </c>
      <c r="D138" s="26" t="n">
        <v>4</v>
      </c>
    </row>
    <row r="139" customFormat="false" ht="15" hidden="false" customHeight="false" outlineLevel="0" collapsed="false">
      <c r="B139" s="9" t="s">
        <v>154</v>
      </c>
      <c r="C139" s="6" t="s">
        <v>25</v>
      </c>
      <c r="D139" s="13" t="n">
        <v>35</v>
      </c>
    </row>
    <row r="140" customFormat="false" ht="15" hidden="false" customHeight="false" outlineLevel="0" collapsed="false">
      <c r="B140" s="9" t="s">
        <v>155</v>
      </c>
      <c r="D140" s="21" t="n">
        <v>0.02</v>
      </c>
    </row>
    <row r="141" customFormat="false" ht="15" hidden="false" customHeight="false" outlineLevel="0" collapsed="false">
      <c r="B141" s="9" t="s">
        <v>156</v>
      </c>
      <c r="C141" s="6" t="s">
        <v>79</v>
      </c>
      <c r="D141" s="28" t="n">
        <v>4.25</v>
      </c>
    </row>
    <row r="142" customFormat="false" ht="15" hidden="false" customHeight="false" outlineLevel="0" collapsed="false">
      <c r="B142" s="9" t="s">
        <v>157</v>
      </c>
      <c r="D142" s="26" t="n">
        <v>0</v>
      </c>
    </row>
    <row r="143" customFormat="false" ht="15" hidden="false" customHeight="false" outlineLevel="0" collapsed="false">
      <c r="B143" s="9" t="s">
        <v>158</v>
      </c>
      <c r="C143" s="6" t="s">
        <v>25</v>
      </c>
      <c r="D143" s="13" t="n">
        <v>0</v>
      </c>
    </row>
    <row r="144" customFormat="false" ht="15" hidden="false" customHeight="false" outlineLevel="0" collapsed="false">
      <c r="B144" s="9" t="s">
        <v>159</v>
      </c>
      <c r="C144" s="6" t="s">
        <v>133</v>
      </c>
      <c r="D144" s="26" t="n">
        <v>0</v>
      </c>
    </row>
    <row r="145" customFormat="false" ht="15" hidden="false" customHeight="false" outlineLevel="0" collapsed="false">
      <c r="B145" s="9" t="s">
        <v>160</v>
      </c>
      <c r="D145" s="26" t="n">
        <v>0</v>
      </c>
    </row>
    <row r="146" customFormat="false" ht="15" hidden="false" customHeight="false" outlineLevel="0" collapsed="false">
      <c r="B146" s="9" t="s">
        <v>161</v>
      </c>
      <c r="C146" s="6" t="s">
        <v>133</v>
      </c>
      <c r="D146" s="26" t="n">
        <v>3</v>
      </c>
    </row>
    <row r="147" customFormat="false" ht="15" hidden="false" customHeight="false" outlineLevel="0" collapsed="false">
      <c r="B147" s="9" t="s">
        <v>162</v>
      </c>
      <c r="D147" s="21" t="n">
        <v>0.01</v>
      </c>
    </row>
    <row r="148" customFormat="false" ht="15" hidden="false" customHeight="false" outlineLevel="0" collapsed="false">
      <c r="B148" s="9" t="s">
        <v>163</v>
      </c>
      <c r="D148" s="10" t="n">
        <v>0.01</v>
      </c>
    </row>
    <row r="149" customFormat="false" ht="15" hidden="false" customHeight="false" outlineLevel="0" collapsed="false">
      <c r="B149" s="9" t="s">
        <v>164</v>
      </c>
      <c r="C149" s="6" t="s">
        <v>79</v>
      </c>
      <c r="D149" s="28" t="n">
        <v>0.75</v>
      </c>
    </row>
    <row r="150" customFormat="false" ht="15" hidden="false" customHeight="false" outlineLevel="0" collapsed="false">
      <c r="B150" s="9" t="s">
        <v>165</v>
      </c>
      <c r="D150" s="21" t="n">
        <v>-0.12</v>
      </c>
    </row>
    <row r="151" customFormat="false" ht="15" hidden="false" customHeight="false" outlineLevel="0" collapsed="false">
      <c r="B151" s="9" t="s">
        <v>166</v>
      </c>
      <c r="D151" s="21" t="n">
        <v>-0.045</v>
      </c>
    </row>
    <row r="152" customFormat="false" ht="15" hidden="false" customHeight="false" outlineLevel="0" collapsed="false">
      <c r="B152" s="9" t="s">
        <v>167</v>
      </c>
      <c r="D152" s="21" t="n">
        <v>0</v>
      </c>
    </row>
    <row r="153" customFormat="false" ht="15" hidden="false" customHeight="false" outlineLevel="0" collapsed="false">
      <c r="B153" s="9" t="s">
        <v>168</v>
      </c>
      <c r="D153" s="10" t="n">
        <v>0.06</v>
      </c>
    </row>
    <row r="155" customFormat="false" ht="15" hidden="false" customHeight="false" outlineLevel="0" collapsed="false">
      <c r="B155" s="7" t="s">
        <v>169</v>
      </c>
      <c r="C155" s="8"/>
      <c r="D155" s="8"/>
      <c r="E155" s="8"/>
      <c r="F155" s="8"/>
      <c r="G155" s="8"/>
      <c r="H155" s="8"/>
      <c r="I155" s="8"/>
      <c r="J155" s="8"/>
      <c r="K155" s="8"/>
      <c r="L155" s="8"/>
    </row>
    <row r="156" customFormat="false" ht="15" hidden="false" customHeight="false" outlineLevel="0" collapsed="false">
      <c r="B156" s="9" t="s">
        <v>170</v>
      </c>
      <c r="D156" s="21" t="n">
        <v>0.02</v>
      </c>
    </row>
    <row r="157" customFormat="false" ht="15" hidden="false" customHeight="false" outlineLevel="0" collapsed="false">
      <c r="B157" s="9" t="s">
        <v>171</v>
      </c>
      <c r="D157" s="11" t="n">
        <v>0.2</v>
      </c>
    </row>
    <row r="158" customFormat="false" ht="15" hidden="false" customHeight="false" outlineLevel="0" collapsed="false">
      <c r="B158" s="9" t="s">
        <v>172</v>
      </c>
      <c r="D158" s="29" t="n">
        <f aca="false">1-$D$157</f>
        <v>0.8</v>
      </c>
    </row>
    <row r="159" customFormat="false" ht="15" hidden="false" customHeight="false" outlineLevel="0" collapsed="false">
      <c r="B159" s="9" t="s">
        <v>173</v>
      </c>
      <c r="D159" s="11" t="n">
        <v>0.08</v>
      </c>
    </row>
    <row r="160" customFormat="false" ht="15" hidden="false" customHeight="false" outlineLevel="0" collapsed="false">
      <c r="B160" s="9" t="s">
        <v>174</v>
      </c>
      <c r="D160" s="10" t="n">
        <v>0.065</v>
      </c>
    </row>
    <row r="161" customFormat="false" ht="15" hidden="false" customHeight="false" outlineLevel="0" collapsed="false">
      <c r="B161" s="9" t="s">
        <v>175</v>
      </c>
      <c r="C161" s="6" t="s">
        <v>176</v>
      </c>
      <c r="D161" s="26" t="n">
        <v>12</v>
      </c>
    </row>
    <row r="163" customFormat="false" ht="15" hidden="false" customHeight="false" outlineLevel="0" collapsed="false">
      <c r="B163" s="7" t="s">
        <v>177</v>
      </c>
      <c r="C163" s="8"/>
      <c r="D163" s="8"/>
      <c r="E163" s="8"/>
      <c r="F163" s="8"/>
      <c r="G163" s="8"/>
      <c r="H163" s="8"/>
      <c r="I163" s="8"/>
      <c r="J163" s="8"/>
      <c r="K163" s="8"/>
      <c r="L163" s="8"/>
    </row>
    <row r="164" customFormat="false" ht="15" hidden="false" customHeight="false" outlineLevel="0" collapsed="false">
      <c r="B164" s="7" t="s">
        <v>178</v>
      </c>
      <c r="F164" s="30" t="n">
        <v>1</v>
      </c>
      <c r="G164" s="30" t="n">
        <v>2</v>
      </c>
      <c r="H164" s="30" t="n">
        <v>3</v>
      </c>
      <c r="I164" s="30" t="n">
        <v>4</v>
      </c>
      <c r="J164" s="30" t="n">
        <v>5</v>
      </c>
      <c r="K164" s="30" t="n">
        <v>6</v>
      </c>
      <c r="L164" s="30" t="n">
        <v>7</v>
      </c>
    </row>
    <row r="165" customFormat="false" ht="15" hidden="false" customHeight="false" outlineLevel="0" collapsed="false">
      <c r="B165" s="9" t="s">
        <v>179</v>
      </c>
      <c r="F165" s="21" t="n">
        <v>0.05</v>
      </c>
      <c r="G165" s="21" t="n">
        <v>0.06</v>
      </c>
      <c r="H165" s="21" t="n">
        <v>-0.06</v>
      </c>
      <c r="I165" s="21" t="n">
        <v>0.07</v>
      </c>
      <c r="J165" s="21" t="n">
        <v>0.05</v>
      </c>
      <c r="K165" s="21" t="n">
        <v>0.04</v>
      </c>
      <c r="L165" s="21" t="n">
        <v>0.04</v>
      </c>
    </row>
    <row r="166" customFormat="false" ht="15" hidden="false" customHeight="false" outlineLevel="0" collapsed="false">
      <c r="B166" s="9" t="s">
        <v>180</v>
      </c>
      <c r="F166" s="31" t="n">
        <v>0.00625</v>
      </c>
      <c r="G166" s="31" t="n">
        <v>0.01375</v>
      </c>
      <c r="H166" s="31" t="n">
        <v>0.01875</v>
      </c>
      <c r="I166" s="31" t="n">
        <v>0.01875</v>
      </c>
      <c r="J166" s="31" t="n">
        <v>0.01875</v>
      </c>
      <c r="K166" s="31" t="n">
        <v>0.01875</v>
      </c>
      <c r="L166" s="31" t="n">
        <v>0.01875</v>
      </c>
    </row>
    <row r="167" customFormat="false" ht="15" hidden="false" customHeight="false" outlineLevel="0" collapsed="false">
      <c r="B167" s="9" t="s">
        <v>181</v>
      </c>
      <c r="F167" s="21" t="n">
        <v>0</v>
      </c>
      <c r="G167" s="21" t="n">
        <v>0</v>
      </c>
      <c r="H167" s="21" t="n">
        <v>-0.03</v>
      </c>
      <c r="I167" s="21" t="n">
        <v>-0.01</v>
      </c>
      <c r="J167" s="21" t="n">
        <v>0</v>
      </c>
      <c r="K167" s="21" t="n">
        <v>0</v>
      </c>
      <c r="L167" s="21" t="n">
        <v>0</v>
      </c>
    </row>
    <row r="168" customFormat="false" ht="15" hidden="false" customHeight="false" outlineLevel="0" collapsed="false">
      <c r="B168" s="9" t="s">
        <v>182</v>
      </c>
      <c r="F168" s="13" t="n">
        <v>0</v>
      </c>
      <c r="G168" s="13" t="n">
        <v>0</v>
      </c>
      <c r="H168" s="13" t="n">
        <v>1</v>
      </c>
      <c r="I168" s="13" t="n">
        <v>2.5</v>
      </c>
      <c r="J168" s="13" t="n">
        <v>3</v>
      </c>
      <c r="K168" s="13" t="n">
        <v>3</v>
      </c>
      <c r="L168" s="13" t="n">
        <v>3</v>
      </c>
    </row>
    <row r="169" customFormat="false" ht="15" hidden="false" customHeight="false" outlineLevel="0" collapsed="false">
      <c r="B169" s="9" t="s">
        <v>183</v>
      </c>
      <c r="F169" s="28" t="n">
        <v>5.75</v>
      </c>
      <c r="G169" s="28" t="n">
        <v>5.25</v>
      </c>
      <c r="H169" s="28" t="n">
        <v>4.75</v>
      </c>
      <c r="I169" s="28" t="n">
        <v>4.25</v>
      </c>
      <c r="J169" s="28" t="n">
        <v>4</v>
      </c>
      <c r="K169" s="28" t="n">
        <v>4</v>
      </c>
      <c r="L169" s="28" t="n">
        <v>4</v>
      </c>
    </row>
    <row r="170" customFormat="false" ht="15" hidden="false" customHeight="false" outlineLevel="0" collapsed="false">
      <c r="B170" s="9" t="s">
        <v>184</v>
      </c>
      <c r="D170" s="14" t="n">
        <f aca="false">$D$25+$H$166</f>
        <v>0.175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185</v>
      </c>
    </row>
    <row r="3" customFormat="false" ht="15" hidden="false" customHeight="false" outlineLevel="0" collapsed="false">
      <c r="B3" s="6" t="s">
        <v>186</v>
      </c>
    </row>
    <row r="5" customFormat="false" ht="15" hidden="false" customHeight="false" outlineLevel="0" collapsed="false">
      <c r="B5" s="7" t="s">
        <v>187</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188</v>
      </c>
      <c r="C7" s="6" t="s">
        <v>79</v>
      </c>
      <c r="D7" s="23" t="n">
        <f aca="false">Assumptions!$D$131</f>
        <v>9</v>
      </c>
    </row>
    <row r="8" customFormat="false" ht="15" hidden="false" customHeight="false" outlineLevel="0" collapsed="false">
      <c r="B8" s="9" t="s">
        <v>189</v>
      </c>
      <c r="C8" s="6" t="s">
        <v>79</v>
      </c>
      <c r="D8" s="23" t="n">
        <f aca="false">Assumptions!$D$82</f>
        <v>4.5</v>
      </c>
    </row>
    <row r="9" customFormat="false" ht="15" hidden="false" customHeight="false" outlineLevel="0" collapsed="false">
      <c r="B9" s="9" t="s">
        <v>190</v>
      </c>
      <c r="C9" s="6" t="s">
        <v>79</v>
      </c>
      <c r="D9" s="23" t="n">
        <f aca="false">Assumptions!$D$87</f>
        <v>1</v>
      </c>
    </row>
    <row r="10" customFormat="false" ht="15" hidden="false" customHeight="false" outlineLevel="0" collapsed="false">
      <c r="B10" s="9" t="s">
        <v>149</v>
      </c>
      <c r="C10" s="6" t="s">
        <v>133</v>
      </c>
      <c r="D10" s="32"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191</v>
      </c>
      <c r="D12" s="32" t="n">
        <f aca="false">Assumptions!$D$115</f>
        <v>1</v>
      </c>
    </row>
    <row r="13" customFormat="false" ht="15" hidden="false" customHeight="false" outlineLevel="0" collapsed="false">
      <c r="B13" s="9" t="s">
        <v>192</v>
      </c>
      <c r="D13" s="32" t="n">
        <f aca="false">Assumptions!$D$137</f>
        <v>0</v>
      </c>
    </row>
    <row r="14" customFormat="false" ht="15" hidden="false" customHeight="false" outlineLevel="0" collapsed="false">
      <c r="B14" s="9" t="s">
        <v>193</v>
      </c>
      <c r="D14" s="32"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2" t="n">
        <f aca="false">Assumptions!$D$144</f>
        <v>0</v>
      </c>
    </row>
    <row r="17" customFormat="false" ht="15" hidden="false" customHeight="false" outlineLevel="0" collapsed="false">
      <c r="B17" s="9" t="s">
        <v>194</v>
      </c>
      <c r="D17" s="32" t="n">
        <f aca="false">Assumptions!$D$145</f>
        <v>0</v>
      </c>
    </row>
    <row r="18" customFormat="false" ht="15" hidden="false" customHeight="false" outlineLevel="0" collapsed="false">
      <c r="B18" s="9" t="s">
        <v>195</v>
      </c>
      <c r="D18" s="25" t="n">
        <f aca="false">Assumptions!$D$6</f>
        <v>0.04</v>
      </c>
    </row>
    <row r="19" customFormat="false" ht="15" hidden="false" customHeight="false" outlineLevel="0" collapsed="false">
      <c r="B19" s="9" t="s">
        <v>113</v>
      </c>
      <c r="D19" s="32" t="n">
        <f aca="false">Assumptions!$D$98</f>
        <v>1</v>
      </c>
    </row>
    <row r="20" customFormat="false" ht="15" hidden="false" customHeight="false" outlineLevel="0" collapsed="false">
      <c r="B20" s="9" t="s">
        <v>196</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197</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198</v>
      </c>
      <c r="C27" s="8"/>
      <c r="D27" s="8"/>
      <c r="E27" s="8"/>
      <c r="F27" s="8"/>
      <c r="G27" s="8"/>
      <c r="H27" s="8"/>
      <c r="I27" s="8"/>
      <c r="J27" s="8"/>
      <c r="K27" s="8"/>
      <c r="L27" s="8"/>
    </row>
    <row r="28" customFormat="false" ht="15" hidden="false" customHeight="false" outlineLevel="0" collapsed="false">
      <c r="B28" s="9" t="s">
        <v>199</v>
      </c>
      <c r="D28" s="19" t="n">
        <f aca="false">Assumptions!$D$24</f>
        <v>50</v>
      </c>
    </row>
    <row r="29" customFormat="false" ht="15" hidden="false" customHeight="false" outlineLevel="0" collapsed="false">
      <c r="B29" s="17" t="s">
        <v>200</v>
      </c>
      <c r="D29" s="18" t="n">
        <f aca="false">$D$6*$D$28</f>
        <v>450</v>
      </c>
    </row>
    <row r="30" customFormat="false" ht="15" hidden="false" customHeight="false" outlineLevel="0" collapsed="false">
      <c r="B30" s="9" t="s">
        <v>201</v>
      </c>
      <c r="D30" s="19" t="n">
        <f aca="false">IF($D$22&gt;0,$D$22*($D$29+Assumptions!$D$76+Assumptions!$D$78)/(1-Assumptions!$D$77*$D$22),0)</f>
        <v>0</v>
      </c>
    </row>
    <row r="31" customFormat="false" ht="15" hidden="false" customHeight="false" outlineLevel="0" collapsed="false">
      <c r="B31" s="9" t="s">
        <v>202</v>
      </c>
      <c r="D31" s="19" t="n">
        <f aca="false">IF($D$22&gt;0,$D$9*$D$28,IF($D$14=1,0,$D$9*$D$28))</f>
        <v>50</v>
      </c>
    </row>
    <row r="32" customFormat="false" ht="15" hidden="false" customHeight="false" outlineLevel="0" collapsed="false">
      <c r="B32" s="9" t="s">
        <v>203</v>
      </c>
      <c r="D32" s="19" t="n">
        <f aca="false">IF($D$22&gt;0,$D$30-$D$31,IF($D$14=1,0,$D$8*$D$28))</f>
        <v>225</v>
      </c>
    </row>
    <row r="33" customFormat="false" ht="15" hidden="false" customHeight="false" outlineLevel="0" collapsed="false">
      <c r="B33" s="9" t="s">
        <v>204</v>
      </c>
      <c r="D33" s="19" t="n">
        <f aca="false">Assumptions!$D$77*($D$32+$D$31)</f>
        <v>5.5</v>
      </c>
    </row>
    <row r="35" customFormat="false" ht="15" hidden="false" customHeight="false" outlineLevel="0" collapsed="false">
      <c r="B35" s="7" t="s">
        <v>205</v>
      </c>
      <c r="C35" s="8"/>
      <c r="D35" s="8"/>
      <c r="E35" s="8"/>
      <c r="F35" s="8"/>
      <c r="G35" s="8"/>
      <c r="H35" s="8"/>
      <c r="I35" s="8"/>
      <c r="J35" s="8"/>
      <c r="K35" s="8"/>
      <c r="L35" s="8"/>
    </row>
    <row r="36" customFormat="false" ht="15" hidden="false" customHeight="false" outlineLevel="0" collapsed="false">
      <c r="B36" s="9" t="s">
        <v>206</v>
      </c>
      <c r="D36" s="19" t="n">
        <f aca="false">$D$29-Assumptions!$D$37</f>
        <v>415</v>
      </c>
    </row>
    <row r="37" customFormat="false" ht="15" hidden="false" customHeight="false" outlineLevel="0" collapsed="false">
      <c r="B37" s="9" t="s">
        <v>207</v>
      </c>
      <c r="D37" s="19" t="n">
        <f aca="false">Assumptions!$D$37</f>
        <v>35</v>
      </c>
    </row>
    <row r="38" customFormat="false" ht="15" hidden="false" customHeight="false" outlineLevel="0" collapsed="false">
      <c r="B38" s="9" t="s">
        <v>208</v>
      </c>
      <c r="D38" s="19" t="n">
        <f aca="false">Assumptions!$D$76</f>
        <v>9.5</v>
      </c>
    </row>
    <row r="39" customFormat="false" ht="15" hidden="false" customHeight="false" outlineLevel="0" collapsed="false">
      <c r="B39" s="9" t="s">
        <v>209</v>
      </c>
      <c r="D39" s="19" t="n">
        <f aca="false">$D$33</f>
        <v>5.5</v>
      </c>
    </row>
    <row r="40" customFormat="false" ht="15" hidden="false" customHeight="false" outlineLevel="0" collapsed="false">
      <c r="B40" s="9" t="s">
        <v>210</v>
      </c>
      <c r="D40" s="19" t="n">
        <f aca="false">Assumptions!$D$78</f>
        <v>10</v>
      </c>
    </row>
    <row r="41" customFormat="false" ht="15" hidden="false" customHeight="false" outlineLevel="0" collapsed="false">
      <c r="B41" s="17" t="s">
        <v>211</v>
      </c>
      <c r="D41" s="18" t="n">
        <f aca="false">$D$36+$D$37+$D$38+$D$39+$D$40</f>
        <v>475</v>
      </c>
    </row>
    <row r="42" customFormat="false" ht="15" hidden="false" customHeight="false" outlineLevel="0" collapsed="false">
      <c r="B42" s="7" t="s">
        <v>212</v>
      </c>
      <c r="C42" s="8"/>
      <c r="D42" s="8"/>
      <c r="E42" s="8"/>
      <c r="F42" s="8"/>
      <c r="G42" s="8"/>
      <c r="H42" s="8"/>
      <c r="I42" s="8"/>
      <c r="J42" s="8"/>
      <c r="K42" s="8"/>
      <c r="L42" s="8"/>
    </row>
    <row r="43" customFormat="false" ht="15" hidden="false" customHeight="false" outlineLevel="0" collapsed="false">
      <c r="B43" s="9" t="s">
        <v>203</v>
      </c>
      <c r="D43" s="19" t="n">
        <f aca="false">$D$32</f>
        <v>225</v>
      </c>
    </row>
    <row r="44" customFormat="false" ht="15" hidden="false" customHeight="false" outlineLevel="0" collapsed="false">
      <c r="B44" s="9" t="s">
        <v>202</v>
      </c>
      <c r="D44" s="19" t="n">
        <f aca="false">$D$31</f>
        <v>50</v>
      </c>
    </row>
    <row r="45" customFormat="false" ht="15" hidden="false" customHeight="false" outlineLevel="0" collapsed="false">
      <c r="B45" s="9" t="s">
        <v>213</v>
      </c>
      <c r="D45" s="19" t="n">
        <f aca="false">0</f>
        <v>0</v>
      </c>
    </row>
    <row r="46" customFormat="false" ht="15" hidden="false" customHeight="false" outlineLevel="0" collapsed="false">
      <c r="B46" s="9" t="s">
        <v>214</v>
      </c>
      <c r="D46" s="19" t="n">
        <f aca="false">$D$41-$D$43-$D$44-$D$45</f>
        <v>200</v>
      </c>
    </row>
    <row r="47" customFormat="false" ht="15" hidden="false" customHeight="false" outlineLevel="0" collapsed="false">
      <c r="B47" s="9" t="s">
        <v>215</v>
      </c>
      <c r="D47" s="19" t="n">
        <f aca="false">Assumptions!$D$107</f>
        <v>10</v>
      </c>
    </row>
    <row r="48" customFormat="false" ht="15" hidden="false" customHeight="false" outlineLevel="0" collapsed="false">
      <c r="B48" s="17" t="s">
        <v>216</v>
      </c>
      <c r="D48" s="18" t="n">
        <f aca="false">$D$46-$D$47</f>
        <v>190</v>
      </c>
    </row>
    <row r="49" customFormat="false" ht="15" hidden="false" customHeight="false" outlineLevel="0" collapsed="false">
      <c r="B49" s="17" t="s">
        <v>217</v>
      </c>
      <c r="D49" s="18" t="n">
        <f aca="false">$D$43+$D$44+$D$45+$D$48+$D$47</f>
        <v>475</v>
      </c>
    </row>
    <row r="50" customFormat="false" ht="15" hidden="false" customHeight="false" outlineLevel="0" collapsed="false">
      <c r="B50" s="9" t="s">
        <v>218</v>
      </c>
      <c r="D50" s="19" t="n">
        <f aca="false">$D$49-$D$41</f>
        <v>0</v>
      </c>
    </row>
    <row r="51" customFormat="false" ht="15" hidden="false" customHeight="false" outlineLevel="0" collapsed="false">
      <c r="B51" s="7" t="s">
        <v>219</v>
      </c>
      <c r="C51" s="8"/>
      <c r="D51" s="8"/>
      <c r="E51" s="8"/>
      <c r="F51" s="8"/>
      <c r="G51" s="8"/>
      <c r="H51" s="8"/>
      <c r="I51" s="8"/>
      <c r="J51" s="8"/>
      <c r="K51" s="8"/>
      <c r="L51" s="8"/>
    </row>
    <row r="52" customFormat="false" ht="15" hidden="false" customHeight="false" outlineLevel="0" collapsed="false">
      <c r="B52" s="9" t="s">
        <v>220</v>
      </c>
      <c r="D52" s="19" t="n">
        <f aca="false">$D$43+$D$44+$D$45</f>
        <v>275</v>
      </c>
    </row>
    <row r="53" customFormat="false" ht="15" hidden="false" customHeight="false" outlineLevel="0" collapsed="false">
      <c r="B53" s="9" t="s">
        <v>221</v>
      </c>
      <c r="C53" s="6" t="s">
        <v>79</v>
      </c>
      <c r="D53" s="23" t="n">
        <f aca="false">$D$52/$D$28</f>
        <v>5.5</v>
      </c>
    </row>
    <row r="54" customFormat="false" ht="15" hidden="false" customHeight="false" outlineLevel="0" collapsed="false">
      <c r="B54" s="9" t="s">
        <v>222</v>
      </c>
      <c r="D54" s="19" t="n">
        <f aca="false">$D$52-$D$40</f>
        <v>265</v>
      </c>
    </row>
    <row r="55" customFormat="false" ht="15" hidden="false" customHeight="false" outlineLevel="0" collapsed="false">
      <c r="B55" s="9" t="s">
        <v>223</v>
      </c>
      <c r="C55" s="6" t="s">
        <v>79</v>
      </c>
      <c r="D55" s="24" t="n">
        <f aca="false">$D$54/$D$28</f>
        <v>5.3</v>
      </c>
    </row>
    <row r="56" customFormat="false" ht="15" hidden="false" customHeight="false" outlineLevel="0" collapsed="false">
      <c r="B56" s="9" t="s">
        <v>224</v>
      </c>
      <c r="D56" s="14" t="n">
        <f aca="false">$D$46/$D$41</f>
        <v>0.421052631578947</v>
      </c>
    </row>
    <row r="57" customFormat="false" ht="15" hidden="false" customHeight="false" outlineLevel="0" collapsed="false">
      <c r="B57" s="9" t="s">
        <v>225</v>
      </c>
      <c r="D57" s="14" t="n">
        <f aca="false">$D$52/$D$41</f>
        <v>0.578947368421053</v>
      </c>
    </row>
    <row r="58" customFormat="false" ht="15" hidden="false" customHeight="false" outlineLevel="0" collapsed="false">
      <c r="B58" s="9" t="s">
        <v>226</v>
      </c>
      <c r="D58" s="14" t="n">
        <f aca="false">$D$52/$D$29</f>
        <v>0.611111111111111</v>
      </c>
    </row>
    <row r="59" customFormat="false" ht="15" hidden="false" customHeight="false" outlineLevel="0" collapsed="false">
      <c r="B59" s="9" t="s">
        <v>227</v>
      </c>
      <c r="D59" s="19" t="n">
        <f aca="false">$D$38+$D$39</f>
        <v>15</v>
      </c>
    </row>
    <row r="60" customFormat="false" ht="15" hidden="false" customHeight="false" outlineLevel="0" collapsed="false">
      <c r="B60" s="9" t="s">
        <v>228</v>
      </c>
      <c r="D60" s="25" t="n">
        <f aca="false">$D$59/$D$29</f>
        <v>0.0333333333333333</v>
      </c>
    </row>
    <row r="61" customFormat="false" ht="15" hidden="false" customHeight="false" outlineLevel="0" collapsed="false">
      <c r="B61" s="9" t="s">
        <v>229</v>
      </c>
      <c r="D61" s="25" t="n">
        <f aca="false">$D$59/$D$46</f>
        <v>0.075</v>
      </c>
    </row>
    <row r="62" customFormat="false" ht="15" hidden="false" customHeight="false" outlineLevel="0" collapsed="false">
      <c r="B62" s="9" t="s">
        <v>230</v>
      </c>
      <c r="D62" s="19" t="n">
        <f aca="false">$D$46+(Assumptions!$D$72-$D$6)*$D$28</f>
        <v>250</v>
      </c>
    </row>
    <row r="63" customFormat="false" ht="15" hidden="false" customHeight="false" outlineLevel="0" collapsed="false">
      <c r="B63" s="7" t="s">
        <v>231</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232</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233</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234</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235</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236</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237</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238</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239</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240</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241</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242</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243</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244</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245</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246</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247</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248</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249</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250</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251</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252</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253</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254</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255</v>
      </c>
      <c r="E89" s="33" t="n">
        <f aca="false">0</f>
        <v>0</v>
      </c>
      <c r="F89" s="33" t="n">
        <f aca="false">IF(AND($D$17=1,$F$64=Assumptions!$D$146),Assumptions!$D$147*$E$118,0)</f>
        <v>0</v>
      </c>
      <c r="G89" s="33" t="n">
        <f aca="false">IF(AND($D$17=1,$G$64=Assumptions!$D$146),Assumptions!$D$147*$F$118,0)</f>
        <v>0</v>
      </c>
      <c r="H89" s="33" t="n">
        <f aca="false">IF(AND($D$17=1,$H$64=Assumptions!$D$146),Assumptions!$D$147*$G$118,0)</f>
        <v>0</v>
      </c>
      <c r="I89" s="33" t="n">
        <f aca="false">IF(AND($D$17=1,$I$64=Assumptions!$D$146),Assumptions!$D$147*$H$118,0)</f>
        <v>0</v>
      </c>
      <c r="J89" s="33" t="n">
        <f aca="false">IF(AND($D$17=1,$J$64=Assumptions!$D$146),Assumptions!$D$147*$I$118,0)</f>
        <v>0</v>
      </c>
      <c r="K89" s="33" t="n">
        <f aca="false">IF(AND($D$17=1,$K$64=Assumptions!$D$146),Assumptions!$D$147*$J$118,0)</f>
        <v>0</v>
      </c>
      <c r="L89" s="33" t="n">
        <f aca="false">IF(AND($D$17=1,$L$64=Assumptions!$D$146),Assumptions!$D$147*$K$118,0)</f>
        <v>0</v>
      </c>
    </row>
    <row r="90" customFormat="false" ht="15" hidden="false" customHeight="false" outlineLevel="0" collapsed="false">
      <c r="B90" s="9" t="s">
        <v>256</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257</v>
      </c>
      <c r="F91" s="18" t="n">
        <f aca="false">$F$72-$F$139-$F$105-$F$75-$F$79-$F$83-$F$87-$F$89</f>
        <v>11.36</v>
      </c>
      <c r="G91" s="18" t="n">
        <f aca="false">$G$72-$G$139-$G$105-$G$75-$G$79-$G$83-$G$87-$G$89</f>
        <v>14.883365</v>
      </c>
      <c r="H91" s="18" t="n">
        <f aca="false">$H$72-$H$139-$H$105-$H$75-$H$79-$H$83-$H$87-$H$89</f>
        <v>14.5494217625</v>
      </c>
      <c r="I91" s="18" t="n">
        <f aca="false">$I$72-$I$139-$I$105-$I$75-$I$79-$I$83-$I$87-$I$89</f>
        <v>19.7577858802813</v>
      </c>
      <c r="J91" s="18" t="n">
        <f aca="false">$J$72-$J$139-$J$105-$J$75-$J$79-$J$83-$J$87-$J$89</f>
        <v>27.5646900942617</v>
      </c>
      <c r="K91" s="18" t="n">
        <f aca="false">$K$72-$K$139-$K$105-$K$75-$K$79-$K$83-$K$87-$K$89</f>
        <v>31.3128611325723</v>
      </c>
      <c r="L91" s="18" t="n">
        <f aca="false">$L$72-$L$139-$L$105-$L$75-$L$79-$L$83-$L$87-$L$89</f>
        <v>34.2019452762158</v>
      </c>
    </row>
    <row r="92" customFormat="false" ht="15" hidden="false" customHeight="false" outlineLevel="0" collapsed="false">
      <c r="B92" s="9" t="s">
        <v>258</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259</v>
      </c>
      <c r="C93" s="8"/>
      <c r="D93" s="8"/>
      <c r="E93" s="8"/>
      <c r="F93" s="8"/>
      <c r="G93" s="8"/>
      <c r="H93" s="8"/>
      <c r="I93" s="8"/>
      <c r="J93" s="8"/>
      <c r="K93" s="8"/>
      <c r="L93" s="8"/>
    </row>
    <row r="94" customFormat="false" ht="15" hidden="false" customHeight="false" outlineLevel="0" collapsed="false">
      <c r="B94" s="9" t="s">
        <v>260</v>
      </c>
      <c r="F94" s="19" t="n">
        <f aca="false">$E$123</f>
        <v>10</v>
      </c>
      <c r="G94" s="19" t="n">
        <f aca="false">$F$123</f>
        <v>14.555</v>
      </c>
      <c r="H94" s="19" t="n">
        <f aca="false">$G$123</f>
        <v>12.1941825</v>
      </c>
      <c r="I94" s="19" t="n">
        <f aca="false">$H$123</f>
        <v>17.04680213125</v>
      </c>
      <c r="J94" s="19" t="n">
        <f aca="false">$I$123</f>
        <v>22.0772940057656</v>
      </c>
      <c r="K94" s="19" t="n">
        <f aca="false">$J$123</f>
        <v>37.7439880750205</v>
      </c>
      <c r="L94" s="19" t="n">
        <f aca="false">$K$123</f>
        <v>66.4068492075928</v>
      </c>
    </row>
    <row r="95" customFormat="false" ht="15" hidden="false" customHeight="false" outlineLevel="0" collapsed="false">
      <c r="B95" s="9" t="s">
        <v>261</v>
      </c>
      <c r="F95" s="19" t="n">
        <f aca="false">$E$123+$F$91-$F$109-$F$82-$F$85+$F$84+$F$86-$F$88+$F$90</f>
        <v>19.11</v>
      </c>
      <c r="G95" s="19" t="n">
        <f aca="false">$F$123+$G$91-$G$109-$G$82-$G$85+$G$84+$G$86-$G$88+$G$90</f>
        <v>14.388365</v>
      </c>
      <c r="H95" s="19" t="n">
        <f aca="false">$G$123+$H$91-$H$109-$H$82-$H$85+$H$84+$H$86-$H$88+$H$90</f>
        <v>24.0936042625</v>
      </c>
      <c r="I95" s="19" t="n">
        <f aca="false">$H$123+$I$91-$I$109-$I$82-$I$85+$I$84+$I$86-$I$88+$I$90</f>
        <v>34.1545880115313</v>
      </c>
      <c r="J95" s="19" t="n">
        <f aca="false">$I$123+$J$91-$J$109-$J$82-$J$85+$J$84+$J$86-$J$88+$J$90</f>
        <v>46.9919841000273</v>
      </c>
      <c r="K95" s="19" t="n">
        <f aca="false">$J$123+$K$91-$K$109-$K$82-$K$85+$K$84+$K$86-$K$88+$K$90</f>
        <v>66.4068492075928</v>
      </c>
      <c r="L95" s="19" t="n">
        <f aca="false">$K$123+$L$91-$L$109-$L$82-$L$85+$L$84+$L$86-$L$88+$L$90</f>
        <v>97.9587944838085</v>
      </c>
    </row>
    <row r="96" customFormat="false" ht="15" hidden="false" customHeight="false" outlineLevel="0" collapsed="false">
      <c r="B96" s="17" t="s">
        <v>262</v>
      </c>
      <c r="F96" s="18" t="n">
        <f aca="false">$F$95+$F$110-$F$111-$F$115</f>
        <v>14.555</v>
      </c>
      <c r="G96" s="18" t="n">
        <f aca="false">$G$95+$G$110-$G$111-$G$115</f>
        <v>12.1941825</v>
      </c>
      <c r="H96" s="18" t="n">
        <f aca="false">$H$95+$H$110-$H$111-$H$115</f>
        <v>17.04680213125</v>
      </c>
      <c r="I96" s="18" t="n">
        <f aca="false">$I$95+$I$110-$I$111-$I$115</f>
        <v>22.0772940057656</v>
      </c>
      <c r="J96" s="18" t="n">
        <f aca="false">$J$95+$J$110-$J$111-$J$115</f>
        <v>37.7439880750205</v>
      </c>
      <c r="K96" s="18" t="n">
        <f aca="false">$K$95+$K$110-$K$111-$K$115</f>
        <v>66.4068492075928</v>
      </c>
      <c r="L96" s="18" t="n">
        <f aca="false">$L$95+$L$110-$L$111-$L$115</f>
        <v>97.9587944838085</v>
      </c>
    </row>
    <row r="97" customFormat="false" ht="15" hidden="false" customHeight="false" outlineLevel="0" collapsed="false">
      <c r="B97" s="7" t="s">
        <v>263</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264</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265</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266</v>
      </c>
      <c r="F101" s="33" t="n">
        <f aca="false">$E$118*$F$100</f>
        <v>19.125</v>
      </c>
      <c r="G101" s="33" t="n">
        <f aca="false">$F$118*$G$100</f>
        <v>18.546575</v>
      </c>
      <c r="H101" s="33" t="n">
        <f aca="false">$G$118*$H$100</f>
        <v>21.5688194875</v>
      </c>
      <c r="I101" s="33" t="n">
        <f aca="false">$H$118*$I$100</f>
        <v>20.7445913063437</v>
      </c>
      <c r="J101" s="33" t="n">
        <f aca="false">$I$118*$J$100</f>
        <v>19.4927713158537</v>
      </c>
      <c r="K101" s="33" t="n">
        <f aca="false">$J$118*$K$100</f>
        <v>18.4814416537281</v>
      </c>
      <c r="L101" s="33" t="n">
        <f aca="false">$K$118*$L$100</f>
        <v>18.2561916537281</v>
      </c>
    </row>
    <row r="102" customFormat="false" ht="15" hidden="false" customHeight="false" outlineLevel="0" collapsed="false">
      <c r="B102" s="9" t="s">
        <v>267</v>
      </c>
      <c r="F102" s="33" t="n">
        <f aca="false">$E$120*Assumptions!$D$88</f>
        <v>5.5</v>
      </c>
      <c r="G102" s="33" t="n">
        <f aca="false">$F$120*Assumptions!$D$88</f>
        <v>5.5</v>
      </c>
      <c r="H102" s="33" t="n">
        <f aca="false">$G$120*Assumptions!$D$88</f>
        <v>5.5</v>
      </c>
      <c r="I102" s="33" t="n">
        <f aca="false">$H$120*Assumptions!$D$88</f>
        <v>5.5</v>
      </c>
      <c r="J102" s="33" t="n">
        <f aca="false">$I$120*Assumptions!$D$88</f>
        <v>5.5</v>
      </c>
      <c r="K102" s="33" t="n">
        <f aca="false">$J$120*Assumptions!$D$88</f>
        <v>5.5</v>
      </c>
      <c r="L102" s="33" t="n">
        <f aca="false">$K$120*Assumptions!$D$88</f>
        <v>5.5</v>
      </c>
    </row>
    <row r="103" customFormat="false" ht="15" hidden="false" customHeight="false" outlineLevel="0" collapsed="false">
      <c r="B103" s="9" t="s">
        <v>268</v>
      </c>
      <c r="F103" s="33" t="n">
        <f aca="false">$E$121*($D$18+Assumptions!$D$91)+(Assumptions!$D$90-$E$121)*Assumptions!$D$92</f>
        <v>0.2</v>
      </c>
      <c r="G103" s="33" t="n">
        <f aca="false">$F$121*($D$18+Assumptions!$D$91)+(Assumptions!$D$90-$F$121)*Assumptions!$D$92</f>
        <v>0.2</v>
      </c>
      <c r="H103" s="33" t="n">
        <f aca="false">$G$121*($D$18+Assumptions!$D$91)+(Assumptions!$D$90-$G$121)*Assumptions!$D$92</f>
        <v>0.2</v>
      </c>
      <c r="I103" s="33" t="n">
        <f aca="false">$H$121*($D$18+Assumptions!$D$91)+(Assumptions!$D$90-$H$121)*Assumptions!$D$92</f>
        <v>0.2</v>
      </c>
      <c r="J103" s="33" t="n">
        <f aca="false">$I$121*($D$18+Assumptions!$D$91)+(Assumptions!$D$90-$I$121)*Assumptions!$D$92</f>
        <v>0.2</v>
      </c>
      <c r="K103" s="33" t="n">
        <f aca="false">$J$121*($D$18+Assumptions!$D$91)+(Assumptions!$D$90-$J$121)*Assumptions!$D$92</f>
        <v>0.2</v>
      </c>
      <c r="L103" s="33" t="n">
        <f aca="false">$K$121*($D$18+Assumptions!$D$91)+(Assumptions!$D$90-$K$121)*Assumptions!$D$92</f>
        <v>0.2</v>
      </c>
    </row>
    <row r="104" customFormat="false" ht="15" hidden="false" customHeight="false" outlineLevel="0" collapsed="false">
      <c r="B104" s="9" t="s">
        <v>269</v>
      </c>
      <c r="F104" s="33" t="n">
        <f aca="false">$E$123*Assumptions!$D$9</f>
        <v>0.2</v>
      </c>
      <c r="G104" s="33" t="n">
        <f aca="false">$F$123*Assumptions!$D$9</f>
        <v>0.2911</v>
      </c>
      <c r="H104" s="33" t="n">
        <f aca="false">$G$123*Assumptions!$D$9</f>
        <v>0.24388365</v>
      </c>
      <c r="I104" s="33" t="n">
        <f aca="false">$H$123*Assumptions!$D$9</f>
        <v>0.340936042625</v>
      </c>
      <c r="J104" s="33" t="n">
        <f aca="false">$I$123*Assumptions!$D$9</f>
        <v>0.441545880115313</v>
      </c>
      <c r="K104" s="33" t="n">
        <f aca="false">$J$123*Assumptions!$D$9</f>
        <v>0.754879761500409</v>
      </c>
      <c r="L104" s="33" t="n">
        <f aca="false">$K$123*Assumptions!$D$9</f>
        <v>1.32813698415186</v>
      </c>
    </row>
    <row r="105" customFormat="false" ht="15" hidden="false" customHeight="false" outlineLevel="0" collapsed="false">
      <c r="B105" s="17" t="s">
        <v>270</v>
      </c>
      <c r="F105" s="34" t="n">
        <f aca="false">$F$101+$F$102+$F$103-$F$104</f>
        <v>24.625</v>
      </c>
      <c r="G105" s="34" t="n">
        <f aca="false">$G$101+$G$102+$G$103-$G$104</f>
        <v>23.955475</v>
      </c>
      <c r="H105" s="34" t="n">
        <f aca="false">$H$101+$H$102+$H$103-$H$104</f>
        <v>27.0249358375</v>
      </c>
      <c r="I105" s="34" t="n">
        <f aca="false">$I$101+$I$102+$I$103-$I$104</f>
        <v>26.1036552637187</v>
      </c>
      <c r="J105" s="34" t="n">
        <f aca="false">$J$101+$J$102+$J$103-$J$104</f>
        <v>24.7512254357384</v>
      </c>
      <c r="K105" s="34" t="n">
        <f aca="false">$K$101+$K$102+$K$103-$K$104</f>
        <v>23.4265618922277</v>
      </c>
      <c r="L105" s="34" t="n">
        <f aca="false">$L$101+$L$102+$L$103-$L$104</f>
        <v>22.6280546695762</v>
      </c>
    </row>
    <row r="106" customFormat="false" ht="15" hidden="false" customHeight="false" outlineLevel="0" collapsed="false">
      <c r="B106" s="9" t="s">
        <v>271</v>
      </c>
      <c r="F106" s="33" t="n">
        <f aca="false">IF($E$149&gt;0,$E$149/MAX(1,Assumptions!$D$86-($F$64-1)),0)</f>
        <v>0.785714285714286</v>
      </c>
      <c r="G106" s="33" t="n">
        <f aca="false">IF($F$149&gt;0,$F$149/MAX(1,Assumptions!$D$86-($G$64-1)),0)</f>
        <v>0.785714285714286</v>
      </c>
      <c r="H106" s="33" t="n">
        <f aca="false">IF($G$149&gt;0,$G$149/MAX(1,Assumptions!$D$86-($H$64-1)),0)</f>
        <v>0.945714285714286</v>
      </c>
      <c r="I106" s="33" t="n">
        <f aca="false">IF($H$149&gt;0,$H$149/MAX(1,Assumptions!$D$86-($I$64-1)),0)</f>
        <v>0.945714285714286</v>
      </c>
      <c r="J106" s="33" t="n">
        <f aca="false">IF($I$149&gt;0,$I$149/MAX(1,Assumptions!$D$86-($J$64-1)),0)</f>
        <v>0.945714285714286</v>
      </c>
      <c r="K106" s="33" t="n">
        <f aca="false">IF($J$149&gt;0,$J$149/MAX(1,Assumptions!$D$86-($K$64-1)),0)</f>
        <v>0.945714285714286</v>
      </c>
      <c r="L106" s="33" t="n">
        <f aca="false">IF($K$149&gt;0,$K$149/MAX(1,Assumptions!$D$86-($L$64-1)),0)</f>
        <v>0.945714285714286</v>
      </c>
    </row>
    <row r="107" customFormat="false" ht="15" hidden="false" customHeight="false" outlineLevel="0" collapsed="false">
      <c r="B107" s="9" t="s">
        <v>272</v>
      </c>
      <c r="F107" s="24" t="n">
        <f aca="false">IF($F$105&lt;&gt;0,$F$72/$F$105,0)</f>
        <v>2.21725888324873</v>
      </c>
      <c r="G107" s="24" t="n">
        <f aca="false">IF($G$105&lt;&gt;0,$G$72/$G$105,0)</f>
        <v>2.52748901868988</v>
      </c>
      <c r="H107" s="24" t="n">
        <f aca="false">IF($H$105&lt;&gt;0,$H$72/$H$105,0)</f>
        <v>2.14115616584394</v>
      </c>
      <c r="I107" s="24" t="n">
        <f aca="false">IF($I$105&lt;&gt;0,$I$72/$I$105,0)</f>
        <v>2.6915788003703</v>
      </c>
      <c r="J107" s="24" t="n">
        <f aca="false">IF($J$105&lt;&gt;0,$J$72/$J$105,0)</f>
        <v>3.14420349497651</v>
      </c>
      <c r="K107" s="24" t="n">
        <f aca="false">IF($K$105&lt;&gt;0,$K$72/$K$105,0)</f>
        <v>3.44975099088751</v>
      </c>
      <c r="L107" s="24" t="n">
        <f aca="false">IF($L$105&lt;&gt;0,$L$72/$L$105,0)</f>
        <v>3.70904342111543</v>
      </c>
    </row>
    <row r="108" customFormat="false" ht="15" hidden="false" customHeight="false" outlineLevel="0" collapsed="false">
      <c r="B108" s="7" t="s">
        <v>273</v>
      </c>
      <c r="C108" s="8"/>
      <c r="D108" s="8"/>
      <c r="E108" s="8"/>
      <c r="F108" s="8"/>
      <c r="G108" s="8"/>
      <c r="H108" s="8"/>
      <c r="I108" s="8"/>
      <c r="J108" s="8"/>
      <c r="K108" s="8"/>
      <c r="L108" s="8"/>
    </row>
    <row r="109" customFormat="false" ht="15" hidden="false" customHeight="false" outlineLevel="0" collapsed="false">
      <c r="B109" s="9" t="s">
        <v>274</v>
      </c>
      <c r="F109" s="33" t="n">
        <f aca="false">IF($D$14=1,0,MIN($E$118,Assumptions!$D$85*$E$119))</f>
        <v>2.25</v>
      </c>
      <c r="G109" s="33" t="n">
        <f aca="false">IF($D$14=1,0,MIN($F$118,Assumptions!$D$85*$F$119))</f>
        <v>2.25</v>
      </c>
      <c r="H109" s="33" t="n">
        <f aca="false">IF($D$14=1,0,MIN($G$118,Assumptions!$D$85*$G$119))</f>
        <v>2.65</v>
      </c>
      <c r="I109" s="33" t="n">
        <f aca="false">IF($D$14=1,0,MIN($H$118,Assumptions!$D$85*$H$119))</f>
        <v>2.65</v>
      </c>
      <c r="J109" s="33" t="n">
        <f aca="false">IF($D$14=1,0,MIN($I$118,Assumptions!$D$85*$I$119))</f>
        <v>2.65</v>
      </c>
      <c r="K109" s="33" t="n">
        <f aca="false">IF($D$14=1,0,MIN($J$118,Assumptions!$D$85*$J$119))</f>
        <v>2.65</v>
      </c>
      <c r="L109" s="33" t="n">
        <f aca="false">IF($D$14=1,0,MIN($K$118,Assumptions!$D$85*$K$119))</f>
        <v>2.65</v>
      </c>
    </row>
    <row r="110" customFormat="false" ht="15" hidden="false" customHeight="false" outlineLevel="0" collapsed="false">
      <c r="B110" s="9" t="s">
        <v>275</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276</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277</v>
      </c>
      <c r="F112" s="19" t="n">
        <f aca="false">$F$95+$F$110-$F$111</f>
        <v>19.11</v>
      </c>
      <c r="G112" s="19" t="n">
        <f aca="false">$G$95+$G$110-$G$111</f>
        <v>14.388365</v>
      </c>
      <c r="H112" s="19" t="n">
        <f aca="false">$H$95+$H$110-$H$111</f>
        <v>24.0936042625</v>
      </c>
      <c r="I112" s="19" t="n">
        <f aca="false">$I$95+$I$110-$I$111</f>
        <v>34.1545880115313</v>
      </c>
      <c r="J112" s="19" t="n">
        <f aca="false">$J$95+$J$110-$J$111</f>
        <v>46.9919841000273</v>
      </c>
      <c r="K112" s="19" t="n">
        <f aca="false">$K$95+$K$110-$K$111</f>
        <v>66.4068492075928</v>
      </c>
      <c r="L112" s="19" t="n">
        <f aca="false">$L$95+$L$110-$L$111</f>
        <v>97.9587944838085</v>
      </c>
    </row>
    <row r="113" customFormat="false" ht="15" hidden="false" customHeight="false" outlineLevel="0" collapsed="false">
      <c r="B113" s="9" t="s">
        <v>278</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279</v>
      </c>
      <c r="F114" s="19" t="n">
        <f aca="false">MAX(0,$F$112-Assumptions!$D$79)</f>
        <v>9.11</v>
      </c>
      <c r="G114" s="19" t="n">
        <f aca="false">MAX(0,$G$112-Assumptions!$D$79)</f>
        <v>4.38836500000001</v>
      </c>
      <c r="H114" s="19" t="n">
        <f aca="false">MAX(0,$H$112-Assumptions!$D$79)</f>
        <v>14.0936042625</v>
      </c>
      <c r="I114" s="19" t="n">
        <f aca="false">MAX(0,$I$112-Assumptions!$D$79)</f>
        <v>24.1545880115313</v>
      </c>
      <c r="J114" s="19" t="n">
        <f aca="false">MAX(0,$J$112-Assumptions!$D$79)</f>
        <v>36.9919841000273</v>
      </c>
      <c r="K114" s="19" t="n">
        <f aca="false">MAX(0,$K$112-Assumptions!$D$79)</f>
        <v>56.4068492075928</v>
      </c>
      <c r="L114" s="19" t="n">
        <f aca="false">MAX(0,$L$112-Assumptions!$D$79)</f>
        <v>87.9587944838085</v>
      </c>
    </row>
    <row r="115" customFormat="false" ht="15" hidden="false" customHeight="false" outlineLevel="0" collapsed="false">
      <c r="B115" s="17" t="s">
        <v>280</v>
      </c>
      <c r="F115" s="18" t="n">
        <f aca="false">IF(AND($D$19=1,$D$14=0,$E$121-$F$111+$F$110=0),MIN($E$118-$F$109+$F$84,$F$113*$F$114),0)</f>
        <v>4.555</v>
      </c>
      <c r="G115" s="18" t="n">
        <f aca="false">IF(AND($D$19=1,$D$14=0,$F$121-$G$111+$G$110=0),MIN($F$118-$G$109+$G$84,$G$113*$G$114),0)</f>
        <v>2.19418250000001</v>
      </c>
      <c r="H115" s="18" t="n">
        <f aca="false">IF(AND($D$19=1,$D$14=0,$G$121-$H$111+$H$110=0),MIN($G$118-$H$109+$H$84,$H$113*$H$114),0)</f>
        <v>7.04680213125001</v>
      </c>
      <c r="I115" s="18" t="n">
        <f aca="false">IF(AND($D$19=1,$D$14=0,$H$121-$I$111+$I$110=0),MIN($H$118-$I$109+$I$84,$I$113*$I$114),0)</f>
        <v>12.0772940057656</v>
      </c>
      <c r="J115" s="18" t="n">
        <f aca="false">IF(AND($D$19=1,$D$14=0,$I$121-$J$111+$J$110=0),MIN($I$118-$J$109+$J$84,$J$113*$J$114),0)</f>
        <v>9.24799602500682</v>
      </c>
      <c r="K115" s="18" t="n">
        <f aca="false">IF(AND($D$19=1,$D$14=0,$J$121-$K$111+$K$110=0),MIN($J$118-$K$109+$K$84,$K$113*$K$114),0)</f>
        <v>0</v>
      </c>
      <c r="L115" s="18" t="n">
        <f aca="false">IF(AND($D$19=1,$D$14=0,$K$121-$L$111+$L$110=0),MIN($K$118-$L$109+$L$84,$L$113*$L$114),0)</f>
        <v>0</v>
      </c>
    </row>
    <row r="116" customFormat="false" ht="15" hidden="false" customHeight="false" outlineLevel="0" collapsed="false">
      <c r="B116" s="9" t="s">
        <v>281</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282</v>
      </c>
      <c r="C117" s="8"/>
      <c r="D117" s="8"/>
      <c r="E117" s="8"/>
      <c r="F117" s="8"/>
      <c r="G117" s="8"/>
      <c r="H117" s="8"/>
      <c r="I117" s="8"/>
      <c r="J117" s="8"/>
      <c r="K117" s="8"/>
      <c r="L117" s="8"/>
    </row>
    <row r="118" customFormat="false" ht="15" hidden="false" customHeight="false" outlineLevel="0" collapsed="false">
      <c r="B118" s="9" t="s">
        <v>203</v>
      </c>
      <c r="E118" s="19" t="n">
        <f aca="false">$D$32</f>
        <v>225</v>
      </c>
      <c r="F118" s="19" t="n">
        <f aca="false">$E$118-$F$109-$F$115+$F$84+$F$86</f>
        <v>218.195</v>
      </c>
      <c r="G118" s="19" t="n">
        <f aca="false">$F$118-$G$109-$G$115+$G$84+$G$86</f>
        <v>253.7508175</v>
      </c>
      <c r="H118" s="19" t="n">
        <f aca="false">$G$118-$H$109-$H$115+$H$84+$H$86</f>
        <v>244.05401536875</v>
      </c>
      <c r="I118" s="19" t="n">
        <f aca="false">$H$118-$I$109-$I$115+$I$84+$I$86</f>
        <v>229.326721362984</v>
      </c>
      <c r="J118" s="19" t="n">
        <f aca="false">$I$118-$J$109-$J$115+$J$84+$J$86</f>
        <v>217.428725337978</v>
      </c>
      <c r="K118" s="19" t="n">
        <f aca="false">$J$118-$K$109-$K$115+$K$84+$K$86</f>
        <v>214.778725337978</v>
      </c>
      <c r="L118" s="19" t="n">
        <f aca="false">$K$118-$L$109-$L$115+$L$84+$L$86</f>
        <v>212.128725337978</v>
      </c>
    </row>
    <row r="119" customFormat="false" ht="15" hidden="false" customHeight="false" outlineLevel="0" collapsed="false">
      <c r="B119" s="9" t="s">
        <v>283</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202</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284</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220</v>
      </c>
      <c r="E122" s="18" t="n">
        <f aca="false">$E$118+$E$120+$E$121</f>
        <v>275</v>
      </c>
      <c r="F122" s="18" t="n">
        <f aca="false">$F$118+$F$120+$F$121</f>
        <v>268.195</v>
      </c>
      <c r="G122" s="18" t="n">
        <f aca="false">$G$118+$G$120+$G$121</f>
        <v>303.7508175</v>
      </c>
      <c r="H122" s="18" t="n">
        <f aca="false">$H$118+$H$120+$H$121</f>
        <v>294.05401536875</v>
      </c>
      <c r="I122" s="18" t="n">
        <f aca="false">$I$118+$I$120+$I$121</f>
        <v>279.326721362984</v>
      </c>
      <c r="J122" s="18" t="n">
        <f aca="false">$J$118+$J$120+$J$121</f>
        <v>267.428725337978</v>
      </c>
      <c r="K122" s="18" t="n">
        <f aca="false">$K$118+$K$120+$K$121</f>
        <v>264.778725337978</v>
      </c>
      <c r="L122" s="18" t="n">
        <f aca="false">$L$118+$L$120+$L$121</f>
        <v>262.128725337977</v>
      </c>
    </row>
    <row r="123" customFormat="false" ht="15" hidden="false" customHeight="false" outlineLevel="0" collapsed="false">
      <c r="B123" s="9" t="s">
        <v>285</v>
      </c>
      <c r="E123" s="19" t="n">
        <f aca="false">Assumptions!$D$78</f>
        <v>10</v>
      </c>
      <c r="F123" s="19" t="n">
        <f aca="false">$F$112-$F$115</f>
        <v>14.555</v>
      </c>
      <c r="G123" s="19" t="n">
        <f aca="false">$G$112-$G$115</f>
        <v>12.1941825</v>
      </c>
      <c r="H123" s="19" t="n">
        <f aca="false">$H$112-$H$115</f>
        <v>17.04680213125</v>
      </c>
      <c r="I123" s="19" t="n">
        <f aca="false">$I$112-$I$115</f>
        <v>22.0772940057656</v>
      </c>
      <c r="J123" s="19" t="n">
        <f aca="false">$J$112-$J$115</f>
        <v>37.7439880750205</v>
      </c>
      <c r="K123" s="19" t="n">
        <f aca="false">$K$112-$K$115</f>
        <v>66.4068492075928</v>
      </c>
      <c r="L123" s="19" t="n">
        <f aca="false">$L$112-$L$115</f>
        <v>97.9587944838085</v>
      </c>
    </row>
    <row r="124" customFormat="false" ht="15" hidden="false" customHeight="false" outlineLevel="0" collapsed="false">
      <c r="B124" s="17" t="s">
        <v>286</v>
      </c>
      <c r="E124" s="18" t="n">
        <f aca="false">$E$122-$E$123</f>
        <v>265</v>
      </c>
      <c r="F124" s="18" t="n">
        <f aca="false">$F$122-$F$123</f>
        <v>253.64</v>
      </c>
      <c r="G124" s="18" t="n">
        <f aca="false">$G$122-$G$123</f>
        <v>291.556635</v>
      </c>
      <c r="H124" s="18" t="n">
        <f aca="false">$H$122-$H$123</f>
        <v>277.0072132375</v>
      </c>
      <c r="I124" s="18" t="n">
        <f aca="false">$I$122-$I$123</f>
        <v>257.249427357219</v>
      </c>
      <c r="J124" s="18" t="n">
        <f aca="false">$J$122-$J$123</f>
        <v>229.684737262957</v>
      </c>
      <c r="K124" s="18" t="n">
        <f aca="false">$K$122-$K$123</f>
        <v>198.371876130385</v>
      </c>
      <c r="L124" s="18" t="n">
        <f aca="false">$L$122-$L$123</f>
        <v>164.169930854169</v>
      </c>
    </row>
    <row r="125" customFormat="false" ht="15" hidden="false" customHeight="false" outlineLevel="0" collapsed="false">
      <c r="B125" s="9" t="s">
        <v>223</v>
      </c>
      <c r="E125" s="24" t="n">
        <f aca="false">$E$124/$E$72</f>
        <v>5.3</v>
      </c>
      <c r="F125" s="24" t="n">
        <f aca="false">$F$124/$F$72</f>
        <v>4.64542124542125</v>
      </c>
      <c r="G125" s="24" t="n">
        <f aca="false">$G$124/$G$72</f>
        <v>4.81536115625495</v>
      </c>
      <c r="H125" s="24" t="n">
        <f aca="false">$H$124/$H$72</f>
        <v>4.7871613203964</v>
      </c>
      <c r="I125" s="24" t="n">
        <f aca="false">$I$124/$I$72</f>
        <v>3.66139001075009</v>
      </c>
      <c r="J125" s="24" t="n">
        <f aca="false">$J$124/$J$72</f>
        <v>2.9513776561063</v>
      </c>
      <c r="K125" s="24" t="n">
        <f aca="false">$K$124/$K$72</f>
        <v>2.45461733485126</v>
      </c>
      <c r="L125" s="24" t="n">
        <f aca="false">$L$124/$L$72</f>
        <v>1.95607038717874</v>
      </c>
    </row>
    <row r="126" customFormat="false" ht="15" hidden="false" customHeight="false" outlineLevel="0" collapsed="false">
      <c r="B126" s="9" t="s">
        <v>287</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288</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289</v>
      </c>
      <c r="F129" s="33" t="n">
        <f aca="false">$F$72-$F$74</f>
        <v>42.84</v>
      </c>
      <c r="G129" s="33" t="n">
        <f aca="false">$G$72-$G$74</f>
        <v>48.0816</v>
      </c>
      <c r="H129" s="33" t="n">
        <f aca="false">$H$72-$H$74</f>
        <v>43.962944</v>
      </c>
      <c r="I129" s="33" t="n">
        <f aca="false">$I$72-$I$74</f>
        <v>55.45078464</v>
      </c>
      <c r="J129" s="33" t="n">
        <f aca="false">$J$72-$J$74</f>
        <v>62.295879616</v>
      </c>
      <c r="K129" s="33" t="n">
        <f aca="false">$K$72-$K$74</f>
        <v>64.66771480064</v>
      </c>
      <c r="L129" s="33" t="n">
        <f aca="false">$L$72-$L$74</f>
        <v>67.1344233926656</v>
      </c>
    </row>
    <row r="130" customFormat="false" ht="15" hidden="false" customHeight="false" outlineLevel="0" collapsed="false">
      <c r="B130" s="9" t="s">
        <v>290</v>
      </c>
      <c r="F130" s="33" t="n">
        <f aca="false">$F$105+$F$106</f>
        <v>25.4107142857143</v>
      </c>
      <c r="G130" s="33" t="n">
        <f aca="false">$G$105+$G$106</f>
        <v>24.7411892857143</v>
      </c>
      <c r="H130" s="33" t="n">
        <f aca="false">$H$105+$H$106</f>
        <v>27.9706501232143</v>
      </c>
      <c r="I130" s="33" t="n">
        <f aca="false">$I$105+$I$106</f>
        <v>27.049369549433</v>
      </c>
      <c r="J130" s="33" t="n">
        <f aca="false">$J$105+$J$106</f>
        <v>25.6969397214526</v>
      </c>
      <c r="K130" s="33" t="n">
        <f aca="false">$K$105+$K$106</f>
        <v>24.372276177942</v>
      </c>
      <c r="L130" s="33" t="n">
        <f aca="false">$L$105+$L$106</f>
        <v>23.5737689552905</v>
      </c>
    </row>
    <row r="131" customFormat="false" ht="15" hidden="false" customHeight="false" outlineLevel="0" collapsed="false">
      <c r="B131" s="9" t="s">
        <v>291</v>
      </c>
      <c r="F131" s="33" t="n">
        <f aca="false">$F$129-$F$130-$F$83-$F$87-$F$89</f>
        <v>17.4292857142857</v>
      </c>
      <c r="G131" s="33" t="n">
        <f aca="false">$G$129-$G$130-$G$83-$G$87-$G$89</f>
        <v>21.8404107142857</v>
      </c>
      <c r="H131" s="33" t="n">
        <f aca="false">$H$129-$H$130-$H$83-$H$87-$H$89</f>
        <v>15.9922938767857</v>
      </c>
      <c r="I131" s="33" t="n">
        <f aca="false">$I$129-$I$130-$I$83-$I$87-$I$89</f>
        <v>28.401415090567</v>
      </c>
      <c r="J131" s="33" t="n">
        <f aca="false">$J$129-$J$130-$J$83-$J$87-$J$89</f>
        <v>36.5989398945474</v>
      </c>
      <c r="K131" s="33" t="n">
        <f aca="false">$K$129-$K$130-$K$83-$K$87-$K$89</f>
        <v>40.295438622698</v>
      </c>
      <c r="L131" s="33" t="n">
        <f aca="false">$L$129-$L$130-$L$83-$L$87-$L$89</f>
        <v>43.5606544373751</v>
      </c>
    </row>
    <row r="132" customFormat="false" ht="15" hidden="false" customHeight="false" outlineLevel="0" collapsed="false">
      <c r="B132" s="9" t="s">
        <v>292</v>
      </c>
      <c r="F132" s="33" t="n">
        <f aca="false">Assumptions!$D$8*$F$72</f>
        <v>16.38</v>
      </c>
      <c r="G132" s="33" t="n">
        <f aca="false">Assumptions!$D$8*$G$72</f>
        <v>18.16416</v>
      </c>
      <c r="H132" s="33" t="n">
        <f aca="false">Assumptions!$D$8*$H$72</f>
        <v>17.3593824</v>
      </c>
      <c r="I132" s="33" t="n">
        <f aca="false">Assumptions!$D$8*$I$72</f>
        <v>21.078013536</v>
      </c>
      <c r="J132" s="33" t="n">
        <f aca="false">Assumptions!$D$8*$J$72</f>
        <v>23.346866856</v>
      </c>
      <c r="K132" s="33" t="n">
        <f aca="false">Assumptions!$D$8*$K$72</f>
        <v>24.24474153024</v>
      </c>
      <c r="L132" s="33" t="n">
        <f aca="false">Assumptions!$D$8*$L$72</f>
        <v>25.1785311914496</v>
      </c>
    </row>
    <row r="133" customFormat="false" ht="15" hidden="false" customHeight="false" outlineLevel="0" collapsed="false">
      <c r="B133" s="9" t="s">
        <v>293</v>
      </c>
      <c r="F133" s="33" t="n">
        <f aca="false">$F$130+$E$135</f>
        <v>25.4107142857143</v>
      </c>
      <c r="G133" s="33" t="n">
        <f aca="false">$G$130+$F$135</f>
        <v>33.7719035714286</v>
      </c>
      <c r="H133" s="33" t="n">
        <f aca="false">$H$130+$G$135</f>
        <v>43.5783936946428</v>
      </c>
      <c r="I133" s="33" t="n">
        <f aca="false">$I$130+$H$135</f>
        <v>53.2683808440759</v>
      </c>
      <c r="J133" s="33" t="n">
        <f aca="false">$J$130+$I$135</f>
        <v>57.8873070295285</v>
      </c>
      <c r="K133" s="33" t="n">
        <f aca="false">$K$130+$J$135</f>
        <v>58.9127163514705</v>
      </c>
      <c r="L133" s="33" t="n">
        <f aca="false">$L$130+$K$135</f>
        <v>58.241743776521</v>
      </c>
    </row>
    <row r="134" customFormat="false" ht="15" hidden="false" customHeight="false" outlineLevel="0" collapsed="false">
      <c r="B134" s="9" t="s">
        <v>294</v>
      </c>
      <c r="F134" s="33" t="n">
        <f aca="false">MIN($F$133,$F$132)</f>
        <v>16.38</v>
      </c>
      <c r="G134" s="33" t="n">
        <f aca="false">MIN($G$133,$G$132)</f>
        <v>18.16416</v>
      </c>
      <c r="H134" s="33" t="n">
        <f aca="false">MIN($H$133,$H$132)</f>
        <v>17.3593824</v>
      </c>
      <c r="I134" s="33" t="n">
        <f aca="false">MIN($I$133,$I$132)</f>
        <v>21.078013536</v>
      </c>
      <c r="J134" s="33" t="n">
        <f aca="false">MIN($J$133,$J$132)</f>
        <v>23.346866856</v>
      </c>
      <c r="K134" s="33" t="n">
        <f aca="false">MIN($K$133,$K$132)</f>
        <v>24.24474153024</v>
      </c>
      <c r="L134" s="33" t="n">
        <f aca="false">MIN($L$133,$L$132)</f>
        <v>25.1785311914496</v>
      </c>
    </row>
    <row r="135" customFormat="false" ht="15" hidden="false" customHeight="false" outlineLevel="0" collapsed="false">
      <c r="B135" s="9" t="s">
        <v>295</v>
      </c>
      <c r="E135" s="33" t="n">
        <f aca="false">0</f>
        <v>0</v>
      </c>
      <c r="F135" s="33" t="n">
        <f aca="false">$F$133-$F$134</f>
        <v>9.03071428571429</v>
      </c>
      <c r="G135" s="33" t="n">
        <f aca="false">$G$133-$G$134</f>
        <v>15.6077435714286</v>
      </c>
      <c r="H135" s="33" t="n">
        <f aca="false">$H$133-$H$134</f>
        <v>26.2190112946428</v>
      </c>
      <c r="I135" s="33" t="n">
        <f aca="false">$I$133-$I$134</f>
        <v>32.1903673080759</v>
      </c>
      <c r="J135" s="33" t="n">
        <f aca="false">$J$133-$J$134</f>
        <v>34.5404401735285</v>
      </c>
      <c r="K135" s="33" t="n">
        <f aca="false">$K$133-$K$134</f>
        <v>34.6679748212305</v>
      </c>
      <c r="L135" s="33" t="n">
        <f aca="false">$L$133-$L$134</f>
        <v>33.0632125850714</v>
      </c>
    </row>
    <row r="136" customFormat="false" ht="15" hidden="false" customHeight="false" outlineLevel="0" collapsed="false">
      <c r="B136" s="9" t="s">
        <v>296</v>
      </c>
      <c r="F136" s="33" t="n">
        <f aca="false">$F$129-$F$134-$F$83-$F$87-$F$89</f>
        <v>26.46</v>
      </c>
      <c r="G136" s="33" t="n">
        <f aca="false">$G$129-$G$134-$G$83-$G$87-$G$89</f>
        <v>28.41744</v>
      </c>
      <c r="H136" s="33" t="n">
        <f aca="false">$H$129-$H$134-$H$83-$H$87-$H$89</f>
        <v>26.6035616</v>
      </c>
      <c r="I136" s="33" t="n">
        <f aca="false">$I$129-$I$134-$I$83-$I$87-$I$89</f>
        <v>34.372771104</v>
      </c>
      <c r="J136" s="33" t="n">
        <f aca="false">$J$129-$J$134-$J$83-$J$87-$J$89</f>
        <v>38.94901276</v>
      </c>
      <c r="K136" s="33" t="n">
        <f aca="false">$K$129-$K$134-$K$83-$K$87-$K$89</f>
        <v>40.4229732704</v>
      </c>
      <c r="L136" s="33" t="n">
        <f aca="false">$L$129-$L$134-$L$83-$L$87-$L$89</f>
        <v>41.955892201216</v>
      </c>
    </row>
    <row r="137" customFormat="false" ht="15" hidden="false" customHeight="false" outlineLevel="0" collapsed="false">
      <c r="B137" s="9" t="s">
        <v>297</v>
      </c>
      <c r="F137" s="33" t="n">
        <f aca="false">IF($F$136&lt;0,0,MIN($E$138,$F$136))</f>
        <v>0</v>
      </c>
      <c r="G137" s="33" t="n">
        <f aca="false">IF($G$136&lt;0,0,MIN($F$138,$G$136))</f>
        <v>0</v>
      </c>
      <c r="H137" s="33" t="n">
        <f aca="false">IF($H$136&lt;0,0,MIN($G$138,$H$136))</f>
        <v>0</v>
      </c>
      <c r="I137" s="33" t="n">
        <f aca="false">IF($I$136&lt;0,0,MIN($H$138,$I$136))</f>
        <v>0</v>
      </c>
      <c r="J137" s="33" t="n">
        <f aca="false">IF($J$136&lt;0,0,MIN($I$138,$J$136))</f>
        <v>0</v>
      </c>
      <c r="K137" s="33" t="n">
        <f aca="false">IF($K$136&lt;0,0,MIN($J$138,$K$136))</f>
        <v>0</v>
      </c>
      <c r="L137" s="33" t="n">
        <f aca="false">IF($L$136&lt;0,0,MIN($K$138,$L$136))</f>
        <v>0</v>
      </c>
    </row>
    <row r="138" customFormat="false" ht="15" hidden="false" customHeight="false" outlineLevel="0" collapsed="false">
      <c r="B138" s="9" t="s">
        <v>298</v>
      </c>
      <c r="E138" s="33" t="n">
        <f aca="false">0</f>
        <v>0</v>
      </c>
      <c r="F138" s="33" t="n">
        <f aca="false">$E$138+MAX(0,-$F$136)-$F$137</f>
        <v>0</v>
      </c>
      <c r="G138" s="33" t="n">
        <f aca="false">$F$138+MAX(0,-$G$136)-$G$137</f>
        <v>0</v>
      </c>
      <c r="H138" s="33" t="n">
        <f aca="false">$G$138+MAX(0,-$H$136)-$H$137</f>
        <v>0</v>
      </c>
      <c r="I138" s="33" t="n">
        <f aca="false">$H$138+MAX(0,-$I$136)-$I$137</f>
        <v>0</v>
      </c>
      <c r="J138" s="33" t="n">
        <f aca="false">$I$138+MAX(0,-$J$136)-$J$137</f>
        <v>0</v>
      </c>
      <c r="K138" s="33" t="n">
        <f aca="false">$J$138+MAX(0,-$K$136)-$K$137</f>
        <v>0</v>
      </c>
      <c r="L138" s="33" t="n">
        <f aca="false">$K$138+MAX(0,-$L$136)-$L$137</f>
        <v>0</v>
      </c>
    </row>
    <row r="139" customFormat="false" ht="15" hidden="false" customHeight="false" outlineLevel="0" collapsed="false">
      <c r="B139" s="17" t="s">
        <v>299</v>
      </c>
      <c r="F139" s="34" t="n">
        <f aca="false">IF($F$136&lt;0,0,Assumptions!$D$7*($F$136-$F$137))</f>
        <v>6.615</v>
      </c>
      <c r="G139" s="34" t="n">
        <f aca="false">IF($G$136&lt;0,0,Assumptions!$D$7*($G$136-$G$137))</f>
        <v>7.10436</v>
      </c>
      <c r="H139" s="34" t="n">
        <f aca="false">IF($H$136&lt;0,0,Assumptions!$D$7*($H$136-$H$137))</f>
        <v>6.6508904</v>
      </c>
      <c r="I139" s="34" t="n">
        <f aca="false">IF($I$136&lt;0,0,Assumptions!$D$7*($I$136-$I$137))</f>
        <v>8.593192776</v>
      </c>
      <c r="J139" s="34" t="n">
        <f aca="false">IF($J$136&lt;0,0,Assumptions!$D$7*($J$136-$J$137))</f>
        <v>9.73725319</v>
      </c>
      <c r="K139" s="34" t="n">
        <f aca="false">IF($K$136&lt;0,0,Assumptions!$D$7*($K$136-$K$137))</f>
        <v>10.1057433176</v>
      </c>
      <c r="L139" s="34" t="n">
        <f aca="false">IF($L$136&lt;0,0,Assumptions!$D$7*($L$136-$L$137))</f>
        <v>10.488973050304</v>
      </c>
    </row>
    <row r="140" customFormat="false" ht="15" hidden="false" customHeight="false" outlineLevel="0" collapsed="false">
      <c r="B140" s="9" t="s">
        <v>300</v>
      </c>
      <c r="F140" s="19" t="n">
        <f aca="false">$F$131-$F$139</f>
        <v>10.8142857142857</v>
      </c>
      <c r="G140" s="19" t="n">
        <f aca="false">$G$131-$G$139</f>
        <v>14.7360507142857</v>
      </c>
      <c r="H140" s="19" t="n">
        <f aca="false">$H$131-$H$139</f>
        <v>9.34140347678572</v>
      </c>
      <c r="I140" s="19" t="n">
        <f aca="false">$I$131-$I$139</f>
        <v>19.808222314567</v>
      </c>
      <c r="J140" s="19" t="n">
        <f aca="false">$J$131-$J$139</f>
        <v>26.8616867045474</v>
      </c>
      <c r="K140" s="19" t="n">
        <f aca="false">$K$131-$K$139</f>
        <v>30.189695305098</v>
      </c>
      <c r="L140" s="19" t="n">
        <f aca="false">$L$131-$L$139</f>
        <v>33.0716813870711</v>
      </c>
    </row>
    <row r="141" customFormat="false" ht="15" hidden="false" customHeight="false" outlineLevel="0" collapsed="false">
      <c r="B141" s="9" t="s">
        <v>301</v>
      </c>
      <c r="F141" s="33" t="n">
        <f aca="false">Assumptions!$D$7*($F$129-$F$130)</f>
        <v>4.35732142857143</v>
      </c>
      <c r="G141" s="33" t="n">
        <f aca="false">Assumptions!$D$7*($G$129-$G$130)</f>
        <v>5.83510267857143</v>
      </c>
      <c r="H141" s="33" t="n">
        <f aca="false">Assumptions!$D$7*($H$129-$H$130)</f>
        <v>3.99807346919643</v>
      </c>
      <c r="I141" s="33" t="n">
        <f aca="false">Assumptions!$D$7*($I$129-$I$130)</f>
        <v>7.10035377264174</v>
      </c>
      <c r="J141" s="33" t="n">
        <f aca="false">Assumptions!$D$7*($J$129-$J$130)</f>
        <v>9.14973497363684</v>
      </c>
      <c r="K141" s="33" t="n">
        <f aca="false">Assumptions!$D$7*($K$129-$K$130)</f>
        <v>10.0738596556745</v>
      </c>
      <c r="L141" s="33" t="n">
        <f aca="false">Assumptions!$D$7*($L$129-$L$130)</f>
        <v>10.8901636093438</v>
      </c>
    </row>
    <row r="142" customFormat="false" ht="15" hidden="false" customHeight="false" outlineLevel="0" collapsed="false">
      <c r="B142" s="9" t="s">
        <v>302</v>
      </c>
      <c r="F142" s="33" t="n">
        <f aca="false">$F$139-$F$141</f>
        <v>2.25767857142857</v>
      </c>
      <c r="G142" s="33" t="n">
        <f aca="false">$G$139-$G$141</f>
        <v>1.26925732142857</v>
      </c>
      <c r="H142" s="33" t="n">
        <f aca="false">$H$139-$H$141</f>
        <v>2.65281693080357</v>
      </c>
      <c r="I142" s="33" t="n">
        <f aca="false">$I$139-$I$141</f>
        <v>1.49283900335826</v>
      </c>
      <c r="J142" s="33" t="n">
        <f aca="false">$J$139-$J$141</f>
        <v>0.58751821636316</v>
      </c>
      <c r="K142" s="33" t="n">
        <f aca="false">$K$139-$K$141</f>
        <v>0.0318836619254927</v>
      </c>
      <c r="L142" s="33" t="n">
        <f aca="false">$L$139-$L$141</f>
        <v>-0.401190559039769</v>
      </c>
    </row>
    <row r="143" customFormat="false" ht="15" hidden="false" customHeight="false" outlineLevel="0" collapsed="false">
      <c r="B143" s="7" t="s">
        <v>303</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285</v>
      </c>
      <c r="E145" s="19" t="n">
        <f aca="false">$E$123</f>
        <v>10</v>
      </c>
      <c r="F145" s="19" t="n">
        <f aca="false">$F$123</f>
        <v>14.555</v>
      </c>
      <c r="G145" s="19" t="n">
        <f aca="false">$G$123</f>
        <v>12.1941825</v>
      </c>
      <c r="H145" s="19" t="n">
        <f aca="false">$H$123</f>
        <v>17.04680213125</v>
      </c>
      <c r="I145" s="19" t="n">
        <f aca="false">$I$123</f>
        <v>22.0772940057656</v>
      </c>
      <c r="J145" s="19" t="n">
        <f aca="false">$J$123</f>
        <v>37.7439880750205</v>
      </c>
      <c r="K145" s="19" t="n">
        <f aca="false">$K$123</f>
        <v>66.4068492075928</v>
      </c>
      <c r="L145" s="19" t="n">
        <f aca="false">$L$123</f>
        <v>97.9587944838085</v>
      </c>
    </row>
    <row r="146" customFormat="false" ht="15" hidden="false" customHeight="false" outlineLevel="0" collapsed="false">
      <c r="B146" s="9" t="s">
        <v>304</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305</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306</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307</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308</v>
      </c>
      <c r="E150" s="18" t="n">
        <f aca="false">$E$145+$E$146+$E$147+$E$148+$E$149</f>
        <v>465.5</v>
      </c>
      <c r="F150" s="18" t="n">
        <f aca="false">$F$145+$F$146+$F$147+$F$148+$F$149</f>
        <v>469.509285714286</v>
      </c>
      <c r="G150" s="18" t="n">
        <f aca="false">$G$145+$G$146+$G$147+$G$148+$G$149</f>
        <v>519.801153928572</v>
      </c>
      <c r="H150" s="18" t="n">
        <f aca="false">$H$145+$H$146+$H$147+$H$148+$H$149</f>
        <v>519.445755274107</v>
      </c>
      <c r="I150" s="18" t="n">
        <f aca="false">$I$145+$I$146+$I$147+$I$148+$I$149</f>
        <v>524.526683582909</v>
      </c>
      <c r="J150" s="18" t="n">
        <f aca="false">$J$145+$J$146+$J$147+$J$148+$J$149</f>
        <v>539.490374262449</v>
      </c>
      <c r="K150" s="18" t="n">
        <f aca="false">$K$145+$K$146+$K$147+$K$148+$K$149</f>
        <v>567.030069567547</v>
      </c>
      <c r="L150" s="18" t="n">
        <f aca="false">$L$145+$L$146+$L$147+$L$148+$L$149</f>
        <v>597.451750954618</v>
      </c>
    </row>
    <row r="151" customFormat="false" ht="15" hidden="false" customHeight="false" outlineLevel="0" collapsed="false">
      <c r="B151" s="9" t="s">
        <v>309</v>
      </c>
      <c r="E151" s="19" t="n">
        <f aca="false">$E$122</f>
        <v>275</v>
      </c>
      <c r="F151" s="19" t="n">
        <f aca="false">$F$122</f>
        <v>268.195</v>
      </c>
      <c r="G151" s="19" t="n">
        <f aca="false">$G$122</f>
        <v>303.7508175</v>
      </c>
      <c r="H151" s="19" t="n">
        <f aca="false">$H$122</f>
        <v>294.05401536875</v>
      </c>
      <c r="I151" s="19" t="n">
        <f aca="false">$I$122</f>
        <v>279.326721362984</v>
      </c>
      <c r="J151" s="19" t="n">
        <f aca="false">$J$122</f>
        <v>267.428725337978</v>
      </c>
      <c r="K151" s="19" t="n">
        <f aca="false">$K$122</f>
        <v>264.778725337978</v>
      </c>
      <c r="L151" s="19" t="n">
        <f aca="false">$L$122</f>
        <v>262.128725337977</v>
      </c>
    </row>
    <row r="152" customFormat="false" ht="15" hidden="false" customHeight="false" outlineLevel="0" collapsed="false">
      <c r="B152" s="9" t="s">
        <v>310</v>
      </c>
      <c r="E152" s="19" t="n">
        <f aca="false">$D$46-Assumptions!$D$76</f>
        <v>190.5</v>
      </c>
      <c r="F152" s="19" t="n">
        <f aca="false">$E$152+$F$140-$F$88+$F$90</f>
        <v>201.314285714286</v>
      </c>
      <c r="G152" s="19" t="n">
        <f aca="false">$F$152+$G$140-$G$88+$G$90</f>
        <v>216.050336428571</v>
      </c>
      <c r="H152" s="19" t="n">
        <f aca="false">$G$152+$H$140-$H$88+$H$90</f>
        <v>225.391739905357</v>
      </c>
      <c r="I152" s="19" t="n">
        <f aca="false">$H$152+$I$140-$I$88+$I$90</f>
        <v>245.199962219924</v>
      </c>
      <c r="J152" s="19" t="n">
        <f aca="false">$I$152+$J$140-$J$88+$J$90</f>
        <v>272.061648924471</v>
      </c>
      <c r="K152" s="19" t="n">
        <f aca="false">$J$152+$K$140-$K$88+$K$90</f>
        <v>302.25134422957</v>
      </c>
      <c r="L152" s="19" t="n">
        <f aca="false">$K$152+$L$140-$L$88+$L$90</f>
        <v>335.323025616641</v>
      </c>
    </row>
    <row r="153" customFormat="false" ht="15" hidden="false" customHeight="false" outlineLevel="0" collapsed="false">
      <c r="B153" s="17" t="s">
        <v>311</v>
      </c>
      <c r="E153" s="18" t="n">
        <f aca="false">$E$151+$E$152</f>
        <v>465.5</v>
      </c>
      <c r="F153" s="18" t="n">
        <f aca="false">$F$151+$F$152</f>
        <v>469.509285714286</v>
      </c>
      <c r="G153" s="18" t="n">
        <f aca="false">$G$151+$G$152</f>
        <v>519.801153928572</v>
      </c>
      <c r="H153" s="18" t="n">
        <f aca="false">$H$151+$H$152</f>
        <v>519.445755274107</v>
      </c>
      <c r="I153" s="18" t="n">
        <f aca="false">$I$151+$I$152</f>
        <v>524.526683582909</v>
      </c>
      <c r="J153" s="18" t="n">
        <f aca="false">$J$151+$J$152</f>
        <v>539.490374262449</v>
      </c>
      <c r="K153" s="18" t="n">
        <f aca="false">$K$151+$K$152</f>
        <v>567.030069567547</v>
      </c>
      <c r="L153" s="18" t="n">
        <f aca="false">$L$151+$L$152</f>
        <v>597.451750954618</v>
      </c>
    </row>
    <row r="154" customFormat="false" ht="15" hidden="false" customHeight="false" outlineLevel="0" collapsed="false">
      <c r="B154" s="9" t="s">
        <v>312</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313</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314</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315</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316</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317</v>
      </c>
      <c r="F160" s="19" t="n">
        <f aca="false">$F$124</f>
        <v>253.64</v>
      </c>
      <c r="G160" s="19" t="n">
        <f aca="false">$G$124</f>
        <v>291.556635</v>
      </c>
      <c r="H160" s="19" t="n">
        <f aca="false">$H$124</f>
        <v>277.0072132375</v>
      </c>
      <c r="I160" s="19" t="n">
        <f aca="false">$I$124</f>
        <v>257.249427357219</v>
      </c>
      <c r="J160" s="19" t="n">
        <f aca="false">$J$124</f>
        <v>229.684737262957</v>
      </c>
      <c r="K160" s="19" t="n">
        <f aca="false">$K$124</f>
        <v>198.371876130385</v>
      </c>
      <c r="L160" s="19" t="n">
        <f aca="false">$L$124</f>
        <v>164.169930854169</v>
      </c>
    </row>
    <row r="161" customFormat="false" ht="15" hidden="false" customHeight="false" outlineLevel="0" collapsed="false">
      <c r="B161" s="17" t="s">
        <v>318</v>
      </c>
      <c r="F161" s="35" t="n">
        <f aca="false">$F$124/$F$159</f>
        <v>4.64542124542125</v>
      </c>
      <c r="G161" s="35" t="n">
        <f aca="false">$G$124/$G$159</f>
        <v>4.0750250883333</v>
      </c>
      <c r="H161" s="35" t="n">
        <f aca="false">$H$124/$H$159</f>
        <v>4.62722838237745</v>
      </c>
      <c r="I161" s="35" t="n">
        <f aca="false">$I$124/$I$159</f>
        <v>3.63551813627248</v>
      </c>
      <c r="J161" s="35" t="n">
        <f aca="false">$J$124/$J$159</f>
        <v>2.9513776561063</v>
      </c>
      <c r="K161" s="35" t="n">
        <f aca="false">$K$124/$K$159</f>
        <v>2.45461733485126</v>
      </c>
      <c r="L161" s="35" t="n">
        <f aca="false">$L$124/$L$159</f>
        <v>1.95607038717874</v>
      </c>
    </row>
    <row r="162" customFormat="false" ht="15" hidden="false" customHeight="false" outlineLevel="0" collapsed="false">
      <c r="B162" s="9" t="s">
        <v>319</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320</v>
      </c>
      <c r="F163" s="24" t="n">
        <f aca="false">$F$162-$F$161</f>
        <v>1.10457875457876</v>
      </c>
      <c r="G163" s="24" t="n">
        <f aca="false">$G$162-$G$161</f>
        <v>1.1749749116667</v>
      </c>
      <c r="H163" s="24" t="n">
        <f aca="false">$H$162-$H$161</f>
        <v>0.122771617622552</v>
      </c>
      <c r="I163" s="24" t="n">
        <f aca="false">$I$162-$I$161</f>
        <v>0.614481863727524</v>
      </c>
      <c r="J163" s="24" t="n">
        <f aca="false">$J$162-$J$161</f>
        <v>1.0486223438937</v>
      </c>
      <c r="K163" s="24" t="n">
        <f aca="false">$K$162-$K$161</f>
        <v>1.54538266514874</v>
      </c>
      <c r="L163" s="24" t="n">
        <f aca="false">$L$162-$L$161</f>
        <v>2.04392961282126</v>
      </c>
    </row>
    <row r="164" customFormat="false" ht="15" hidden="false" customHeight="false" outlineLevel="0" collapsed="false">
      <c r="B164" s="9" t="s">
        <v>321</v>
      </c>
      <c r="F164" s="14" t="n">
        <f aca="false">1-$F$124/($F$162*$F$159)</f>
        <v>0.192100652970218</v>
      </c>
      <c r="G164" s="14" t="n">
        <f aca="false">1-$G$124/($G$162*$G$159)</f>
        <v>0.223804745079372</v>
      </c>
      <c r="H164" s="14" t="n">
        <f aca="false">1-$H$124/($H$162*$H$159)</f>
        <v>0.02584665634159</v>
      </c>
      <c r="I164" s="14" t="n">
        <f aca="false">1-$I$124/($I$162*$I$159)</f>
        <v>0.144583967935888</v>
      </c>
      <c r="J164" s="14" t="n">
        <f aca="false">1-$J$124/($J$162*$J$159)</f>
        <v>0.262155585973425</v>
      </c>
      <c r="K164" s="14" t="n">
        <f aca="false">1-$K$124/($K$162*$K$159)</f>
        <v>0.386345666287184</v>
      </c>
      <c r="L164" s="14" t="n">
        <f aca="false">1-$L$124/($L$162*$L$159)</f>
        <v>0.510982403205316</v>
      </c>
    </row>
    <row r="165" customFormat="false" ht="15" hidden="false" customHeight="false" outlineLevel="0" collapsed="false">
      <c r="B165" s="9" t="s">
        <v>322</v>
      </c>
      <c r="F165" s="19" t="n">
        <f aca="false">$F$164*$F$159</f>
        <v>10.4886956521739</v>
      </c>
      <c r="G165" s="19" t="n">
        <f aca="false">$G$164*$G$159</f>
        <v>16.0126028571429</v>
      </c>
      <c r="H165" s="19" t="n">
        <f aca="false">$H$164*$H$159</f>
        <v>1.54729995</v>
      </c>
      <c r="I165" s="19" t="n">
        <f aca="false">$I$164*$I$159</f>
        <v>10.2307680947721</v>
      </c>
      <c r="J165" s="19" t="n">
        <f aca="false">$J$164*$J$159</f>
        <v>20.4017052042607</v>
      </c>
      <c r="K165" s="19" t="n">
        <f aca="false">$K$164*$K$159</f>
        <v>31.2228360682038</v>
      </c>
      <c r="L165" s="19" t="n">
        <f aca="false">$L$164*$L$159</f>
        <v>42.8859545912898</v>
      </c>
    </row>
    <row r="166" customFormat="false" ht="15" hidden="false" customHeight="false" outlineLevel="0" collapsed="false">
      <c r="B166" s="9" t="s">
        <v>323</v>
      </c>
      <c r="F166" s="33" t="n">
        <f aca="false">MAX(0,$F$124/Assumptions!$F$169-($F$159-$F$90))</f>
        <v>0</v>
      </c>
      <c r="G166" s="33" t="n">
        <f aca="false">MAX(0,$G$124/Assumptions!$G$169-($G$159-$G$90))</f>
        <v>0</v>
      </c>
      <c r="H166" s="33" t="n">
        <f aca="false">MAX(0,$H$124/Assumptions!$H$169-($H$159-$H$90))</f>
        <v>0</v>
      </c>
      <c r="I166" s="33" t="n">
        <f aca="false">MAX(0,$I$124/Assumptions!$I$169-($I$159-$I$90))</f>
        <v>0</v>
      </c>
      <c r="J166" s="33" t="n">
        <f aca="false">MAX(0,$J$124/Assumptions!$J$169-($J$159-$J$90))</f>
        <v>0</v>
      </c>
      <c r="K166" s="33" t="n">
        <f aca="false">MAX(0,$K$124/Assumptions!$K$169-($K$159-$K$90))</f>
        <v>0</v>
      </c>
      <c r="L166" s="33" t="n">
        <f aca="false">MAX(0,$L$124/Assumptions!$L$169-($L$159-$L$90))</f>
        <v>0</v>
      </c>
    </row>
    <row r="167" customFormat="false" ht="15" hidden="false" customHeight="false" outlineLevel="0" collapsed="false">
      <c r="B167" s="9" t="s">
        <v>324</v>
      </c>
      <c r="F167" s="24" t="n">
        <f aca="false">$F$125-Assumptions!$F$169</f>
        <v>-1.10457875457876</v>
      </c>
      <c r="G167" s="24" t="n">
        <f aca="false">$G$125-Assumptions!$G$169</f>
        <v>-0.434638843745047</v>
      </c>
      <c r="H167" s="24" t="n">
        <f aca="false">$H$125-Assumptions!$H$169</f>
        <v>0.0371613203963985</v>
      </c>
      <c r="I167" s="24" t="n">
        <f aca="false">$I$125-Assumptions!$I$169</f>
        <v>-0.588609989249908</v>
      </c>
      <c r="J167" s="24" t="n">
        <f aca="false">$J$125-Assumptions!$J$169</f>
        <v>-1.0486223438937</v>
      </c>
      <c r="K167" s="24" t="n">
        <f aca="false">$K$125-Assumptions!$K$169</f>
        <v>-1.54538266514874</v>
      </c>
      <c r="L167" s="24" t="n">
        <f aca="false">$L$125-Assumptions!$L$169</f>
        <v>-2.04392961282126</v>
      </c>
    </row>
    <row r="168" customFormat="false" ht="15" hidden="false" customHeight="false" outlineLevel="0" collapsed="false">
      <c r="B168" s="9" t="s">
        <v>325</v>
      </c>
      <c r="F168" s="24" t="n">
        <f aca="false">$F$161-$F$162</f>
        <v>-1.10457875457876</v>
      </c>
      <c r="G168" s="24" t="n">
        <f aca="false">$G$161-$G$162</f>
        <v>-1.1749749116667</v>
      </c>
      <c r="H168" s="24" t="n">
        <f aca="false">$H$161-$H$162</f>
        <v>-0.122771617622552</v>
      </c>
      <c r="I168" s="24" t="n">
        <f aca="false">$I$161-$I$162</f>
        <v>-0.614481863727524</v>
      </c>
      <c r="J168" s="24" t="n">
        <f aca="false">$J$161-$J$162</f>
        <v>-1.0486223438937</v>
      </c>
      <c r="K168" s="24" t="n">
        <f aca="false">$K$161-$K$162</f>
        <v>-1.54538266514874</v>
      </c>
      <c r="L168" s="24" t="n">
        <f aca="false">$L$161-$L$162</f>
        <v>-2.04392961282126</v>
      </c>
    </row>
    <row r="169" customFormat="false" ht="15" hidden="false" customHeight="false" outlineLevel="0" collapsed="false">
      <c r="B169" s="7" t="s">
        <v>326</v>
      </c>
      <c r="C169" s="8"/>
      <c r="D169" s="8"/>
      <c r="E169" s="8"/>
      <c r="F169" s="8"/>
      <c r="G169" s="8"/>
      <c r="H169" s="8"/>
      <c r="I169" s="8"/>
      <c r="J169" s="8"/>
      <c r="K169" s="8"/>
      <c r="L169" s="8"/>
    </row>
    <row r="170" customFormat="false" ht="15" hidden="false" customHeight="false" outlineLevel="0" collapsed="false">
      <c r="B170" s="9" t="s">
        <v>327</v>
      </c>
      <c r="D170" s="32" t="n">
        <f aca="false">$D$10</f>
        <v>5</v>
      </c>
    </row>
    <row r="171" customFormat="false" ht="15" hidden="false" customHeight="false" outlineLevel="0" collapsed="false">
      <c r="B171" s="9" t="s">
        <v>328</v>
      </c>
      <c r="D171" s="19" t="n">
        <f aca="false">INDEX($E$72:$L$72,1,$D$170+1)</f>
        <v>77.82288952</v>
      </c>
    </row>
    <row r="172" customFormat="false" ht="15" hidden="false" customHeight="false" outlineLevel="0" collapsed="false">
      <c r="B172" s="17" t="s">
        <v>329</v>
      </c>
      <c r="D172" s="18" t="n">
        <f aca="false">$D$7*$D$171</f>
        <v>700.40600568</v>
      </c>
    </row>
    <row r="173" customFormat="false" ht="15" hidden="false" customHeight="false" outlineLevel="0" collapsed="false">
      <c r="B173" s="9" t="s">
        <v>330</v>
      </c>
      <c r="D173" s="19" t="n">
        <f aca="false">INDEX($E$124:$L$124,1,$D$170+1)</f>
        <v>229.684737262957</v>
      </c>
    </row>
    <row r="174" customFormat="false" ht="15" hidden="false" customHeight="false" outlineLevel="0" collapsed="false">
      <c r="B174" s="9" t="s">
        <v>331</v>
      </c>
      <c r="D174" s="19" t="n">
        <f aca="false">INDEX($E$118:$L$118,1,$D$170+1)</f>
        <v>217.428725337978</v>
      </c>
    </row>
    <row r="175" customFormat="false" ht="15" hidden="false" customHeight="false" outlineLevel="0" collapsed="false">
      <c r="B175" s="9" t="s">
        <v>332</v>
      </c>
      <c r="D175" s="19" t="n">
        <f aca="false">INDEX($E$120:$L$120,1,$D$170+1)</f>
        <v>50</v>
      </c>
    </row>
    <row r="176" customFormat="false" ht="15" hidden="false" customHeight="false" outlineLevel="0" collapsed="false">
      <c r="B176" s="9" t="s">
        <v>333</v>
      </c>
      <c r="D176" s="19" t="n">
        <f aca="false">INDEX($E$121:$L$121,1,$D$170+1)</f>
        <v>0</v>
      </c>
    </row>
    <row r="177" customFormat="false" ht="15" hidden="false" customHeight="false" outlineLevel="0" collapsed="false">
      <c r="B177" s="9" t="s">
        <v>334</v>
      </c>
      <c r="D177" s="19" t="n">
        <f aca="false">INDEX($E$123:$L$123,1,$D$170+1)</f>
        <v>37.7439880750205</v>
      </c>
    </row>
    <row r="178" customFormat="false" ht="15" hidden="false" customHeight="false" outlineLevel="0" collapsed="false">
      <c r="B178" s="9" t="s">
        <v>335</v>
      </c>
      <c r="D178" s="19" t="n">
        <f aca="false">$D$20*$D$172</f>
        <v>10.5060900852</v>
      </c>
    </row>
    <row r="179" customFormat="false" ht="15" hidden="false" customHeight="false" outlineLevel="0" collapsed="false">
      <c r="B179" s="17" t="s">
        <v>336</v>
      </c>
      <c r="D179" s="18" t="n">
        <f aca="false">$D$172-$D$173-$D$178</f>
        <v>460.215178331843</v>
      </c>
    </row>
    <row r="180" customFormat="false" ht="15" hidden="false" customHeight="false" outlineLevel="0" collapsed="false">
      <c r="B180" s="9" t="s">
        <v>337</v>
      </c>
      <c r="D180" s="19" t="n">
        <f aca="false">$D$171*(1-$D$20)</f>
        <v>76.6555461772</v>
      </c>
    </row>
    <row r="181" customFormat="false" ht="15" hidden="false" customHeight="false" outlineLevel="0" collapsed="false">
      <c r="B181" s="7" t="s">
        <v>338</v>
      </c>
      <c r="C181" s="8"/>
      <c r="D181" s="8"/>
      <c r="E181" s="8"/>
      <c r="F181" s="8"/>
      <c r="G181" s="8"/>
      <c r="H181" s="8"/>
      <c r="I181" s="8"/>
      <c r="J181" s="8"/>
      <c r="K181" s="8"/>
      <c r="L181" s="8"/>
    </row>
    <row r="182" customFormat="false" ht="15" hidden="false" customHeight="false" outlineLevel="0" collapsed="false">
      <c r="B182" s="9" t="s">
        <v>339</v>
      </c>
      <c r="D182" s="36" t="n">
        <f aca="false">$D$46/Assumptions!$D$108</f>
        <v>200</v>
      </c>
    </row>
    <row r="183" customFormat="false" ht="15" hidden="false" customHeight="false" outlineLevel="0" collapsed="false">
      <c r="B183" s="9" t="s">
        <v>340</v>
      </c>
      <c r="D183" s="36" t="n">
        <f aca="false">$D$48/Assumptions!$D$108</f>
        <v>190</v>
      </c>
    </row>
    <row r="184" customFormat="false" ht="15" hidden="false" customHeight="false" outlineLevel="0" collapsed="false">
      <c r="B184" s="9" t="s">
        <v>341</v>
      </c>
      <c r="D184" s="14" t="n">
        <f aca="false">$D$48/$D$46</f>
        <v>0.95</v>
      </c>
    </row>
    <row r="185" customFormat="false" ht="15" hidden="false" customHeight="false" outlineLevel="0" collapsed="false">
      <c r="B185" s="9" t="s">
        <v>342</v>
      </c>
      <c r="D185" s="36" t="n">
        <f aca="false">$D$47/Assumptions!$D$108</f>
        <v>10</v>
      </c>
    </row>
    <row r="186" customFormat="false" ht="15" hidden="false" customHeight="false" outlineLevel="0" collapsed="false">
      <c r="B186" s="9" t="s">
        <v>343</v>
      </c>
      <c r="D186" s="14" t="n">
        <f aca="false">$D$47/$D$46</f>
        <v>0.05</v>
      </c>
    </row>
    <row r="187" customFormat="false" ht="15" hidden="false" customHeight="false" outlineLevel="0" collapsed="false">
      <c r="B187" s="9" t="s">
        <v>344</v>
      </c>
      <c r="D187" s="36" t="n">
        <f aca="false">Assumptions!$D$111/Assumptions!$D$108</f>
        <v>4</v>
      </c>
    </row>
    <row r="188" customFormat="false" ht="15" hidden="false" customHeight="false" outlineLevel="0" collapsed="false">
      <c r="B188" s="9" t="s">
        <v>345</v>
      </c>
      <c r="D188" s="19" t="n">
        <f aca="false">SUMPRODUCT(($E$64:$L$64&lt;=$D$170)*$E$90:$L$90)</f>
        <v>0</v>
      </c>
    </row>
    <row r="189" customFormat="false" ht="15" hidden="false" customHeight="false" outlineLevel="0" collapsed="false">
      <c r="B189" s="9" t="s">
        <v>346</v>
      </c>
      <c r="D189" s="37" t="n">
        <f aca="false">$D$182+$D$188/Assumptions!$D$108</f>
        <v>200</v>
      </c>
    </row>
    <row r="190" customFormat="false" ht="15" hidden="false" customHeight="false" outlineLevel="0" collapsed="false">
      <c r="B190" s="9" t="s">
        <v>347</v>
      </c>
      <c r="D190" s="37" t="n">
        <f aca="false">$D$183+$D$188/Assumptions!$D$108</f>
        <v>190</v>
      </c>
    </row>
    <row r="191" customFormat="false" ht="15" hidden="false" customHeight="false" outlineLevel="0" collapsed="false">
      <c r="B191" s="9" t="s">
        <v>348</v>
      </c>
      <c r="D191" s="37" t="n">
        <f aca="false">$D$182*Assumptions!$D$109/(1-Assumptions!$D$109)</f>
        <v>17.3913043478261</v>
      </c>
    </row>
    <row r="192" customFormat="false" ht="15" hidden="false" customHeight="false" outlineLevel="0" collapsed="false">
      <c r="B192" s="9" t="s">
        <v>349</v>
      </c>
      <c r="D192" s="38" t="n">
        <f aca="false">($D$179+$D$191*Assumptions!$D$108)/($D$189+$D$191)</f>
        <v>2.19698982032648</v>
      </c>
    </row>
    <row r="193" customFormat="false" ht="15" hidden="false" customHeight="false" outlineLevel="0" collapsed="false">
      <c r="B193" s="9" t="s">
        <v>350</v>
      </c>
      <c r="D193" s="19" t="n">
        <f aca="false">SUMPRODUCT(($E$64:$L$64&lt;=$D$170)*$E$218:$L$218)</f>
        <v>0</v>
      </c>
    </row>
    <row r="194" customFormat="false" ht="15" hidden="false" customHeight="false" outlineLevel="0" collapsed="false">
      <c r="B194" s="9" t="s">
        <v>351</v>
      </c>
      <c r="D194" s="24" t="n">
        <f aca="false">($D$193+$D$190*$D$192)/($D$48+$D$188)</f>
        <v>2.19698982032648</v>
      </c>
    </row>
    <row r="195" customFormat="false" ht="15" hidden="false" customHeight="false" outlineLevel="0" collapsed="false">
      <c r="B195" s="9" t="s">
        <v>352</v>
      </c>
      <c r="D195" s="37" t="n">
        <f aca="false">IF($D$194&gt;=Assumptions!$D$110,$D$191,$D$191*0.5)</f>
        <v>17.3913043478261</v>
      </c>
    </row>
    <row r="196" customFormat="false" ht="15" hidden="false" customHeight="false" outlineLevel="0" collapsed="false">
      <c r="B196" s="9" t="s">
        <v>353</v>
      </c>
      <c r="D196" s="38" t="n">
        <f aca="false">($D$179+$D$195*Assumptions!$D$108)/($D$189+$D$195)</f>
        <v>2.19698982032648</v>
      </c>
    </row>
    <row r="197" customFormat="false" ht="15" hidden="false" customHeight="false" outlineLevel="0" collapsed="false">
      <c r="B197" s="9" t="s">
        <v>354</v>
      </c>
      <c r="D197" s="37" t="n">
        <f aca="false">IF($D$196&lt;Assumptions!$D$108,0,$D$195)</f>
        <v>17.3913043478261</v>
      </c>
    </row>
    <row r="198" customFormat="false" ht="15" hidden="false" customHeight="false" outlineLevel="0" collapsed="false">
      <c r="B198" s="17" t="s">
        <v>355</v>
      </c>
      <c r="D198" s="39" t="n">
        <f aca="false">IF($D$196&lt;Assumptions!$D$108,$D$179/$D$189,$D$196)</f>
        <v>2.19698982032648</v>
      </c>
    </row>
    <row r="199" customFormat="false" ht="15" hidden="false" customHeight="false" outlineLevel="0" collapsed="false">
      <c r="B199" s="7" t="s">
        <v>356</v>
      </c>
      <c r="C199" s="8"/>
      <c r="D199" s="8"/>
      <c r="E199" s="8"/>
      <c r="F199" s="8"/>
      <c r="G199" s="8"/>
      <c r="H199" s="8"/>
      <c r="I199" s="8"/>
      <c r="J199" s="8"/>
      <c r="K199" s="8"/>
      <c r="L199" s="8"/>
    </row>
    <row r="200" customFormat="false" ht="15" hidden="false" customHeight="false" outlineLevel="0" collapsed="false">
      <c r="B200" s="17" t="s">
        <v>357</v>
      </c>
      <c r="D200" s="18" t="n">
        <f aca="false">$D$190*$D$198</f>
        <v>417.428065862031</v>
      </c>
    </row>
    <row r="201" customFormat="false" ht="15" hidden="false" customHeight="false" outlineLevel="0" collapsed="false">
      <c r="B201" s="9" t="s">
        <v>358</v>
      </c>
      <c r="D201" s="14" t="n">
        <f aca="false">$D$200/$D$179</f>
        <v>0.907028028443338</v>
      </c>
    </row>
    <row r="202" customFormat="false" ht="15" hidden="false" customHeight="false" outlineLevel="0" collapsed="false">
      <c r="B202" s="9" t="s">
        <v>359</v>
      </c>
      <c r="D202" s="19" t="n">
        <f aca="false">$D$185*$D$198</f>
        <v>21.9698982032648</v>
      </c>
    </row>
    <row r="203" customFormat="false" ht="15" hidden="false" customHeight="false" outlineLevel="0" collapsed="false">
      <c r="B203" s="9" t="s">
        <v>360</v>
      </c>
      <c r="D203" s="19" t="n">
        <f aca="false">$D$197*MAX(0,$D$198-Assumptions!$D$108)</f>
        <v>20.8172142665474</v>
      </c>
    </row>
    <row r="204" customFormat="false" ht="15" hidden="false" customHeight="false" outlineLevel="0" collapsed="false">
      <c r="B204" s="9" t="s">
        <v>361</v>
      </c>
      <c r="D204" s="19" t="n">
        <f aca="false">$D$200+$D$202+$D$203-$D$179</f>
        <v>0</v>
      </c>
    </row>
    <row r="205" customFormat="false" ht="15" hidden="false" customHeight="false" outlineLevel="0" collapsed="false">
      <c r="B205" s="9" t="s">
        <v>362</v>
      </c>
      <c r="D205" s="19" t="n">
        <f aca="false">$D$202+$D$203</f>
        <v>42.7871124698122</v>
      </c>
    </row>
    <row r="206" customFormat="false" ht="15" hidden="false" customHeight="false" outlineLevel="0" collapsed="false">
      <c r="B206" s="9" t="s">
        <v>363</v>
      </c>
      <c r="D206" s="24" t="n">
        <f aca="false">$D$205/$D$47</f>
        <v>4.27871124698122</v>
      </c>
    </row>
    <row r="207" customFormat="false" ht="15" hidden="false" customHeight="false" outlineLevel="0" collapsed="false">
      <c r="B207" s="9" t="s">
        <v>364</v>
      </c>
      <c r="D207" s="19" t="n">
        <f aca="false">$D$187*$D$198</f>
        <v>8.78795928130591</v>
      </c>
    </row>
    <row r="208" customFormat="false" ht="15" hidden="false" customHeight="false" outlineLevel="0" collapsed="false">
      <c r="B208" s="9" t="s">
        <v>365</v>
      </c>
      <c r="D208" s="19" t="n">
        <f aca="false">$D$203*Assumptions!$D$112</f>
        <v>7.2860249932916</v>
      </c>
    </row>
    <row r="209" customFormat="false" ht="15" hidden="false" customHeight="false" outlineLevel="0" collapsed="false">
      <c r="B209" s="9" t="s">
        <v>366</v>
      </c>
      <c r="D209" s="19" t="n">
        <f aca="false">$D$207+$D$208</f>
        <v>16.0739842745975</v>
      </c>
    </row>
    <row r="210" customFormat="false" ht="15" hidden="false" customHeight="false" outlineLevel="0" collapsed="false">
      <c r="B210" s="9" t="s">
        <v>367</v>
      </c>
      <c r="D210" s="24" t="n">
        <f aca="false">$D$209/Assumptions!$D$111</f>
        <v>4.01849606864938</v>
      </c>
    </row>
    <row r="211" customFormat="false" ht="15" hidden="false" customHeight="false" outlineLevel="0" collapsed="false">
      <c r="B211" s="9" t="s">
        <v>368</v>
      </c>
      <c r="D211" s="19" t="n">
        <f aca="false">$D$179*$D$190/$D$189</f>
        <v>437.204419415251</v>
      </c>
    </row>
    <row r="212" customFormat="false" ht="15" hidden="false" customHeight="false" outlineLevel="0" collapsed="false">
      <c r="B212" s="9" t="s">
        <v>369</v>
      </c>
      <c r="D212" s="19" t="n">
        <f aca="false">$D$211-$D$200</f>
        <v>19.7763535532201</v>
      </c>
    </row>
    <row r="213" customFormat="false" ht="15" hidden="false" customHeight="false" outlineLevel="0" collapsed="false">
      <c r="B213" s="7" t="s">
        <v>370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371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372</v>
      </c>
      <c r="E216" s="37" t="n">
        <f aca="false">$D$183+$E$215/Assumptions!$D$108</f>
        <v>190</v>
      </c>
      <c r="F216" s="37" t="n">
        <f aca="false">$D$183+$F$215/Assumptions!$D$108</f>
        <v>190</v>
      </c>
      <c r="G216" s="37" t="n">
        <f aca="false">$D$183+$G$215/Assumptions!$D$108</f>
        <v>190</v>
      </c>
      <c r="H216" s="37" t="n">
        <f aca="false">$D$183+$H$215/Assumptions!$D$108</f>
        <v>190</v>
      </c>
      <c r="I216" s="37" t="n">
        <f aca="false">$D$183+$I$215/Assumptions!$D$108</f>
        <v>190</v>
      </c>
      <c r="J216" s="37" t="n">
        <f aca="false">$D$183+$J$215/Assumptions!$D$108</f>
        <v>190</v>
      </c>
      <c r="K216" s="37" t="n">
        <f aca="false">$D$183+$K$215/Assumptions!$D$108</f>
        <v>190</v>
      </c>
      <c r="L216" s="37" t="n">
        <f aca="false">$D$183+$L$215/Assumptions!$D$108</f>
        <v>190</v>
      </c>
    </row>
    <row r="217" customFormat="false" ht="15" hidden="false" customHeight="false" outlineLevel="0" collapsed="false">
      <c r="B217" s="9" t="s">
        <v>373</v>
      </c>
      <c r="E217" s="37" t="n">
        <f aca="false">$D$182+$E$215/Assumptions!$D$108</f>
        <v>200</v>
      </c>
      <c r="F217" s="37" t="n">
        <f aca="false">$D$182+$F$215/Assumptions!$D$108</f>
        <v>200</v>
      </c>
      <c r="G217" s="37" t="n">
        <f aca="false">$D$182+$G$215/Assumptions!$D$108</f>
        <v>200</v>
      </c>
      <c r="H217" s="37" t="n">
        <f aca="false">$D$182+$H$215/Assumptions!$D$108</f>
        <v>200</v>
      </c>
      <c r="I217" s="37" t="n">
        <f aca="false">$D$182+$I$215/Assumptions!$D$108</f>
        <v>200</v>
      </c>
      <c r="J217" s="37" t="n">
        <f aca="false">$D$182+$J$215/Assumptions!$D$108</f>
        <v>200</v>
      </c>
      <c r="K217" s="37" t="n">
        <f aca="false">$D$182+$K$215/Assumptions!$D$108</f>
        <v>200</v>
      </c>
      <c r="L217" s="37" t="n">
        <f aca="false">$D$182+$L$215/Assumptions!$D$108</f>
        <v>200</v>
      </c>
    </row>
    <row r="218" customFormat="false" ht="15" hidden="false" customHeight="false" outlineLevel="0" collapsed="false">
      <c r="B218" s="9" t="s">
        <v>374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375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417.428065862031</v>
      </c>
      <c r="K219" s="18" t="n">
        <f aca="false">IF($K$64&lt;=$D$170,$K$218+IF($K$64=$D$170,$D$200,0),0)</f>
        <v>0</v>
      </c>
      <c r="L219" s="18" t="n">
        <f aca="false">IF($L$64&lt;=$D$170,$L$218+IF($L$64=$D$170,$D$200,0),0)</f>
        <v>0</v>
      </c>
    </row>
    <row r="220" customFormat="false" ht="15" hidden="false" customHeight="false" outlineLevel="0" collapsed="false">
      <c r="B220" s="9" t="s">
        <v>376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460.215178331843</v>
      </c>
      <c r="K220" s="19" t="n">
        <f aca="false">IF($K$64&lt;=$D$170,$K$88-$K$90+IF($K$64=$D$170,$D$179,0),0)</f>
        <v>0</v>
      </c>
      <c r="L220" s="19" t="n">
        <f aca="false">IF($L$64&lt;=$D$170,$L$88-$L$90+IF($L$64=$D$170,$D$179,0),0)</f>
        <v>0</v>
      </c>
    </row>
    <row r="221" customFormat="false" ht="15" hidden="false" customHeight="false" outlineLevel="0" collapsed="false">
      <c r="B221" s="9" t="s">
        <v>377</v>
      </c>
      <c r="E221" s="40" t="n">
        <f aca="false">Assumptions!$D$10</f>
        <v>46203</v>
      </c>
      <c r="F221" s="40" t="n">
        <f aca="false">DATE(YEAR(Assumptions!$D$10)+$F$64,MONTH(Assumptions!$D$10),DAY(Assumptions!$D$10))</f>
        <v>46568</v>
      </c>
      <c r="G221" s="40" t="n">
        <f aca="false">DATE(YEAR(Assumptions!$D$10)+$G$64,MONTH(Assumptions!$D$10),DAY(Assumptions!$D$10))</f>
        <v>46934</v>
      </c>
      <c r="H221" s="40" t="n">
        <f aca="false">DATE(YEAR(Assumptions!$D$10)+$H$64,MONTH(Assumptions!$D$10),DAY(Assumptions!$D$10))</f>
        <v>47299</v>
      </c>
      <c r="I221" s="40" t="n">
        <f aca="false">DATE(YEAR(Assumptions!$D$10)+$I$64,MONTH(Assumptions!$D$10),DAY(Assumptions!$D$10))</f>
        <v>47664</v>
      </c>
      <c r="J221" s="40" t="n">
        <f aca="false">DATE(YEAR(Assumptions!$D$10)+$J$64,MONTH(Assumptions!$D$10),DAY(Assumptions!$D$10))</f>
        <v>48029</v>
      </c>
      <c r="K221" s="40" t="n">
        <f aca="false">DATE(YEAR(Assumptions!$D$10)+$K$64,MONTH(Assumptions!$D$10),DAY(Assumptions!$D$10))</f>
        <v>48395</v>
      </c>
      <c r="L221" s="40" t="n">
        <f aca="false">DATE(YEAR(Assumptions!$D$10)+$L$64,MONTH(Assumptions!$D$10),DAY(Assumptions!$D$10))</f>
        <v>48760</v>
      </c>
    </row>
    <row r="223" customFormat="false" ht="15" hidden="false" customHeight="false" outlineLevel="0" collapsed="false">
      <c r="B223" s="17" t="s">
        <v>378</v>
      </c>
      <c r="D223" s="41" t="n">
        <f aca="false">IRR($E$219:$L$219,0.1)</f>
        <v>0.170484343544686</v>
      </c>
    </row>
    <row r="224" customFormat="false" ht="15" hidden="false" customHeight="false" outlineLevel="0" collapsed="false">
      <c r="B224" s="9" t="s">
        <v>379</v>
      </c>
      <c r="D224" s="25" t="n">
        <f aca="false">XIRR($E$219:$L$219,$E$221:$L$221,0.1)</f>
        <v>0.170383441610592</v>
      </c>
    </row>
    <row r="225" customFormat="false" ht="15" hidden="false" customHeight="false" outlineLevel="0" collapsed="false">
      <c r="B225" s="17" t="s">
        <v>380</v>
      </c>
      <c r="D225" s="35" t="n">
        <f aca="false">SUMIF($E$219:$L$219,"&gt;0")/-SUMIF($E$219:$L$219,"&lt;0")</f>
        <v>2.19698982032648</v>
      </c>
    </row>
    <row r="226" customFormat="false" ht="15" hidden="false" customHeight="false" outlineLevel="0" collapsed="false">
      <c r="B226" s="9" t="s">
        <v>381</v>
      </c>
      <c r="D226" s="19" t="n">
        <f aca="false">-SUMIF($E$219:$L$219,"&lt;0")</f>
        <v>190</v>
      </c>
    </row>
    <row r="227" customFormat="false" ht="15" hidden="false" customHeight="false" outlineLevel="0" collapsed="false">
      <c r="B227" s="9" t="s">
        <v>382</v>
      </c>
      <c r="D227" s="25" t="n">
        <f aca="false">IRR($E$220:$L$220,0.1)</f>
        <v>0.18137068110822</v>
      </c>
    </row>
    <row r="228" customFormat="false" ht="15" hidden="false" customHeight="false" outlineLevel="0" collapsed="false">
      <c r="B228" s="9" t="s">
        <v>383</v>
      </c>
      <c r="D228" s="24" t="n">
        <f aca="false">SUMIF($E$220:$L$220,"&gt;0")/-SUMIF($E$220:$L$220,"&lt;0")</f>
        <v>2.30107589165922</v>
      </c>
    </row>
    <row r="229" customFormat="false" ht="15" hidden="false" customHeight="false" outlineLevel="0" collapsed="false">
      <c r="B229" s="9" t="s">
        <v>384</v>
      </c>
      <c r="D229" s="19" t="n">
        <f aca="false">SUM($E$220:$L$220)</f>
        <v>260.215178331843</v>
      </c>
    </row>
    <row r="230" customFormat="false" ht="15" hidden="false" customHeight="false" outlineLevel="0" collapsed="false">
      <c r="B230" s="7" t="s">
        <v>385</v>
      </c>
      <c r="C230" s="8"/>
      <c r="D230" s="8"/>
      <c r="E230" s="8"/>
      <c r="F230" s="8"/>
      <c r="G230" s="8"/>
      <c r="H230" s="8"/>
      <c r="I230" s="8"/>
      <c r="J230" s="8"/>
      <c r="K230" s="8"/>
      <c r="L230" s="8"/>
    </row>
    <row r="231" customFormat="false" ht="15" hidden="false" customHeight="false" outlineLevel="0" collapsed="false">
      <c r="B231" s="9" t="s">
        <v>386</v>
      </c>
      <c r="D231" s="19" t="n">
        <f aca="false">SUMPRODUCT(($F$64:$L$64&lt;=$D$170)*$F$91:$L$91)</f>
        <v>88.1152627370429</v>
      </c>
    </row>
    <row r="232" customFormat="false" ht="15" hidden="false" customHeight="false" outlineLevel="0" collapsed="false">
      <c r="B232" s="9" t="s">
        <v>387</v>
      </c>
      <c r="D232" s="19" t="n">
        <f aca="false">SUMPRODUCT(($F$64:$L$64&lt;=$D$170)*$F$105:$L$105)</f>
        <v>126.460291536957</v>
      </c>
    </row>
    <row r="233" customFormat="false" ht="15" hidden="false" customHeight="false" outlineLevel="0" collapsed="false">
      <c r="B233" s="9" t="s">
        <v>388</v>
      </c>
      <c r="D233" s="19" t="n">
        <f aca="false">SUMPRODUCT(($F$64:$L$64&lt;=$D$170)*$F$139:$L$139)</f>
        <v>38.700696366</v>
      </c>
    </row>
    <row r="234" customFormat="false" ht="15" hidden="false" customHeight="false" outlineLevel="0" collapsed="false">
      <c r="B234" s="9" t="s">
        <v>389</v>
      </c>
      <c r="D234" s="33" t="n">
        <f aca="false">SUMPRODUCT(($F$64:$L$64&lt;=$D$170)*$F$109:$L$109)</f>
        <v>12.45</v>
      </c>
    </row>
    <row r="235" customFormat="false" ht="15" hidden="false" customHeight="false" outlineLevel="0" collapsed="false">
      <c r="B235" s="9" t="s">
        <v>390</v>
      </c>
      <c r="D235" s="19" t="n">
        <f aca="false">SUMPRODUCT(($F$64:$L$64&lt;=$D$170)*$F$115:$L$115)</f>
        <v>35.1212746620225</v>
      </c>
    </row>
    <row r="236" customFormat="false" ht="15" hidden="false" customHeight="false" outlineLevel="0" collapsed="false">
      <c r="B236" s="9" t="s">
        <v>391</v>
      </c>
      <c r="D236" s="19" t="n">
        <f aca="false">SUMPRODUCT(($F$64:$L$64&lt;=$D$170)*$F$88:$L$88)</f>
        <v>0</v>
      </c>
    </row>
    <row r="237" customFormat="false" ht="15" hidden="false" customHeight="false" outlineLevel="0" collapsed="false">
      <c r="B237" s="9" t="s">
        <v>392</v>
      </c>
      <c r="D237" s="19" t="n">
        <f aca="false">$D$234+$D$235</f>
        <v>47.5712746620225</v>
      </c>
    </row>
    <row r="238" customFormat="false" ht="15" hidden="false" customHeight="false" outlineLevel="0" collapsed="false">
      <c r="B238" s="9" t="s">
        <v>393</v>
      </c>
      <c r="D238" s="19" t="n">
        <f aca="false">$D$54-$D$173</f>
        <v>35.3152627370429</v>
      </c>
    </row>
    <row r="239" customFormat="false" ht="15" hidden="false" customHeight="false" outlineLevel="0" collapsed="false">
      <c r="B239" s="9" t="s">
        <v>394</v>
      </c>
      <c r="D239" s="25" t="n">
        <f aca="false">($D$171/$D$28)^(1/$D$170)-1</f>
        <v>0.0925151535860498</v>
      </c>
    </row>
    <row r="240" customFormat="false" ht="15" hidden="false" customHeight="false" outlineLevel="0" collapsed="false">
      <c r="B240" s="9" t="s">
        <v>395</v>
      </c>
      <c r="D240" s="25" t="n">
        <f aca="false">(INDEX($E$71:$L$71,1,$D$170+1)/Assumptions!$D$13)^(1/$D$170)-1</f>
        <v>0.0675149393296168</v>
      </c>
    </row>
    <row r="241" customFormat="false" ht="15" hidden="false" customHeight="false" outlineLevel="0" collapsed="false">
      <c r="B241" s="9" t="s">
        <v>396</v>
      </c>
      <c r="D241" s="19" t="n">
        <f aca="false">$D$172-$D$29</f>
        <v>250.40600568</v>
      </c>
    </row>
    <row r="242" customFormat="false" ht="15" hidden="false" customHeight="false" outlineLevel="0" collapsed="false">
      <c r="B242" s="9" t="s">
        <v>397</v>
      </c>
      <c r="D242" s="14" t="n">
        <f aca="false">$D$172/$D$29-1</f>
        <v>0.5564577904</v>
      </c>
    </row>
    <row r="243" customFormat="false" ht="15" hidden="false" customHeight="false" outlineLevel="0" collapsed="false">
      <c r="B243" s="9" t="s">
        <v>398</v>
      </c>
      <c r="D243" s="25" t="n">
        <f aca="false">($D$172/$D$29)^(1/$D$170)-1</f>
        <v>0.0925151535860498</v>
      </c>
    </row>
    <row r="244" customFormat="false" ht="15" hidden="false" customHeight="false" outlineLevel="0" collapsed="false">
      <c r="B244" s="9" t="s">
        <v>399</v>
      </c>
      <c r="D244" s="14" t="n">
        <f aca="false">$D$179/$D$46-1</f>
        <v>1.30107589165922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400</v>
      </c>
    </row>
    <row r="3" customFormat="false" ht="15" hidden="false" customHeight="false" outlineLevel="0" collapsed="false">
      <c r="B3" s="6" t="s">
        <v>401</v>
      </c>
    </row>
    <row r="5" customFormat="false" ht="15" hidden="false" customHeight="false" outlineLevel="0" collapsed="false">
      <c r="B5" s="7" t="s">
        <v>402</v>
      </c>
      <c r="C5" s="8"/>
      <c r="D5" s="8"/>
      <c r="E5" s="8"/>
      <c r="F5" s="8"/>
      <c r="G5" s="8"/>
      <c r="H5" s="8"/>
      <c r="I5" s="8"/>
      <c r="J5" s="8"/>
      <c r="K5" s="8"/>
      <c r="L5" s="8"/>
    </row>
    <row r="6" customFormat="false" ht="15" hidden="false" customHeight="false" outlineLevel="0" collapsed="false">
      <c r="B6" s="9" t="s">
        <v>403</v>
      </c>
      <c r="D6" s="26" t="n">
        <v>0</v>
      </c>
    </row>
    <row r="7" customFormat="false" ht="15" hidden="false" customHeight="false" outlineLevel="0" collapsed="false">
      <c r="B7" s="9" t="s">
        <v>404</v>
      </c>
      <c r="C7" s="6" t="s">
        <v>25</v>
      </c>
      <c r="D7" s="19" t="n">
        <f aca="false">Case_Base!$D$48</f>
        <v>190</v>
      </c>
    </row>
    <row r="8" customFormat="false" ht="15" hidden="false" customHeight="false" outlineLevel="0" collapsed="false">
      <c r="B8" s="9" t="s">
        <v>327</v>
      </c>
      <c r="C8" s="6" t="s">
        <v>133</v>
      </c>
      <c r="D8" s="32" t="n">
        <f aca="false">Case_Base!$D$170</f>
        <v>5</v>
      </c>
    </row>
    <row r="9" customFormat="false" ht="15" hidden="false" customHeight="false" outlineLevel="0" collapsed="false">
      <c r="B9" s="9" t="s">
        <v>405</v>
      </c>
      <c r="D9" s="14" t="n">
        <f aca="false">Assumptions!$D$156</f>
        <v>0.02</v>
      </c>
    </row>
    <row r="10" customFormat="false" ht="15" hidden="false" customHeight="false" outlineLevel="0" collapsed="false">
      <c r="B10" s="9" t="s">
        <v>171</v>
      </c>
      <c r="D10" s="29" t="n">
        <f aca="false">Assumptions!$D$157</f>
        <v>0.2</v>
      </c>
    </row>
    <row r="11" customFormat="false" ht="15" hidden="false" customHeight="false" outlineLevel="0" collapsed="false">
      <c r="B11" s="9" t="s">
        <v>173</v>
      </c>
      <c r="D11" s="29" t="n">
        <f aca="false">Assumptions!$D$159</f>
        <v>0.08</v>
      </c>
    </row>
    <row r="12" customFormat="false" ht="15" hidden="false" customHeight="false" outlineLevel="0" collapsed="false">
      <c r="B12" s="9" t="s">
        <v>174</v>
      </c>
      <c r="D12" s="25" t="n">
        <f aca="false">Assumptions!$D$160</f>
        <v>0.065</v>
      </c>
    </row>
    <row r="13" customFormat="false" ht="15" hidden="false" customHeight="false" outlineLevel="0" collapsed="false">
      <c r="B13" s="9" t="s">
        <v>406</v>
      </c>
      <c r="C13" s="6" t="s">
        <v>176</v>
      </c>
      <c r="D13" s="32" t="n">
        <f aca="false">Assumptions!$D$161</f>
        <v>12</v>
      </c>
    </row>
    <row r="14" customFormat="false" ht="15" hidden="false" customHeight="false" outlineLevel="0" collapsed="false">
      <c r="B14" s="17" t="s">
        <v>407</v>
      </c>
      <c r="C14" s="6" t="s">
        <v>25</v>
      </c>
      <c r="D14" s="18" t="n">
        <f aca="false">$D$7/(1-$D$9*$D$8)</f>
        <v>211.111111111111</v>
      </c>
    </row>
    <row r="15" customFormat="false" ht="15" hidden="false" customHeight="false" outlineLevel="0" collapsed="false">
      <c r="B15" s="9" t="s">
        <v>408</v>
      </c>
      <c r="C15" s="6" t="s">
        <v>25</v>
      </c>
      <c r="D15" s="33" t="n">
        <f aca="false">$D$9*$D$14</f>
        <v>4.22222222222222</v>
      </c>
    </row>
    <row r="16" customFormat="false" ht="15" hidden="false" customHeight="false" outlineLevel="0" collapsed="false">
      <c r="B16" s="9" t="s">
        <v>409</v>
      </c>
      <c r="C16" s="6" t="s">
        <v>25</v>
      </c>
      <c r="D16" s="19" t="n">
        <f aca="false">$D$15*$D$8</f>
        <v>21.1111111111111</v>
      </c>
    </row>
    <row r="17" customFormat="false" ht="15" hidden="false" customHeight="false" outlineLevel="0" collapsed="false">
      <c r="B17" s="9" t="s">
        <v>410</v>
      </c>
      <c r="C17" s="6" t="s">
        <v>25</v>
      </c>
      <c r="D17" s="33" t="n">
        <f aca="false">IF($D$6=1,$D$7*$D$12*$D$13/12,0)</f>
        <v>0</v>
      </c>
    </row>
    <row r="19" customFormat="false" ht="15" hidden="false" customHeight="false" outlineLevel="0" collapsed="false">
      <c r="B19" s="7" t="s">
        <v>411</v>
      </c>
      <c r="C19" s="8"/>
      <c r="D19" s="8"/>
      <c r="E19" s="8"/>
      <c r="F19" s="8"/>
      <c r="G19" s="8"/>
      <c r="H19" s="8"/>
      <c r="I19" s="8"/>
      <c r="J19" s="8"/>
      <c r="K19" s="8"/>
      <c r="L19" s="8"/>
    </row>
    <row r="20" customFormat="false" ht="15" hidden="false" customHeight="false" outlineLevel="0" collapsed="false">
      <c r="B20" s="7" t="s">
        <v>178</v>
      </c>
      <c r="E20" s="30" t="n">
        <v>0</v>
      </c>
      <c r="F20" s="30" t="n">
        <v>1</v>
      </c>
      <c r="G20" s="30" t="n">
        <v>2</v>
      </c>
      <c r="H20" s="30" t="n">
        <v>3</v>
      </c>
      <c r="I20" s="30" t="n">
        <v>4</v>
      </c>
      <c r="J20" s="30" t="n">
        <v>5</v>
      </c>
      <c r="K20" s="30" t="n">
        <v>6</v>
      </c>
      <c r="L20" s="30" t="n">
        <v>7</v>
      </c>
    </row>
    <row r="21" customFormat="false" ht="15" hidden="false" customHeight="false" outlineLevel="0" collapsed="false">
      <c r="B21" s="9" t="s">
        <v>412</v>
      </c>
      <c r="E21" s="19" t="n">
        <f aca="false">IF($E$20=0,IF($D$6=1,0,-$D$7),IF(AND($E$20=1,$D$6=1),-($D$7+$D$17),0))</f>
        <v>-190</v>
      </c>
      <c r="F21" s="19" t="n">
        <f aca="false">IF($F$20=0,IF($D$6=1,0,-$D$7),IF(AND($F$20=1,$D$6=1),-($D$7+$D$17),0))</f>
        <v>0</v>
      </c>
      <c r="G21" s="19" t="n">
        <f aca="false">IF($G$20=0,IF($D$6=1,0,-$D$7),IF(AND($G$20=1,$D$6=1),-($D$7+$D$17),0))</f>
        <v>0</v>
      </c>
      <c r="H21" s="19" t="n">
        <f aca="false">IF($H$20=0,IF($D$6=1,0,-$D$7),IF(AND($H$20=1,$D$6=1),-($D$7+$D$17),0))</f>
        <v>0</v>
      </c>
      <c r="I21" s="19" t="n">
        <f aca="false">IF($I$20=0,IF($D$6=1,0,-$D$7),IF(AND($I$20=1,$D$6=1),-($D$7+$D$17),0))</f>
        <v>0</v>
      </c>
      <c r="J21" s="19" t="n">
        <f aca="false">IF($J$20=0,IF($D$6=1,0,-$D$7),IF(AND($J$20=1,$D$6=1),-($D$7+$D$17),0))</f>
        <v>0</v>
      </c>
      <c r="K21" s="19" t="n">
        <f aca="false">IF($K$20=0,IF($D$6=1,0,-$D$7),IF(AND($K$20=1,$D$6=1),-($D$7+$D$17),0))</f>
        <v>0</v>
      </c>
      <c r="L21" s="19" t="n">
        <f aca="false">IF($L$20=0,IF($D$6=1,0,-$D$7),IF(AND($L$20=1,$D$6=1),-($D$7+$D$17),0))</f>
        <v>0</v>
      </c>
    </row>
    <row r="22" customFormat="false" ht="15" hidden="false" customHeight="false" outlineLevel="0" collapsed="false">
      <c r="B22" s="9" t="s">
        <v>413</v>
      </c>
      <c r="E22" s="33" t="n">
        <f aca="false">IF($E$20&lt;$D$8,-$D$15,0)</f>
        <v>-4.22222222222222</v>
      </c>
      <c r="F22" s="33" t="n">
        <f aca="false">IF($F$20&lt;$D$8,-$D$15,0)</f>
        <v>-4.22222222222222</v>
      </c>
      <c r="G22" s="33" t="n">
        <f aca="false">IF($G$20&lt;$D$8,-$D$15,0)</f>
        <v>-4.22222222222222</v>
      </c>
      <c r="H22" s="33" t="n">
        <f aca="false">IF($H$20&lt;$D$8,-$D$15,0)</f>
        <v>-4.22222222222222</v>
      </c>
      <c r="I22" s="33" t="n">
        <f aca="false">IF($I$20&lt;$D$8,-$D$15,0)</f>
        <v>-4.22222222222222</v>
      </c>
      <c r="J22" s="33" t="n">
        <f aca="false">IF($J$20&lt;$D$8,-$D$15,0)</f>
        <v>0</v>
      </c>
      <c r="K22" s="33" t="n">
        <f aca="false">IF($K$20&lt;$D$8,-$D$15,0)</f>
        <v>0</v>
      </c>
      <c r="L22" s="33" t="n">
        <f aca="false">IF($L$20&lt;$D$8,-$D$15,0)</f>
        <v>0</v>
      </c>
    </row>
    <row r="23" customFormat="false" ht="15" hidden="false" customHeight="false" outlineLevel="0" collapsed="false">
      <c r="B23" s="17" t="s">
        <v>414</v>
      </c>
      <c r="E23" s="18" t="n">
        <f aca="false">$E$21+$E$22</f>
        <v>-194.222222222222</v>
      </c>
      <c r="F23" s="18" t="n">
        <f aca="false">$F$21+$F$22</f>
        <v>-4.22222222222222</v>
      </c>
      <c r="G23" s="18" t="n">
        <f aca="false">$G$21+$G$22</f>
        <v>-4.22222222222222</v>
      </c>
      <c r="H23" s="18" t="n">
        <f aca="false">$H$21+$H$22</f>
        <v>-4.22222222222222</v>
      </c>
      <c r="I23" s="18" t="n">
        <f aca="false">$I$21+$I$22</f>
        <v>-4.22222222222222</v>
      </c>
      <c r="J23" s="18" t="n">
        <f aca="false">$J$21+$J$22</f>
        <v>0</v>
      </c>
      <c r="K23" s="18" t="n">
        <f aca="false">$K$21+$K$22</f>
        <v>0</v>
      </c>
      <c r="L23" s="18" t="n">
        <f aca="false">$L$21+$L$22</f>
        <v>0</v>
      </c>
    </row>
    <row r="24" customFormat="false" ht="15" hidden="false" customHeight="false" outlineLevel="0" collapsed="false">
      <c r="B24" s="9" t="s">
        <v>415</v>
      </c>
      <c r="E24" s="19" t="n">
        <f aca="false">IF($E$20&gt;=1,Case_Base!$E$219,0)</f>
        <v>0</v>
      </c>
      <c r="F24" s="19" t="n">
        <f aca="false">IF($F$20&gt;=1,Case_Base!$F$219,0)</f>
        <v>0</v>
      </c>
      <c r="G24" s="19" t="n">
        <f aca="false">IF($G$20&gt;=1,Case_Base!$G$219,0)</f>
        <v>0</v>
      </c>
      <c r="H24" s="19" t="n">
        <f aca="false">IF($H$20&gt;=1,Case_Base!$H$219,0)</f>
        <v>0</v>
      </c>
      <c r="I24" s="19" t="n">
        <f aca="false">IF($I$20&gt;=1,Case_Base!$I$219,0)</f>
        <v>0</v>
      </c>
      <c r="J24" s="19" t="n">
        <f aca="false">IF($J$20&gt;=1,Case_Base!$J$219,0)</f>
        <v>417.428065862031</v>
      </c>
      <c r="K24" s="19" t="n">
        <f aca="false">IF($K$20&gt;=1,Case_Base!$K$219,0)</f>
        <v>0</v>
      </c>
      <c r="L24" s="19" t="n">
        <f aca="false">IF($L$20&gt;=1,Case_Base!$L$219,0)</f>
        <v>0</v>
      </c>
    </row>
    <row r="25" customFormat="false" ht="15" hidden="false" customHeight="false" outlineLevel="0" collapsed="false">
      <c r="B25" s="17" t="s">
        <v>416</v>
      </c>
      <c r="E25" s="18" t="n">
        <f aca="false">$E$23+$E$24</f>
        <v>-194.222222222222</v>
      </c>
      <c r="F25" s="18" t="n">
        <f aca="false">$F$23+$F$24</f>
        <v>-4.22222222222222</v>
      </c>
      <c r="G25" s="18" t="n">
        <f aca="false">$G$23+$G$24</f>
        <v>-4.22222222222222</v>
      </c>
      <c r="H25" s="18" t="n">
        <f aca="false">$H$23+$H$24</f>
        <v>-4.22222222222222</v>
      </c>
      <c r="I25" s="18" t="n">
        <f aca="false">$I$23+$I$24</f>
        <v>-4.22222222222222</v>
      </c>
      <c r="J25" s="18" t="n">
        <f aca="false">$J$23+$J$24</f>
        <v>417.428065862031</v>
      </c>
      <c r="K25" s="18" t="n">
        <f aca="false">$K$23+$K$24</f>
        <v>0</v>
      </c>
      <c r="L25" s="18" t="n">
        <f aca="false">$L$23+$L$24</f>
        <v>0</v>
      </c>
    </row>
    <row r="26" customFormat="false" ht="15" hidden="false" customHeight="false" outlineLevel="0" collapsed="false">
      <c r="B26" s="9" t="s">
        <v>417</v>
      </c>
      <c r="E26" s="33" t="n">
        <f aca="false">IF($E$20&lt;=$D$8,-$E$23*((1+$D$11)^($D$8-$E$20)-1),0)</f>
        <v>91.1539420273779</v>
      </c>
      <c r="F26" s="33" t="n">
        <f aca="false">IF($F$20&lt;=$D$8,-$F$23*((1+$D$11)^($D$8-$F$20)-1),0)</f>
        <v>1.52206449777778</v>
      </c>
      <c r="G26" s="33" t="n">
        <f aca="false">IF($G$20&lt;=$D$8,-$G$23*((1+$D$11)^($D$8-$G$20)-1),0)</f>
        <v>1.09656177777778</v>
      </c>
      <c r="H26" s="33" t="n">
        <f aca="false">IF($H$20&lt;=$D$8,-$H$23*((1+$D$11)^($D$8-$H$20)-1),0)</f>
        <v>0.702577777777778</v>
      </c>
      <c r="I26" s="33" t="n">
        <f aca="false">IF($I$20&lt;=$D$8,-$I$23*((1+$D$11)^($D$8-$I$20)-1),0)</f>
        <v>0.337777777777778</v>
      </c>
      <c r="J26" s="33" t="n">
        <f aca="false">IF($J$20&lt;=$D$8,-$J$23*((1+$D$11)^($D$8-$J$20)-1),0)</f>
        <v>-0</v>
      </c>
      <c r="K26" s="33" t="n">
        <f aca="false">IF($K$20&lt;=$D$8,-$K$23*((1+$D$11)^($D$8-$K$20)-1),0)</f>
        <v>0</v>
      </c>
      <c r="L26" s="33" t="n">
        <f aca="false">IF($L$20&lt;=$D$8,-$L$23*((1+$D$11)^($D$8-$L$20)-1),0)</f>
        <v>0</v>
      </c>
    </row>
    <row r="28" customFormat="false" ht="15" hidden="false" customHeight="false" outlineLevel="0" collapsed="false">
      <c r="B28" s="7" t="s">
        <v>418</v>
      </c>
      <c r="C28" s="8"/>
      <c r="D28" s="8"/>
      <c r="E28" s="8"/>
      <c r="F28" s="8"/>
      <c r="G28" s="8"/>
      <c r="H28" s="8"/>
      <c r="I28" s="8"/>
      <c r="J28" s="8"/>
      <c r="K28" s="8"/>
      <c r="L28" s="8"/>
    </row>
    <row r="29" customFormat="false" ht="15" hidden="false" customHeight="false" outlineLevel="0" collapsed="false">
      <c r="B29" s="9" t="s">
        <v>419</v>
      </c>
      <c r="C29" s="6" t="s">
        <v>25</v>
      </c>
      <c r="D29" s="19" t="n">
        <f aca="false">-SUM($E$23:$L$23)</f>
        <v>211.111111111111</v>
      </c>
    </row>
    <row r="30" customFormat="false" ht="15" hidden="false" customHeight="false" outlineLevel="0" collapsed="false">
      <c r="B30" s="9" t="s">
        <v>420</v>
      </c>
      <c r="C30" s="6" t="s">
        <v>25</v>
      </c>
      <c r="D30" s="19" t="n">
        <f aca="false">SUM($E$24:$L$24)</f>
        <v>417.428065862031</v>
      </c>
    </row>
    <row r="31" customFormat="false" ht="15" hidden="false" customHeight="false" outlineLevel="0" collapsed="false">
      <c r="B31" s="9" t="s">
        <v>421</v>
      </c>
      <c r="C31" s="6" t="s">
        <v>25</v>
      </c>
      <c r="D31" s="19" t="n">
        <f aca="false">$D$30-$D$29</f>
        <v>206.31695475092</v>
      </c>
    </row>
    <row r="32" customFormat="false" ht="15" hidden="false" customHeight="false" outlineLevel="0" collapsed="false">
      <c r="B32" s="9" t="s">
        <v>422</v>
      </c>
      <c r="C32" s="6" t="s">
        <v>25</v>
      </c>
      <c r="D32" s="19" t="n">
        <f aca="false">SUM($E$26:$L$26)</f>
        <v>94.812923858489</v>
      </c>
    </row>
    <row r="33" customFormat="false" ht="15" hidden="false" customHeight="false" outlineLevel="0" collapsed="false">
      <c r="B33" s="9" t="s">
        <v>423</v>
      </c>
      <c r="C33" s="6" t="s">
        <v>25</v>
      </c>
      <c r="D33" s="19" t="n">
        <f aca="false">$D$29+$D$32</f>
        <v>305.9240349696</v>
      </c>
    </row>
    <row r="34" customFormat="false" ht="15" hidden="false" customHeight="false" outlineLevel="0" collapsed="false">
      <c r="B34" s="17" t="s">
        <v>424</v>
      </c>
      <c r="C34" s="6" t="s">
        <v>25</v>
      </c>
      <c r="D34" s="18" t="n">
        <f aca="false">IF($D$30&lt;=$D$33,0,MIN($D$10*$D$31,$D$30-$D$33))</f>
        <v>41.2633909501839</v>
      </c>
    </row>
    <row r="35" customFormat="false" ht="15" hidden="false" customHeight="false" outlineLevel="0" collapsed="false">
      <c r="B35" s="9" t="s">
        <v>425</v>
      </c>
      <c r="D35" s="14" t="n">
        <f aca="false">IF($D$31&gt;0,$D$34/$D$31,0)</f>
        <v>0.2</v>
      </c>
    </row>
    <row r="36" customFormat="false" ht="15" hidden="false" customHeight="false" outlineLevel="0" collapsed="false">
      <c r="B36" s="17" t="s">
        <v>426</v>
      </c>
      <c r="C36" s="6" t="s">
        <v>25</v>
      </c>
      <c r="D36" s="18" t="n">
        <f aca="false">$D$30-$D$34</f>
        <v>376.164674911847</v>
      </c>
    </row>
    <row r="38" customFormat="false" ht="15" hidden="false" customHeight="false" outlineLevel="0" collapsed="false">
      <c r="B38" s="7" t="s">
        <v>427</v>
      </c>
      <c r="C38" s="8"/>
      <c r="D38" s="8"/>
      <c r="E38" s="8"/>
      <c r="F38" s="8"/>
      <c r="G38" s="8"/>
      <c r="H38" s="8"/>
      <c r="I38" s="8"/>
      <c r="J38" s="8"/>
      <c r="K38" s="8"/>
      <c r="L38" s="8"/>
    </row>
    <row r="39" customFormat="false" ht="15" hidden="false" customHeight="false" outlineLevel="0" collapsed="false">
      <c r="B39" s="7" t="s">
        <v>178</v>
      </c>
      <c r="E39" s="30" t="n">
        <v>0</v>
      </c>
      <c r="F39" s="30" t="n">
        <v>1</v>
      </c>
      <c r="G39" s="30" t="n">
        <v>2</v>
      </c>
      <c r="H39" s="30" t="n">
        <v>3</v>
      </c>
      <c r="I39" s="30" t="n">
        <v>4</v>
      </c>
      <c r="J39" s="30" t="n">
        <v>5</v>
      </c>
      <c r="K39" s="30" t="n">
        <v>6</v>
      </c>
      <c r="L39" s="30" t="n">
        <v>7</v>
      </c>
    </row>
    <row r="40" customFormat="false" ht="15" hidden="false" customHeight="false" outlineLevel="0" collapsed="false">
      <c r="B40" s="9" t="s">
        <v>428</v>
      </c>
      <c r="E40" s="19" t="n">
        <f aca="false">IF($E$20=$D$8,-$D$34,0)</f>
        <v>0</v>
      </c>
      <c r="F40" s="19" t="n">
        <f aca="false">IF($F$20=$D$8,-$D$34,0)</f>
        <v>0</v>
      </c>
      <c r="G40" s="19" t="n">
        <f aca="false">IF($G$20=$D$8,-$D$34,0)</f>
        <v>0</v>
      </c>
      <c r="H40" s="19" t="n">
        <f aca="false">IF($H$20=$D$8,-$D$34,0)</f>
        <v>0</v>
      </c>
      <c r="I40" s="19" t="n">
        <f aca="false">IF($I$20=$D$8,-$D$34,0)</f>
        <v>0</v>
      </c>
      <c r="J40" s="19" t="n">
        <f aca="false">IF($J$20=$D$8,-$D$34,0)</f>
        <v>-41.2633909501839</v>
      </c>
      <c r="K40" s="19" t="n">
        <f aca="false">IF($K$20=$D$8,-$D$34,0)</f>
        <v>0</v>
      </c>
      <c r="L40" s="19" t="n">
        <f aca="false">IF($L$20=$D$8,-$D$34,0)</f>
        <v>0</v>
      </c>
    </row>
    <row r="41" customFormat="false" ht="15" hidden="false" customHeight="false" outlineLevel="0" collapsed="false">
      <c r="B41" s="17" t="s">
        <v>429</v>
      </c>
      <c r="E41" s="18" t="n">
        <f aca="false">$E$25+$E$40</f>
        <v>-194.222222222222</v>
      </c>
      <c r="F41" s="18" t="n">
        <f aca="false">$F$25+$F$40</f>
        <v>-4.22222222222222</v>
      </c>
      <c r="G41" s="18" t="n">
        <f aca="false">$G$25+$G$40</f>
        <v>-4.22222222222222</v>
      </c>
      <c r="H41" s="18" t="n">
        <f aca="false">$H$25+$H$40</f>
        <v>-4.22222222222222</v>
      </c>
      <c r="I41" s="18" t="n">
        <f aca="false">$I$25+$I$40</f>
        <v>-4.22222222222222</v>
      </c>
      <c r="J41" s="18" t="n">
        <f aca="false">$J$25+$J$40</f>
        <v>376.164674911847</v>
      </c>
      <c r="K41" s="18" t="n">
        <f aca="false">$K$25+$K$40</f>
        <v>0</v>
      </c>
      <c r="L41" s="18" t="n">
        <f aca="false">$L$25+$L$40</f>
        <v>0</v>
      </c>
    </row>
    <row r="42" customFormat="false" ht="15" hidden="false" customHeight="false" outlineLevel="0" collapsed="false">
      <c r="B42" s="9" t="s">
        <v>430</v>
      </c>
      <c r="E42" s="40" t="n">
        <f aca="false">DATE(YEAR(Assumptions!$D$10)+$E$20,MONTH(Assumptions!$D$10),DAY(Assumptions!$D$10))</f>
        <v>46203</v>
      </c>
      <c r="F42" s="40" t="n">
        <f aca="false">DATE(YEAR(Assumptions!$D$10)+$F$20,MONTH(Assumptions!$D$10),DAY(Assumptions!$D$10))</f>
        <v>46568</v>
      </c>
      <c r="G42" s="40" t="n">
        <f aca="false">DATE(YEAR(Assumptions!$D$10)+$G$20,MONTH(Assumptions!$D$10),DAY(Assumptions!$D$10))</f>
        <v>46934</v>
      </c>
      <c r="H42" s="40" t="n">
        <f aca="false">DATE(YEAR(Assumptions!$D$10)+$H$20,MONTH(Assumptions!$D$10),DAY(Assumptions!$D$10))</f>
        <v>47299</v>
      </c>
      <c r="I42" s="40" t="n">
        <f aca="false">DATE(YEAR(Assumptions!$D$10)+$I$20,MONTH(Assumptions!$D$10),DAY(Assumptions!$D$10))</f>
        <v>47664</v>
      </c>
      <c r="J42" s="40" t="n">
        <f aca="false">DATE(YEAR(Assumptions!$D$10)+$J$20,MONTH(Assumptions!$D$10),DAY(Assumptions!$D$10))</f>
        <v>48029</v>
      </c>
      <c r="K42" s="40" t="n">
        <f aca="false">DATE(YEAR(Assumptions!$D$10)+$K$20,MONTH(Assumptions!$D$10),DAY(Assumptions!$D$10))</f>
        <v>48395</v>
      </c>
      <c r="L42" s="40" t="n">
        <f aca="false">DATE(YEAR(Assumptions!$D$10)+$L$20,MONTH(Assumptions!$D$10),DAY(Assumptions!$D$10))</f>
        <v>48760</v>
      </c>
    </row>
    <row r="44" customFormat="false" ht="15" hidden="false" customHeight="false" outlineLevel="0" collapsed="false">
      <c r="B44" s="9" t="s">
        <v>431</v>
      </c>
      <c r="D44" s="25" t="n">
        <f aca="false">Case_Base!$D$223</f>
        <v>0.170484343544686</v>
      </c>
    </row>
    <row r="45" customFormat="false" ht="15" hidden="false" customHeight="false" outlineLevel="0" collapsed="false">
      <c r="B45" s="9" t="s">
        <v>432</v>
      </c>
      <c r="C45" s="6" t="s">
        <v>79</v>
      </c>
      <c r="D45" s="24" t="n">
        <f aca="false">Case_Base!$D$225</f>
        <v>2.19698982032648</v>
      </c>
    </row>
    <row r="46" customFormat="false" ht="15" hidden="false" customHeight="false" outlineLevel="0" collapsed="false">
      <c r="B46" s="17" t="s">
        <v>433</v>
      </c>
      <c r="D46" s="41" t="n">
        <f aca="false">IRR($E$25:$L$25,0.1)</f>
        <v>0.151439414661694</v>
      </c>
    </row>
    <row r="47" customFormat="false" ht="15" hidden="false" customHeight="false" outlineLevel="0" collapsed="false">
      <c r="B47" s="9" t="s">
        <v>434</v>
      </c>
      <c r="C47" s="6" t="s">
        <v>79</v>
      </c>
      <c r="D47" s="24" t="n">
        <f aca="false">$D$30/$D$29</f>
        <v>1.97729083829383</v>
      </c>
    </row>
    <row r="48" customFormat="false" ht="15" hidden="false" customHeight="false" outlineLevel="0" collapsed="false">
      <c r="B48" s="17" t="s">
        <v>435</v>
      </c>
      <c r="D48" s="41" t="n">
        <f aca="false">IRR($E$41:$L$41,0.1)</f>
        <v>0.127044006074325</v>
      </c>
    </row>
    <row r="49" customFormat="false" ht="15" hidden="false" customHeight="false" outlineLevel="0" collapsed="false">
      <c r="B49" s="17" t="s">
        <v>436</v>
      </c>
      <c r="C49" s="6" t="s">
        <v>79</v>
      </c>
      <c r="D49" s="35" t="n">
        <f aca="false">$D$36/$D$29</f>
        <v>1.78183267063506</v>
      </c>
    </row>
    <row r="50" customFormat="false" ht="15" hidden="false" customHeight="false" outlineLevel="0" collapsed="false">
      <c r="B50" s="9" t="s">
        <v>437</v>
      </c>
      <c r="D50" s="25" t="n">
        <f aca="false">XIRR($E$41:$L$41,$E$42:$L$42,0.1)</f>
        <v>0.126971272452503</v>
      </c>
    </row>
    <row r="51" customFormat="false" ht="15" hidden="false" customHeight="false" outlineLevel="0" collapsed="false">
      <c r="B51" s="9" t="s">
        <v>438</v>
      </c>
      <c r="C51" s="6" t="s">
        <v>439</v>
      </c>
      <c r="D51" s="25" t="n">
        <f aca="false">$D$44-$D$46</f>
        <v>0.0190449288829925</v>
      </c>
    </row>
    <row r="52" customFormat="false" ht="15" hidden="false" customHeight="false" outlineLevel="0" collapsed="false">
      <c r="B52" s="9" t="s">
        <v>440</v>
      </c>
      <c r="C52" s="6" t="s">
        <v>439</v>
      </c>
      <c r="D52" s="25" t="n">
        <f aca="false">$D$46-$D$48</f>
        <v>0.0243954085873688</v>
      </c>
    </row>
    <row r="53" customFormat="false" ht="15" hidden="false" customHeight="false" outlineLevel="0" collapsed="false">
      <c r="B53" s="9" t="s">
        <v>441</v>
      </c>
      <c r="C53" s="6" t="s">
        <v>439</v>
      </c>
      <c r="D53" s="25" t="n">
        <f aca="false">$D$44-$D$48</f>
        <v>0.0434403374703613</v>
      </c>
    </row>
    <row r="54" customFormat="false" ht="15" hidden="false" customHeight="false" outlineLevel="0" collapsed="false">
      <c r="B54" s="9" t="s">
        <v>442</v>
      </c>
      <c r="C54" s="6" t="s">
        <v>79</v>
      </c>
      <c r="D54" s="24" t="n">
        <f aca="false">$D$45-$D$49</f>
        <v>0.415157149691414</v>
      </c>
    </row>
    <row r="55" customFormat="false" ht="15" hidden="false" customHeight="false" outlineLevel="0" collapsed="false">
      <c r="B55" s="9" t="s">
        <v>443</v>
      </c>
      <c r="D55" s="14" t="n">
        <f aca="false">($D$36-$D$29)/(Case_Base!$D$200-Case_Base!$D$48)</f>
        <v>0.725739645083494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444</v>
      </c>
    </row>
    <row r="3" customFormat="false" ht="15" hidden="false" customHeight="false" outlineLevel="0" collapsed="false">
      <c r="B3" s="6" t="s">
        <v>445</v>
      </c>
    </row>
    <row r="5" customFormat="false" ht="15" hidden="false" customHeight="false" outlineLevel="0" collapsed="false">
      <c r="B5" s="7" t="s">
        <v>402</v>
      </c>
      <c r="C5" s="8"/>
      <c r="D5" s="8"/>
      <c r="E5" s="8"/>
      <c r="F5" s="8"/>
      <c r="G5" s="8"/>
      <c r="H5" s="8"/>
      <c r="I5" s="8"/>
      <c r="J5" s="8"/>
      <c r="K5" s="8"/>
      <c r="L5" s="8"/>
    </row>
    <row r="6" customFormat="false" ht="15" hidden="false" customHeight="false" outlineLevel="0" collapsed="false">
      <c r="B6" s="9" t="s">
        <v>403</v>
      </c>
      <c r="D6" s="26" t="n">
        <v>1</v>
      </c>
    </row>
    <row r="7" customFormat="false" ht="15" hidden="false" customHeight="false" outlineLevel="0" collapsed="false">
      <c r="B7" s="9" t="s">
        <v>404</v>
      </c>
      <c r="C7" s="6" t="s">
        <v>25</v>
      </c>
      <c r="D7" s="19" t="n">
        <f aca="false">Case_Base!$D$48</f>
        <v>190</v>
      </c>
    </row>
    <row r="8" customFormat="false" ht="15" hidden="false" customHeight="false" outlineLevel="0" collapsed="false">
      <c r="B8" s="9" t="s">
        <v>327</v>
      </c>
      <c r="C8" s="6" t="s">
        <v>133</v>
      </c>
      <c r="D8" s="32" t="n">
        <f aca="false">Case_Base!$D$170</f>
        <v>5</v>
      </c>
    </row>
    <row r="9" customFormat="false" ht="15" hidden="false" customHeight="false" outlineLevel="0" collapsed="false">
      <c r="B9" s="9" t="s">
        <v>405</v>
      </c>
      <c r="D9" s="14" t="n">
        <f aca="false">Assumptions!$D$156</f>
        <v>0.02</v>
      </c>
    </row>
    <row r="10" customFormat="false" ht="15" hidden="false" customHeight="false" outlineLevel="0" collapsed="false">
      <c r="B10" s="9" t="s">
        <v>171</v>
      </c>
      <c r="D10" s="29" t="n">
        <f aca="false">Assumptions!$D$157</f>
        <v>0.2</v>
      </c>
    </row>
    <row r="11" customFormat="false" ht="15" hidden="false" customHeight="false" outlineLevel="0" collapsed="false">
      <c r="B11" s="9" t="s">
        <v>173</v>
      </c>
      <c r="D11" s="29" t="n">
        <f aca="false">Assumptions!$D$159</f>
        <v>0.08</v>
      </c>
    </row>
    <row r="12" customFormat="false" ht="15" hidden="false" customHeight="false" outlineLevel="0" collapsed="false">
      <c r="B12" s="9" t="s">
        <v>174</v>
      </c>
      <c r="D12" s="25" t="n">
        <f aca="false">Assumptions!$D$160</f>
        <v>0.065</v>
      </c>
    </row>
    <row r="13" customFormat="false" ht="15" hidden="false" customHeight="false" outlineLevel="0" collapsed="false">
      <c r="B13" s="9" t="s">
        <v>406</v>
      </c>
      <c r="C13" s="6" t="s">
        <v>176</v>
      </c>
      <c r="D13" s="32" t="n">
        <f aca="false">Assumptions!$D$161</f>
        <v>12</v>
      </c>
    </row>
    <row r="14" customFormat="false" ht="15" hidden="false" customHeight="false" outlineLevel="0" collapsed="false">
      <c r="B14" s="17" t="s">
        <v>407</v>
      </c>
      <c r="C14" s="6" t="s">
        <v>25</v>
      </c>
      <c r="D14" s="18" t="n">
        <f aca="false">$D$7/(1-$D$9*$D$8)</f>
        <v>211.111111111111</v>
      </c>
    </row>
    <row r="15" customFormat="false" ht="15" hidden="false" customHeight="false" outlineLevel="0" collapsed="false">
      <c r="B15" s="9" t="s">
        <v>408</v>
      </c>
      <c r="C15" s="6" t="s">
        <v>25</v>
      </c>
      <c r="D15" s="33" t="n">
        <f aca="false">$D$9*$D$14</f>
        <v>4.22222222222222</v>
      </c>
    </row>
    <row r="16" customFormat="false" ht="15" hidden="false" customHeight="false" outlineLevel="0" collapsed="false">
      <c r="B16" s="9" t="s">
        <v>409</v>
      </c>
      <c r="C16" s="6" t="s">
        <v>25</v>
      </c>
      <c r="D16" s="19" t="n">
        <f aca="false">$D$15*$D$8</f>
        <v>21.1111111111111</v>
      </c>
    </row>
    <row r="17" customFormat="false" ht="15" hidden="false" customHeight="false" outlineLevel="0" collapsed="false">
      <c r="B17" s="9" t="s">
        <v>410</v>
      </c>
      <c r="C17" s="6" t="s">
        <v>25</v>
      </c>
      <c r="D17" s="33" t="n">
        <f aca="false">IF($D$6=1,$D$7*$D$12*$D$13/12,0)</f>
        <v>12.35</v>
      </c>
    </row>
    <row r="19" customFormat="false" ht="15" hidden="false" customHeight="false" outlineLevel="0" collapsed="false">
      <c r="B19" s="7" t="s">
        <v>411</v>
      </c>
      <c r="C19" s="8"/>
      <c r="D19" s="8"/>
      <c r="E19" s="8"/>
      <c r="F19" s="8"/>
      <c r="G19" s="8"/>
      <c r="H19" s="8"/>
      <c r="I19" s="8"/>
      <c r="J19" s="8"/>
      <c r="K19" s="8"/>
      <c r="L19" s="8"/>
    </row>
    <row r="20" customFormat="false" ht="15" hidden="false" customHeight="false" outlineLevel="0" collapsed="false">
      <c r="B20" s="7" t="s">
        <v>178</v>
      </c>
      <c r="E20" s="30" t="n">
        <v>0</v>
      </c>
      <c r="F20" s="30" t="n">
        <v>1</v>
      </c>
      <c r="G20" s="30" t="n">
        <v>2</v>
      </c>
      <c r="H20" s="30" t="n">
        <v>3</v>
      </c>
      <c r="I20" s="30" t="n">
        <v>4</v>
      </c>
      <c r="J20" s="30" t="n">
        <v>5</v>
      </c>
      <c r="K20" s="30" t="n">
        <v>6</v>
      </c>
      <c r="L20" s="30" t="n">
        <v>7</v>
      </c>
    </row>
    <row r="21" customFormat="false" ht="15" hidden="false" customHeight="false" outlineLevel="0" collapsed="false">
      <c r="B21" s="9" t="s">
        <v>412</v>
      </c>
      <c r="E21" s="19" t="n">
        <f aca="false">IF($E$20=0,IF($D$6=1,0,-$D$7),IF(AND($E$20=1,$D$6=1),-($D$7+$D$17),0))</f>
        <v>0</v>
      </c>
      <c r="F21" s="19" t="n">
        <f aca="false">IF($F$20=0,IF($D$6=1,0,-$D$7),IF(AND($F$20=1,$D$6=1),-($D$7+$D$17),0))</f>
        <v>-202.35</v>
      </c>
      <c r="G21" s="19" t="n">
        <f aca="false">IF($G$20=0,IF($D$6=1,0,-$D$7),IF(AND($G$20=1,$D$6=1),-($D$7+$D$17),0))</f>
        <v>0</v>
      </c>
      <c r="H21" s="19" t="n">
        <f aca="false">IF($H$20=0,IF($D$6=1,0,-$D$7),IF(AND($H$20=1,$D$6=1),-($D$7+$D$17),0))</f>
        <v>0</v>
      </c>
      <c r="I21" s="19" t="n">
        <f aca="false">IF($I$20=0,IF($D$6=1,0,-$D$7),IF(AND($I$20=1,$D$6=1),-($D$7+$D$17),0))</f>
        <v>0</v>
      </c>
      <c r="J21" s="19" t="n">
        <f aca="false">IF($J$20=0,IF($D$6=1,0,-$D$7),IF(AND($J$20=1,$D$6=1),-($D$7+$D$17),0))</f>
        <v>0</v>
      </c>
      <c r="K21" s="19" t="n">
        <f aca="false">IF($K$20=0,IF($D$6=1,0,-$D$7),IF(AND($K$20=1,$D$6=1),-($D$7+$D$17),0))</f>
        <v>0</v>
      </c>
      <c r="L21" s="19" t="n">
        <f aca="false">IF($L$20=0,IF($D$6=1,0,-$D$7),IF(AND($L$20=1,$D$6=1),-($D$7+$D$17),0))</f>
        <v>0</v>
      </c>
    </row>
    <row r="22" customFormat="false" ht="15" hidden="false" customHeight="false" outlineLevel="0" collapsed="false">
      <c r="B22" s="9" t="s">
        <v>413</v>
      </c>
      <c r="E22" s="33" t="n">
        <f aca="false">IF($E$20&lt;$D$8,-$D$15,0)</f>
        <v>-4.22222222222222</v>
      </c>
      <c r="F22" s="33" t="n">
        <f aca="false">IF($F$20&lt;$D$8,-$D$15,0)</f>
        <v>-4.22222222222222</v>
      </c>
      <c r="G22" s="33" t="n">
        <f aca="false">IF($G$20&lt;$D$8,-$D$15,0)</f>
        <v>-4.22222222222222</v>
      </c>
      <c r="H22" s="33" t="n">
        <f aca="false">IF($H$20&lt;$D$8,-$D$15,0)</f>
        <v>-4.22222222222222</v>
      </c>
      <c r="I22" s="33" t="n">
        <f aca="false">IF($I$20&lt;$D$8,-$D$15,0)</f>
        <v>-4.22222222222222</v>
      </c>
      <c r="J22" s="33" t="n">
        <f aca="false">IF($J$20&lt;$D$8,-$D$15,0)</f>
        <v>0</v>
      </c>
      <c r="K22" s="33" t="n">
        <f aca="false">IF($K$20&lt;$D$8,-$D$15,0)</f>
        <v>0</v>
      </c>
      <c r="L22" s="33" t="n">
        <f aca="false">IF($L$20&lt;$D$8,-$D$15,0)</f>
        <v>0</v>
      </c>
    </row>
    <row r="23" customFormat="false" ht="15" hidden="false" customHeight="false" outlineLevel="0" collapsed="false">
      <c r="B23" s="17" t="s">
        <v>414</v>
      </c>
      <c r="E23" s="18" t="n">
        <f aca="false">$E$21+$E$22</f>
        <v>-4.22222222222222</v>
      </c>
      <c r="F23" s="18" t="n">
        <f aca="false">$F$21+$F$22</f>
        <v>-206.572222222222</v>
      </c>
      <c r="G23" s="18" t="n">
        <f aca="false">$G$21+$G$22</f>
        <v>-4.22222222222222</v>
      </c>
      <c r="H23" s="18" t="n">
        <f aca="false">$H$21+$H$22</f>
        <v>-4.22222222222222</v>
      </c>
      <c r="I23" s="18" t="n">
        <f aca="false">$I$21+$I$22</f>
        <v>-4.22222222222222</v>
      </c>
      <c r="J23" s="18" t="n">
        <f aca="false">$J$21+$J$22</f>
        <v>0</v>
      </c>
      <c r="K23" s="18" t="n">
        <f aca="false">$K$21+$K$22</f>
        <v>0</v>
      </c>
      <c r="L23" s="18" t="n">
        <f aca="false">$L$21+$L$22</f>
        <v>0</v>
      </c>
    </row>
    <row r="24" customFormat="false" ht="15" hidden="false" customHeight="false" outlineLevel="0" collapsed="false">
      <c r="B24" s="9" t="s">
        <v>415</v>
      </c>
      <c r="E24" s="19" t="n">
        <f aca="false">IF($E$20&gt;=1,Case_Base!$E$219,0)</f>
        <v>0</v>
      </c>
      <c r="F24" s="19" t="n">
        <f aca="false">IF($F$20&gt;=1,Case_Base!$F$219,0)</f>
        <v>0</v>
      </c>
      <c r="G24" s="19" t="n">
        <f aca="false">IF($G$20&gt;=1,Case_Base!$G$219,0)</f>
        <v>0</v>
      </c>
      <c r="H24" s="19" t="n">
        <f aca="false">IF($H$20&gt;=1,Case_Base!$H$219,0)</f>
        <v>0</v>
      </c>
      <c r="I24" s="19" t="n">
        <f aca="false">IF($I$20&gt;=1,Case_Base!$I$219,0)</f>
        <v>0</v>
      </c>
      <c r="J24" s="19" t="n">
        <f aca="false">IF($J$20&gt;=1,Case_Base!$J$219,0)</f>
        <v>417.428065862031</v>
      </c>
      <c r="K24" s="19" t="n">
        <f aca="false">IF($K$20&gt;=1,Case_Base!$K$219,0)</f>
        <v>0</v>
      </c>
      <c r="L24" s="19" t="n">
        <f aca="false">IF($L$20&gt;=1,Case_Base!$L$219,0)</f>
        <v>0</v>
      </c>
    </row>
    <row r="25" customFormat="false" ht="15" hidden="false" customHeight="false" outlineLevel="0" collapsed="false">
      <c r="B25" s="17" t="s">
        <v>416</v>
      </c>
      <c r="E25" s="18" t="n">
        <f aca="false">$E$23+$E$24</f>
        <v>-4.22222222222222</v>
      </c>
      <c r="F25" s="18" t="n">
        <f aca="false">$F$23+$F$24</f>
        <v>-206.572222222222</v>
      </c>
      <c r="G25" s="18" t="n">
        <f aca="false">$G$23+$G$24</f>
        <v>-4.22222222222222</v>
      </c>
      <c r="H25" s="18" t="n">
        <f aca="false">$H$23+$H$24</f>
        <v>-4.22222222222222</v>
      </c>
      <c r="I25" s="18" t="n">
        <f aca="false">$I$23+$I$24</f>
        <v>-4.22222222222222</v>
      </c>
      <c r="J25" s="18" t="n">
        <f aca="false">$J$23+$J$24</f>
        <v>417.428065862031</v>
      </c>
      <c r="K25" s="18" t="n">
        <f aca="false">$K$23+$K$24</f>
        <v>0</v>
      </c>
      <c r="L25" s="18" t="n">
        <f aca="false">$L$23+$L$24</f>
        <v>0</v>
      </c>
    </row>
    <row r="26" customFormat="false" ht="15" hidden="false" customHeight="false" outlineLevel="0" collapsed="false">
      <c r="B26" s="9" t="s">
        <v>417</v>
      </c>
      <c r="E26" s="33" t="n">
        <f aca="false">IF($E$20&lt;=$D$8,-$E$23*((1+$D$11)^($D$8-$E$20)-1),0)</f>
        <v>1.98160743537778</v>
      </c>
      <c r="F26" s="33" t="n">
        <f aca="false">IF($F$20&lt;=$D$8,-$F$23*((1+$D$11)^($D$8-$F$20)-1),0)</f>
        <v>74.4670055537778</v>
      </c>
      <c r="G26" s="33" t="n">
        <f aca="false">IF($G$20&lt;=$D$8,-$G$23*((1+$D$11)^($D$8-$G$20)-1),0)</f>
        <v>1.09656177777778</v>
      </c>
      <c r="H26" s="33" t="n">
        <f aca="false">IF($H$20&lt;=$D$8,-$H$23*((1+$D$11)^($D$8-$H$20)-1),0)</f>
        <v>0.702577777777778</v>
      </c>
      <c r="I26" s="33" t="n">
        <f aca="false">IF($I$20&lt;=$D$8,-$I$23*((1+$D$11)^($D$8-$I$20)-1),0)</f>
        <v>0.337777777777778</v>
      </c>
      <c r="J26" s="33" t="n">
        <f aca="false">IF($J$20&lt;=$D$8,-$J$23*((1+$D$11)^($D$8-$J$20)-1),0)</f>
        <v>-0</v>
      </c>
      <c r="K26" s="33" t="n">
        <f aca="false">IF($K$20&lt;=$D$8,-$K$23*((1+$D$11)^($D$8-$K$20)-1),0)</f>
        <v>0</v>
      </c>
      <c r="L26" s="33" t="n">
        <f aca="false">IF($L$20&lt;=$D$8,-$L$23*((1+$D$11)^($D$8-$L$20)-1),0)</f>
        <v>0</v>
      </c>
    </row>
    <row r="28" customFormat="false" ht="15" hidden="false" customHeight="false" outlineLevel="0" collapsed="false">
      <c r="B28" s="7" t="s">
        <v>418</v>
      </c>
      <c r="C28" s="8"/>
      <c r="D28" s="8"/>
      <c r="E28" s="8"/>
      <c r="F28" s="8"/>
      <c r="G28" s="8"/>
      <c r="H28" s="8"/>
      <c r="I28" s="8"/>
      <c r="J28" s="8"/>
      <c r="K28" s="8"/>
      <c r="L28" s="8"/>
    </row>
    <row r="29" customFormat="false" ht="15" hidden="false" customHeight="false" outlineLevel="0" collapsed="false">
      <c r="B29" s="9" t="s">
        <v>419</v>
      </c>
      <c r="C29" s="6" t="s">
        <v>25</v>
      </c>
      <c r="D29" s="19" t="n">
        <f aca="false">-SUM($E$23:$L$23)</f>
        <v>223.461111111111</v>
      </c>
    </row>
    <row r="30" customFormat="false" ht="15" hidden="false" customHeight="false" outlineLevel="0" collapsed="false">
      <c r="B30" s="9" t="s">
        <v>420</v>
      </c>
      <c r="C30" s="6" t="s">
        <v>25</v>
      </c>
      <c r="D30" s="19" t="n">
        <f aca="false">SUM($E$24:$L$24)</f>
        <v>417.428065862031</v>
      </c>
    </row>
    <row r="31" customFormat="false" ht="15" hidden="false" customHeight="false" outlineLevel="0" collapsed="false">
      <c r="B31" s="9" t="s">
        <v>421</v>
      </c>
      <c r="C31" s="6" t="s">
        <v>25</v>
      </c>
      <c r="D31" s="19" t="n">
        <f aca="false">$D$30-$D$29</f>
        <v>193.96695475092</v>
      </c>
    </row>
    <row r="32" customFormat="false" ht="15" hidden="false" customHeight="false" outlineLevel="0" collapsed="false">
      <c r="B32" s="9" t="s">
        <v>422</v>
      </c>
      <c r="C32" s="6" t="s">
        <v>25</v>
      </c>
      <c r="D32" s="19" t="n">
        <f aca="false">SUM($E$26:$L$26)</f>
        <v>78.585530322489</v>
      </c>
    </row>
    <row r="33" customFormat="false" ht="15" hidden="false" customHeight="false" outlineLevel="0" collapsed="false">
      <c r="B33" s="9" t="s">
        <v>423</v>
      </c>
      <c r="C33" s="6" t="s">
        <v>25</v>
      </c>
      <c r="D33" s="19" t="n">
        <f aca="false">$D$29+$D$32</f>
        <v>302.0466414336</v>
      </c>
    </row>
    <row r="34" customFormat="false" ht="15" hidden="false" customHeight="false" outlineLevel="0" collapsed="false">
      <c r="B34" s="17" t="s">
        <v>424</v>
      </c>
      <c r="C34" s="6" t="s">
        <v>25</v>
      </c>
      <c r="D34" s="18" t="n">
        <f aca="false">IF($D$30&lt;=$D$33,0,MIN($D$10*$D$31,$D$30-$D$33))</f>
        <v>38.7933909501839</v>
      </c>
    </row>
    <row r="35" customFormat="false" ht="15" hidden="false" customHeight="false" outlineLevel="0" collapsed="false">
      <c r="B35" s="9" t="s">
        <v>425</v>
      </c>
      <c r="D35" s="14" t="n">
        <f aca="false">IF($D$31&gt;0,$D$34/$D$31,0)</f>
        <v>0.2</v>
      </c>
    </row>
    <row r="36" customFormat="false" ht="15" hidden="false" customHeight="false" outlineLevel="0" collapsed="false">
      <c r="B36" s="17" t="s">
        <v>426</v>
      </c>
      <c r="C36" s="6" t="s">
        <v>25</v>
      </c>
      <c r="D36" s="18" t="n">
        <f aca="false">$D$30-$D$34</f>
        <v>378.634674911847</v>
      </c>
    </row>
    <row r="38" customFormat="false" ht="15" hidden="false" customHeight="false" outlineLevel="0" collapsed="false">
      <c r="B38" s="7" t="s">
        <v>427</v>
      </c>
      <c r="C38" s="8"/>
      <c r="D38" s="8"/>
      <c r="E38" s="8"/>
      <c r="F38" s="8"/>
      <c r="G38" s="8"/>
      <c r="H38" s="8"/>
      <c r="I38" s="8"/>
      <c r="J38" s="8"/>
      <c r="K38" s="8"/>
      <c r="L38" s="8"/>
    </row>
    <row r="39" customFormat="false" ht="15" hidden="false" customHeight="false" outlineLevel="0" collapsed="false">
      <c r="B39" s="7" t="s">
        <v>178</v>
      </c>
      <c r="E39" s="30" t="n">
        <v>0</v>
      </c>
      <c r="F39" s="30" t="n">
        <v>1</v>
      </c>
      <c r="G39" s="30" t="n">
        <v>2</v>
      </c>
      <c r="H39" s="30" t="n">
        <v>3</v>
      </c>
      <c r="I39" s="30" t="n">
        <v>4</v>
      </c>
      <c r="J39" s="30" t="n">
        <v>5</v>
      </c>
      <c r="K39" s="30" t="n">
        <v>6</v>
      </c>
      <c r="L39" s="30" t="n">
        <v>7</v>
      </c>
    </row>
    <row r="40" customFormat="false" ht="15" hidden="false" customHeight="false" outlineLevel="0" collapsed="false">
      <c r="B40" s="9" t="s">
        <v>428</v>
      </c>
      <c r="E40" s="19" t="n">
        <f aca="false">IF($E$20=$D$8,-$D$34,0)</f>
        <v>0</v>
      </c>
      <c r="F40" s="19" t="n">
        <f aca="false">IF($F$20=$D$8,-$D$34,0)</f>
        <v>0</v>
      </c>
      <c r="G40" s="19" t="n">
        <f aca="false">IF($G$20=$D$8,-$D$34,0)</f>
        <v>0</v>
      </c>
      <c r="H40" s="19" t="n">
        <f aca="false">IF($H$20=$D$8,-$D$34,0)</f>
        <v>0</v>
      </c>
      <c r="I40" s="19" t="n">
        <f aca="false">IF($I$20=$D$8,-$D$34,0)</f>
        <v>0</v>
      </c>
      <c r="J40" s="19" t="n">
        <f aca="false">IF($J$20=$D$8,-$D$34,0)</f>
        <v>-38.7933909501839</v>
      </c>
      <c r="K40" s="19" t="n">
        <f aca="false">IF($K$20=$D$8,-$D$34,0)</f>
        <v>0</v>
      </c>
      <c r="L40" s="19" t="n">
        <f aca="false">IF($L$20=$D$8,-$D$34,0)</f>
        <v>0</v>
      </c>
    </row>
    <row r="41" customFormat="false" ht="15" hidden="false" customHeight="false" outlineLevel="0" collapsed="false">
      <c r="B41" s="17" t="s">
        <v>429</v>
      </c>
      <c r="E41" s="18" t="n">
        <f aca="false">$E$25+$E$40</f>
        <v>-4.22222222222222</v>
      </c>
      <c r="F41" s="18" t="n">
        <f aca="false">$F$25+$F$40</f>
        <v>-206.572222222222</v>
      </c>
      <c r="G41" s="18" t="n">
        <f aca="false">$G$25+$G$40</f>
        <v>-4.22222222222222</v>
      </c>
      <c r="H41" s="18" t="n">
        <f aca="false">$H$25+$H$40</f>
        <v>-4.22222222222222</v>
      </c>
      <c r="I41" s="18" t="n">
        <f aca="false">$I$25+$I$40</f>
        <v>-4.22222222222222</v>
      </c>
      <c r="J41" s="18" t="n">
        <f aca="false">$J$25+$J$40</f>
        <v>378.634674911847</v>
      </c>
      <c r="K41" s="18" t="n">
        <f aca="false">$K$25+$K$40</f>
        <v>0</v>
      </c>
      <c r="L41" s="18" t="n">
        <f aca="false">$L$25+$L$40</f>
        <v>0</v>
      </c>
    </row>
    <row r="42" customFormat="false" ht="15" hidden="false" customHeight="false" outlineLevel="0" collapsed="false">
      <c r="B42" s="9" t="s">
        <v>430</v>
      </c>
      <c r="E42" s="40" t="n">
        <f aca="false">DATE(YEAR(Assumptions!$D$10)+$E$20,MONTH(Assumptions!$D$10),DAY(Assumptions!$D$10))</f>
        <v>46203</v>
      </c>
      <c r="F42" s="40" t="n">
        <f aca="false">DATE(YEAR(Assumptions!$D$10)+$F$20,MONTH(Assumptions!$D$10),DAY(Assumptions!$D$10))</f>
        <v>46568</v>
      </c>
      <c r="G42" s="40" t="n">
        <f aca="false">DATE(YEAR(Assumptions!$D$10)+$G$20,MONTH(Assumptions!$D$10),DAY(Assumptions!$D$10))</f>
        <v>46934</v>
      </c>
      <c r="H42" s="40" t="n">
        <f aca="false">DATE(YEAR(Assumptions!$D$10)+$H$20,MONTH(Assumptions!$D$10),DAY(Assumptions!$D$10))</f>
        <v>47299</v>
      </c>
      <c r="I42" s="40" t="n">
        <f aca="false">DATE(YEAR(Assumptions!$D$10)+$I$20,MONTH(Assumptions!$D$10),DAY(Assumptions!$D$10))</f>
        <v>47664</v>
      </c>
      <c r="J42" s="40" t="n">
        <f aca="false">DATE(YEAR(Assumptions!$D$10)+$J$20,MONTH(Assumptions!$D$10),DAY(Assumptions!$D$10))</f>
        <v>48029</v>
      </c>
      <c r="K42" s="40" t="n">
        <f aca="false">DATE(YEAR(Assumptions!$D$10)+$K$20,MONTH(Assumptions!$D$10),DAY(Assumptions!$D$10))</f>
        <v>48395</v>
      </c>
      <c r="L42" s="40" t="n">
        <f aca="false">DATE(YEAR(Assumptions!$D$10)+$L$20,MONTH(Assumptions!$D$10),DAY(Assumptions!$D$10))</f>
        <v>48760</v>
      </c>
    </row>
    <row r="44" customFormat="false" ht="15" hidden="false" customHeight="false" outlineLevel="0" collapsed="false">
      <c r="B44" s="9" t="s">
        <v>431</v>
      </c>
      <c r="D44" s="25" t="n">
        <f aca="false">Case_Base!$D$223</f>
        <v>0.170484343544686</v>
      </c>
    </row>
    <row r="45" customFormat="false" ht="15" hidden="false" customHeight="false" outlineLevel="0" collapsed="false">
      <c r="B45" s="9" t="s">
        <v>432</v>
      </c>
      <c r="C45" s="6" t="s">
        <v>79</v>
      </c>
      <c r="D45" s="24" t="n">
        <f aca="false">Case_Base!$D$225</f>
        <v>2.19698982032648</v>
      </c>
    </row>
    <row r="46" customFormat="false" ht="15" hidden="false" customHeight="false" outlineLevel="0" collapsed="false">
      <c r="B46" s="17" t="s">
        <v>433</v>
      </c>
      <c r="D46" s="41" t="n">
        <f aca="false">IRR($E$25:$L$25,0.1)</f>
        <v>0.172570325409037</v>
      </c>
    </row>
    <row r="47" customFormat="false" ht="15" hidden="false" customHeight="false" outlineLevel="0" collapsed="false">
      <c r="B47" s="9" t="s">
        <v>434</v>
      </c>
      <c r="C47" s="6" t="s">
        <v>79</v>
      </c>
      <c r="D47" s="24" t="n">
        <f aca="false">$D$30/$D$29</f>
        <v>1.86801212876129</v>
      </c>
    </row>
    <row r="48" customFormat="false" ht="15" hidden="false" customHeight="false" outlineLevel="0" collapsed="false">
      <c r="B48" s="17" t="s">
        <v>435</v>
      </c>
      <c r="D48" s="41" t="n">
        <f aca="false">IRR($E$41:$L$41,0.1)</f>
        <v>0.143899672900763</v>
      </c>
    </row>
    <row r="49" customFormat="false" ht="15" hidden="false" customHeight="false" outlineLevel="0" collapsed="false">
      <c r="B49" s="17" t="s">
        <v>436</v>
      </c>
      <c r="C49" s="6" t="s">
        <v>79</v>
      </c>
      <c r="D49" s="35" t="n">
        <f aca="false">$D$36/$D$29</f>
        <v>1.69440970300904</v>
      </c>
    </row>
    <row r="50" customFormat="false" ht="15" hidden="false" customHeight="false" outlineLevel="0" collapsed="false">
      <c r="B50" s="9" t="s">
        <v>437</v>
      </c>
      <c r="D50" s="25" t="n">
        <f aca="false">XIRR($E$41:$L$41,$E$42:$L$42,0.1)</f>
        <v>0.143797455478709</v>
      </c>
    </row>
    <row r="51" customFormat="false" ht="15" hidden="false" customHeight="false" outlineLevel="0" collapsed="false">
      <c r="B51" s="9" t="s">
        <v>438</v>
      </c>
      <c r="C51" s="6" t="s">
        <v>439</v>
      </c>
      <c r="D51" s="25" t="n">
        <f aca="false">$D$44-$D$46</f>
        <v>-0.00208598186435055</v>
      </c>
    </row>
    <row r="52" customFormat="false" ht="15" hidden="false" customHeight="false" outlineLevel="0" collapsed="false">
      <c r="B52" s="9" t="s">
        <v>440</v>
      </c>
      <c r="C52" s="6" t="s">
        <v>439</v>
      </c>
      <c r="D52" s="25" t="n">
        <f aca="false">$D$46-$D$48</f>
        <v>0.0286706525082735</v>
      </c>
    </row>
    <row r="53" customFormat="false" ht="15" hidden="false" customHeight="false" outlineLevel="0" collapsed="false">
      <c r="B53" s="9" t="s">
        <v>441</v>
      </c>
      <c r="C53" s="6" t="s">
        <v>439</v>
      </c>
      <c r="D53" s="25" t="n">
        <f aca="false">$D$44-$D$48</f>
        <v>0.0265846706439229</v>
      </c>
    </row>
    <row r="54" customFormat="false" ht="15" hidden="false" customHeight="false" outlineLevel="0" collapsed="false">
      <c r="B54" s="9" t="s">
        <v>442</v>
      </c>
      <c r="C54" s="6" t="s">
        <v>79</v>
      </c>
      <c r="D54" s="24" t="n">
        <f aca="false">$D$45-$D$49</f>
        <v>0.502580117317442</v>
      </c>
    </row>
    <row r="55" customFormat="false" ht="15" hidden="false" customHeight="false" outlineLevel="0" collapsed="false">
      <c r="B55" s="9" t="s">
        <v>443</v>
      </c>
      <c r="D55" s="14" t="n">
        <f aca="false">($D$36-$D$29)/(Case_Base!$D$200-Case_Base!$D$48)</f>
        <v>0.682297337457338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0"/>
    <col collapsed="false" customWidth="true" hidden="false" outlineLevel="0" max="3" min="3" style="0" width="12"/>
    <col collapsed="false" customWidth="true" hidden="false" outlineLevel="0" max="5" min="4" style="0" width="14"/>
  </cols>
  <sheetData>
    <row r="1" customFormat="false" ht="6" hidden="false" customHeight="true" outlineLevel="0" collapsed="false"/>
    <row r="2" customFormat="false" ht="17.35" hidden="false" customHeight="false" outlineLevel="0" collapsed="false">
      <c r="B2" s="5" t="s">
        <v>446</v>
      </c>
    </row>
    <row r="3" customFormat="false" ht="15" hidden="false" customHeight="false" outlineLevel="0" collapsed="false">
      <c r="B3" s="6" t="s">
        <v>447</v>
      </c>
    </row>
    <row r="5" customFormat="false" ht="15" hidden="false" customHeight="false" outlineLevel="0" collapsed="false">
      <c r="B5" s="7" t="s">
        <v>448</v>
      </c>
      <c r="C5" s="8"/>
      <c r="D5" s="8"/>
      <c r="E5" s="8"/>
    </row>
    <row r="6" customFormat="false" ht="15" hidden="false" customHeight="false" outlineLevel="0" collapsed="false">
      <c r="B6" s="9" t="s">
        <v>449</v>
      </c>
      <c r="D6" s="14" t="n">
        <f aca="false">Assumptions!$D$156</f>
        <v>0.02</v>
      </c>
    </row>
    <row r="7" customFormat="false" ht="15" hidden="false" customHeight="false" outlineLevel="0" collapsed="false">
      <c r="B7" s="9" t="s">
        <v>171</v>
      </c>
      <c r="D7" s="29" t="n">
        <f aca="false">Assumptions!$D$157</f>
        <v>0.2</v>
      </c>
    </row>
    <row r="8" customFormat="false" ht="15" hidden="false" customHeight="false" outlineLevel="0" collapsed="false">
      <c r="B8" s="9" t="s">
        <v>173</v>
      </c>
      <c r="D8" s="29" t="n">
        <f aca="false">Assumptions!$D$159</f>
        <v>0.08</v>
      </c>
    </row>
    <row r="9" customFormat="false" ht="15" hidden="false" customHeight="false" outlineLevel="0" collapsed="false">
      <c r="B9" s="9" t="s">
        <v>172</v>
      </c>
      <c r="D9" s="29" t="n">
        <f aca="false">Assumptions!$D$158</f>
        <v>0.8</v>
      </c>
    </row>
    <row r="10" customFormat="false" ht="15" hidden="false" customHeight="false" outlineLevel="0" collapsed="false">
      <c r="B10" s="9" t="s">
        <v>450</v>
      </c>
      <c r="D10" s="29" t="n">
        <f aca="false">Assumptions!$D$157</f>
        <v>0.2</v>
      </c>
    </row>
    <row r="11" customFormat="false" ht="15" hidden="false" customHeight="false" outlineLevel="0" collapsed="false">
      <c r="B11" s="9" t="s">
        <v>175</v>
      </c>
      <c r="C11" s="6" t="s">
        <v>176</v>
      </c>
      <c r="D11" s="32" t="n">
        <f aca="false">Assumptions!$D$161</f>
        <v>12</v>
      </c>
    </row>
    <row r="12" customFormat="false" ht="15" hidden="false" customHeight="false" outlineLevel="0" collapsed="false">
      <c r="B12" s="9" t="s">
        <v>174</v>
      </c>
      <c r="D12" s="25" t="n">
        <f aca="false">Assumptions!$D$160</f>
        <v>0.065</v>
      </c>
    </row>
    <row r="14" customFormat="false" ht="15" hidden="false" customHeight="false" outlineLevel="0" collapsed="false">
      <c r="B14" s="7" t="s">
        <v>451</v>
      </c>
      <c r="C14" s="8"/>
      <c r="D14" s="8"/>
      <c r="E14" s="8"/>
    </row>
    <row r="15" customFormat="false" ht="15" hidden="false" customHeight="false" outlineLevel="0" collapsed="false">
      <c r="B15" s="9" t="s">
        <v>452</v>
      </c>
      <c r="C15" s="6" t="s">
        <v>25</v>
      </c>
      <c r="D15" s="19" t="n">
        <f aca="false">Fund_Waterfall!$D$7</f>
        <v>190</v>
      </c>
    </row>
    <row r="16" customFormat="false" ht="15" hidden="false" customHeight="false" outlineLevel="0" collapsed="false">
      <c r="B16" s="9" t="s">
        <v>453</v>
      </c>
      <c r="C16" s="6" t="s">
        <v>25</v>
      </c>
      <c r="D16" s="19" t="n">
        <f aca="false">Fund_Waterfall!$D$14</f>
        <v>211.111111111111</v>
      </c>
    </row>
    <row r="17" customFormat="false" ht="15" hidden="false" customHeight="false" outlineLevel="0" collapsed="false">
      <c r="B17" s="9" t="s">
        <v>408</v>
      </c>
      <c r="C17" s="6" t="s">
        <v>25</v>
      </c>
      <c r="D17" s="33" t="n">
        <f aca="false">Fund_Waterfall!$D$15</f>
        <v>4.22222222222222</v>
      </c>
    </row>
    <row r="18" customFormat="false" ht="15" hidden="false" customHeight="false" outlineLevel="0" collapsed="false">
      <c r="B18" s="9" t="s">
        <v>454</v>
      </c>
      <c r="C18" s="6" t="s">
        <v>25</v>
      </c>
      <c r="D18" s="19" t="n">
        <f aca="false">Fund_Waterfall!$D$16</f>
        <v>21.1111111111111</v>
      </c>
    </row>
    <row r="19" customFormat="false" ht="15" hidden="false" customHeight="false" outlineLevel="0" collapsed="false">
      <c r="B19" s="9" t="s">
        <v>414</v>
      </c>
      <c r="C19" s="6" t="s">
        <v>25</v>
      </c>
      <c r="D19" s="19" t="n">
        <f aca="false">Fund_Waterfall!$D$29</f>
        <v>211.111111111111</v>
      </c>
    </row>
    <row r="20" customFormat="false" ht="15" hidden="false" customHeight="false" outlineLevel="0" collapsed="false">
      <c r="B20" s="9" t="s">
        <v>455</v>
      </c>
      <c r="C20" s="6" t="s">
        <v>25</v>
      </c>
      <c r="D20" s="19" t="n">
        <f aca="false">Fund_Waterfall!$D$30</f>
        <v>417.428065862031</v>
      </c>
    </row>
    <row r="21" customFormat="false" ht="15" hidden="false" customHeight="false" outlineLevel="0" collapsed="false">
      <c r="B21" s="9" t="s">
        <v>421</v>
      </c>
      <c r="C21" s="6" t="s">
        <v>25</v>
      </c>
      <c r="D21" s="19" t="n">
        <f aca="false">Fund_Waterfall!$D$31</f>
        <v>206.31695475092</v>
      </c>
    </row>
    <row r="22" customFormat="false" ht="15" hidden="false" customHeight="false" outlineLevel="0" collapsed="false">
      <c r="B22" s="9" t="s">
        <v>456</v>
      </c>
      <c r="C22" s="6" t="s">
        <v>25</v>
      </c>
      <c r="D22" s="19" t="n">
        <f aca="false">Fund_Waterfall!$D$32</f>
        <v>94.812923858489</v>
      </c>
    </row>
    <row r="23" customFormat="false" ht="15" hidden="false" customHeight="false" outlineLevel="0" collapsed="false">
      <c r="B23" s="9" t="s">
        <v>457</v>
      </c>
      <c r="C23" s="6" t="s">
        <v>25</v>
      </c>
      <c r="D23" s="19" t="n">
        <f aca="false">Fund_Waterfall!$D$33</f>
        <v>305.9240349696</v>
      </c>
    </row>
    <row r="24" customFormat="false" ht="15" hidden="false" customHeight="false" outlineLevel="0" collapsed="false">
      <c r="B24" s="9" t="s">
        <v>171</v>
      </c>
      <c r="C24" s="6" t="s">
        <v>25</v>
      </c>
      <c r="D24" s="19" t="n">
        <f aca="false">Fund_Waterfall!$D$34</f>
        <v>41.2633909501839</v>
      </c>
    </row>
    <row r="25" customFormat="false" ht="15" hidden="false" customHeight="false" outlineLevel="0" collapsed="false">
      <c r="B25" s="9" t="s">
        <v>426</v>
      </c>
      <c r="C25" s="6" t="s">
        <v>25</v>
      </c>
      <c r="D25" s="19" t="n">
        <f aca="false">Fund_Waterfall!$D$36</f>
        <v>376.164674911847</v>
      </c>
    </row>
    <row r="27" customFormat="false" ht="15" hidden="false" customHeight="false" outlineLevel="0" collapsed="false">
      <c r="B27" s="7" t="s">
        <v>458</v>
      </c>
      <c r="C27" s="8"/>
      <c r="D27" s="8"/>
      <c r="E27" s="8"/>
    </row>
    <row r="28" customFormat="false" ht="21.75" hidden="false" customHeight="true" outlineLevel="0" collapsed="false">
      <c r="B28" s="15" t="s">
        <v>459</v>
      </c>
      <c r="C28" s="16"/>
      <c r="D28" s="16" t="s">
        <v>460</v>
      </c>
      <c r="E28" s="16" t="s">
        <v>461</v>
      </c>
    </row>
    <row r="29" customFormat="false" ht="15" hidden="false" customHeight="false" outlineLevel="0" collapsed="false">
      <c r="B29" s="9" t="s">
        <v>462</v>
      </c>
      <c r="D29" s="25" t="n">
        <f aca="false">Fund_Waterfall!$D$44</f>
        <v>0.170484343544686</v>
      </c>
      <c r="E29" s="24" t="n">
        <f aca="false">Fund_Waterfall!$D$45</f>
        <v>2.19698982032648</v>
      </c>
    </row>
    <row r="30" customFormat="false" ht="15" hidden="false" customHeight="false" outlineLevel="0" collapsed="false">
      <c r="B30" s="9" t="s">
        <v>463</v>
      </c>
      <c r="D30" s="25" t="n">
        <f aca="false">Fund_Waterfall!$D$46</f>
        <v>0.151439414661694</v>
      </c>
      <c r="E30" s="24" t="n">
        <f aca="false">Fund_Waterfall!$D$47</f>
        <v>1.97729083829383</v>
      </c>
    </row>
    <row r="31" customFormat="false" ht="15" hidden="false" customHeight="false" outlineLevel="0" collapsed="false">
      <c r="B31" s="9" t="s">
        <v>464</v>
      </c>
      <c r="D31" s="41" t="n">
        <f aca="false">Fund_Waterfall!$D$48</f>
        <v>0.127044006074325</v>
      </c>
      <c r="E31" s="35" t="n">
        <f aca="false">Fund_Waterfall!$D$49</f>
        <v>1.78183267063506</v>
      </c>
    </row>
    <row r="32" customFormat="false" ht="15" hidden="false" customHeight="false" outlineLevel="0" collapsed="false">
      <c r="B32" s="9" t="s">
        <v>465</v>
      </c>
      <c r="D32" s="41" t="n">
        <f aca="false">Subscription_Line!$D$48</f>
        <v>0.143899672900763</v>
      </c>
      <c r="E32" s="35" t="n">
        <f aca="false">Subscription_Line!$D$49</f>
        <v>1.69440970300904</v>
      </c>
    </row>
    <row r="34" customFormat="false" ht="15" hidden="false" customHeight="false" outlineLevel="0" collapsed="false">
      <c r="B34" s="7" t="s">
        <v>466</v>
      </c>
      <c r="C34" s="8"/>
      <c r="D34" s="8"/>
      <c r="E34" s="8"/>
    </row>
    <row r="35" customFormat="false" ht="15" hidden="false" customHeight="false" outlineLevel="0" collapsed="false">
      <c r="B35" s="9" t="s">
        <v>467</v>
      </c>
      <c r="C35" s="6" t="s">
        <v>25</v>
      </c>
      <c r="D35" s="19" t="n">
        <f aca="false">Case_Base!$D$48</f>
        <v>190</v>
      </c>
    </row>
    <row r="36" customFormat="false" ht="15" hidden="false" customHeight="false" outlineLevel="0" collapsed="false">
      <c r="B36" s="9" t="s">
        <v>468</v>
      </c>
      <c r="C36" s="6" t="s">
        <v>25</v>
      </c>
      <c r="D36" s="19" t="n">
        <f aca="false">Case_Base!$D$200</f>
        <v>417.428065862031</v>
      </c>
    </row>
    <row r="37" customFormat="false" ht="15" hidden="false" customHeight="false" outlineLevel="0" collapsed="false">
      <c r="B37" s="9" t="s">
        <v>469</v>
      </c>
      <c r="C37" s="6" t="s">
        <v>439</v>
      </c>
      <c r="D37" s="25" t="n">
        <f aca="false">Fund_Waterfall!$D$51</f>
        <v>0.0190449288829925</v>
      </c>
    </row>
    <row r="38" customFormat="false" ht="15" hidden="false" customHeight="false" outlineLevel="0" collapsed="false">
      <c r="B38" s="9" t="s">
        <v>470</v>
      </c>
      <c r="C38" s="6" t="s">
        <v>439</v>
      </c>
      <c r="D38" s="25" t="n">
        <f aca="false">Fund_Waterfall!$D$52</f>
        <v>0.0243954085873688</v>
      </c>
    </row>
    <row r="39" customFormat="false" ht="15" hidden="false" customHeight="false" outlineLevel="0" collapsed="false">
      <c r="B39" s="9" t="s">
        <v>471</v>
      </c>
      <c r="C39" s="6" t="s">
        <v>439</v>
      </c>
      <c r="D39" s="25" t="n">
        <f aca="false">Fund_Waterfall!$D$53</f>
        <v>0.0434403374703613</v>
      </c>
    </row>
    <row r="40" customFormat="false" ht="15" hidden="false" customHeight="false" outlineLevel="0" collapsed="false">
      <c r="B40" s="9" t="s">
        <v>472</v>
      </c>
      <c r="C40" s="6" t="s">
        <v>79</v>
      </c>
      <c r="D40" s="24" t="n">
        <f aca="false">Fund_Waterfall!$D$54</f>
        <v>0.415157149691414</v>
      </c>
    </row>
    <row r="41" customFormat="false" ht="15" hidden="false" customHeight="false" outlineLevel="0" collapsed="false">
      <c r="B41" s="9" t="s">
        <v>443</v>
      </c>
      <c r="D41" s="14" t="n">
        <f aca="false">Fund_Waterfall!$D$55</f>
        <v>0.725739645083494</v>
      </c>
    </row>
    <row r="43" customFormat="false" ht="15" hidden="false" customHeight="false" outlineLevel="0" collapsed="false">
      <c r="B43" s="7" t="s">
        <v>473</v>
      </c>
      <c r="C43" s="8"/>
      <c r="D43" s="8"/>
      <c r="E43" s="8"/>
    </row>
    <row r="44" customFormat="false" ht="15" hidden="false" customHeight="false" outlineLevel="0" collapsed="false">
      <c r="B44" s="9" t="s">
        <v>474</v>
      </c>
      <c r="C44" s="6" t="s">
        <v>25</v>
      </c>
      <c r="D44" s="19" t="n">
        <f aca="false">Subscription_Line!$D$7</f>
        <v>190</v>
      </c>
    </row>
    <row r="45" customFormat="false" ht="15" hidden="false" customHeight="false" outlineLevel="0" collapsed="false">
      <c r="B45" s="9" t="s">
        <v>475</v>
      </c>
      <c r="C45" s="6" t="s">
        <v>25</v>
      </c>
      <c r="D45" s="33" t="n">
        <f aca="false">Subscription_Line!$D$17</f>
        <v>12.35</v>
      </c>
    </row>
    <row r="46" customFormat="false" ht="15" hidden="false" customHeight="false" outlineLevel="0" collapsed="false">
      <c r="B46" s="9" t="s">
        <v>476</v>
      </c>
      <c r="C46" s="6" t="s">
        <v>439</v>
      </c>
      <c r="D46" s="25" t="n">
        <f aca="false">Subscription_Line!$D$48-Fund_Waterfall!$D$48</f>
        <v>0.0168556668264384</v>
      </c>
    </row>
    <row r="47" customFormat="false" ht="15" hidden="false" customHeight="false" outlineLevel="0" collapsed="false">
      <c r="B47" s="9" t="s">
        <v>477</v>
      </c>
      <c r="C47" s="6" t="s">
        <v>79</v>
      </c>
      <c r="D47" s="42" t="n">
        <f aca="false">Fund_Waterfall!$D$49-Subscription_Line!$D$49</f>
        <v>0.0874229676260283</v>
      </c>
    </row>
    <row r="48" customFormat="false" ht="15" hidden="false" customHeight="false" outlineLevel="0" collapsed="false">
      <c r="B48" s="9" t="s">
        <v>478</v>
      </c>
      <c r="C48" s="6" t="s">
        <v>25</v>
      </c>
      <c r="D48" s="19" t="n">
        <f aca="false">Subscription_Line!$D$34</f>
        <v>38.7933909501839</v>
      </c>
    </row>
    <row r="49" customFormat="false" ht="15" hidden="false" customHeight="false" outlineLevel="0" collapsed="false">
      <c r="B49" s="9" t="s">
        <v>479</v>
      </c>
      <c r="C49" s="6" t="s">
        <v>25</v>
      </c>
      <c r="D49" s="19" t="n">
        <f aca="false">Subscription_Line!$D$32</f>
        <v>78.585530322489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480</v>
      </c>
    </row>
    <row r="3" customFormat="false" ht="15" hidden="false" customHeight="false" outlineLevel="0" collapsed="false">
      <c r="B3" s="6" t="s">
        <v>481</v>
      </c>
    </row>
    <row r="4" customFormat="false" ht="15" hidden="false" customHeight="false" outlineLevel="0" collapsed="false">
      <c r="C4" s="17" t="s">
        <v>482</v>
      </c>
      <c r="E4" s="43" t="n">
        <f aca="false">ROWS(I10:I89)</f>
        <v>80</v>
      </c>
    </row>
    <row r="5" customFormat="false" ht="15" hidden="false" customHeight="false" outlineLevel="0" collapsed="false">
      <c r="C5" s="17" t="s">
        <v>483</v>
      </c>
      <c r="E5" s="43" t="n">
        <f aca="false">COUNTIF(I10:I89,"PASS")</f>
        <v>80</v>
      </c>
    </row>
    <row r="6" customFormat="false" ht="15" hidden="false" customHeight="false" outlineLevel="0" collapsed="false">
      <c r="C6" s="17" t="s">
        <v>484</v>
      </c>
      <c r="E6" s="43" t="n">
        <f aca="false">COUNTIF(I10:I89,"FAIL")</f>
        <v>0</v>
      </c>
    </row>
    <row r="7" customFormat="false" ht="15" hidden="false" customHeight="false" outlineLevel="0" collapsed="false">
      <c r="C7" s="17" t="s">
        <v>485</v>
      </c>
      <c r="D7" s="17"/>
      <c r="E7" s="44" t="str">
        <f aca="false">IFERROR(IF(AND(E5=E4,E6=0,SUMPRODUCT(--ISERROR(F10:F89))=0),"PASS","FAIL"),"FAIL")</f>
        <v>PASS</v>
      </c>
    </row>
    <row r="9" customFormat="false" ht="21.75" hidden="false" customHeight="true" outlineLevel="0" collapsed="false">
      <c r="B9" s="15" t="s">
        <v>486</v>
      </c>
      <c r="C9" s="16" t="s">
        <v>487</v>
      </c>
      <c r="D9" s="16" t="s">
        <v>488</v>
      </c>
      <c r="E9" s="16" t="s">
        <v>489</v>
      </c>
      <c r="F9" s="16" t="s">
        <v>490</v>
      </c>
      <c r="G9" s="16" t="s">
        <v>491</v>
      </c>
      <c r="H9" s="16" t="s">
        <v>492</v>
      </c>
      <c r="I9" s="16" t="s">
        <v>493</v>
      </c>
    </row>
    <row r="10" customFormat="false" ht="15" hidden="false" customHeight="true" outlineLevel="0" collapsed="false">
      <c r="B10" s="45" t="n">
        <v>1</v>
      </c>
      <c r="C10" s="9" t="s">
        <v>494</v>
      </c>
      <c r="D10" s="46" t="s">
        <v>495</v>
      </c>
      <c r="E10" s="47" t="s">
        <v>496</v>
      </c>
      <c r="F10" s="48" t="str">
        <f aca="false">IFERROR(IF(ABS(Case_Base!$D$50)&lt;0.000001,"holds","does not hold"),"error")</f>
        <v>holds</v>
      </c>
      <c r="G10" s="9"/>
      <c r="H10" s="9"/>
      <c r="I10" s="44" t="str">
        <f aca="false">IFERROR(IF(ABS(Case_Base!$D$50)&lt;0.000001,"PASS","FAIL"),"FAIL")</f>
        <v>PASS</v>
      </c>
    </row>
    <row r="11" customFormat="false" ht="15" hidden="false" customHeight="true" outlineLevel="0" collapsed="false">
      <c r="B11" s="45" t="n">
        <v>2</v>
      </c>
      <c r="C11" s="9" t="s">
        <v>494</v>
      </c>
      <c r="D11" s="46" t="s">
        <v>497</v>
      </c>
      <c r="E11" s="47" t="s">
        <v>496</v>
      </c>
      <c r="F11" s="48" t="str">
        <f aca="false">IFERROR(IF(SUMPRODUCT(ABS(Case_Base!$E$154:$L$154))&lt;0.000001,"holds","does not hold"),"error")</f>
        <v>holds</v>
      </c>
      <c r="G11" s="9"/>
      <c r="H11" s="9"/>
      <c r="I11" s="44" t="str">
        <f aca="false">IFERROR(IF(SUMPRODUCT(ABS(Case_Base!$E$154:$L$154))&lt;0.000001,"PASS","FAIL"),"FAIL")</f>
        <v>PASS</v>
      </c>
    </row>
    <row r="12" customFormat="false" ht="15" hidden="false" customHeight="true" outlineLevel="0" collapsed="false">
      <c r="B12" s="45" t="n">
        <v>3</v>
      </c>
      <c r="C12" s="9" t="s">
        <v>494</v>
      </c>
      <c r="D12" s="46" t="s">
        <v>498</v>
      </c>
      <c r="E12" s="47" t="s">
        <v>496</v>
      </c>
      <c r="F12" s="48" t="str">
        <f aca="false">IFERROR(IF(SUMPRODUCT(ABS(Case_Base!$F$126:$L$126))&lt;0.000001,"holds","does not hold"),"error")</f>
        <v>holds</v>
      </c>
      <c r="G12" s="9"/>
      <c r="H12" s="9"/>
      <c r="I12" s="44" t="str">
        <f aca="false">IFERROR(IF(SUMPRODUCT(ABS(Case_Base!$F$126:$L$126))&lt;0.000001,"PASS","FAIL"),"FAIL")</f>
        <v>PASS</v>
      </c>
    </row>
    <row r="13" customFormat="false" ht="15" hidden="false" customHeight="true" outlineLevel="0" collapsed="false">
      <c r="B13" s="45" t="n">
        <v>4</v>
      </c>
      <c r="C13" s="9" t="s">
        <v>494</v>
      </c>
      <c r="D13" s="46" t="s">
        <v>499</v>
      </c>
      <c r="E13" s="47" t="s">
        <v>496</v>
      </c>
      <c r="F13" s="48" t="str">
        <f aca="false">IFERROR(IF(SUM(Case_Base!$F$116:$L$116)&lt;0.000001,"holds","does not hold"),"error")</f>
        <v>holds</v>
      </c>
      <c r="G13" s="9"/>
      <c r="H13" s="9"/>
      <c r="I13" s="44" t="str">
        <f aca="false">IFERROR(IF(SUM(Case_Base!$F$116:$L$116)&lt;0.000001,"PASS","FAIL"),"FAIL")</f>
        <v>PASS</v>
      </c>
    </row>
    <row r="14" customFormat="false" ht="30" hidden="false" customHeight="true" outlineLevel="0" collapsed="false">
      <c r="B14" s="45" t="n">
        <v>5</v>
      </c>
      <c r="C14" s="9" t="s">
        <v>494</v>
      </c>
      <c r="D14" s="46" t="s">
        <v>500</v>
      </c>
      <c r="E14" s="47" t="s">
        <v>496</v>
      </c>
      <c r="F14" s="48" t="str">
        <f aca="false">IFERROR(IF(OR(Case_Base!$D$14=1,SUMPRODUCT(--(Case_Base!$F$123:$L$123&lt;Assumptions!$D$79-0.000001),--(Case_Base!$F$121:$L$121&lt;Assumptions!$D$90-0.000001))=0),"holds","does not hold"),"error")</f>
        <v>holds</v>
      </c>
      <c r="G14" s="9"/>
      <c r="H14" s="9"/>
      <c r="I14" s="44" t="str">
        <f aca="false">IFERROR(IF(OR(Case_Base!$D$14=1,SUMPRODUCT(--(Case_Base!$F$123:$L$123&lt;Assumptions!$D$79-0.000001),--(Case_Base!$F$121:$L$121&lt;Assumptions!$D$90-0.000001))=0),"PASS","FAIL"),"FAIL")</f>
        <v>PASS</v>
      </c>
    </row>
    <row r="15" customFormat="false" ht="15" hidden="false" customHeight="true" outlineLevel="0" collapsed="false">
      <c r="B15" s="45" t="n">
        <v>6</v>
      </c>
      <c r="C15" s="9" t="s">
        <v>494</v>
      </c>
      <c r="D15" s="46" t="s">
        <v>501</v>
      </c>
      <c r="E15" s="47" t="s">
        <v>496</v>
      </c>
      <c r="F15" s="48" t="str">
        <f aca="false">IFERROR(IF(ABS(Case_Base!$H$163-(Case_Base!$H$162-Case_Base!$H$161))&lt;0.000001,"holds","does not hold"),"error")</f>
        <v>holds</v>
      </c>
      <c r="G15" s="9"/>
      <c r="H15" s="9"/>
      <c r="I15" s="44" t="str">
        <f aca="false">IFERROR(IF(ABS(Case_Base!$H$163-(Case_Base!$H$162-Case_Base!$H$161))&lt;0.000001,"PASS","FAIL"),"FAIL")</f>
        <v>PASS</v>
      </c>
    </row>
    <row r="16" customFormat="false" ht="15" hidden="false" customHeight="true" outlineLevel="0" collapsed="false">
      <c r="B16" s="45" t="n">
        <v>7</v>
      </c>
      <c r="C16" s="9" t="s">
        <v>494</v>
      </c>
      <c r="D16" s="46" t="s">
        <v>502</v>
      </c>
      <c r="E16" s="47" t="s">
        <v>496</v>
      </c>
      <c r="F16" s="48" t="str">
        <f aca="false">IFERROR(IF(ABS(Case_Base!$D$204)&lt;0.000001,"holds","does not hold"),"error")</f>
        <v>holds</v>
      </c>
      <c r="G16" s="9"/>
      <c r="H16" s="9"/>
      <c r="I16" s="44" t="str">
        <f aca="false">IFERROR(IF(ABS(Case_Base!$D$204)&lt;0.000001,"PASS","FAIL"),"FAIL")</f>
        <v>PASS</v>
      </c>
    </row>
    <row r="17" customFormat="false" ht="15" hidden="false" customHeight="true" outlineLevel="0" collapsed="false">
      <c r="B17" s="45" t="n">
        <v>8</v>
      </c>
      <c r="C17" s="9" t="s">
        <v>494</v>
      </c>
      <c r="D17" s="46" t="s">
        <v>503</v>
      </c>
      <c r="E17" s="47" t="s">
        <v>496</v>
      </c>
      <c r="F17" s="48" t="str">
        <f aca="false">IFERROR(IF(ABS(Case_Base!$D$224-Case_Base!$D$223)&lt;=0.0005,"holds","does not hold"),"error")</f>
        <v>holds</v>
      </c>
      <c r="G17" s="9"/>
      <c r="H17" s="9"/>
      <c r="I17" s="44" t="str">
        <f aca="false">IFERROR(IF(ABS(Case_Base!$D$224-Case_Base!$D$223)&lt;=0.0005,"PASS","FAIL"),"FAIL")</f>
        <v>PASS</v>
      </c>
    </row>
    <row r="18" customFormat="false" ht="15" hidden="false" customHeight="true" outlineLevel="0" collapsed="false">
      <c r="B18" s="45" t="n">
        <v>9</v>
      </c>
      <c r="C18" s="9" t="s">
        <v>494</v>
      </c>
      <c r="D18" s="46" t="s">
        <v>504</v>
      </c>
      <c r="E18" s="47" t="s">
        <v>496</v>
      </c>
      <c r="F18" s="48" t="str">
        <f aca="false">IFERROR(IF(ABS(Case_Base!$D$225-SUMIF(Case_Base!$E$219:$L$219,"&gt;0")/Case_Base!$D$226)&lt;0.000001,"holds","does not hold"),"error")</f>
        <v>holds</v>
      </c>
      <c r="G18" s="9"/>
      <c r="H18" s="9"/>
      <c r="I18" s="44" t="str">
        <f aca="false">IFERROR(IF(ABS(Case_Base!$D$225-SUMIF(Case_Base!$E$219:$L$219,"&gt;0")/Case_Base!$D$226)&lt;0.000001,"PASS","FAIL"),"FAIL")</f>
        <v>PASS</v>
      </c>
    </row>
    <row r="19" customFormat="false" ht="15" hidden="false" customHeight="true" outlineLevel="0" collapsed="false">
      <c r="B19" s="45" t="n">
        <v>10</v>
      </c>
      <c r="C19" s="9" t="s">
        <v>505</v>
      </c>
      <c r="D19" s="46" t="s">
        <v>506</v>
      </c>
      <c r="E19" s="47" t="s">
        <v>496</v>
      </c>
      <c r="F19" s="48" t="str">
        <f aca="false">IFERROR(IF(ABS(Fund_Waterfall!$D$14-Fund_Waterfall!$D$7-Fund_Waterfall!$D$16)&lt;0.000001,"holds","does not hold"),"error")</f>
        <v>holds</v>
      </c>
      <c r="G19" s="9"/>
      <c r="H19" s="9"/>
      <c r="I19" s="44" t="str">
        <f aca="false">IFERROR(IF(ABS(Fund_Waterfall!$D$14-Fund_Waterfall!$D$7-Fund_Waterfall!$D$16)&lt;0.000001,"PASS","FAIL"),"FAIL")</f>
        <v>PASS</v>
      </c>
    </row>
    <row r="20" customFormat="false" ht="15" hidden="false" customHeight="true" outlineLevel="0" collapsed="false">
      <c r="B20" s="45" t="n">
        <v>11</v>
      </c>
      <c r="C20" s="9" t="s">
        <v>505</v>
      </c>
      <c r="D20" s="46" t="s">
        <v>507</v>
      </c>
      <c r="E20" s="47" t="s">
        <v>496</v>
      </c>
      <c r="F20" s="48" t="str">
        <f aca="false">IFERROR(IF(ABS(Fund_Waterfall!$D$29-Fund_Waterfall!$D$7-Fund_Waterfall!$D$17-Fund_Waterfall!$D$16)&lt;0.000001,"holds","does not hold"),"error")</f>
        <v>holds</v>
      </c>
      <c r="G20" s="9"/>
      <c r="H20" s="9"/>
      <c r="I20" s="44" t="str">
        <f aca="false">IFERROR(IF(ABS(Fund_Waterfall!$D$29-Fund_Waterfall!$D$7-Fund_Waterfall!$D$17-Fund_Waterfall!$D$16)&lt;0.000001,"PASS","FAIL"),"FAIL")</f>
        <v>PASS</v>
      </c>
    </row>
    <row r="21" customFormat="false" ht="15" hidden="false" customHeight="true" outlineLevel="0" collapsed="false">
      <c r="B21" s="45" t="n">
        <v>12</v>
      </c>
      <c r="C21" s="9" t="s">
        <v>505</v>
      </c>
      <c r="D21" s="46" t="s">
        <v>508</v>
      </c>
      <c r="E21" s="47" t="s">
        <v>496</v>
      </c>
      <c r="F21" s="48" t="str">
        <f aca="false">IFERROR(IF(ABS(Fund_Waterfall!$D$36-Fund_Waterfall!$D$30+Fund_Waterfall!$D$34)&lt;0.000001,"holds","does not hold"),"error")</f>
        <v>holds</v>
      </c>
      <c r="G21" s="9"/>
      <c r="H21" s="9"/>
      <c r="I21" s="44" t="str">
        <f aca="false">IFERROR(IF(ABS(Fund_Waterfall!$D$36-Fund_Waterfall!$D$30+Fund_Waterfall!$D$34)&lt;0.000001,"PASS","FAIL"),"FAIL")</f>
        <v>PASS</v>
      </c>
    </row>
    <row r="22" customFormat="false" ht="30" hidden="false" customHeight="true" outlineLevel="0" collapsed="false">
      <c r="B22" s="45" t="n">
        <v>13</v>
      </c>
      <c r="C22" s="9" t="s">
        <v>505</v>
      </c>
      <c r="D22" s="46" t="s">
        <v>509</v>
      </c>
      <c r="E22" s="47" t="s">
        <v>496</v>
      </c>
      <c r="F22" s="48" t="str">
        <f aca="false">IFERROR(IF(AND(Fund_Waterfall!$D$34&lt;=Fund_Waterfall!$D$10*Fund_Waterfall!$D$31+0.000001,Fund_Waterfall!$D$34&lt;=MAX(0,Fund_Waterfall!$D$30-Fund_Waterfall!$D$33)+0.000001),"holds","does not hold"),"error")</f>
        <v>holds</v>
      </c>
      <c r="G22" s="9"/>
      <c r="H22" s="9"/>
      <c r="I22" s="44" t="str">
        <f aca="false">IFERROR(IF(AND(Fund_Waterfall!$D$34&lt;=Fund_Waterfall!$D$10*Fund_Waterfall!$D$31+0.000001,Fund_Waterfall!$D$34&lt;=MAX(0,Fund_Waterfall!$D$30-Fund_Waterfall!$D$33)+0.000001),"PASS","FAIL"),"FAIL")</f>
        <v>PASS</v>
      </c>
    </row>
    <row r="23" customFormat="false" ht="15" hidden="false" customHeight="true" outlineLevel="0" collapsed="false">
      <c r="B23" s="45" t="n">
        <v>14</v>
      </c>
      <c r="C23" s="9" t="s">
        <v>505</v>
      </c>
      <c r="D23" s="46" t="s">
        <v>510</v>
      </c>
      <c r="E23" s="47" t="s">
        <v>496</v>
      </c>
      <c r="F23" s="48" t="str">
        <f aca="false">IFERROR(IF(AND(Fund_Waterfall!$D$48&lt;Fund_Waterfall!$D$46,Fund_Waterfall!$D$49&lt;Fund_Waterfall!$D$47),"holds","does not hold"),"error")</f>
        <v>holds</v>
      </c>
      <c r="G23" s="9"/>
      <c r="H23" s="9"/>
      <c r="I23" s="44" t="str">
        <f aca="false">IFERROR(IF(AND(Fund_Waterfall!$D$48&lt;Fund_Waterfall!$D$46,Fund_Waterfall!$D$49&lt;Fund_Waterfall!$D$47),"PASS","FAIL"),"FAIL")</f>
        <v>PASS</v>
      </c>
    </row>
    <row r="24" customFormat="false" ht="15" hidden="false" customHeight="true" outlineLevel="0" collapsed="false">
      <c r="B24" s="45" t="n">
        <v>15</v>
      </c>
      <c r="C24" s="9" t="s">
        <v>505</v>
      </c>
      <c r="D24" s="46" t="s">
        <v>511</v>
      </c>
      <c r="E24" s="47" t="s">
        <v>496</v>
      </c>
      <c r="F24" s="48" t="str">
        <f aca="false">IFERROR(IF(AND(Fund_Waterfall!$D$48&lt;Fund_Waterfall!$D$44,Fund_Waterfall!$D$49&lt;Fund_Waterfall!$D$45),"holds","does not hold"),"error")</f>
        <v>holds</v>
      </c>
      <c r="G24" s="9"/>
      <c r="H24" s="9"/>
      <c r="I24" s="44" t="str">
        <f aca="false">IFERROR(IF(AND(Fund_Waterfall!$D$48&lt;Fund_Waterfall!$D$44,Fund_Waterfall!$D$49&lt;Fund_Waterfall!$D$45),"PASS","FAIL"),"FAIL")</f>
        <v>PASS</v>
      </c>
    </row>
    <row r="25" customFormat="false" ht="15" hidden="false" customHeight="true" outlineLevel="0" collapsed="false">
      <c r="B25" s="45" t="n">
        <v>16</v>
      </c>
      <c r="C25" s="9" t="s">
        <v>505</v>
      </c>
      <c r="D25" s="46" t="s">
        <v>512</v>
      </c>
      <c r="E25" s="47" t="s">
        <v>496</v>
      </c>
      <c r="F25" s="48" t="str">
        <f aca="false">IFERROR(IF(ABS(Fund_Waterfall!$D$50-Fund_Waterfall!$D$48)&lt;=0.0005,"holds","does not hold"),"error")</f>
        <v>holds</v>
      </c>
      <c r="G25" s="9"/>
      <c r="H25" s="9"/>
      <c r="I25" s="44" t="str">
        <f aca="false">IFERROR(IF(ABS(Fund_Waterfall!$D$50-Fund_Waterfall!$D$48)&lt;=0.0005,"PASS","FAIL"),"FAIL")</f>
        <v>PASS</v>
      </c>
    </row>
    <row r="26" customFormat="false" ht="15" hidden="false" customHeight="true" outlineLevel="0" collapsed="false">
      <c r="B26" s="45" t="n">
        <v>17</v>
      </c>
      <c r="C26" s="9" t="s">
        <v>505</v>
      </c>
      <c r="D26" s="46" t="s">
        <v>513</v>
      </c>
      <c r="E26" s="47" t="s">
        <v>496</v>
      </c>
      <c r="F26" s="48" t="str">
        <f aca="false">IFERROR(IF(ABS(SUM(Fund_Waterfall!$E$41:$L$41)-(Fund_Waterfall!$D$36-Fund_Waterfall!$D$29))&lt;0.000001,"holds","does not hold"),"error")</f>
        <v>holds</v>
      </c>
      <c r="G26" s="9"/>
      <c r="H26" s="9"/>
      <c r="I26" s="44" t="str">
        <f aca="false">IFERROR(IF(ABS(SUM(Fund_Waterfall!$E$41:$L$41)-(Fund_Waterfall!$D$36-Fund_Waterfall!$D$29))&lt;0.000001,"PASS","FAIL"),"FAIL")</f>
        <v>PASS</v>
      </c>
    </row>
    <row r="27" customFormat="false" ht="15" hidden="false" customHeight="true" outlineLevel="0" collapsed="false">
      <c r="B27" s="45" t="n">
        <v>18</v>
      </c>
      <c r="C27" s="9" t="s">
        <v>514</v>
      </c>
      <c r="D27" s="46" t="s">
        <v>515</v>
      </c>
      <c r="E27" s="47" t="s">
        <v>496</v>
      </c>
      <c r="F27" s="48" t="str">
        <f aca="false">IFERROR(IF(ABS(Subscription_Line!$D$14-Subscription_Line!$D$7-Subscription_Line!$D$16)&lt;0.000001,"holds","does not hold"),"error")</f>
        <v>holds</v>
      </c>
      <c r="G27" s="9"/>
      <c r="H27" s="9"/>
      <c r="I27" s="44" t="str">
        <f aca="false">IFERROR(IF(ABS(Subscription_Line!$D$14-Subscription_Line!$D$7-Subscription_Line!$D$16)&lt;0.000001,"PASS","FAIL"),"FAIL")</f>
        <v>PASS</v>
      </c>
    </row>
    <row r="28" customFormat="false" ht="15" hidden="false" customHeight="true" outlineLevel="0" collapsed="false">
      <c r="B28" s="45" t="n">
        <v>19</v>
      </c>
      <c r="C28" s="9" t="s">
        <v>514</v>
      </c>
      <c r="D28" s="46" t="s">
        <v>516</v>
      </c>
      <c r="E28" s="47" t="s">
        <v>496</v>
      </c>
      <c r="F28" s="48" t="str">
        <f aca="false">IFERROR(IF(ABS(Subscription_Line!$D$29-Subscription_Line!$D$7-Subscription_Line!$D$17-Subscription_Line!$D$16)&lt;0.000001,"holds","does not hold"),"error")</f>
        <v>holds</v>
      </c>
      <c r="G28" s="9"/>
      <c r="H28" s="9"/>
      <c r="I28" s="44" t="str">
        <f aca="false">IFERROR(IF(ABS(Subscription_Line!$D$29-Subscription_Line!$D$7-Subscription_Line!$D$17-Subscription_Line!$D$16)&lt;0.000001,"PASS","FAIL"),"FAIL")</f>
        <v>PASS</v>
      </c>
    </row>
    <row r="29" customFormat="false" ht="15" hidden="false" customHeight="true" outlineLevel="0" collapsed="false">
      <c r="B29" s="45" t="n">
        <v>20</v>
      </c>
      <c r="C29" s="9" t="s">
        <v>514</v>
      </c>
      <c r="D29" s="46" t="s">
        <v>517</v>
      </c>
      <c r="E29" s="47" t="s">
        <v>496</v>
      </c>
      <c r="F29" s="48" t="str">
        <f aca="false">IFERROR(IF(ABS(Subscription_Line!$D$36-Subscription_Line!$D$30+Subscription_Line!$D$34)&lt;0.000001,"holds","does not hold"),"error")</f>
        <v>holds</v>
      </c>
      <c r="G29" s="9"/>
      <c r="H29" s="9"/>
      <c r="I29" s="44" t="str">
        <f aca="false">IFERROR(IF(ABS(Subscription_Line!$D$36-Subscription_Line!$D$30+Subscription_Line!$D$34)&lt;0.000001,"PASS","FAIL"),"FAIL")</f>
        <v>PASS</v>
      </c>
    </row>
    <row r="30" customFormat="false" ht="30" hidden="false" customHeight="true" outlineLevel="0" collapsed="false">
      <c r="B30" s="45" t="n">
        <v>21</v>
      </c>
      <c r="C30" s="9" t="s">
        <v>514</v>
      </c>
      <c r="D30" s="46" t="s">
        <v>518</v>
      </c>
      <c r="E30" s="47" t="s">
        <v>496</v>
      </c>
      <c r="F30" s="48" t="str">
        <f aca="false">IFERROR(IF(AND(Subscription_Line!$D$34&lt;=Subscription_Line!$D$10*Subscription_Line!$D$31+0.000001,Subscription_Line!$D$34&lt;=MAX(0,Subscription_Line!$D$30-Subscription_Line!$D$33)+0.000001),"holds","does not hold"),"error")</f>
        <v>holds</v>
      </c>
      <c r="G30" s="9"/>
      <c r="H30" s="9"/>
      <c r="I30" s="44" t="str">
        <f aca="false">IFERROR(IF(AND(Subscription_Line!$D$34&lt;=Subscription_Line!$D$10*Subscription_Line!$D$31+0.000001,Subscription_Line!$D$34&lt;=MAX(0,Subscription_Line!$D$30-Subscription_Line!$D$33)+0.000001),"PASS","FAIL"),"FAIL")</f>
        <v>PASS</v>
      </c>
    </row>
    <row r="31" customFormat="false" ht="15" hidden="false" customHeight="true" outlineLevel="0" collapsed="false">
      <c r="B31" s="45" t="n">
        <v>22</v>
      </c>
      <c r="C31" s="9" t="s">
        <v>514</v>
      </c>
      <c r="D31" s="46" t="s">
        <v>519</v>
      </c>
      <c r="E31" s="47" t="s">
        <v>496</v>
      </c>
      <c r="F31" s="48" t="str">
        <f aca="false">IFERROR(IF(AND(Subscription_Line!$D$48&lt;Subscription_Line!$D$46,Subscription_Line!$D$49&lt;Subscription_Line!$D$47),"holds","does not hold"),"error")</f>
        <v>holds</v>
      </c>
      <c r="G31" s="9"/>
      <c r="H31" s="9"/>
      <c r="I31" s="44" t="str">
        <f aca="false">IFERROR(IF(AND(Subscription_Line!$D$48&lt;Subscription_Line!$D$46,Subscription_Line!$D$49&lt;Subscription_Line!$D$47),"PASS","FAIL"),"FAIL")</f>
        <v>PASS</v>
      </c>
    </row>
    <row r="32" customFormat="false" ht="15" hidden="false" customHeight="true" outlineLevel="0" collapsed="false">
      <c r="B32" s="45" t="n">
        <v>23</v>
      </c>
      <c r="C32" s="9" t="s">
        <v>514</v>
      </c>
      <c r="D32" s="46" t="s">
        <v>520</v>
      </c>
      <c r="E32" s="47" t="s">
        <v>496</v>
      </c>
      <c r="F32" s="48" t="str">
        <f aca="false">IFERROR(IF(AND(Subscription_Line!$D$48&lt;Subscription_Line!$D$44,Subscription_Line!$D$49&lt;Subscription_Line!$D$45),"holds","does not hold"),"error")</f>
        <v>holds</v>
      </c>
      <c r="G32" s="9"/>
      <c r="H32" s="9"/>
      <c r="I32" s="44" t="str">
        <f aca="false">IFERROR(IF(AND(Subscription_Line!$D$48&lt;Subscription_Line!$D$44,Subscription_Line!$D$49&lt;Subscription_Line!$D$45),"PASS","FAIL"),"FAIL")</f>
        <v>PASS</v>
      </c>
    </row>
    <row r="33" customFormat="false" ht="15" hidden="false" customHeight="true" outlineLevel="0" collapsed="false">
      <c r="B33" s="45" t="n">
        <v>24</v>
      </c>
      <c r="C33" s="9" t="s">
        <v>514</v>
      </c>
      <c r="D33" s="46" t="s">
        <v>521</v>
      </c>
      <c r="E33" s="47" t="s">
        <v>496</v>
      </c>
      <c r="F33" s="48" t="str">
        <f aca="false">IFERROR(IF(ABS(Subscription_Line!$D$50-Subscription_Line!$D$48)&lt;=0.0005,"holds","does not hold"),"error")</f>
        <v>holds</v>
      </c>
      <c r="G33" s="9"/>
      <c r="H33" s="9"/>
      <c r="I33" s="44" t="str">
        <f aca="false">IFERROR(IF(ABS(Subscription_Line!$D$50-Subscription_Line!$D$48)&lt;=0.0005,"PASS","FAIL"),"FAIL")</f>
        <v>PASS</v>
      </c>
    </row>
    <row r="34" customFormat="false" ht="15" hidden="false" customHeight="true" outlineLevel="0" collapsed="false">
      <c r="B34" s="45" t="n">
        <v>25</v>
      </c>
      <c r="C34" s="9" t="s">
        <v>514</v>
      </c>
      <c r="D34" s="46" t="s">
        <v>522</v>
      </c>
      <c r="E34" s="47" t="s">
        <v>496</v>
      </c>
      <c r="F34" s="48" t="str">
        <f aca="false">IFERROR(IF(ABS(SUM(Subscription_Line!$E$41:$L$41)-(Subscription_Line!$D$36-Subscription_Line!$D$29))&lt;0.000001,"holds","does not hold"),"error")</f>
        <v>holds</v>
      </c>
      <c r="G34" s="9"/>
      <c r="H34" s="9"/>
      <c r="I34" s="44" t="str">
        <f aca="false">IFERROR(IF(ABS(SUM(Subscription_Line!$E$41:$L$41)-(Subscription_Line!$D$36-Subscription_Line!$D$29))&lt;0.000001,"PASS","FAIL"),"FAIL")</f>
        <v>PASS</v>
      </c>
    </row>
    <row r="35" customFormat="false" ht="15" hidden="false" customHeight="false" outlineLevel="0" collapsed="false">
      <c r="B35" s="45" t="n">
        <v>26</v>
      </c>
      <c r="C35" s="9" t="s">
        <v>523</v>
      </c>
      <c r="D35" s="9" t="s">
        <v>524</v>
      </c>
      <c r="E35" s="21" t="n">
        <v>0.02</v>
      </c>
      <c r="F35" s="20" t="n">
        <f aca="false">Gross_to_Net!$D$6</f>
        <v>0.02</v>
      </c>
      <c r="G35" s="49" t="n">
        <f aca="false">IFERROR(IF(ISNUMBER(F35),F35-E35,"n/a"),"n/a")</f>
        <v>0</v>
      </c>
      <c r="H35" s="50" t="n">
        <v>0.000500001</v>
      </c>
      <c r="I35" s="44" t="str">
        <f aca="false">IFERROR(IF(ISNUMBER(F35),IF(ABS(F35-E35)&lt;=H35,"PASS","FAIL"),"FAIL"),"FAIL")</f>
        <v>PASS</v>
      </c>
    </row>
    <row r="36" customFormat="false" ht="15" hidden="false" customHeight="false" outlineLevel="0" collapsed="false">
      <c r="B36" s="45" t="n">
        <v>27</v>
      </c>
      <c r="C36" s="9" t="s">
        <v>523</v>
      </c>
      <c r="D36" s="9" t="s">
        <v>525</v>
      </c>
      <c r="E36" s="11" t="n">
        <v>0.2</v>
      </c>
      <c r="F36" s="25" t="n">
        <f aca="false">Gross_to_Net!$D$7</f>
        <v>0.2</v>
      </c>
      <c r="G36" s="49" t="n">
        <f aca="false">IFERROR(IF(ISNUMBER(F36),F36-E36,"n/a"),"n/a")</f>
        <v>0</v>
      </c>
      <c r="H36" s="50" t="n">
        <v>0.005000001</v>
      </c>
      <c r="I36" s="44" t="str">
        <f aca="false">IFERROR(IF(ISNUMBER(F36),IF(ABS(F36-E36)&lt;=H36,"PASS","FAIL"),"FAIL"),"FAIL")</f>
        <v>PASS</v>
      </c>
    </row>
    <row r="37" customFormat="false" ht="15" hidden="false" customHeight="false" outlineLevel="0" collapsed="false">
      <c r="B37" s="45" t="n">
        <v>28</v>
      </c>
      <c r="C37" s="9" t="s">
        <v>523</v>
      </c>
      <c r="D37" s="9" t="s">
        <v>526</v>
      </c>
      <c r="E37" s="11" t="n">
        <v>0.08</v>
      </c>
      <c r="F37" s="25" t="n">
        <f aca="false">Gross_to_Net!$D$8</f>
        <v>0.08</v>
      </c>
      <c r="G37" s="49" t="n">
        <f aca="false">IFERROR(IF(ISNUMBER(F37),F37-E37,"n/a"),"n/a")</f>
        <v>0</v>
      </c>
      <c r="H37" s="50" t="n">
        <v>0.005000001</v>
      </c>
      <c r="I37" s="44" t="str">
        <f aca="false">IFERROR(IF(ISNUMBER(F37),IF(ABS(F37-E37)&lt;=H37,"PASS","FAIL"),"FAIL"),"FAIL")</f>
        <v>PASS</v>
      </c>
    </row>
    <row r="38" customFormat="false" ht="15" hidden="false" customHeight="false" outlineLevel="0" collapsed="false">
      <c r="B38" s="45" t="n">
        <v>29</v>
      </c>
      <c r="C38" s="9" t="s">
        <v>523</v>
      </c>
      <c r="D38" s="9" t="s">
        <v>527</v>
      </c>
      <c r="E38" s="11" t="n">
        <v>0.2</v>
      </c>
      <c r="F38" s="25" t="n">
        <f aca="false">Gross_to_Net!$D$7</f>
        <v>0.2</v>
      </c>
      <c r="G38" s="49" t="n">
        <f aca="false">IFERROR(IF(ISNUMBER(F38),F38-E38,"n/a"),"n/a")</f>
        <v>0</v>
      </c>
      <c r="H38" s="50" t="n">
        <v>0.005000001</v>
      </c>
      <c r="I38" s="44" t="str">
        <f aca="false">IFERROR(IF(ISNUMBER(F38),IF(ABS(F38-E38)&lt;=H38,"PASS","FAIL"),"FAIL"),"FAIL")</f>
        <v>PASS</v>
      </c>
    </row>
    <row r="39" customFormat="false" ht="15" hidden="false" customHeight="false" outlineLevel="0" collapsed="false">
      <c r="B39" s="45" t="n">
        <v>30</v>
      </c>
      <c r="C39" s="9" t="s">
        <v>523</v>
      </c>
      <c r="D39" s="9" t="s">
        <v>528</v>
      </c>
      <c r="E39" s="11" t="n">
        <v>0.8</v>
      </c>
      <c r="F39" s="25" t="n">
        <f aca="false">Gross_to_Net!$D$9</f>
        <v>0.8</v>
      </c>
      <c r="G39" s="49" t="n">
        <f aca="false">IFERROR(IF(ISNUMBER(F39),F39-E39,"n/a"),"n/a")</f>
        <v>0</v>
      </c>
      <c r="H39" s="50" t="n">
        <v>0.005000001</v>
      </c>
      <c r="I39" s="44" t="str">
        <f aca="false">IFERROR(IF(ISNUMBER(F39),IF(ABS(F39-E39)&lt;=H39,"PASS","FAIL"),"FAIL"),"FAIL")</f>
        <v>PASS</v>
      </c>
    </row>
    <row r="40" customFormat="false" ht="15" hidden="false" customHeight="false" outlineLevel="0" collapsed="false">
      <c r="B40" s="45" t="n">
        <v>31</v>
      </c>
      <c r="C40" s="9" t="s">
        <v>523</v>
      </c>
      <c r="D40" s="9" t="s">
        <v>529</v>
      </c>
      <c r="E40" s="11" t="n">
        <v>0.2</v>
      </c>
      <c r="F40" s="25" t="n">
        <f aca="false">Gross_to_Net!$D$10</f>
        <v>0.2</v>
      </c>
      <c r="G40" s="49" t="n">
        <f aca="false">IFERROR(IF(ISNUMBER(F40),F40-E40,"n/a"),"n/a")</f>
        <v>0</v>
      </c>
      <c r="H40" s="50" t="n">
        <v>0.005000001</v>
      </c>
      <c r="I40" s="44" t="str">
        <f aca="false">IFERROR(IF(ISNUMBER(F40),IF(ABS(F40-E40)&lt;=H40,"PASS","FAIL"),"FAIL"),"FAIL")</f>
        <v>PASS</v>
      </c>
    </row>
    <row r="41" customFormat="false" ht="15" hidden="false" customHeight="false" outlineLevel="0" collapsed="false">
      <c r="B41" s="45" t="n">
        <v>32</v>
      </c>
      <c r="C41" s="9" t="s">
        <v>523</v>
      </c>
      <c r="D41" s="9" t="s">
        <v>530</v>
      </c>
      <c r="E41" s="51" t="n">
        <v>190</v>
      </c>
      <c r="F41" s="52" t="n">
        <f aca="false">Gross_to_Net!$D$15</f>
        <v>190</v>
      </c>
      <c r="G41" s="49" t="n">
        <f aca="false">IFERROR(IF(ISNUMBER(F41),F41-E41,"n/a"),"n/a")</f>
        <v>0</v>
      </c>
      <c r="H41" s="50" t="n">
        <v>0.050000001</v>
      </c>
      <c r="I41" s="44" t="str">
        <f aca="false">IFERROR(IF(ISNUMBER(F41),IF(ABS(F41-E41)&lt;=H41,"PASS","FAIL"),"FAIL"),"FAIL")</f>
        <v>PASS</v>
      </c>
    </row>
    <row r="42" customFormat="false" ht="15" hidden="false" customHeight="false" outlineLevel="0" collapsed="false">
      <c r="B42" s="45" t="n">
        <v>33</v>
      </c>
      <c r="C42" s="9" t="s">
        <v>523</v>
      </c>
      <c r="D42" s="9" t="s">
        <v>531</v>
      </c>
      <c r="E42" s="51" t="n">
        <v>211.1</v>
      </c>
      <c r="F42" s="52" t="n">
        <f aca="false">Gross_to_Net!$D$16</f>
        <v>211.111111111111</v>
      </c>
      <c r="G42" s="49" t="n">
        <f aca="false">IFERROR(IF(ISNUMBER(F42),F42-E42,"n/a"),"n/a")</f>
        <v>0.01111111111112</v>
      </c>
      <c r="H42" s="50" t="n">
        <v>0.050000001</v>
      </c>
      <c r="I42" s="44" t="str">
        <f aca="false">IFERROR(IF(ISNUMBER(F42),IF(ABS(F42-E42)&lt;=H42,"PASS","FAIL"),"FAIL"),"FAIL")</f>
        <v>PASS</v>
      </c>
    </row>
    <row r="43" customFormat="false" ht="15" hidden="false" customHeight="false" outlineLevel="0" collapsed="false">
      <c r="B43" s="45" t="n">
        <v>34</v>
      </c>
      <c r="C43" s="9" t="s">
        <v>523</v>
      </c>
      <c r="D43" s="9" t="s">
        <v>532</v>
      </c>
      <c r="E43" s="53" t="n">
        <v>4.22</v>
      </c>
      <c r="F43" s="54" t="n">
        <f aca="false">Gross_to_Net!$D$17</f>
        <v>4.22222222222222</v>
      </c>
      <c r="G43" s="49" t="n">
        <f aca="false">IFERROR(IF(ISNUMBER(F43),F43-E43,"n/a"),"n/a")</f>
        <v>0.00222222222222257</v>
      </c>
      <c r="H43" s="50" t="n">
        <v>0.005000001</v>
      </c>
      <c r="I43" s="44" t="str">
        <f aca="false">IFERROR(IF(ISNUMBER(F43),IF(ABS(F43-E43)&lt;=H43,"PASS","FAIL"),"FAIL"),"FAIL")</f>
        <v>PASS</v>
      </c>
    </row>
    <row r="44" customFormat="false" ht="15" hidden="false" customHeight="false" outlineLevel="0" collapsed="false">
      <c r="B44" s="45" t="n">
        <v>35</v>
      </c>
      <c r="C44" s="9" t="s">
        <v>523</v>
      </c>
      <c r="D44" s="9" t="s">
        <v>533</v>
      </c>
      <c r="E44" s="51" t="n">
        <v>21.1</v>
      </c>
      <c r="F44" s="52" t="n">
        <f aca="false">Gross_to_Net!$D$18</f>
        <v>21.1111111111111</v>
      </c>
      <c r="G44" s="49" t="n">
        <f aca="false">IFERROR(IF(ISNUMBER(F44),F44-E44,"n/a"),"n/a")</f>
        <v>0.0111111111111093</v>
      </c>
      <c r="H44" s="50" t="n">
        <v>0.050000001</v>
      </c>
      <c r="I44" s="44" t="str">
        <f aca="false">IFERROR(IF(ISNUMBER(F44),IF(ABS(F44-E44)&lt;=H44,"PASS","FAIL"),"FAIL"),"FAIL")</f>
        <v>PASS</v>
      </c>
    </row>
    <row r="45" customFormat="false" ht="15" hidden="false" customHeight="false" outlineLevel="0" collapsed="false">
      <c r="B45" s="45" t="n">
        <v>36</v>
      </c>
      <c r="C45" s="9" t="s">
        <v>523</v>
      </c>
      <c r="D45" s="9" t="s">
        <v>534</v>
      </c>
      <c r="E45" s="51" t="n">
        <v>211.1</v>
      </c>
      <c r="F45" s="52" t="n">
        <f aca="false">Gross_to_Net!$D$19</f>
        <v>211.111111111111</v>
      </c>
      <c r="G45" s="49" t="n">
        <f aca="false">IFERROR(IF(ISNUMBER(F45),F45-E45,"n/a"),"n/a")</f>
        <v>0.01111111111112</v>
      </c>
      <c r="H45" s="50" t="n">
        <v>0.050000001</v>
      </c>
      <c r="I45" s="44" t="str">
        <f aca="false">IFERROR(IF(ISNUMBER(F45),IF(ABS(F45-E45)&lt;=H45,"PASS","FAIL"),"FAIL"),"FAIL")</f>
        <v>PASS</v>
      </c>
    </row>
    <row r="46" customFormat="false" ht="15" hidden="false" customHeight="false" outlineLevel="0" collapsed="false">
      <c r="B46" s="45" t="n">
        <v>37</v>
      </c>
      <c r="C46" s="9" t="s">
        <v>523</v>
      </c>
      <c r="D46" s="9" t="s">
        <v>535</v>
      </c>
      <c r="E46" s="51" t="n">
        <v>417.4</v>
      </c>
      <c r="F46" s="52" t="n">
        <f aca="false">Gross_to_Net!$D$20</f>
        <v>417.428065862031</v>
      </c>
      <c r="G46" s="49" t="n">
        <f aca="false">IFERROR(IF(ISNUMBER(F46),F46-E46,"n/a"),"n/a")</f>
        <v>0.0280658620307008</v>
      </c>
      <c r="H46" s="50" t="n">
        <v>0.050000001</v>
      </c>
      <c r="I46" s="44" t="str">
        <f aca="false">IFERROR(IF(ISNUMBER(F46),IF(ABS(F46-E46)&lt;=H46,"PASS","FAIL"),"FAIL"),"FAIL")</f>
        <v>PASS</v>
      </c>
    </row>
    <row r="47" customFormat="false" ht="15" hidden="false" customHeight="false" outlineLevel="0" collapsed="false">
      <c r="B47" s="45" t="n">
        <v>38</v>
      </c>
      <c r="C47" s="9" t="s">
        <v>523</v>
      </c>
      <c r="D47" s="9" t="s">
        <v>536</v>
      </c>
      <c r="E47" s="51" t="n">
        <v>206.3</v>
      </c>
      <c r="F47" s="52" t="n">
        <f aca="false">Gross_to_Net!$D$21</f>
        <v>206.31695475092</v>
      </c>
      <c r="G47" s="49" t="n">
        <f aca="false">IFERROR(IF(ISNUMBER(F47),F47-E47,"n/a"),"n/a")</f>
        <v>0.0169547509195525</v>
      </c>
      <c r="H47" s="50" t="n">
        <v>0.050000001</v>
      </c>
      <c r="I47" s="44" t="str">
        <f aca="false">IFERROR(IF(ISNUMBER(F47),IF(ABS(F47-E47)&lt;=H47,"PASS","FAIL"),"FAIL"),"FAIL")</f>
        <v>PASS</v>
      </c>
    </row>
    <row r="48" customFormat="false" ht="15" hidden="false" customHeight="false" outlineLevel="0" collapsed="false">
      <c r="B48" s="45" t="n">
        <v>39</v>
      </c>
      <c r="C48" s="9" t="s">
        <v>523</v>
      </c>
      <c r="D48" s="9" t="s">
        <v>537</v>
      </c>
      <c r="E48" s="51" t="n">
        <v>94.8</v>
      </c>
      <c r="F48" s="52" t="n">
        <f aca="false">Gross_to_Net!$D$22</f>
        <v>94.812923858489</v>
      </c>
      <c r="G48" s="49" t="n">
        <f aca="false">IFERROR(IF(ISNUMBER(F48),F48-E48,"n/a"),"n/a")</f>
        <v>0.0129238584890032</v>
      </c>
      <c r="H48" s="50" t="n">
        <v>0.050000001</v>
      </c>
      <c r="I48" s="44" t="str">
        <f aca="false">IFERROR(IF(ISNUMBER(F48),IF(ABS(F48-E48)&lt;=H48,"PASS","FAIL"),"FAIL"),"FAIL")</f>
        <v>PASS</v>
      </c>
    </row>
    <row r="49" customFormat="false" ht="15" hidden="false" customHeight="false" outlineLevel="0" collapsed="false">
      <c r="B49" s="45" t="n">
        <v>40</v>
      </c>
      <c r="C49" s="9" t="s">
        <v>523</v>
      </c>
      <c r="D49" s="9" t="s">
        <v>538</v>
      </c>
      <c r="E49" s="51" t="n">
        <v>305.9</v>
      </c>
      <c r="F49" s="52" t="n">
        <f aca="false">Gross_to_Net!$D$23</f>
        <v>305.9240349696</v>
      </c>
      <c r="G49" s="49" t="n">
        <f aca="false">IFERROR(IF(ISNUMBER(F49),F49-E49,"n/a"),"n/a")</f>
        <v>0.0240349696001658</v>
      </c>
      <c r="H49" s="50" t="n">
        <v>0.050000001</v>
      </c>
      <c r="I49" s="44" t="str">
        <f aca="false">IFERROR(IF(ISNUMBER(F49),IF(ABS(F49-E49)&lt;=H49,"PASS","FAIL"),"FAIL"),"FAIL")</f>
        <v>PASS</v>
      </c>
    </row>
    <row r="50" customFormat="false" ht="15" hidden="false" customHeight="false" outlineLevel="0" collapsed="false">
      <c r="B50" s="45" t="n">
        <v>41</v>
      </c>
      <c r="C50" s="9" t="s">
        <v>523</v>
      </c>
      <c r="D50" s="9" t="s">
        <v>539</v>
      </c>
      <c r="E50" s="11" t="n">
        <v>0.2</v>
      </c>
      <c r="F50" s="25" t="n">
        <f aca="false">Gross_to_Net!$D$7</f>
        <v>0.2</v>
      </c>
      <c r="G50" s="49" t="n">
        <f aca="false">IFERROR(IF(ISNUMBER(F50),F50-E50,"n/a"),"n/a")</f>
        <v>0</v>
      </c>
      <c r="H50" s="50" t="n">
        <v>0.005000001</v>
      </c>
      <c r="I50" s="44" t="str">
        <f aca="false">IFERROR(IF(ISNUMBER(F50),IF(ABS(F50-E50)&lt;=H50,"PASS","FAIL"),"FAIL"),"FAIL")</f>
        <v>PASS</v>
      </c>
    </row>
    <row r="51" customFormat="false" ht="15" hidden="false" customHeight="false" outlineLevel="0" collapsed="false">
      <c r="B51" s="45" t="n">
        <v>42</v>
      </c>
      <c r="C51" s="9" t="s">
        <v>523</v>
      </c>
      <c r="D51" s="9" t="s">
        <v>540</v>
      </c>
      <c r="E51" s="51" t="n">
        <v>41.3</v>
      </c>
      <c r="F51" s="52" t="n">
        <f aca="false">Gross_to_Net!$D$24</f>
        <v>41.2633909501839</v>
      </c>
      <c r="G51" s="49" t="n">
        <f aca="false">IFERROR(IF(ISNUMBER(F51),F51-E51,"n/a"),"n/a")</f>
        <v>-0.0366090498160787</v>
      </c>
      <c r="H51" s="50" t="n">
        <v>0.050000001</v>
      </c>
      <c r="I51" s="44" t="str">
        <f aca="false">IFERROR(IF(ISNUMBER(F51),IF(ABS(F51-E51)&lt;=H51,"PASS","FAIL"),"FAIL"),"FAIL")</f>
        <v>PASS</v>
      </c>
    </row>
    <row r="52" customFormat="false" ht="15" hidden="false" customHeight="false" outlineLevel="0" collapsed="false">
      <c r="B52" s="45" t="n">
        <v>43</v>
      </c>
      <c r="C52" s="9" t="s">
        <v>523</v>
      </c>
      <c r="D52" s="9" t="s">
        <v>541</v>
      </c>
      <c r="E52" s="51" t="n">
        <v>376.2</v>
      </c>
      <c r="F52" s="52" t="n">
        <f aca="false">Gross_to_Net!$D$25</f>
        <v>376.164674911847</v>
      </c>
      <c r="G52" s="49" t="n">
        <f aca="false">IFERROR(IF(ISNUMBER(F52),F52-E52,"n/a"),"n/a")</f>
        <v>-0.035325088153229</v>
      </c>
      <c r="H52" s="50" t="n">
        <v>0.050000001</v>
      </c>
      <c r="I52" s="44" t="str">
        <f aca="false">IFERROR(IF(ISNUMBER(F52),IF(ABS(F52-E52)&lt;=H52,"PASS","FAIL"),"FAIL"),"FAIL")</f>
        <v>PASS</v>
      </c>
    </row>
    <row r="53" customFormat="false" ht="15" hidden="false" customHeight="false" outlineLevel="0" collapsed="false">
      <c r="B53" s="45" t="n">
        <v>44</v>
      </c>
      <c r="C53" s="9" t="s">
        <v>523</v>
      </c>
      <c r="D53" s="9" t="s">
        <v>542</v>
      </c>
      <c r="E53" s="51" t="n">
        <v>190</v>
      </c>
      <c r="F53" s="52" t="n">
        <f aca="false">Gross_to_Net!$D$35</f>
        <v>190</v>
      </c>
      <c r="G53" s="49" t="n">
        <f aca="false">IFERROR(IF(ISNUMBER(F53),F53-E53,"n/a"),"n/a")</f>
        <v>0</v>
      </c>
      <c r="H53" s="50" t="n">
        <v>0.050000001</v>
      </c>
      <c r="I53" s="44" t="str">
        <f aca="false">IFERROR(IF(ISNUMBER(F53),IF(ABS(F53-E53)&lt;=H53,"PASS","FAIL"),"FAIL"),"FAIL")</f>
        <v>PASS</v>
      </c>
    </row>
    <row r="54" customFormat="false" ht="15" hidden="false" customHeight="false" outlineLevel="0" collapsed="false">
      <c r="B54" s="45" t="n">
        <v>45</v>
      </c>
      <c r="C54" s="9" t="s">
        <v>523</v>
      </c>
      <c r="D54" s="9" t="s">
        <v>543</v>
      </c>
      <c r="E54" s="51" t="n">
        <v>417.4</v>
      </c>
      <c r="F54" s="52" t="n">
        <f aca="false">Gross_to_Net!$D$36</f>
        <v>417.428065862031</v>
      </c>
      <c r="G54" s="49" t="n">
        <f aca="false">IFERROR(IF(ISNUMBER(F54),F54-E54,"n/a"),"n/a")</f>
        <v>0.0280658620307008</v>
      </c>
      <c r="H54" s="50" t="n">
        <v>0.050000001</v>
      </c>
      <c r="I54" s="44" t="str">
        <f aca="false">IFERROR(IF(ISNUMBER(F54),IF(ABS(F54-E54)&lt;=H54,"PASS","FAIL"),"FAIL"),"FAIL")</f>
        <v>PASS</v>
      </c>
    </row>
    <row r="55" customFormat="false" ht="15" hidden="false" customHeight="false" outlineLevel="0" collapsed="false">
      <c r="B55" s="45" t="n">
        <v>46</v>
      </c>
      <c r="C55" s="9" t="s">
        <v>523</v>
      </c>
      <c r="D55" s="9" t="s">
        <v>544</v>
      </c>
      <c r="E55" s="10" t="n">
        <v>0.1705</v>
      </c>
      <c r="F55" s="55" t="n">
        <f aca="false">Gross_to_Net!$D$29</f>
        <v>0.170484343544686</v>
      </c>
      <c r="G55" s="49" t="n">
        <f aca="false">IFERROR(IF(ISNUMBER(F55),F55-E55,"n/a"),"n/a")</f>
        <v>-1.56564553139005E-005</v>
      </c>
      <c r="H55" s="50" t="n">
        <v>5.0001E-005</v>
      </c>
      <c r="I55" s="44" t="str">
        <f aca="false">IFERROR(IF(ISNUMBER(F55),IF(ABS(F55-E55)&lt;=H55,"PASS","FAIL"),"FAIL"),"FAIL")</f>
        <v>PASS</v>
      </c>
    </row>
    <row r="56" customFormat="false" ht="15" hidden="false" customHeight="false" outlineLevel="0" collapsed="false">
      <c r="B56" s="45" t="n">
        <v>47</v>
      </c>
      <c r="C56" s="9" t="s">
        <v>523</v>
      </c>
      <c r="D56" s="9" t="s">
        <v>545</v>
      </c>
      <c r="E56" s="53" t="n">
        <v>2.2</v>
      </c>
      <c r="F56" s="54" t="n">
        <f aca="false">Gross_to_Net!$E$29</f>
        <v>2.19698982032648</v>
      </c>
      <c r="G56" s="49" t="n">
        <f aca="false">IFERROR(IF(ISNUMBER(F56),F56-E56,"n/a"),"n/a")</f>
        <v>-0.00301017967352291</v>
      </c>
      <c r="H56" s="50" t="n">
        <v>0.005000001</v>
      </c>
      <c r="I56" s="44" t="str">
        <f aca="false">IFERROR(IF(ISNUMBER(F56),IF(ABS(F56-E56)&lt;=H56,"PASS","FAIL"),"FAIL"),"FAIL")</f>
        <v>PASS</v>
      </c>
    </row>
    <row r="57" customFormat="false" ht="15" hidden="false" customHeight="false" outlineLevel="0" collapsed="false">
      <c r="B57" s="45" t="n">
        <v>48</v>
      </c>
      <c r="C57" s="9" t="s">
        <v>523</v>
      </c>
      <c r="D57" s="9" t="s">
        <v>546</v>
      </c>
      <c r="E57" s="10" t="n">
        <v>0.1514</v>
      </c>
      <c r="F57" s="55" t="n">
        <f aca="false">Gross_to_Net!$D$30</f>
        <v>0.151439414661694</v>
      </c>
      <c r="G57" s="49" t="n">
        <f aca="false">IFERROR(IF(ISNUMBER(F57),F57-E57,"n/a"),"n/a")</f>
        <v>3.9414661693632E-005</v>
      </c>
      <c r="H57" s="50" t="n">
        <v>5.0001E-005</v>
      </c>
      <c r="I57" s="44" t="str">
        <f aca="false">IFERROR(IF(ISNUMBER(F57),IF(ABS(F57-E57)&lt;=H57,"PASS","FAIL"),"FAIL"),"FAIL")</f>
        <v>PASS</v>
      </c>
    </row>
    <row r="58" customFormat="false" ht="15" hidden="false" customHeight="false" outlineLevel="0" collapsed="false">
      <c r="B58" s="45" t="n">
        <v>49</v>
      </c>
      <c r="C58" s="9" t="s">
        <v>523</v>
      </c>
      <c r="D58" s="9" t="s">
        <v>547</v>
      </c>
      <c r="E58" s="53" t="n">
        <v>1.98</v>
      </c>
      <c r="F58" s="54" t="n">
        <f aca="false">Gross_to_Net!$E$30</f>
        <v>1.97729083829383</v>
      </c>
      <c r="G58" s="49" t="n">
        <f aca="false">IFERROR(IF(ISNUMBER(F58),F58-E58,"n/a"),"n/a")</f>
        <v>-0.00270916170617053</v>
      </c>
      <c r="H58" s="50" t="n">
        <v>0.005000001</v>
      </c>
      <c r="I58" s="44" t="str">
        <f aca="false">IFERROR(IF(ISNUMBER(F58),IF(ABS(F58-E58)&lt;=H58,"PASS","FAIL"),"FAIL"),"FAIL")</f>
        <v>PASS</v>
      </c>
    </row>
    <row r="59" customFormat="false" ht="15" hidden="false" customHeight="false" outlineLevel="0" collapsed="false">
      <c r="B59" s="45" t="n">
        <v>50</v>
      </c>
      <c r="C59" s="9" t="s">
        <v>523</v>
      </c>
      <c r="D59" s="9" t="s">
        <v>548</v>
      </c>
      <c r="E59" s="10" t="n">
        <v>0.127</v>
      </c>
      <c r="F59" s="55" t="n">
        <f aca="false">Gross_to_Net!$D$31</f>
        <v>0.127044006074325</v>
      </c>
      <c r="G59" s="49" t="n">
        <f aca="false">IFERROR(IF(ISNUMBER(F59),F59-E59,"n/a"),"n/a")</f>
        <v>4.40060743248372E-005</v>
      </c>
      <c r="H59" s="50" t="n">
        <v>5.0001E-005</v>
      </c>
      <c r="I59" s="44" t="str">
        <f aca="false">IFERROR(IF(ISNUMBER(F59),IF(ABS(F59-E59)&lt;=H59,"PASS","FAIL"),"FAIL"),"FAIL")</f>
        <v>PASS</v>
      </c>
    </row>
    <row r="60" customFormat="false" ht="15" hidden="false" customHeight="false" outlineLevel="0" collapsed="false">
      <c r="B60" s="45" t="n">
        <v>51</v>
      </c>
      <c r="C60" s="9" t="s">
        <v>523</v>
      </c>
      <c r="D60" s="9" t="s">
        <v>549</v>
      </c>
      <c r="E60" s="53" t="n">
        <v>1.78</v>
      </c>
      <c r="F60" s="54" t="n">
        <f aca="false">Gross_to_Net!$E$31</f>
        <v>1.78183267063506</v>
      </c>
      <c r="G60" s="49" t="n">
        <f aca="false">IFERROR(IF(ISNUMBER(F60),F60-E60,"n/a"),"n/a")</f>
        <v>0.00183267063506354</v>
      </c>
      <c r="H60" s="50" t="n">
        <v>0.005000001</v>
      </c>
      <c r="I60" s="44" t="str">
        <f aca="false">IFERROR(IF(ISNUMBER(F60),IF(ABS(F60-E60)&lt;=H60,"PASS","FAIL"),"FAIL"),"FAIL")</f>
        <v>PASS</v>
      </c>
    </row>
    <row r="61" customFormat="false" ht="15" hidden="false" customHeight="false" outlineLevel="0" collapsed="false">
      <c r="B61" s="45" t="n">
        <v>52</v>
      </c>
      <c r="C61" s="9" t="s">
        <v>523</v>
      </c>
      <c r="D61" s="9" t="s">
        <v>550</v>
      </c>
      <c r="E61" s="56" t="n">
        <v>12</v>
      </c>
      <c r="F61" s="37" t="n">
        <f aca="false">Gross_to_Net!$D$11</f>
        <v>12</v>
      </c>
      <c r="G61" s="49" t="n">
        <f aca="false">IFERROR(IF(ISNUMBER(F61),F61-E61,"n/a"),"n/a")</f>
        <v>0</v>
      </c>
      <c r="H61" s="50" t="n">
        <v>0.500000001</v>
      </c>
      <c r="I61" s="44" t="str">
        <f aca="false">IFERROR(IF(ISNUMBER(F61),IF(ABS(F61-E61)&lt;=H61,"PASS","FAIL"),"FAIL"),"FAIL")</f>
        <v>PASS</v>
      </c>
    </row>
    <row r="62" customFormat="false" ht="15" hidden="false" customHeight="false" outlineLevel="0" collapsed="false">
      <c r="B62" s="45" t="n">
        <v>53</v>
      </c>
      <c r="C62" s="9" t="s">
        <v>523</v>
      </c>
      <c r="D62" s="9" t="s">
        <v>551</v>
      </c>
      <c r="E62" s="10" t="n">
        <v>0.065</v>
      </c>
      <c r="F62" s="55" t="n">
        <f aca="false">Gross_to_Net!$D$12</f>
        <v>0.065</v>
      </c>
      <c r="G62" s="49" t="n">
        <f aca="false">IFERROR(IF(ISNUMBER(F62),F62-E62,"n/a"),"n/a")</f>
        <v>0</v>
      </c>
      <c r="H62" s="50" t="n">
        <v>5.0001E-005</v>
      </c>
      <c r="I62" s="44" t="str">
        <f aca="false">IFERROR(IF(ISNUMBER(F62),IF(ABS(F62-E62)&lt;=H62,"PASS","FAIL"),"FAIL"),"FAIL")</f>
        <v>PASS</v>
      </c>
    </row>
    <row r="63" customFormat="false" ht="15" hidden="false" customHeight="false" outlineLevel="0" collapsed="false">
      <c r="B63" s="45" t="n">
        <v>54</v>
      </c>
      <c r="C63" s="9" t="s">
        <v>523</v>
      </c>
      <c r="D63" s="9" t="s">
        <v>552</v>
      </c>
      <c r="E63" s="10" t="n">
        <v>0.1439</v>
      </c>
      <c r="F63" s="55" t="n">
        <f aca="false">Gross_to_Net!$D$32</f>
        <v>0.143899672900763</v>
      </c>
      <c r="G63" s="49" t="n">
        <f aca="false">IFERROR(IF(ISNUMBER(F63),F63-E63,"n/a"),"n/a")</f>
        <v>-3.27099236807626E-007</v>
      </c>
      <c r="H63" s="50" t="n">
        <v>5.0001E-005</v>
      </c>
      <c r="I63" s="44" t="str">
        <f aca="false">IFERROR(IF(ISNUMBER(F63),IF(ABS(F63-E63)&lt;=H63,"PASS","FAIL"),"FAIL"),"FAIL")</f>
        <v>PASS</v>
      </c>
    </row>
    <row r="64" customFormat="false" ht="15" hidden="false" customHeight="false" outlineLevel="0" collapsed="false">
      <c r="B64" s="45" t="n">
        <v>55</v>
      </c>
      <c r="C64" s="9" t="s">
        <v>523</v>
      </c>
      <c r="D64" s="9" t="s">
        <v>553</v>
      </c>
      <c r="E64" s="53" t="n">
        <v>1.69</v>
      </c>
      <c r="F64" s="54" t="n">
        <f aca="false">Gross_to_Net!$E$32</f>
        <v>1.69440970300904</v>
      </c>
      <c r="G64" s="49" t="n">
        <f aca="false">IFERROR(IF(ISNUMBER(F64),F64-E64,"n/a"),"n/a")</f>
        <v>0.00440970300903532</v>
      </c>
      <c r="H64" s="50" t="n">
        <v>0.005000001</v>
      </c>
      <c r="I64" s="44" t="str">
        <f aca="false">IFERROR(IF(ISNUMBER(F64),IF(ABS(F64-E64)&lt;=H64,"PASS","FAIL"),"FAIL"),"FAIL")</f>
        <v>PASS</v>
      </c>
    </row>
    <row r="65" customFormat="false" ht="15" hidden="false" customHeight="false" outlineLevel="0" collapsed="false">
      <c r="B65" s="45" t="n">
        <v>56</v>
      </c>
      <c r="C65" s="9" t="s">
        <v>523</v>
      </c>
      <c r="D65" s="9" t="s">
        <v>554</v>
      </c>
      <c r="E65" s="10" t="n">
        <v>0.019</v>
      </c>
      <c r="F65" s="55" t="n">
        <f aca="false">Gross_to_Net!$D$37</f>
        <v>0.0190449288829925</v>
      </c>
      <c r="G65" s="49" t="n">
        <f aca="false">IFERROR(IF(ISNUMBER(F65),F65-E65,"n/a"),"n/a")</f>
        <v>4.49288829924739E-005</v>
      </c>
      <c r="H65" s="50" t="n">
        <v>5.0001E-005</v>
      </c>
      <c r="I65" s="44" t="str">
        <f aca="false">IFERROR(IF(ISNUMBER(F65),IF(ABS(F65-E65)&lt;=H65,"PASS","FAIL"),"FAIL"),"FAIL")</f>
        <v>PASS</v>
      </c>
    </row>
    <row r="66" customFormat="false" ht="15" hidden="false" customHeight="false" outlineLevel="0" collapsed="false">
      <c r="B66" s="45" t="n">
        <v>57</v>
      </c>
      <c r="C66" s="9" t="s">
        <v>523</v>
      </c>
      <c r="D66" s="9" t="s">
        <v>555</v>
      </c>
      <c r="E66" s="10" t="n">
        <v>0.0244</v>
      </c>
      <c r="F66" s="55" t="n">
        <f aca="false">Gross_to_Net!$D$38</f>
        <v>0.0243954085873688</v>
      </c>
      <c r="G66" s="49" t="n">
        <f aca="false">IFERROR(IF(ISNUMBER(F66),F66-E66,"n/a"),"n/a")</f>
        <v>-4.59141263120175E-006</v>
      </c>
      <c r="H66" s="50" t="n">
        <v>5.0001E-005</v>
      </c>
      <c r="I66" s="44" t="str">
        <f aca="false">IFERROR(IF(ISNUMBER(F66),IF(ABS(F66-E66)&lt;=H66,"PASS","FAIL"),"FAIL"),"FAIL")</f>
        <v>PASS</v>
      </c>
    </row>
    <row r="67" customFormat="false" ht="15" hidden="false" customHeight="false" outlineLevel="0" collapsed="false">
      <c r="B67" s="45" t="n">
        <v>58</v>
      </c>
      <c r="C67" s="9" t="s">
        <v>523</v>
      </c>
      <c r="D67" s="9" t="s">
        <v>556</v>
      </c>
      <c r="E67" s="10" t="n">
        <v>0.0434</v>
      </c>
      <c r="F67" s="55" t="n">
        <f aca="false">Gross_to_Net!$D$39</f>
        <v>0.0434403374703613</v>
      </c>
      <c r="G67" s="49" t="n">
        <f aca="false">IFERROR(IF(ISNUMBER(F67),F67-E67,"n/a"),"n/a")</f>
        <v>4.03374703612722E-005</v>
      </c>
      <c r="H67" s="50" t="n">
        <v>5.0001E-005</v>
      </c>
      <c r="I67" s="44" t="str">
        <f aca="false">IFERROR(IF(ISNUMBER(F67),IF(ABS(F67-E67)&lt;=H67,"PASS","FAIL"),"FAIL"),"FAIL")</f>
        <v>PASS</v>
      </c>
    </row>
    <row r="68" customFormat="false" ht="15" hidden="false" customHeight="false" outlineLevel="0" collapsed="false">
      <c r="B68" s="45" t="n">
        <v>59</v>
      </c>
      <c r="C68" s="9" t="s">
        <v>523</v>
      </c>
      <c r="D68" s="9" t="s">
        <v>557</v>
      </c>
      <c r="E68" s="53" t="n">
        <v>0.42</v>
      </c>
      <c r="F68" s="54" t="n">
        <f aca="false">Gross_to_Net!$D$40</f>
        <v>0.415157149691414</v>
      </c>
      <c r="G68" s="49" t="n">
        <f aca="false">IFERROR(IF(ISNUMBER(F68),F68-E68,"n/a"),"n/a")</f>
        <v>-0.00484285030858628</v>
      </c>
      <c r="H68" s="50" t="n">
        <v>0.005000001</v>
      </c>
      <c r="I68" s="44" t="str">
        <f aca="false">IFERROR(IF(ISNUMBER(F68),IF(ABS(F68-E68)&lt;=H68,"PASS","FAIL"),"FAIL"),"FAIL")</f>
        <v>PASS</v>
      </c>
    </row>
    <row r="69" customFormat="false" ht="15" hidden="false" customHeight="false" outlineLevel="0" collapsed="false">
      <c r="B69" s="45" t="n">
        <v>60</v>
      </c>
      <c r="C69" s="9" t="s">
        <v>523</v>
      </c>
      <c r="D69" s="9" t="s">
        <v>558</v>
      </c>
      <c r="E69" s="21" t="n">
        <v>0.726</v>
      </c>
      <c r="F69" s="20" t="n">
        <f aca="false">Gross_to_Net!$D$41</f>
        <v>0.725739645083494</v>
      </c>
      <c r="G69" s="49" t="n">
        <f aca="false">IFERROR(IF(ISNUMBER(F69),F69-E69,"n/a"),"n/a")</f>
        <v>-0.000260354916506</v>
      </c>
      <c r="H69" s="50" t="n">
        <v>0.000500001</v>
      </c>
      <c r="I69" s="44" t="str">
        <f aca="false">IFERROR(IF(ISNUMBER(F69),IF(ABS(F69-E69)&lt;=H69,"PASS","FAIL"),"FAIL"),"FAIL")</f>
        <v>PASS</v>
      </c>
    </row>
    <row r="70" customFormat="false" ht="15" hidden="false" customHeight="false" outlineLevel="0" collapsed="false">
      <c r="B70" s="45" t="n">
        <v>61</v>
      </c>
      <c r="C70" s="9" t="s">
        <v>523</v>
      </c>
      <c r="D70" s="9" t="s">
        <v>559</v>
      </c>
      <c r="E70" s="51" t="n">
        <v>190</v>
      </c>
      <c r="F70" s="52" t="n">
        <f aca="false">Gross_to_Net!$D$44</f>
        <v>190</v>
      </c>
      <c r="G70" s="49" t="n">
        <f aca="false">IFERROR(IF(ISNUMBER(F70),F70-E70,"n/a"),"n/a")</f>
        <v>0</v>
      </c>
      <c r="H70" s="50" t="n">
        <v>0.050000001</v>
      </c>
      <c r="I70" s="44" t="str">
        <f aca="false">IFERROR(IF(ISNUMBER(F70),IF(ABS(F70-E70)&lt;=H70,"PASS","FAIL"),"FAIL"),"FAIL")</f>
        <v>PASS</v>
      </c>
    </row>
    <row r="71" customFormat="false" ht="15" hidden="false" customHeight="false" outlineLevel="0" collapsed="false">
      <c r="B71" s="45" t="n">
        <v>62</v>
      </c>
      <c r="C71" s="9" t="s">
        <v>523</v>
      </c>
      <c r="D71" s="9" t="s">
        <v>560</v>
      </c>
      <c r="E71" s="56" t="n">
        <v>12</v>
      </c>
      <c r="F71" s="37" t="n">
        <f aca="false">Gross_to_Net!$D$11</f>
        <v>12</v>
      </c>
      <c r="G71" s="49" t="n">
        <f aca="false">IFERROR(IF(ISNUMBER(F71),F71-E71,"n/a"),"n/a")</f>
        <v>0</v>
      </c>
      <c r="H71" s="50" t="n">
        <v>0.500000001</v>
      </c>
      <c r="I71" s="44" t="str">
        <f aca="false">IFERROR(IF(ISNUMBER(F71),IF(ABS(F71-E71)&lt;=H71,"PASS","FAIL"),"FAIL"),"FAIL")</f>
        <v>PASS</v>
      </c>
    </row>
    <row r="72" customFormat="false" ht="15" hidden="false" customHeight="false" outlineLevel="0" collapsed="false">
      <c r="B72" s="45" t="n">
        <v>63</v>
      </c>
      <c r="C72" s="9" t="s">
        <v>523</v>
      </c>
      <c r="D72" s="9" t="s">
        <v>561</v>
      </c>
      <c r="E72" s="53" t="n">
        <v>12.35</v>
      </c>
      <c r="F72" s="54" t="n">
        <f aca="false">Gross_to_Net!$D$45</f>
        <v>12.35</v>
      </c>
      <c r="G72" s="49" t="n">
        <f aca="false">IFERROR(IF(ISNUMBER(F72),F72-E72,"n/a"),"n/a")</f>
        <v>0</v>
      </c>
      <c r="H72" s="50" t="n">
        <v>0.005000001</v>
      </c>
      <c r="I72" s="44" t="str">
        <f aca="false">IFERROR(IF(ISNUMBER(F72),IF(ABS(F72-E72)&lt;=H72,"PASS","FAIL"),"FAIL"),"FAIL")</f>
        <v>PASS</v>
      </c>
    </row>
    <row r="73" customFormat="false" ht="15" hidden="false" customHeight="false" outlineLevel="0" collapsed="false">
      <c r="B73" s="45" t="n">
        <v>64</v>
      </c>
      <c r="C73" s="9" t="s">
        <v>523</v>
      </c>
      <c r="D73" s="9" t="s">
        <v>562</v>
      </c>
      <c r="E73" s="10" t="n">
        <v>0.127</v>
      </c>
      <c r="F73" s="55" t="n">
        <f aca="false">Gross_to_Net!$D$31</f>
        <v>0.127044006074325</v>
      </c>
      <c r="G73" s="49" t="n">
        <f aca="false">IFERROR(IF(ISNUMBER(F73),F73-E73,"n/a"),"n/a")</f>
        <v>4.40060743248372E-005</v>
      </c>
      <c r="H73" s="50" t="n">
        <v>5.0001E-005</v>
      </c>
      <c r="I73" s="44" t="str">
        <f aca="false">IFERROR(IF(ISNUMBER(F73),IF(ABS(F73-E73)&lt;=H73,"PASS","FAIL"),"FAIL"),"FAIL")</f>
        <v>PASS</v>
      </c>
    </row>
    <row r="74" customFormat="false" ht="15" hidden="false" customHeight="false" outlineLevel="0" collapsed="false">
      <c r="B74" s="45" t="n">
        <v>65</v>
      </c>
      <c r="C74" s="9" t="s">
        <v>523</v>
      </c>
      <c r="D74" s="9" t="s">
        <v>563</v>
      </c>
      <c r="E74" s="10" t="n">
        <v>0.1439</v>
      </c>
      <c r="F74" s="55" t="n">
        <f aca="false">Gross_to_Net!$D$32</f>
        <v>0.143899672900763</v>
      </c>
      <c r="G74" s="49" t="n">
        <f aca="false">IFERROR(IF(ISNUMBER(F74),F74-E74,"n/a"),"n/a")</f>
        <v>-3.27099236807626E-007</v>
      </c>
      <c r="H74" s="50" t="n">
        <v>5.0001E-005</v>
      </c>
      <c r="I74" s="44" t="str">
        <f aca="false">IFERROR(IF(ISNUMBER(F74),IF(ABS(F74-E74)&lt;=H74,"PASS","FAIL"),"FAIL"),"FAIL")</f>
        <v>PASS</v>
      </c>
    </row>
    <row r="75" customFormat="false" ht="15" hidden="false" customHeight="false" outlineLevel="0" collapsed="false">
      <c r="B75" s="45" t="n">
        <v>66</v>
      </c>
      <c r="C75" s="9" t="s">
        <v>523</v>
      </c>
      <c r="D75" s="9" t="s">
        <v>564</v>
      </c>
      <c r="E75" s="10" t="n">
        <v>0.0169</v>
      </c>
      <c r="F75" s="55" t="n">
        <f aca="false">Gross_to_Net!$D$46</f>
        <v>0.0168556668264384</v>
      </c>
      <c r="G75" s="49" t="n">
        <f aca="false">IFERROR(IF(ISNUMBER(F75),F75-E75,"n/a"),"n/a")</f>
        <v>-4.43331735616448E-005</v>
      </c>
      <c r="H75" s="50" t="n">
        <v>5.0001E-005</v>
      </c>
      <c r="I75" s="44" t="str">
        <f aca="false">IFERROR(IF(ISNUMBER(F75),IF(ABS(F75-E75)&lt;=H75,"PASS","FAIL"),"FAIL"),"FAIL")</f>
        <v>PASS</v>
      </c>
    </row>
    <row r="76" customFormat="false" ht="15" hidden="false" customHeight="false" outlineLevel="0" collapsed="false">
      <c r="B76" s="45" t="n">
        <v>67</v>
      </c>
      <c r="C76" s="9" t="s">
        <v>523</v>
      </c>
      <c r="D76" s="9" t="s">
        <v>565</v>
      </c>
      <c r="E76" s="53" t="n">
        <v>1.78</v>
      </c>
      <c r="F76" s="54" t="n">
        <f aca="false">Gross_to_Net!$E$31</f>
        <v>1.78183267063506</v>
      </c>
      <c r="G76" s="49" t="n">
        <f aca="false">IFERROR(IF(ISNUMBER(F76),F76-E76,"n/a"),"n/a")</f>
        <v>0.00183267063506354</v>
      </c>
      <c r="H76" s="50" t="n">
        <v>0.005000001</v>
      </c>
      <c r="I76" s="44" t="str">
        <f aca="false">IFERROR(IF(ISNUMBER(F76),IF(ABS(F76-E76)&lt;=H76,"PASS","FAIL"),"FAIL"),"FAIL")</f>
        <v>PASS</v>
      </c>
    </row>
    <row r="77" customFormat="false" ht="15" hidden="false" customHeight="false" outlineLevel="0" collapsed="false">
      <c r="B77" s="45" t="n">
        <v>68</v>
      </c>
      <c r="C77" s="9" t="s">
        <v>523</v>
      </c>
      <c r="D77" s="9" t="s">
        <v>566</v>
      </c>
      <c r="E77" s="53" t="n">
        <v>1.69</v>
      </c>
      <c r="F77" s="54" t="n">
        <f aca="false">Gross_to_Net!$E$32</f>
        <v>1.69440970300904</v>
      </c>
      <c r="G77" s="49" t="n">
        <f aca="false">IFERROR(IF(ISNUMBER(F77),F77-E77,"n/a"),"n/a")</f>
        <v>0.00440970300903532</v>
      </c>
      <c r="H77" s="50" t="n">
        <v>0.005000001</v>
      </c>
      <c r="I77" s="44" t="str">
        <f aca="false">IFERROR(IF(ISNUMBER(F77),IF(ABS(F77-E77)&lt;=H77,"PASS","FAIL"),"FAIL"),"FAIL")</f>
        <v>PASS</v>
      </c>
    </row>
    <row r="78" customFormat="false" ht="15" hidden="false" customHeight="false" outlineLevel="0" collapsed="false">
      <c r="B78" s="45" t="n">
        <v>69</v>
      </c>
      <c r="C78" s="9" t="s">
        <v>523</v>
      </c>
      <c r="D78" s="9" t="s">
        <v>567</v>
      </c>
      <c r="E78" s="51" t="n">
        <v>38.8</v>
      </c>
      <c r="F78" s="52" t="n">
        <f aca="false">Gross_to_Net!$D$48</f>
        <v>38.7933909501839</v>
      </c>
      <c r="G78" s="49" t="n">
        <f aca="false">IFERROR(IF(ISNUMBER(F78),F78-E78,"n/a"),"n/a")</f>
        <v>-0.00660904981607757</v>
      </c>
      <c r="H78" s="50" t="n">
        <v>0.050000001</v>
      </c>
      <c r="I78" s="44" t="str">
        <f aca="false">IFERROR(IF(ISNUMBER(F78),IF(ABS(F78-E78)&lt;=H78,"PASS","FAIL"),"FAIL"),"FAIL")</f>
        <v>PASS</v>
      </c>
    </row>
    <row r="79" customFormat="false" ht="15" hidden="false" customHeight="false" outlineLevel="0" collapsed="false">
      <c r="B79" s="45" t="n">
        <v>70</v>
      </c>
      <c r="C79" s="9" t="s">
        <v>523</v>
      </c>
      <c r="D79" s="9" t="s">
        <v>568</v>
      </c>
      <c r="E79" s="51" t="n">
        <v>78.6</v>
      </c>
      <c r="F79" s="52" t="n">
        <f aca="false">Gross_to_Net!$D$49</f>
        <v>78.585530322489</v>
      </c>
      <c r="G79" s="49" t="n">
        <f aca="false">IFERROR(IF(ISNUMBER(F79),F79-E79,"n/a"),"n/a")</f>
        <v>-0.0144696775110447</v>
      </c>
      <c r="H79" s="50" t="n">
        <v>0.050000001</v>
      </c>
      <c r="I79" s="44" t="str">
        <f aca="false">IFERROR(IF(ISNUMBER(F79),IF(ABS(F79-E79)&lt;=H79,"PASS","FAIL"),"FAIL"),"FAIL")</f>
        <v>PASS</v>
      </c>
    </row>
    <row r="80" customFormat="false" ht="15" hidden="false" customHeight="false" outlineLevel="0" collapsed="false">
      <c r="B80" s="45" t="n">
        <v>71</v>
      </c>
      <c r="C80" s="9" t="s">
        <v>523</v>
      </c>
      <c r="D80" s="9" t="s">
        <v>569</v>
      </c>
      <c r="E80" s="51" t="n">
        <v>94.8</v>
      </c>
      <c r="F80" s="52" t="n">
        <f aca="false">Gross_to_Net!$D$22</f>
        <v>94.812923858489</v>
      </c>
      <c r="G80" s="49" t="n">
        <f aca="false">IFERROR(IF(ISNUMBER(F80),F80-E80,"n/a"),"n/a")</f>
        <v>0.0129238584890032</v>
      </c>
      <c r="H80" s="50" t="n">
        <v>0.050000001</v>
      </c>
      <c r="I80" s="44" t="str">
        <f aca="false">IFERROR(IF(ISNUMBER(F80),IF(ABS(F80-E80)&lt;=H80,"PASS","FAIL"),"FAIL"),"FAIL")</f>
        <v>PASS</v>
      </c>
    </row>
    <row r="81" customFormat="false" ht="15" hidden="false" customHeight="false" outlineLevel="0" collapsed="false">
      <c r="B81" s="45" t="n">
        <v>72</v>
      </c>
      <c r="C81" s="9" t="s">
        <v>523</v>
      </c>
      <c r="D81" s="9" t="s">
        <v>570</v>
      </c>
      <c r="E81" s="10" t="n">
        <v>0.1705</v>
      </c>
      <c r="F81" s="55" t="n">
        <f aca="false">Gross_to_Net!$D$29</f>
        <v>0.170484343544686</v>
      </c>
      <c r="G81" s="49" t="n">
        <f aca="false">IFERROR(IF(ISNUMBER(F81),F81-E81,"n/a"),"n/a")</f>
        <v>-1.56564553139005E-005</v>
      </c>
      <c r="H81" s="50" t="n">
        <v>5.0001E-005</v>
      </c>
      <c r="I81" s="44" t="str">
        <f aca="false">IFERROR(IF(ISNUMBER(F81),IF(ABS(F81-E81)&lt;=H81,"PASS","FAIL"),"FAIL"),"FAIL")</f>
        <v>PASS</v>
      </c>
    </row>
    <row r="82" customFormat="false" ht="15" hidden="false" customHeight="false" outlineLevel="0" collapsed="false">
      <c r="B82" s="45" t="n">
        <v>73</v>
      </c>
      <c r="C82" s="9" t="s">
        <v>523</v>
      </c>
      <c r="D82" s="9" t="s">
        <v>571</v>
      </c>
      <c r="E82" s="10" t="n">
        <v>0.127</v>
      </c>
      <c r="F82" s="55" t="n">
        <f aca="false">Gross_to_Net!$D$31</f>
        <v>0.127044006074325</v>
      </c>
      <c r="G82" s="49" t="n">
        <f aca="false">IFERROR(IF(ISNUMBER(F82),F82-E82,"n/a"),"n/a")</f>
        <v>4.40060743248372E-005</v>
      </c>
      <c r="H82" s="50" t="n">
        <v>5.0001E-005</v>
      </c>
      <c r="I82" s="44" t="str">
        <f aca="false">IFERROR(IF(ISNUMBER(F82),IF(ABS(F82-E82)&lt;=H82,"PASS","FAIL"),"FAIL"),"FAIL")</f>
        <v>PASS</v>
      </c>
    </row>
    <row r="83" customFormat="false" ht="15" hidden="false" customHeight="false" outlineLevel="0" collapsed="false">
      <c r="B83" s="45" t="n">
        <v>74</v>
      </c>
      <c r="C83" s="9" t="s">
        <v>523</v>
      </c>
      <c r="D83" s="9" t="s">
        <v>572</v>
      </c>
      <c r="E83" s="10" t="n">
        <v>0.1439</v>
      </c>
      <c r="F83" s="55" t="n">
        <f aca="false">Gross_to_Net!$D$32</f>
        <v>0.143899672900763</v>
      </c>
      <c r="G83" s="49" t="n">
        <f aca="false">IFERROR(IF(ISNUMBER(F83),F83-E83,"n/a"),"n/a")</f>
        <v>-3.27099236807626E-007</v>
      </c>
      <c r="H83" s="50" t="n">
        <v>5.0001E-005</v>
      </c>
      <c r="I83" s="44" t="str">
        <f aca="false">IFERROR(IF(ISNUMBER(F83),IF(ABS(F83-E83)&lt;=H83,"PASS","FAIL"),"FAIL"),"FAIL")</f>
        <v>PASS</v>
      </c>
    </row>
    <row r="84" customFormat="false" ht="15" hidden="false" customHeight="false" outlineLevel="0" collapsed="false">
      <c r="B84" s="45" t="n">
        <v>75</v>
      </c>
      <c r="C84" s="9" t="s">
        <v>523</v>
      </c>
      <c r="D84" s="9" t="s">
        <v>573</v>
      </c>
      <c r="E84" s="10" t="n">
        <v>0.127</v>
      </c>
      <c r="F84" s="55" t="n">
        <f aca="false">Gross_to_Net!$D$31</f>
        <v>0.127044006074325</v>
      </c>
      <c r="G84" s="49" t="n">
        <f aca="false">IFERROR(IF(ISNUMBER(F84),F84-E84,"n/a"),"n/a")</f>
        <v>4.40060743248372E-005</v>
      </c>
      <c r="H84" s="50" t="n">
        <v>5.0001E-005</v>
      </c>
      <c r="I84" s="44" t="str">
        <f aca="false">IFERROR(IF(ISNUMBER(F84),IF(ABS(F84-E84)&lt;=H84,"PASS","FAIL"),"FAIL"),"FAIL")</f>
        <v>PASS</v>
      </c>
    </row>
    <row r="85" customFormat="false" ht="15" hidden="false" customHeight="false" outlineLevel="0" collapsed="false">
      <c r="B85" s="45" t="n">
        <v>76</v>
      </c>
      <c r="C85" s="9" t="s">
        <v>523</v>
      </c>
      <c r="D85" s="9" t="s">
        <v>574</v>
      </c>
      <c r="E85" s="10" t="n">
        <v>0.1705</v>
      </c>
      <c r="F85" s="55" t="n">
        <f aca="false">Gross_to_Net!$D$29</f>
        <v>0.170484343544686</v>
      </c>
      <c r="G85" s="49" t="n">
        <f aca="false">IFERROR(IF(ISNUMBER(F85),F85-E85,"n/a"),"n/a")</f>
        <v>-1.56564553139005E-005</v>
      </c>
      <c r="H85" s="50" t="n">
        <v>5.0001E-005</v>
      </c>
      <c r="I85" s="44" t="str">
        <f aca="false">IFERROR(IF(ISNUMBER(F85),IF(ABS(F85-E85)&lt;=H85,"PASS","FAIL"),"FAIL"),"FAIL")</f>
        <v>PASS</v>
      </c>
    </row>
    <row r="86" customFormat="false" ht="15" hidden="false" customHeight="false" outlineLevel="0" collapsed="false">
      <c r="B86" s="45" t="n">
        <v>77</v>
      </c>
      <c r="C86" s="9" t="s">
        <v>523</v>
      </c>
      <c r="D86" s="9" t="s">
        <v>575</v>
      </c>
      <c r="E86" s="10" t="n">
        <v>0.0434</v>
      </c>
      <c r="F86" s="55" t="n">
        <f aca="false">Gross_to_Net!$D$39</f>
        <v>0.0434403374703613</v>
      </c>
      <c r="G86" s="49" t="n">
        <f aca="false">IFERROR(IF(ISNUMBER(F86),F86-E86,"n/a"),"n/a")</f>
        <v>4.03374703612722E-005</v>
      </c>
      <c r="H86" s="50" t="n">
        <v>5.0001E-005</v>
      </c>
      <c r="I86" s="44" t="str">
        <f aca="false">IFERROR(IF(ISNUMBER(F86),IF(ABS(F86-E86)&lt;=H86,"PASS","FAIL"),"FAIL"),"FAIL")</f>
        <v>PASS</v>
      </c>
    </row>
    <row r="87" customFormat="false" ht="15" hidden="false" customHeight="false" outlineLevel="0" collapsed="false">
      <c r="B87" s="45" t="n">
        <v>78</v>
      </c>
      <c r="C87" s="9" t="s">
        <v>523</v>
      </c>
      <c r="D87" s="9" t="s">
        <v>576</v>
      </c>
      <c r="E87" s="10" t="n">
        <v>0.0169</v>
      </c>
      <c r="F87" s="55" t="n">
        <f aca="false">Gross_to_Net!$D$46</f>
        <v>0.0168556668264384</v>
      </c>
      <c r="G87" s="49" t="n">
        <f aca="false">IFERROR(IF(ISNUMBER(F87),F87-E87,"n/a"),"n/a")</f>
        <v>-4.43331735616448E-005</v>
      </c>
      <c r="H87" s="50" t="n">
        <v>5.0001E-005</v>
      </c>
      <c r="I87" s="44" t="str">
        <f aca="false">IFERROR(IF(ISNUMBER(F87),IF(ABS(F87-E87)&lt;=H87,"PASS","FAIL"),"FAIL"),"FAIL")</f>
        <v>PASS</v>
      </c>
    </row>
    <row r="88" customFormat="false" ht="15" hidden="false" customHeight="true" outlineLevel="0" collapsed="false">
      <c r="B88" s="45" t="n">
        <v>79</v>
      </c>
      <c r="C88" s="9" t="s">
        <v>523</v>
      </c>
      <c r="D88" s="46" t="s">
        <v>577</v>
      </c>
      <c r="E88" s="47" t="s">
        <v>496</v>
      </c>
      <c r="F88" s="48" t="str">
        <f aca="false">IFERROR(IF(AND(Gross_to_Net!$D$46&gt;0,Gross_to_Net!$D$47&gt;0),"holds","does not hold"),"error")</f>
        <v>holds</v>
      </c>
      <c r="G88" s="9"/>
      <c r="H88" s="9"/>
      <c r="I88" s="44" t="str">
        <f aca="false">IFERROR(IF(AND(Gross_to_Net!$D$46&gt;0,Gross_to_Net!$D$47&gt;0),"PASS","FAIL"),"FAIL")</f>
        <v>PASS</v>
      </c>
    </row>
    <row r="89" customFormat="false" ht="15" hidden="false" customHeight="true" outlineLevel="0" collapsed="false">
      <c r="B89" s="45" t="n">
        <v>80</v>
      </c>
      <c r="C89" s="9" t="s">
        <v>523</v>
      </c>
      <c r="D89" s="46" t="s">
        <v>578</v>
      </c>
      <c r="E89" s="47" t="s">
        <v>496</v>
      </c>
      <c r="F89" s="48" t="str">
        <f aca="false">IFERROR(IF(ABS(Gross_to_Net!$D$37+Gross_to_Net!$D$38-Gross_to_Net!$D$39)&lt;0.000001,"holds","does not hold"),"error")</f>
        <v>holds</v>
      </c>
      <c r="G89" s="9"/>
      <c r="H89" s="9"/>
      <c r="I89" s="44" t="str">
        <f aca="false">IFERROR(IF(ABS(Gross_to_Net!$D$37+Gross_to_Net!$D$38-Gross_to_Net!$D$39)&lt;0.000001,"PASS","FAIL"),"FAIL")</f>
        <v>PASS</v>
      </c>
    </row>
  </sheetData>
  <mergeCells count="1">
    <mergeCell ref="C7:D7"/>
  </mergeCells>
  <conditionalFormatting sqref="I10:I89">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2026-09-25T22:01:06Z</dcterms:created>
  <dc:creator>openpyxl</dc:creator>
  <dc:description/>
  <dc:language>en-US</dc:language>
  <cp:lastModifiedBy/>
  <dcterms:modified xsi:type="dcterms:W3CDTF">2026-09-25T22:01:07Z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