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Build" sheetId="2" state="visible" r:id="rId2"/>
    <sheet xmlns:r="http://schemas.openxmlformats.org/officeDocument/2006/relationships" name="Answer Key" sheetId="3" state="visible" r:id="rId3"/>
    <sheet xmlns:r="http://schemas.openxmlformats.org/officeDocument/2006/relationships" name="Score" sheetId="4" state="visible" r:id="rId4"/>
    <sheet xmlns:r="http://schemas.openxmlformats.org/officeDocument/2006/relationships" name="Checks" sheetId="5" state="visible" r:id="rId5"/>
  </sheets>
  <definedNames/>
  <calcPr calcId="124519" fullCalcOnLoad="1"/>
</workbook>
</file>

<file path=xl/styles.xml><?xml version="1.0" encoding="utf-8"?>
<styleSheet xmlns="http://schemas.openxmlformats.org/spreadsheetml/2006/main">
  <numFmts count="3">
    <numFmt numFmtId="164" formatCode="0.00&quot;x&quot;"/>
    <numFmt numFmtId="165" formatCode="0.0%"/>
    <numFmt numFmtId="166" formatCode="0.000000"/>
  </numFmts>
  <fonts count="7">
    <font>
      <name val="Calibri"/>
      <family val="2"/>
      <color theme="1"/>
      <sz val="11"/>
      <scheme val="minor"/>
    </font>
    <font>
      <name val="Calibri"/>
      <b val="1"/>
      <sz val="14"/>
    </font>
    <font>
      <name val="Calibri"/>
      <color rgb="005B6475"/>
    </font>
    <font>
      <name val="Calibri"/>
    </font>
    <font>
      <name val="Calibri"/>
      <b val="1"/>
    </font>
    <font>
      <name val="Calibri"/>
      <color rgb="001F4FB4"/>
    </font>
    <font>
      <name val="Calibri"/>
      <b val="1"/>
      <color rgb="00FFFFFF"/>
    </font>
  </fonts>
  <fills count="6">
    <fill>
      <patternFill/>
    </fill>
    <fill>
      <patternFill patternType="gray125"/>
    </fill>
    <fill>
      <patternFill patternType="solid">
        <fgColor rgb="00DCE3ED"/>
      </patternFill>
    </fill>
    <fill>
      <patternFill patternType="solid">
        <fgColor rgb="00FFF2CC"/>
      </patternFill>
    </fill>
    <fill>
      <patternFill patternType="solid">
        <fgColor rgb="00EFF3F8"/>
      </patternFill>
    </fill>
    <fill>
      <patternFill patternType="solid">
        <fgColor rgb="0016213A"/>
      </patternFill>
    </fill>
  </fills>
  <borders count="2">
    <border>
      <left/>
      <right/>
      <top/>
      <bottom/>
      <diagonal/>
    </border>
    <border>
      <left style="thin">
        <color rgb="009AA3B2"/>
      </left>
      <right style="thin">
        <color rgb="009AA3B2"/>
      </right>
      <top style="thin">
        <color rgb="009AA3B2"/>
      </top>
      <bottom style="thin">
        <color rgb="009AA3B2"/>
      </bottom>
    </border>
  </borders>
  <cellStyleXfs count="1">
    <xf numFmtId="0" fontId="0" fillId="0" borderId="0"/>
  </cellStyleXfs>
  <cellXfs count="3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0" fontId="4" fillId="2" borderId="1" pivotButton="0" quotePrefix="0" xfId="0"/>
    <xf numFmtId="0" fontId="0" fillId="2" borderId="1" pivotButton="0" quotePrefix="0" xfId="0"/>
    <xf numFmtId="0" fontId="3" fillId="0" borderId="1" pivotButton="0" quotePrefix="0" xfId="0"/>
    <xf numFmtId="4" fontId="4" fillId="0" borderId="1" pivotButton="0" quotePrefix="0" xfId="0"/>
    <xf numFmtId="164" fontId="4" fillId="0" borderId="1" pivotButton="0" quotePrefix="0" xfId="0"/>
    <xf numFmtId="10" fontId="4" fillId="0" borderId="1" pivotButton="0" quotePrefix="0" xfId="0"/>
    <xf numFmtId="9" fontId="4" fillId="0" borderId="1" pivotButton="0" quotePrefix="0" xfId="0"/>
    <xf numFmtId="165" fontId="4" fillId="0" borderId="1" pivotButton="0" quotePrefix="0" xfId="0"/>
    <xf numFmtId="1" fontId="4" fillId="0" borderId="1" pivotButton="0" quotePrefix="0" xfId="0"/>
    <xf numFmtId="0" fontId="3" fillId="0" borderId="1" applyAlignment="1" pivotButton="0" quotePrefix="0" xfId="0">
      <alignment vertical="top" wrapText="1"/>
    </xf>
    <xf numFmtId="4" fontId="5" fillId="3" borderId="1" pivotButton="0" quotePrefix="0" xfId="0"/>
    <xf numFmtId="164" fontId="5" fillId="3" borderId="1" pivotButton="0" quotePrefix="0" xfId="0"/>
    <xf numFmtId="10" fontId="5" fillId="3" borderId="1" pivotButton="0" quotePrefix="0" xfId="0"/>
    <xf numFmtId="4" fontId="4" fillId="4" borderId="1" pivotButton="0" quotePrefix="0" xfId="0"/>
    <xf numFmtId="164" fontId="4" fillId="4" borderId="1" pivotButton="0" quotePrefix="0" xfId="0"/>
    <xf numFmtId="10" fontId="4" fillId="4" borderId="1" pivotButton="0" quotePrefix="0" xfId="0"/>
    <xf numFmtId="4" fontId="3" fillId="4" borderId="1" pivotButton="0" quotePrefix="0" xfId="0"/>
    <xf numFmtId="10" fontId="3" fillId="4" borderId="1" pivotButton="0" quotePrefix="0" xfId="0"/>
    <xf numFmtId="0" fontId="6" fillId="5" borderId="1" applyAlignment="1" pivotButton="0" quotePrefix="0" xfId="0">
      <alignment vertical="center" wrapText="1"/>
    </xf>
    <xf numFmtId="0" fontId="6" fillId="5" borderId="1" applyAlignment="1" pivotButton="0" quotePrefix="0" xfId="0">
      <alignment horizontal="center" vertical="center" wrapText="1"/>
    </xf>
    <xf numFmtId="164" fontId="3" fillId="4" borderId="1" pivotButton="0" quotePrefix="0" xfId="0"/>
    <xf numFmtId="166" fontId="3" fillId="4" borderId="1" pivotButton="0" quotePrefix="0" xfId="0"/>
    <xf numFmtId="1" fontId="3" fillId="4" borderId="1" pivotButton="0" quotePrefix="0" xfId="0"/>
    <xf numFmtId="166" fontId="5" fillId="3" borderId="1" pivotButton="0" quotePrefix="0" xfId="0"/>
    <xf numFmtId="0" fontId="4" fillId="4" borderId="1" pivotButton="0" quotePrefix="0" xfId="0"/>
    <xf numFmtId="0" fontId="4" fillId="0" borderId="1" pivotButton="0" quotePrefix="0" xfId="0"/>
    <xf numFmtId="1" fontId="4" fillId="4" borderId="1" pivotButton="0" quotePrefix="0" xfId="0"/>
    <xf numFmtId="0" fontId="3" fillId="0" borderId="1" applyAlignment="1" pivotButton="0" quotePrefix="0" xfId="0">
      <alignment horizontal="center" vertical="top"/>
    </xf>
  </cellXfs>
  <cellStyles count="1">
    <cellStyle name="Normal" xfId="0" builtinId="0" hidden="0"/>
  </cellStyles>
  <dxfs count="1">
    <dxf>
      <font>
        <name val="Calibri"/>
        <b val="1"/>
        <color rgb="00C0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B9"/>
  <sheetViews>
    <sheetView showGridLines="0" workbookViewId="0">
      <selection activeCell="A1" sqref="A1"/>
    </sheetView>
  </sheetViews>
  <sheetFormatPr baseColWidth="8" defaultRowHeight="15"/>
  <cols>
    <col width="2" customWidth="1" min="1" max="1"/>
    <col width="120" customWidth="1" min="2" max="2"/>
  </cols>
  <sheetData>
    <row r="1" ht="6" customHeight="1"/>
    <row r="2">
      <c r="B2" s="1" t="inlineStr">
        <is>
          <t>The Buyout Investor: the 60-minute test</t>
        </is>
      </c>
    </row>
    <row r="3">
      <c r="B3" s="2" t="inlineStr">
        <is>
          <t>Julian R. Sterling. julianrsterling.com/buyouts. A separate case, not the book's deal. No macros, nothing locked or hidden. Amounts in millions of dollars.</t>
        </is>
      </c>
    </row>
    <row r="4">
      <c r="B4" s="3" t="inlineStr"/>
    </row>
    <row r="5">
      <c r="B5" s="4" t="inlineStr">
        <is>
          <t>How to take it</t>
        </is>
      </c>
    </row>
    <row r="6" ht="45" customHeight="1">
      <c r="B6" s="3" t="inlineStr">
        <is>
          <t>Start a timer for sixty minutes. Read the case on the Build sheet, then fill the yellow answer cells, one per question, with formulas that point at the case inputs (build your three-year schedule in the free space below the questions). Do not open the Answer Key until the time is up.</t>
        </is>
      </c>
    </row>
    <row r="7" ht="30" customHeight="1">
      <c r="B7" s="3" t="inlineStr">
        <is>
          <t>When you stop, open the Score sheet: it marks each answer against the key within a stated tolerance and counts your score. Then read the Answer Key, whose formulas and workings show one way to get each figure.</t>
        </is>
      </c>
    </row>
    <row r="8" ht="60" customHeight="1">
      <c r="B8" s="3" t="inlineStr">
        <is>
          <t>The questions follow the book: enterprise and equity value (Chapter 4), sources and uses (Chapter 5), interest on opening balances and cover (Chapter 6), free cash flow and the sweep (Chapter 7), the covenant (Chapter 8), the option pool (Chapter 9), the add-on (Chapter 11), the exit (Chapter 14), the bridge (Chapter 15), the exit multiple (Chapter 16) and the subscriber's net return (Chapter 17).</t>
        </is>
      </c>
    </row>
    <row r="9" ht="30" customHeight="1">
      <c r="B9" s="3" t="inlineStr">
        <is>
          <t>The Checks sheet tests the Answer Key itself against the figures computed outside the workbook; it should read PASS before you start and still read PASS when you finish.</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B2:D69"/>
  <sheetViews>
    <sheetView showGridLines="0" workbookViewId="0">
      <selection activeCell="A1" sqref="A1"/>
    </sheetView>
  </sheetViews>
  <sheetFormatPr baseColWidth="8" defaultRowHeight="15"/>
  <cols>
    <col width="2" customWidth="1" min="1" max="1"/>
    <col width="88" customWidth="1" min="2" max="2"/>
    <col width="14" customWidth="1" min="3" max="3"/>
    <col width="30" customWidth="1" min="4" max="4"/>
  </cols>
  <sheetData>
    <row r="1" ht="6" customHeight="1"/>
    <row r="2">
      <c r="B2" s="5" t="inlineStr">
        <is>
          <t>The case: Harrow Point Capital Fund II buys Lindell Label Systems</t>
        </is>
      </c>
    </row>
    <row r="3">
      <c r="B3" s="6" t="inlineStr">
        <is>
          <t>Inputs are the case (do not change them while taking the test). Answer cells are yellow and empty.</t>
        </is>
      </c>
    </row>
    <row r="5">
      <c r="B5" s="7" t="inlineStr">
        <is>
          <t>The target and the price</t>
        </is>
      </c>
      <c r="C5" s="8" t="n"/>
      <c r="D5" s="8" t="n"/>
    </row>
    <row r="6">
      <c r="B6" s="9" t="inlineStr">
        <is>
          <t>Lindell: revenue, last twelve months</t>
        </is>
      </c>
      <c r="C6" s="10" t="n">
        <v>150</v>
      </c>
    </row>
    <row r="7">
      <c r="B7" s="9" t="inlineStr">
        <is>
          <t>Lindell: EBITDA, last twelve months (underwriting figure)</t>
        </is>
      </c>
      <c r="C7" s="10" t="n">
        <v>20</v>
      </c>
    </row>
    <row r="8">
      <c r="B8" s="9" t="inlineStr">
        <is>
          <t>Entry multiple (enterprise value / EBITDA)</t>
        </is>
      </c>
      <c r="C8" s="11" t="n">
        <v>8</v>
      </c>
    </row>
    <row r="9">
      <c r="B9" s="9" t="inlineStr">
        <is>
          <t>Bank debt repaid at closing</t>
        </is>
      </c>
      <c r="C9" s="10" t="n">
        <v>12</v>
      </c>
    </row>
    <row r="10">
      <c r="B10" s="9" t="inlineStr">
        <is>
          <t>Finance leases (debt-like)</t>
        </is>
      </c>
      <c r="C10" s="10" t="n">
        <v>2</v>
      </c>
    </row>
    <row r="11">
      <c r="B11" s="9" t="inlineStr">
        <is>
          <t>Cash on Lindell's balance sheet</t>
        </is>
      </c>
      <c r="C11" s="10" t="n">
        <v>4</v>
      </c>
    </row>
    <row r="12">
      <c r="B12" s="7" t="inlineStr">
        <is>
          <t>Sources and uses</t>
        </is>
      </c>
      <c r="C12" s="8" t="n"/>
      <c r="D12" s="8" t="n"/>
    </row>
    <row r="13">
      <c r="B13" s="9" t="inlineStr">
        <is>
          <t>Transaction fees (advisory, diligence, legal), expensed at closing</t>
        </is>
      </c>
      <c r="C13" s="10" t="n">
        <v>3.4</v>
      </c>
    </row>
    <row r="14">
      <c r="B14" s="9" t="inlineStr">
        <is>
          <t>Financing fees, share of the term loan (capitalized; ignored in the test's tax computation)</t>
        </is>
      </c>
      <c r="C14" s="12" t="n">
        <v>0.02</v>
      </c>
    </row>
    <row r="15">
      <c r="B15" s="9" t="inlineStr">
        <is>
          <t>Cash put on the balance sheet at closing</t>
        </is>
      </c>
      <c r="C15" s="10" t="n">
        <v>5</v>
      </c>
    </row>
    <row r="16">
      <c r="B16" s="9" t="inlineStr">
        <is>
          <t>Minimum cash kept</t>
        </is>
      </c>
      <c r="C16" s="10" t="n">
        <v>5</v>
      </c>
    </row>
    <row r="17">
      <c r="B17" s="9" t="inlineStr">
        <is>
          <t>Term loan, multiple of EBITDA (the only debt; the revolver is undrawn and its fee is ignored)</t>
        </is>
      </c>
      <c r="C17" s="11" t="n">
        <v>4</v>
      </c>
    </row>
    <row r="18">
      <c r="B18" s="9" t="inlineStr">
        <is>
          <t>Base rate (SOFR), flat</t>
        </is>
      </c>
      <c r="C18" s="12" t="n">
        <v>0.04</v>
      </c>
    </row>
    <row r="19">
      <c r="B19" s="9" t="inlineStr">
        <is>
          <t>Term loan spread over the base rate</t>
        </is>
      </c>
      <c r="C19" s="12" t="n">
        <v>0.05</v>
      </c>
    </row>
    <row r="20">
      <c r="B20" s="9" t="inlineStr">
        <is>
          <t>Mandatory amortization, share of the original loan, a year</t>
        </is>
      </c>
      <c r="C20" s="12" t="n">
        <v>0.01</v>
      </c>
    </row>
    <row r="21">
      <c r="B21" s="9" t="inlineStr">
        <is>
          <t>Excess cash flow sweep: share of the cash above the minimum, after mandatory amortization</t>
        </is>
      </c>
      <c r="C21" s="13" t="n">
        <v>0.5</v>
      </c>
    </row>
    <row r="22">
      <c r="B22" s="9" t="inlineStr">
        <is>
          <t>Management rollover (part of the equity; the rest is the sponsor's)</t>
        </is>
      </c>
      <c r="C22" s="10" t="n">
        <v>5</v>
      </c>
    </row>
    <row r="23">
      <c r="B23" s="9" t="inlineStr">
        <is>
          <t>Price per ordinary share at closing</t>
        </is>
      </c>
      <c r="C23" s="10" t="n">
        <v>1</v>
      </c>
    </row>
    <row r="24">
      <c r="B24" s="9" t="inlineStr">
        <is>
          <t>Option pool, share of the fully diluted shares, strike at the closing price, all vested at exit</t>
        </is>
      </c>
      <c r="C24" s="13" t="n">
        <v>0.1</v>
      </c>
    </row>
    <row r="25">
      <c r="B25" s="7" t="inlineStr">
        <is>
          <t>The plan (interest on opening balances; cash earns nothing; no tax loss arises)</t>
        </is>
      </c>
      <c r="C25" s="8" t="n"/>
      <c r="D25" s="8" t="n"/>
    </row>
    <row r="26">
      <c r="B26" s="9" t="inlineStr">
        <is>
          <t>Revenue growth, every year</t>
        </is>
      </c>
      <c r="C26" s="14" t="n">
        <v>0.05</v>
      </c>
    </row>
    <row r="27">
      <c r="B27" s="9" t="inlineStr">
        <is>
          <t>EBITDA margin, year 1</t>
        </is>
      </c>
      <c r="C27" s="14" t="n">
        <v>0.14</v>
      </c>
    </row>
    <row r="28">
      <c r="B28" s="9" t="inlineStr">
        <is>
          <t>EBITDA margin, year 2</t>
        </is>
      </c>
      <c r="C28" s="14" t="n">
        <v>0.15</v>
      </c>
    </row>
    <row r="29">
      <c r="B29" s="9" t="inlineStr">
        <is>
          <t>EBITDA margin, year 3</t>
        </is>
      </c>
      <c r="C29" s="14" t="n">
        <v>0.16</v>
      </c>
    </row>
    <row r="30">
      <c r="B30" s="9" t="inlineStr">
        <is>
          <t>Depreciation and amortization, share of revenue</t>
        </is>
      </c>
      <c r="C30" s="14" t="n">
        <v>0.03</v>
      </c>
    </row>
    <row r="31">
      <c r="B31" s="9" t="inlineStr">
        <is>
          <t>Capital expenditure, share of revenue</t>
        </is>
      </c>
      <c r="C31" s="14" t="n">
        <v>0.03</v>
      </c>
    </row>
    <row r="32">
      <c r="B32" s="9" t="inlineStr">
        <is>
          <t>Net working capital, share of revenue</t>
        </is>
      </c>
      <c r="C32" s="14" t="n">
        <v>0.1</v>
      </c>
    </row>
    <row r="33">
      <c r="B33" s="9" t="inlineStr">
        <is>
          <t>Tax rate on taxable income (EBIT less deductible interest)</t>
        </is>
      </c>
      <c r="C33" s="13" t="n">
        <v>0.25</v>
      </c>
    </row>
    <row r="34">
      <c r="B34" s="9" t="inlineStr">
        <is>
          <t>Deductible interest, cap as a share of EBITDA; the disallowed part carries forward</t>
        </is>
      </c>
      <c r="C34" s="13" t="n">
        <v>0.3</v>
      </c>
    </row>
    <row r="35">
      <c r="B35" s="9" t="inlineStr">
        <is>
          <t>Maintenance covenant: maximum net debt / EBITDA at the end of year 1</t>
        </is>
      </c>
      <c r="C35" s="11" t="n">
        <v>4.5</v>
      </c>
    </row>
    <row r="36">
      <c r="B36" s="7" t="inlineStr">
        <is>
          <t>The exit, at the end of year 3</t>
        </is>
      </c>
      <c r="C36" s="8" t="n"/>
      <c r="D36" s="8" t="n"/>
    </row>
    <row r="37">
      <c r="B37" s="9" t="inlineStr">
        <is>
          <t>Exit multiple</t>
        </is>
      </c>
      <c r="C37" s="11" t="n">
        <v>8</v>
      </c>
    </row>
    <row r="38">
      <c r="B38" s="9" t="inlineStr">
        <is>
          <t>Exit fees, share of enterprise value</t>
        </is>
      </c>
      <c r="C38" s="14" t="n">
        <v>0.015</v>
      </c>
    </row>
    <row r="39">
      <c r="B39" s="9" t="inlineStr">
        <is>
          <t>Alternative exit multiple for question 13</t>
        </is>
      </c>
      <c r="C39" s="11" t="n">
        <v>7</v>
      </c>
    </row>
    <row r="40">
      <c r="B40" s="9" t="inlineStr">
        <is>
          <t>Assumed equity value at exit for question 9 only</t>
        </is>
      </c>
      <c r="C40" s="10" t="n">
        <v>120</v>
      </c>
    </row>
    <row r="41">
      <c r="B41" s="7" t="inlineStr">
        <is>
          <t>An add-on the fund is looking at (question 10 only; not in the plan)</t>
        </is>
      </c>
      <c r="C41" s="8" t="n"/>
      <c r="D41" s="8" t="n"/>
    </row>
    <row r="42">
      <c r="B42" s="9" t="inlineStr">
        <is>
          <t>Add-on EBITDA</t>
        </is>
      </c>
      <c r="C42" s="10" t="n">
        <v>3</v>
      </c>
    </row>
    <row r="43">
      <c r="B43" s="9" t="inlineStr">
        <is>
          <t>Price paid for the add-on, multiple of its EBITDA</t>
        </is>
      </c>
      <c r="C43" s="11" t="n">
        <v>5</v>
      </c>
    </row>
    <row r="44">
      <c r="B44" s="9" t="inlineStr">
        <is>
          <t>Run-rate synergies</t>
        </is>
      </c>
      <c r="C44" s="10" t="n">
        <v>0.5</v>
      </c>
    </row>
    <row r="45">
      <c r="B45" s="9" t="inlineStr">
        <is>
          <t>Fees on the add-on</t>
        </is>
      </c>
      <c r="C45" s="10" t="n">
        <v>0.4</v>
      </c>
    </row>
    <row r="46">
      <c r="B46" s="7" t="inlineStr">
        <is>
          <t>The fund's terms (questions 14 and 15: the sponsor's flows, its shares at the exit price per share)</t>
        </is>
      </c>
      <c r="C46" s="8" t="n"/>
      <c r="D46" s="8" t="n"/>
    </row>
    <row r="47">
      <c r="B47" s="9" t="inlineStr">
        <is>
          <t>Management fee, share of committed capital, a year</t>
        </is>
      </c>
      <c r="C47" s="12" t="n">
        <v>0.02</v>
      </c>
    </row>
    <row r="48">
      <c r="B48" s="9" t="inlineStr">
        <is>
          <t>Years of management fee (called at the start of each year; the commitment covers investment and fees)</t>
        </is>
      </c>
      <c r="C48" s="15" t="n">
        <v>3</v>
      </c>
    </row>
    <row r="49">
      <c r="B49" s="9" t="inlineStr">
        <is>
          <t>Carried interest, share of the profit, with a full catch-up</t>
        </is>
      </c>
      <c r="C49" s="13" t="n">
        <v>0.2</v>
      </c>
    </row>
    <row r="50">
      <c r="B50" s="9" t="inlineStr">
        <is>
          <t>Preferred return, a year, compounded on each contribution to the exit</t>
        </is>
      </c>
      <c r="C50" s="13" t="n">
        <v>0.08</v>
      </c>
    </row>
    <row r="52">
      <c r="B52" s="7" t="inlineStr">
        <is>
          <t>Your answers</t>
        </is>
      </c>
      <c r="C52" s="8" t="n"/>
      <c r="D52" s="8" t="n"/>
    </row>
    <row r="53" ht="15" customHeight="1">
      <c r="B53" s="16" t="inlineStr">
        <is>
          <t>1. Enterprise value paid for Lindell (Chapter 4).</t>
        </is>
      </c>
      <c r="C53" s="17" t="n"/>
    </row>
    <row r="54" ht="15" customHeight="1">
      <c r="B54" s="16" t="inlineStr">
        <is>
          <t>2. Equity purchase price paid to the seller, after net debt and debt-like items (Chapter 4).</t>
        </is>
      </c>
      <c r="C54" s="17" t="n"/>
    </row>
    <row r="55" ht="15" customHeight="1">
      <c r="B55" s="16" t="inlineStr">
        <is>
          <t>3. The equity check, all shareholders: total uses less the term loan (Chapter 5).</t>
        </is>
      </c>
      <c r="C55" s="17" t="n"/>
    </row>
    <row r="56" ht="15" customHeight="1">
      <c r="B56" s="16" t="inlineStr">
        <is>
          <t>4. Year-1 cash interest on the term loan, on the opening balance (Chapter 6).</t>
        </is>
      </c>
      <c r="C56" s="17" t="n"/>
    </row>
    <row r="57" ht="15" customHeight="1">
      <c r="B57" s="16" t="inlineStr">
        <is>
          <t>5. Year-1 interest cover: EBITDA / cash interest, as a multiple (Chapter 6).</t>
        </is>
      </c>
      <c r="C57" s="18" t="n"/>
    </row>
    <row r="58" ht="15" customHeight="1">
      <c r="B58" s="16" t="inlineStr">
        <is>
          <t>6. Year-1 free cash flow after interest and tax, before debt repayment (Chapter 7).</t>
        </is>
      </c>
      <c r="C58" s="17" t="n"/>
    </row>
    <row r="59" ht="15" customHeight="1">
      <c r="B59" s="16" t="inlineStr">
        <is>
          <t>7. Year-1 excess cash flow sweep (Chapter 7).</t>
        </is>
      </c>
      <c r="C59" s="17" t="n"/>
    </row>
    <row r="60" ht="30" customHeight="1">
      <c r="B60" s="16" t="inlineStr">
        <is>
          <t>8. Covenant headroom at the end of year 1: maximum less net debt / EBITDA, in turns (Chapter 8).</t>
        </is>
      </c>
      <c r="C60" s="18" t="n"/>
    </row>
    <row r="61" ht="30" customHeight="1">
      <c r="B61" s="16" t="inlineStr">
        <is>
          <t>9. Value of the option pool at exit by the treasury method, if the equity value at exit were the figure given in the case (Chapter 9).</t>
        </is>
      </c>
      <c r="C61" s="17" t="n"/>
    </row>
    <row r="62" ht="30" customHeight="1">
      <c r="B62" s="16" t="inlineStr">
        <is>
          <t>10. The add-on's multiple arbitrage: its EBITDA revalued from the price paid to the exit multiple, plus synergies at the exit multiple, less fees (Chapter 11).</t>
        </is>
      </c>
      <c r="C62" s="17" t="n"/>
    </row>
    <row r="63" ht="15" customHeight="1">
      <c r="B63" s="16" t="inlineStr">
        <is>
          <t>11. Equity value at exit at the end of year 3, at the exit multiple (Chapter 14).</t>
        </is>
      </c>
      <c r="C63" s="17" t="n"/>
    </row>
    <row r="64" ht="15" customHeight="1">
      <c r="B64" s="16" t="inlineStr">
        <is>
          <t>12. Returns bridge: the EBITDA-growth component, at the entry multiple (Chapter 15).</t>
        </is>
      </c>
      <c r="C64" s="17" t="n"/>
    </row>
    <row r="65" ht="30" customHeight="1">
      <c r="B65" s="16" t="inlineStr">
        <is>
          <t>13. IRR of all shareholders if the exit multiple were the alternative one given in the case (Chapter 16).</t>
        </is>
      </c>
      <c r="C65" s="19" t="n"/>
    </row>
    <row r="66" ht="15" customHeight="1">
      <c r="B66" s="16" t="inlineStr">
        <is>
          <t>14. Gross IRR to the subscriber, after management fees, before carry (Chapter 17).</t>
        </is>
      </c>
      <c r="C66" s="19" t="n"/>
    </row>
    <row r="67" ht="15" customHeight="1">
      <c r="B67" s="16" t="inlineStr">
        <is>
          <t>15. Net IRR to the subscriber, after fees and carried interest (Chapter 17).</t>
        </is>
      </c>
      <c r="C67" s="19" t="n"/>
    </row>
    <row r="69">
      <c r="B69" s="6" t="inlineStr">
        <is>
          <t>Free space for your workings starts below this line.</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2:G78"/>
  <sheetViews>
    <sheetView showGridLines="0" workbookViewId="0">
      <selection activeCell="A1" sqref="A1"/>
    </sheetView>
  </sheetViews>
  <sheetFormatPr baseColWidth="8" defaultRowHeight="15"/>
  <cols>
    <col width="2" customWidth="1" min="1" max="1"/>
    <col width="80" customWidth="1" min="2" max="2"/>
    <col width="14" customWidth="1" min="3" max="3"/>
    <col width="14" customWidth="1" min="4" max="4"/>
    <col width="14" customWidth="1" min="5" max="5"/>
    <col width="14" customWidth="1" min="6" max="6"/>
    <col width="60" customWidth="1" min="7" max="7"/>
  </cols>
  <sheetData>
    <row r="1" ht="6" customHeight="1"/>
    <row r="2">
      <c r="B2" s="5" t="inlineStr">
        <is>
          <t>Answer Key: one way to get each figure</t>
        </is>
      </c>
    </row>
    <row r="3">
      <c r="B3" s="6" t="inlineStr">
        <is>
          <t>Every answer is a live formula on the case inputs of the Build sheet; the workings below the answers are the three-year schedule.</t>
        </is>
      </c>
    </row>
    <row r="5" ht="15" customHeight="1">
      <c r="B5" s="16" t="inlineStr">
        <is>
          <t>1. Enterprise value paid for Lindell (Chapter 4).</t>
        </is>
      </c>
      <c r="C5" s="20">
        <f>C23</f>
        <v/>
      </c>
    </row>
    <row r="6" ht="30" customHeight="1">
      <c r="B6" s="16" t="inlineStr">
        <is>
          <t>2. Equity purchase price paid to the seller, after net debt and debt-like items (Chapter 4).</t>
        </is>
      </c>
      <c r="C6" s="20">
        <f>C23-C24</f>
        <v/>
      </c>
      <c r="G6" s="2" t="inlineStr">
        <is>
          <t>The leases are debt-like: they come off the price like the bank debt; the cash comes back to the buyer.</t>
        </is>
      </c>
    </row>
    <row r="7" ht="30" customHeight="1">
      <c r="B7" s="16" t="inlineStr">
        <is>
          <t>3. The equity check, all shareholders: total uses less the term loan (Chapter 5).</t>
        </is>
      </c>
      <c r="C7" s="20">
        <f>C28</f>
        <v/>
      </c>
      <c r="G7" s="2" t="inlineStr">
        <is>
          <t>The price, the fees and the cash are fixed and so is the loan: the equity is what is left.</t>
        </is>
      </c>
    </row>
    <row r="8" ht="15" customHeight="1">
      <c r="B8" s="16" t="inlineStr">
        <is>
          <t>4. Year-1 cash interest on the term loan, on the opening balance (Chapter 6).</t>
        </is>
      </c>
      <c r="C8" s="20">
        <f>D43</f>
        <v/>
      </c>
      <c r="G8" s="2" t="inlineStr">
        <is>
          <t>Opening balance times the all-in rate: no circular reference.</t>
        </is>
      </c>
    </row>
    <row r="9" ht="15" customHeight="1">
      <c r="B9" s="16" t="inlineStr">
        <is>
          <t>5. Year-1 interest cover: EBITDA / cash interest, as a multiple (Chapter 6).</t>
        </is>
      </c>
      <c r="C9" s="21">
        <f>D37/D43</f>
        <v/>
      </c>
    </row>
    <row r="10" ht="30" customHeight="1">
      <c r="B10" s="16" t="inlineStr">
        <is>
          <t>6. Year-1 free cash flow after interest and tax, before debt repayment (Chapter 7).</t>
        </is>
      </c>
      <c r="C10" s="20">
        <f>D49</f>
        <v/>
      </c>
      <c r="G10" s="2" t="inlineStr">
        <is>
          <t>The cap bites in year 1: interest above 30 percent of EBITDA is not deductible this year and carries forward.</t>
        </is>
      </c>
    </row>
    <row r="11" ht="30" customHeight="1">
      <c r="B11" s="16" t="inlineStr">
        <is>
          <t>7. Year-1 excess cash flow sweep (Chapter 7).</t>
        </is>
      </c>
      <c r="C11" s="20">
        <f>D52</f>
        <v/>
      </c>
      <c r="G11" s="2" t="inlineStr">
        <is>
          <t>The sweep takes its share of the cash above the minimum, after the mandatory amortization.</t>
        </is>
      </c>
    </row>
    <row r="12" ht="30" customHeight="1">
      <c r="B12" s="16" t="inlineStr">
        <is>
          <t>8. Covenant headroom at the end of year 1: maximum less net debt / EBITDA, in turns (Chapter 8).</t>
        </is>
      </c>
      <c r="C12" s="21">
        <f>Build!$C$35-D56</f>
        <v/>
      </c>
      <c r="G12" s="2" t="inlineStr">
        <is>
          <t>Net debt at the year end over the year's EBITDA, against the maximum: the difference in turns.</t>
        </is>
      </c>
    </row>
    <row r="13" ht="30" customHeight="1">
      <c r="B13" s="16" t="inlineStr">
        <is>
          <t>9. Value of the option pool at exit by the treasury method, if the equity value at exit were the figure given in the case (Chapter 9).</t>
        </is>
      </c>
      <c r="C13" s="20">
        <f>C32*MAX(0,(Build!$C$40+C32*Build!$C$23)/(C31+C32)-Build!$C$23)</f>
        <v/>
      </c>
      <c r="G13" s="2" t="inlineStr">
        <is>
          <t>Treasury method: the strike is paid in, the pool shares in the total, the pool's value is the gain above the strike.</t>
        </is>
      </c>
    </row>
    <row r="14" ht="30" customHeight="1">
      <c r="B14" s="16" t="inlineStr">
        <is>
          <t>10. The add-on's multiple arbitrage: its EBITDA revalued from the price paid to the exit multiple, plus synergies at the exit multiple, less fees (Chapter 11).</t>
        </is>
      </c>
      <c r="C14" s="20">
        <f>(Build!$C$37-Build!$C$43)*Build!$C$42+Build!$C$37*Build!$C$44-Build!$C$45</f>
        <v/>
      </c>
      <c r="G14" s="2" t="inlineStr">
        <is>
          <t>The add-on's EBITDA is bought at one multiple and valued at another; the synergies are valued at the exit multiple.</t>
        </is>
      </c>
    </row>
    <row r="15" ht="30" customHeight="1">
      <c r="B15" s="16" t="inlineStr">
        <is>
          <t>11. Equity value at exit at the end of year 3, at the exit multiple (Chapter 14).</t>
        </is>
      </c>
      <c r="C15" s="20">
        <f>C60</f>
        <v/>
      </c>
    </row>
    <row r="16" ht="30" customHeight="1">
      <c r="B16" s="16" t="inlineStr">
        <is>
          <t>12. Returns bridge: the EBITDA-growth component, at the entry multiple (Chapter 15).</t>
        </is>
      </c>
      <c r="C16" s="20">
        <f>(F37-Build!$C$7)*Build!$C$8</f>
        <v/>
      </c>
      <c r="G16" s="2" t="inlineStr">
        <is>
          <t>The other three components are the multiple change (zero here), the deleveraging and the fees; the four add up to the gain.</t>
        </is>
      </c>
    </row>
    <row r="17" ht="30" customHeight="1">
      <c r="B17" s="16" t="inlineStr">
        <is>
          <t>13. IRR of all shareholders if the exit multiple were the alternative one given in the case (Chapter 16).</t>
        </is>
      </c>
      <c r="C17" s="22">
        <f>IRR(C70:F70)</f>
        <v/>
      </c>
      <c r="G17" s="2" t="inlineStr">
        <is>
          <t>One flow in, one flow out: the IRR of the year-end flows.</t>
        </is>
      </c>
    </row>
    <row r="18" ht="30" customHeight="1">
      <c r="B18" s="16" t="inlineStr">
        <is>
          <t>14. Gross IRR to the subscriber, after management fees, before carry (Chapter 17).</t>
        </is>
      </c>
      <c r="C18" s="22">
        <f>IRR(C73:F73)</f>
        <v/>
      </c>
      <c r="G18" s="2" t="inlineStr">
        <is>
          <t>The subscriber's contributions include three years of fees on a commitment sized to cover them.</t>
        </is>
      </c>
    </row>
    <row r="19" ht="30" customHeight="1">
      <c r="B19" s="16" t="inlineStr">
        <is>
          <t>15. Net IRR to the subscriber, after fees and carried interest (Chapter 17).</t>
        </is>
      </c>
      <c r="C19" s="22">
        <f>IRR(C74:F74)</f>
        <v/>
      </c>
      <c r="G19" s="2" t="inlineStr">
        <is>
          <t>The proceeds clear the preferred return with room to spare, so the catch-up completes and the carry is 20 percent of the whole profit.</t>
        </is>
      </c>
    </row>
    <row r="22">
      <c r="B22" s="7" t="inlineStr">
        <is>
          <t>Workings: the transaction</t>
        </is>
      </c>
      <c r="C22" s="8" t="n"/>
      <c r="D22" s="8" t="n"/>
      <c r="E22" s="8" t="n"/>
      <c r="F22" s="8" t="n"/>
      <c r="G22" s="8" t="n"/>
    </row>
    <row r="23">
      <c r="B23" s="9" t="inlineStr">
        <is>
          <t>Enterprise value</t>
        </is>
      </c>
      <c r="C23" s="23">
        <f>Build!$C$7*Build!$C$8</f>
        <v/>
      </c>
    </row>
    <row r="24">
      <c r="B24" s="9" t="inlineStr">
        <is>
          <t>Net debt and debt-like items</t>
        </is>
      </c>
      <c r="C24" s="23">
        <f>Build!$C$9+Build!$C$10-Build!$C$11</f>
        <v/>
      </c>
    </row>
    <row r="25">
      <c r="B25" s="9" t="inlineStr">
        <is>
          <t>Term loan</t>
        </is>
      </c>
      <c r="C25" s="23">
        <f>Build!$C$17*Build!$C$7</f>
        <v/>
      </c>
    </row>
    <row r="26">
      <c r="B26" s="9" t="inlineStr">
        <is>
          <t>Financing fees</t>
        </is>
      </c>
      <c r="C26" s="23">
        <f>Build!$C$14*C25</f>
        <v/>
      </c>
    </row>
    <row r="27">
      <c r="B27" s="9" t="inlineStr">
        <is>
          <t>Total uses (enterprise value + transaction fees + financing fees + cash)</t>
        </is>
      </c>
      <c r="C27" s="23">
        <f>C23+Build!$C$13+C26+Build!$C$15</f>
        <v/>
      </c>
    </row>
    <row r="28">
      <c r="B28" s="9" t="inlineStr">
        <is>
          <t>Equity, all shareholders (the balancing item)</t>
        </is>
      </c>
      <c r="C28" s="23">
        <f>C27-C25</f>
        <v/>
      </c>
    </row>
    <row r="29">
      <c r="B29" s="9" t="inlineStr">
        <is>
          <t>Sponsor equity (equity less the rollover)</t>
        </is>
      </c>
      <c r="C29" s="23">
        <f>C28-Build!$C$22</f>
        <v/>
      </c>
    </row>
    <row r="30">
      <c r="B30" s="9" t="inlineStr">
        <is>
          <t>Term loan all-in rate</t>
        </is>
      </c>
      <c r="C30" s="24">
        <f>Build!$C$18+Build!$C$19</f>
        <v/>
      </c>
    </row>
    <row r="31">
      <c r="B31" s="9" t="inlineStr">
        <is>
          <t>Ordinary shares at closing</t>
        </is>
      </c>
      <c r="C31" s="23">
        <f>C28/Build!$C$23</f>
        <v/>
      </c>
    </row>
    <row r="32">
      <c r="B32" s="9" t="inlineStr">
        <is>
          <t>Options in the pool (share of fully diluted shares)</t>
        </is>
      </c>
      <c r="C32" s="23">
        <f>C31*Build!$C$24/(1-Build!$C$24)</f>
        <v/>
      </c>
    </row>
    <row r="34">
      <c r="B34" s="25" t="inlineStr">
        <is>
          <t>Workings: the three-year schedule</t>
        </is>
      </c>
      <c r="C34" s="26" t="inlineStr">
        <is>
          <t>Year 0</t>
        </is>
      </c>
      <c r="D34" s="26" t="inlineStr">
        <is>
          <t>Year 1</t>
        </is>
      </c>
      <c r="E34" s="26" t="inlineStr">
        <is>
          <t>Year 2</t>
        </is>
      </c>
      <c r="F34" s="26" t="inlineStr">
        <is>
          <t>Year 3</t>
        </is>
      </c>
    </row>
    <row r="35">
      <c r="B35" s="9" t="inlineStr">
        <is>
          <t>Revenue</t>
        </is>
      </c>
      <c r="C35" s="23">
        <f>Build!$C$6</f>
        <v/>
      </c>
      <c r="D35" s="23">
        <f>C35*(1+Build!$C$26)</f>
        <v/>
      </c>
      <c r="E35" s="23">
        <f>D35*(1+Build!$C$26)</f>
        <v/>
      </c>
      <c r="F35" s="23">
        <f>E35*(1+Build!$C$26)</f>
        <v/>
      </c>
    </row>
    <row r="36">
      <c r="B36" s="9" t="inlineStr">
        <is>
          <t>EBITDA margin</t>
        </is>
      </c>
      <c r="C36" s="24">
        <f>Build!$C$7/Build!$C$6</f>
        <v/>
      </c>
      <c r="D36" s="24">
        <f>Build!$C$27</f>
        <v/>
      </c>
      <c r="E36" s="24">
        <f>Build!$C$28</f>
        <v/>
      </c>
      <c r="F36" s="24">
        <f>Build!$C$29</f>
        <v/>
      </c>
    </row>
    <row r="37">
      <c r="B37" s="9" t="inlineStr">
        <is>
          <t>EBITDA</t>
        </is>
      </c>
      <c r="C37" s="23">
        <f>C35*C36</f>
        <v/>
      </c>
      <c r="D37" s="23">
        <f>D35*D36</f>
        <v/>
      </c>
      <c r="E37" s="23">
        <f>E35*E36</f>
        <v/>
      </c>
      <c r="F37" s="23">
        <f>F35*F36</f>
        <v/>
      </c>
    </row>
    <row r="38">
      <c r="B38" s="9" t="inlineStr">
        <is>
          <t>EBIT (EBITDA less depreciation and amortization)</t>
        </is>
      </c>
      <c r="C38" s="23">
        <f>C37-Build!$C$30*C35</f>
        <v/>
      </c>
      <c r="D38" s="23">
        <f>D37-Build!$C$30*D35</f>
        <v/>
      </c>
      <c r="E38" s="23">
        <f>E37-Build!$C$30*E35</f>
        <v/>
      </c>
      <c r="F38" s="23">
        <f>F37-Build!$C$30*F35</f>
        <v/>
      </c>
    </row>
    <row r="39">
      <c r="B39" s="9" t="inlineStr">
        <is>
          <t>Capital expenditure</t>
        </is>
      </c>
      <c r="C39" s="23">
        <f>Build!$C$31*C35</f>
        <v/>
      </c>
      <c r="D39" s="23">
        <f>Build!$C$31*D35</f>
        <v/>
      </c>
      <c r="E39" s="23">
        <f>Build!$C$31*E35</f>
        <v/>
      </c>
      <c r="F39" s="23">
        <f>Build!$C$31*F35</f>
        <v/>
      </c>
    </row>
    <row r="40">
      <c r="B40" s="9" t="inlineStr">
        <is>
          <t>Net working capital</t>
        </is>
      </c>
      <c r="C40" s="23">
        <f>Build!$C$32*C35</f>
        <v/>
      </c>
      <c r="D40" s="23">
        <f>Build!$C$32*D35</f>
        <v/>
      </c>
      <c r="E40" s="23">
        <f>Build!$C$32*E35</f>
        <v/>
      </c>
      <c r="F40" s="23">
        <f>Build!$C$32*F35</f>
        <v/>
      </c>
    </row>
    <row r="41">
      <c r="B41" s="9" t="inlineStr">
        <is>
          <t>Change in net working capital</t>
        </is>
      </c>
      <c r="D41" s="23">
        <f>D40-C40</f>
        <v/>
      </c>
      <c r="E41" s="23">
        <f>E40-D40</f>
        <v/>
      </c>
      <c r="F41" s="23">
        <f>F40-E40</f>
        <v/>
      </c>
    </row>
    <row r="42">
      <c r="B42" s="9" t="inlineStr">
        <is>
          <t>Opening term loan</t>
        </is>
      </c>
      <c r="D42" s="23">
        <f>C54</f>
        <v/>
      </c>
      <c r="E42" s="23">
        <f>D54</f>
        <v/>
      </c>
      <c r="F42" s="23">
        <f>E54</f>
        <v/>
      </c>
    </row>
    <row r="43">
      <c r="B43" s="9" t="inlineStr">
        <is>
          <t>Cash interest on the opening balance</t>
        </is>
      </c>
      <c r="D43" s="23">
        <f>D42*$C$30</f>
        <v/>
      </c>
      <c r="E43" s="23">
        <f>E42*$C$30</f>
        <v/>
      </c>
      <c r="F43" s="23">
        <f>F42*$C$30</f>
        <v/>
      </c>
    </row>
    <row r="44">
      <c r="B44" s="9" t="inlineStr">
        <is>
          <t>Cap on deductible interest</t>
        </is>
      </c>
      <c r="D44" s="23">
        <f>Build!$C$34*D37</f>
        <v/>
      </c>
      <c r="E44" s="23">
        <f>Build!$C$34*E37</f>
        <v/>
      </c>
      <c r="F44" s="23">
        <f>Build!$C$34*F37</f>
        <v/>
      </c>
    </row>
    <row r="45">
      <c r="B45" s="9" t="inlineStr">
        <is>
          <t>Disallowed interest brought forward</t>
        </is>
      </c>
      <c r="D45" s="23">
        <f>0</f>
        <v/>
      </c>
      <c r="E45" s="23">
        <f>D47</f>
        <v/>
      </c>
      <c r="F45" s="23">
        <f>E47</f>
        <v/>
      </c>
    </row>
    <row r="46">
      <c r="B46" s="9" t="inlineStr">
        <is>
          <t>Deductible interest</t>
        </is>
      </c>
      <c r="D46" s="23">
        <f>MIN(D43+D45,D44)</f>
        <v/>
      </c>
      <c r="E46" s="23">
        <f>MIN(E43+E45,E44)</f>
        <v/>
      </c>
      <c r="F46" s="23">
        <f>MIN(F43+F45,F44)</f>
        <v/>
      </c>
    </row>
    <row r="47">
      <c r="B47" s="9" t="inlineStr">
        <is>
          <t>Disallowed interest carried forward</t>
        </is>
      </c>
      <c r="D47" s="23">
        <f>D43+D45-D46</f>
        <v/>
      </c>
      <c r="E47" s="23">
        <f>E43+E45-E46</f>
        <v/>
      </c>
      <c r="F47" s="23">
        <f>F43+F45-F46</f>
        <v/>
      </c>
    </row>
    <row r="48">
      <c r="B48" s="9" t="inlineStr">
        <is>
          <t>Cash tax</t>
        </is>
      </c>
      <c r="D48" s="23">
        <f>Build!$C$33*MAX(0,D38-D46)</f>
        <v/>
      </c>
      <c r="E48" s="23">
        <f>Build!$C$33*MAX(0,E38-E46)</f>
        <v/>
      </c>
      <c r="F48" s="23">
        <f>Build!$C$33*MAX(0,F38-F46)</f>
        <v/>
      </c>
    </row>
    <row r="49">
      <c r="B49" s="9" t="inlineStr">
        <is>
          <t>Free cash flow (EBITDA - tax - interest - capex - change in NWC)</t>
        </is>
      </c>
      <c r="D49" s="23">
        <f>D37-D48-D43-D39-D41</f>
        <v/>
      </c>
      <c r="E49" s="23">
        <f>E37-E48-E43-E39-E41</f>
        <v/>
      </c>
      <c r="F49" s="23">
        <f>F37-F48-F43-F39-F41</f>
        <v/>
      </c>
    </row>
    <row r="50">
      <c r="B50" s="9" t="inlineStr">
        <is>
          <t>Mandatory amortization</t>
        </is>
      </c>
      <c r="D50" s="23">
        <f>MIN(D42,Build!$C$20*$C$25)</f>
        <v/>
      </c>
      <c r="E50" s="23">
        <f>MIN(E42,Build!$C$20*$C$25)</f>
        <v/>
      </c>
      <c r="F50" s="23">
        <f>MIN(F42,Build!$C$20*$C$25)</f>
        <v/>
      </c>
    </row>
    <row r="51">
      <c r="B51" s="9" t="inlineStr">
        <is>
          <t>Cash before the sweep</t>
        </is>
      </c>
      <c r="D51" s="23">
        <f>C53+D49-D50</f>
        <v/>
      </c>
      <c r="E51" s="23">
        <f>D53+E49-E50</f>
        <v/>
      </c>
      <c r="F51" s="23">
        <f>E53+F49-F50</f>
        <v/>
      </c>
    </row>
    <row r="52">
      <c r="B52" s="9" t="inlineStr">
        <is>
          <t>Excess cash flow sweep</t>
        </is>
      </c>
      <c r="D52" s="23">
        <f>MIN(D42-D50,Build!$C$21*MAX(0,D51-Build!$C$16))</f>
        <v/>
      </c>
      <c r="E52" s="23">
        <f>MIN(E42-E50,Build!$C$21*MAX(0,E51-Build!$C$16))</f>
        <v/>
      </c>
      <c r="F52" s="23">
        <f>MIN(F42-F50,Build!$C$21*MAX(0,F51-Build!$C$16))</f>
        <v/>
      </c>
    </row>
    <row r="53">
      <c r="B53" s="9" t="inlineStr">
        <is>
          <t>Closing cash</t>
        </is>
      </c>
      <c r="C53" s="23">
        <f>Build!$C$15</f>
        <v/>
      </c>
      <c r="D53" s="23">
        <f>D51-D52</f>
        <v/>
      </c>
      <c r="E53" s="23">
        <f>E51-E52</f>
        <v/>
      </c>
      <c r="F53" s="23">
        <f>F51-F52</f>
        <v/>
      </c>
    </row>
    <row r="54">
      <c r="B54" s="9" t="inlineStr">
        <is>
          <t>Closing term loan</t>
        </is>
      </c>
      <c r="C54" s="23">
        <f>$C$25</f>
        <v/>
      </c>
      <c r="D54" s="23">
        <f>D42-D50-D52</f>
        <v/>
      </c>
      <c r="E54" s="23">
        <f>E42-E50-E52</f>
        <v/>
      </c>
      <c r="F54" s="23">
        <f>F42-F50-F52</f>
        <v/>
      </c>
    </row>
    <row r="55">
      <c r="B55" s="9" t="inlineStr">
        <is>
          <t>Net debt</t>
        </is>
      </c>
      <c r="C55" s="23">
        <f>C54-C53</f>
        <v/>
      </c>
      <c r="D55" s="23">
        <f>D54-D53</f>
        <v/>
      </c>
      <c r="E55" s="23">
        <f>E54-E53</f>
        <v/>
      </c>
      <c r="F55" s="23">
        <f>F54-F53</f>
        <v/>
      </c>
    </row>
    <row r="56">
      <c r="B56" s="9" t="inlineStr">
        <is>
          <t>Net debt / EBITDA</t>
        </is>
      </c>
      <c r="C56" s="27">
        <f>C55/C37</f>
        <v/>
      </c>
      <c r="D56" s="27">
        <f>D55/D37</f>
        <v/>
      </c>
      <c r="E56" s="27">
        <f>E55/E37</f>
        <v/>
      </c>
      <c r="F56" s="27">
        <f>F55/F37</f>
        <v/>
      </c>
    </row>
    <row r="58">
      <c r="B58" s="7" t="inlineStr">
        <is>
          <t>Workings: the exit and the fund</t>
        </is>
      </c>
      <c r="C58" s="8" t="n"/>
      <c r="D58" s="8" t="n"/>
      <c r="E58" s="8" t="n"/>
      <c r="F58" s="8" t="n"/>
      <c r="G58" s="8" t="n"/>
    </row>
    <row r="59">
      <c r="B59" s="9" t="inlineStr">
        <is>
          <t>Exit enterprise value</t>
        </is>
      </c>
      <c r="C59" s="23">
        <f>Build!$C$37*F37</f>
        <v/>
      </c>
    </row>
    <row r="60">
      <c r="B60" s="9" t="inlineStr">
        <is>
          <t>Equity value at exit (enterprise value - net debt - exit fees)</t>
        </is>
      </c>
      <c r="C60" s="23">
        <f>C59-F55-Build!$C$38*C59</f>
        <v/>
      </c>
    </row>
    <row r="61">
      <c r="B61" s="9" t="inlineStr">
        <is>
          <t>Price per share with the pool exercised (treasury method)</t>
        </is>
      </c>
      <c r="C61" s="28">
        <f>(C60+C32*Build!$C$23)/(C31+C32)</f>
        <v/>
      </c>
    </row>
    <row r="62">
      <c r="B62" s="9" t="inlineStr">
        <is>
          <t>Sponsor proceeds (its shares at that price)</t>
        </is>
      </c>
      <c r="C62" s="23">
        <f>C29/Build!$C$23*C61</f>
        <v/>
      </c>
    </row>
    <row r="63">
      <c r="B63" s="9" t="inlineStr">
        <is>
          <t>Exit enterprise value at the alternative multiple</t>
        </is>
      </c>
      <c r="C63" s="23">
        <f>Build!$C$39*F37</f>
        <v/>
      </c>
    </row>
    <row r="64">
      <c r="B64" s="9" t="inlineStr">
        <is>
          <t>Equity value at exit at the alternative multiple</t>
        </is>
      </c>
      <c r="C64" s="23">
        <f>C63-F55-Build!$C$38*C63</f>
        <v/>
      </c>
    </row>
    <row r="65">
      <c r="B65" s="9" t="inlineStr">
        <is>
          <t>Committed capital behind the sponsor's investment</t>
        </is>
      </c>
      <c r="C65" s="23">
        <f>C29/(1-Build!$C$47*Build!$C$48)</f>
        <v/>
      </c>
    </row>
    <row r="66">
      <c r="B66" s="9" t="inlineStr">
        <is>
          <t>Management fee, a year</t>
        </is>
      </c>
      <c r="C66" s="23">
        <f>Build!$C$47*C65</f>
        <v/>
      </c>
    </row>
    <row r="68">
      <c r="B68" s="25" t="inlineStr">
        <is>
          <t>Year-end flows</t>
        </is>
      </c>
      <c r="C68" s="26" t="inlineStr">
        <is>
          <t>Year 0</t>
        </is>
      </c>
      <c r="D68" s="26" t="inlineStr">
        <is>
          <t>Year 1</t>
        </is>
      </c>
      <c r="E68" s="26" t="inlineStr">
        <is>
          <t>Year 2</t>
        </is>
      </c>
      <c r="F68" s="26" t="inlineStr">
        <is>
          <t>Year 3</t>
        </is>
      </c>
    </row>
    <row r="69">
      <c r="B69" s="9" t="inlineStr">
        <is>
          <t>Year</t>
        </is>
      </c>
      <c r="C69" s="29">
        <f>0</f>
        <v/>
      </c>
      <c r="D69" s="29">
        <f>1</f>
        <v/>
      </c>
      <c r="E69" s="29">
        <f>2</f>
        <v/>
      </c>
      <c r="F69" s="29">
        <f>3</f>
        <v/>
      </c>
    </row>
    <row r="70">
      <c r="B70" s="9" t="inlineStr">
        <is>
          <t>All shareholders, at the alternative exit multiple</t>
        </is>
      </c>
      <c r="C70" s="23">
        <f>-C28</f>
        <v/>
      </c>
      <c r="D70" s="23">
        <f>0</f>
        <v/>
      </c>
      <c r="E70" s="23">
        <f>0</f>
        <v/>
      </c>
      <c r="F70" s="23">
        <f>C64</f>
        <v/>
      </c>
    </row>
    <row r="71">
      <c r="B71" s="9" t="inlineStr">
        <is>
          <t>Subscriber contributions (investment, then fees at the start of each year)</t>
        </is>
      </c>
      <c r="C71" s="23">
        <f>-C29*IF(C69=0,1,0)-IF(C69&lt;Build!$C$48,C66,0)</f>
        <v/>
      </c>
      <c r="D71" s="23">
        <f>-C29*IF(D69=0,1,0)-IF(D69&lt;Build!$C$48,C66,0)</f>
        <v/>
      </c>
      <c r="E71" s="23">
        <f>-C29*IF(E69=0,1,0)-IF(E69&lt;Build!$C$48,C66,0)</f>
        <v/>
      </c>
      <c r="F71" s="23">
        <f>-C29*IF(F69=0,1,0)-IF(F69&lt;Build!$C$48,C66,0)</f>
        <v/>
      </c>
    </row>
    <row r="72">
      <c r="B72" s="9" t="inlineStr">
        <is>
          <t>Preferred return accrued on the contribution to the exit</t>
        </is>
      </c>
      <c r="C72" s="23">
        <f>-C71*((1+Build!$C$50)^MAX(0,3-C69)-1)</f>
        <v/>
      </c>
      <c r="D72" s="23">
        <f>-D71*((1+Build!$C$50)^MAX(0,3-D69)-1)</f>
        <v/>
      </c>
      <c r="E72" s="23">
        <f>-E71*((1+Build!$C$50)^MAX(0,3-E69)-1)</f>
        <v/>
      </c>
      <c r="F72" s="23">
        <f>-F71*((1+Build!$C$50)^MAX(0,3-F69)-1)</f>
        <v/>
      </c>
    </row>
    <row r="73">
      <c r="B73" s="9" t="inlineStr">
        <is>
          <t>Gross flows (contributions + proceeds before carry)</t>
        </is>
      </c>
      <c r="C73" s="23">
        <f>C71+IF(C69=3,C62,0)</f>
        <v/>
      </c>
      <c r="D73" s="23">
        <f>D71+IF(D69=3,C62,0)</f>
        <v/>
      </c>
      <c r="E73" s="23">
        <f>E71+IF(E69=3,C62,0)</f>
        <v/>
      </c>
      <c r="F73" s="23">
        <f>F71+IF(F69=3,C62,0)</f>
        <v/>
      </c>
    </row>
    <row r="74">
      <c r="B74" s="9" t="inlineStr">
        <is>
          <t>Net flows (carry taken out at exit)</t>
        </is>
      </c>
      <c r="C74" s="23">
        <f>C71+IF(C69=3,C62-C78,0)</f>
        <v/>
      </c>
      <c r="D74" s="23">
        <f>D71+IF(D69=3,C62-C78,0)</f>
        <v/>
      </c>
      <c r="E74" s="23">
        <f>E71+IF(E69=3,C62-C78,0)</f>
        <v/>
      </c>
      <c r="F74" s="23">
        <f>F71+IF(F69=3,C62-C78,0)</f>
        <v/>
      </c>
    </row>
    <row r="75">
      <c r="B75" s="9" t="inlineStr">
        <is>
          <t>Contributions in total</t>
        </is>
      </c>
      <c r="C75" s="23">
        <f>-SUM(C71:F71)</f>
        <v/>
      </c>
    </row>
    <row r="76">
      <c r="B76" s="9" t="inlineStr">
        <is>
          <t>Profit before carry</t>
        </is>
      </c>
      <c r="C76" s="23">
        <f>C62-C75</f>
        <v/>
      </c>
    </row>
    <row r="77">
      <c r="B77" s="9" t="inlineStr">
        <is>
          <t>Preferred return owed</t>
        </is>
      </c>
      <c r="C77" s="23">
        <f>SUM(C72:F72)</f>
        <v/>
      </c>
    </row>
    <row r="78">
      <c r="B78" s="9" t="inlineStr">
        <is>
          <t>Carried interest (full catch-up: the lesser of the carry share of the profit and everything above the preferred return)</t>
        </is>
      </c>
      <c r="C78" s="23">
        <f>IF(C62&lt;=C75+C77,0,MIN(Build!$C$49*C76,C62-C75-C77))</f>
        <v/>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B2:F22"/>
  <sheetViews>
    <sheetView showGridLines="0" workbookViewId="0">
      <selection activeCell="A1" sqref="A1"/>
    </sheetView>
  </sheetViews>
  <sheetFormatPr baseColWidth="8" defaultRowHeight="15"/>
  <cols>
    <col width="2" customWidth="1" min="1" max="1"/>
    <col width="10" customWidth="1" min="2" max="2"/>
    <col width="14" customWidth="1" min="3" max="3"/>
    <col width="14" customWidth="1" min="4" max="4"/>
    <col width="12" customWidth="1" min="5" max="5"/>
    <col width="14" customWidth="1" min="6" max="6"/>
  </cols>
  <sheetData>
    <row r="1" ht="6" customHeight="1"/>
    <row r="2">
      <c r="B2" s="5" t="inlineStr">
        <is>
          <t>Score: your answers against the key</t>
        </is>
      </c>
    </row>
    <row r="3">
      <c r="B3" s="6" t="inlineStr">
        <is>
          <t>Correct within the tolerance shown. Blank answers count as not yet answered.</t>
        </is>
      </c>
    </row>
    <row r="5">
      <c r="B5" s="25" t="inlineStr">
        <is>
          <t>Question</t>
        </is>
      </c>
      <c r="C5" s="26" t="inlineStr">
        <is>
          <t>Your answer</t>
        </is>
      </c>
      <c r="D5" s="26" t="inlineStr">
        <is>
          <t>Key</t>
        </is>
      </c>
      <c r="E5" s="26" t="inlineStr">
        <is>
          <t>Tolerance</t>
        </is>
      </c>
      <c r="F5" s="26" t="inlineStr">
        <is>
          <t>Mark</t>
        </is>
      </c>
    </row>
    <row r="6">
      <c r="B6" s="9" t="inlineStr">
        <is>
          <t>1</t>
        </is>
      </c>
      <c r="C6" s="23">
        <f>IF(Build!C53="","",Build!C53)</f>
        <v/>
      </c>
      <c r="D6" s="23">
        <f>'Answer Key'!C5</f>
        <v/>
      </c>
      <c r="E6" s="30" t="n">
        <v>0.01</v>
      </c>
      <c r="F6" s="31">
        <f>IF(C6="","not answered",IF(ISNUMBER(C6),IF(ABS(C6-D6)&lt;=E6,"correct","wrong"),"wrong"))</f>
        <v/>
      </c>
    </row>
    <row r="7">
      <c r="B7" s="9" t="inlineStr">
        <is>
          <t>2</t>
        </is>
      </c>
      <c r="C7" s="23">
        <f>IF(Build!C54="","",Build!C54)</f>
        <v/>
      </c>
      <c r="D7" s="23">
        <f>'Answer Key'!C6</f>
        <v/>
      </c>
      <c r="E7" s="30" t="n">
        <v>0.01</v>
      </c>
      <c r="F7" s="31">
        <f>IF(C7="","not answered",IF(ISNUMBER(C7),IF(ABS(C7-D7)&lt;=E7,"correct","wrong"),"wrong"))</f>
        <v/>
      </c>
    </row>
    <row r="8">
      <c r="B8" s="9" t="inlineStr">
        <is>
          <t>3</t>
        </is>
      </c>
      <c r="C8" s="23">
        <f>IF(Build!C55="","",Build!C55)</f>
        <v/>
      </c>
      <c r="D8" s="23">
        <f>'Answer Key'!C7</f>
        <v/>
      </c>
      <c r="E8" s="30" t="n">
        <v>0.01</v>
      </c>
      <c r="F8" s="31">
        <f>IF(C8="","not answered",IF(ISNUMBER(C8),IF(ABS(C8-D8)&lt;=E8,"correct","wrong"),"wrong"))</f>
        <v/>
      </c>
    </row>
    <row r="9">
      <c r="B9" s="9" t="inlineStr">
        <is>
          <t>4</t>
        </is>
      </c>
      <c r="C9" s="23">
        <f>IF(Build!C56="","",Build!C56)</f>
        <v/>
      </c>
      <c r="D9" s="23">
        <f>'Answer Key'!C8</f>
        <v/>
      </c>
      <c r="E9" s="30" t="n">
        <v>0.01</v>
      </c>
      <c r="F9" s="31">
        <f>IF(C9="","not answered",IF(ISNUMBER(C9),IF(ABS(C9-D9)&lt;=E9,"correct","wrong"),"wrong"))</f>
        <v/>
      </c>
    </row>
    <row r="10">
      <c r="B10" s="9" t="inlineStr">
        <is>
          <t>5</t>
        </is>
      </c>
      <c r="C10" s="27">
        <f>IF(Build!C57="","",Build!C57)</f>
        <v/>
      </c>
      <c r="D10" s="27">
        <f>'Answer Key'!C9</f>
        <v/>
      </c>
      <c r="E10" s="30" t="n">
        <v>0.005</v>
      </c>
      <c r="F10" s="31">
        <f>IF(C10="","not answered",IF(ISNUMBER(C10),IF(ABS(C10-D10)&lt;=E10,"correct","wrong"),"wrong"))</f>
        <v/>
      </c>
    </row>
    <row r="11">
      <c r="B11" s="9" t="inlineStr">
        <is>
          <t>6</t>
        </is>
      </c>
      <c r="C11" s="23">
        <f>IF(Build!C58="","",Build!C58)</f>
        <v/>
      </c>
      <c r="D11" s="23">
        <f>'Answer Key'!C10</f>
        <v/>
      </c>
      <c r="E11" s="30" t="n">
        <v>0.01</v>
      </c>
      <c r="F11" s="31">
        <f>IF(C11="","not answered",IF(ISNUMBER(C11),IF(ABS(C11-D11)&lt;=E11,"correct","wrong"),"wrong"))</f>
        <v/>
      </c>
    </row>
    <row r="12">
      <c r="B12" s="9" t="inlineStr">
        <is>
          <t>7</t>
        </is>
      </c>
      <c r="C12" s="23">
        <f>IF(Build!C59="","",Build!C59)</f>
        <v/>
      </c>
      <c r="D12" s="23">
        <f>'Answer Key'!C11</f>
        <v/>
      </c>
      <c r="E12" s="30" t="n">
        <v>0.01</v>
      </c>
      <c r="F12" s="31">
        <f>IF(C12="","not answered",IF(ISNUMBER(C12),IF(ABS(C12-D12)&lt;=E12,"correct","wrong"),"wrong"))</f>
        <v/>
      </c>
    </row>
    <row r="13">
      <c r="B13" s="9" t="inlineStr">
        <is>
          <t>8</t>
        </is>
      </c>
      <c r="C13" s="27">
        <f>IF(Build!C60="","",Build!C60)</f>
        <v/>
      </c>
      <c r="D13" s="27">
        <f>'Answer Key'!C12</f>
        <v/>
      </c>
      <c r="E13" s="30" t="n">
        <v>0.005</v>
      </c>
      <c r="F13" s="31">
        <f>IF(C13="","not answered",IF(ISNUMBER(C13),IF(ABS(C13-D13)&lt;=E13,"correct","wrong"),"wrong"))</f>
        <v/>
      </c>
    </row>
    <row r="14">
      <c r="B14" s="9" t="inlineStr">
        <is>
          <t>9</t>
        </is>
      </c>
      <c r="C14" s="23">
        <f>IF(Build!C61="","",Build!C61)</f>
        <v/>
      </c>
      <c r="D14" s="23">
        <f>'Answer Key'!C13</f>
        <v/>
      </c>
      <c r="E14" s="30" t="n">
        <v>0.01</v>
      </c>
      <c r="F14" s="31">
        <f>IF(C14="","not answered",IF(ISNUMBER(C14),IF(ABS(C14-D14)&lt;=E14,"correct","wrong"),"wrong"))</f>
        <v/>
      </c>
    </row>
    <row r="15">
      <c r="B15" s="9" t="inlineStr">
        <is>
          <t>10</t>
        </is>
      </c>
      <c r="C15" s="23">
        <f>IF(Build!C62="","",Build!C62)</f>
        <v/>
      </c>
      <c r="D15" s="23">
        <f>'Answer Key'!C14</f>
        <v/>
      </c>
      <c r="E15" s="30" t="n">
        <v>0.01</v>
      </c>
      <c r="F15" s="31">
        <f>IF(C15="","not answered",IF(ISNUMBER(C15),IF(ABS(C15-D15)&lt;=E15,"correct","wrong"),"wrong"))</f>
        <v/>
      </c>
    </row>
    <row r="16">
      <c r="B16" s="9" t="inlineStr">
        <is>
          <t>11</t>
        </is>
      </c>
      <c r="C16" s="23">
        <f>IF(Build!C63="","",Build!C63)</f>
        <v/>
      </c>
      <c r="D16" s="23">
        <f>'Answer Key'!C15</f>
        <v/>
      </c>
      <c r="E16" s="30" t="n">
        <v>0.01</v>
      </c>
      <c r="F16" s="31">
        <f>IF(C16="","not answered",IF(ISNUMBER(C16),IF(ABS(C16-D16)&lt;=E16,"correct","wrong"),"wrong"))</f>
        <v/>
      </c>
    </row>
    <row r="17">
      <c r="B17" s="9" t="inlineStr">
        <is>
          <t>12</t>
        </is>
      </c>
      <c r="C17" s="23">
        <f>IF(Build!C64="","",Build!C64)</f>
        <v/>
      </c>
      <c r="D17" s="23">
        <f>'Answer Key'!C16</f>
        <v/>
      </c>
      <c r="E17" s="30" t="n">
        <v>0.01</v>
      </c>
      <c r="F17" s="31">
        <f>IF(C17="","not answered",IF(ISNUMBER(C17),IF(ABS(C17-D17)&lt;=E17,"correct","wrong"),"wrong"))</f>
        <v/>
      </c>
    </row>
    <row r="18">
      <c r="B18" s="9" t="inlineStr">
        <is>
          <t>13</t>
        </is>
      </c>
      <c r="C18" s="24">
        <f>IF(Build!C65="","",Build!C65)</f>
        <v/>
      </c>
      <c r="D18" s="24">
        <f>'Answer Key'!C17</f>
        <v/>
      </c>
      <c r="E18" s="30" t="n">
        <v>0.0002</v>
      </c>
      <c r="F18" s="31">
        <f>IF(C18="","not answered",IF(ISNUMBER(C18),IF(ABS(C18-D18)&lt;=E18,"correct","wrong"),"wrong"))</f>
        <v/>
      </c>
    </row>
    <row r="19">
      <c r="B19" s="9" t="inlineStr">
        <is>
          <t>14</t>
        </is>
      </c>
      <c r="C19" s="24">
        <f>IF(Build!C66="","",Build!C66)</f>
        <v/>
      </c>
      <c r="D19" s="24">
        <f>'Answer Key'!C18</f>
        <v/>
      </c>
      <c r="E19" s="30" t="n">
        <v>0.0002</v>
      </c>
      <c r="F19" s="31">
        <f>IF(C19="","not answered",IF(ISNUMBER(C19),IF(ABS(C19-D19)&lt;=E19,"correct","wrong"),"wrong"))</f>
        <v/>
      </c>
    </row>
    <row r="20">
      <c r="B20" s="9" t="inlineStr">
        <is>
          <t>15</t>
        </is>
      </c>
      <c r="C20" s="24">
        <f>IF(Build!C67="","",Build!C67)</f>
        <v/>
      </c>
      <c r="D20" s="24">
        <f>'Answer Key'!C19</f>
        <v/>
      </c>
      <c r="E20" s="30" t="n">
        <v>0.0002</v>
      </c>
      <c r="F20" s="31">
        <f>IF(C20="","not answered",IF(ISNUMBER(C20),IF(ABS(C20-D20)&lt;=E20,"correct","wrong"),"wrong"))</f>
        <v/>
      </c>
    </row>
    <row r="22">
      <c r="B22" s="32" t="inlineStr">
        <is>
          <t>Score</t>
        </is>
      </c>
      <c r="C22" s="33">
        <f>COUNTIF(F6:F20,"correct")</f>
        <v/>
      </c>
      <c r="D22" s="9" t="inlineStr">
        <is>
          <t>out of 15</t>
        </is>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B2:H21"/>
  <sheetViews>
    <sheetView showGridLines="0" workbookViewId="0">
      <selection activeCell="A1" sqref="A1"/>
    </sheetView>
  </sheetViews>
  <sheetFormatPr baseColWidth="8" defaultRowHeight="15"/>
  <cols>
    <col width="2" customWidth="1" min="1" max="1"/>
    <col width="6" customWidth="1" min="2" max="2"/>
    <col width="70" customWidth="1" min="3" max="3"/>
    <col width="14" customWidth="1" min="4" max="4"/>
    <col width="14" customWidth="1" min="5" max="5"/>
    <col width="12" customWidth="1" min="6" max="6"/>
    <col width="12" customWidth="1" min="7" max="7"/>
    <col width="10" customWidth="1" min="8" max="8"/>
  </cols>
  <sheetData>
    <row r="1" ht="6" customHeight="1"/>
    <row r="2">
      <c r="B2" s="5" t="inlineStr">
        <is>
          <t>Checks: the Answer Key against the figures computed outside the workbook</t>
        </is>
      </c>
    </row>
    <row r="3">
      <c r="B3" s="6" t="inlineStr">
        <is>
          <t>Overall status reads PASS only if every check passes; an error value counts as FAIL.</t>
        </is>
      </c>
    </row>
    <row r="4">
      <c r="C4" s="32" t="inlineStr">
        <is>
          <t>Overall status</t>
        </is>
      </c>
      <c r="D4" s="31">
        <f>IF(COUNTIF(H7:H21,"PASS")=15,"PASS","FAIL")</f>
        <v/>
      </c>
    </row>
    <row r="6">
      <c r="B6" s="25" t="inlineStr">
        <is>
          <t>#</t>
        </is>
      </c>
      <c r="C6" s="26" t="inlineStr">
        <is>
          <t>Answer</t>
        </is>
      </c>
      <c r="D6" s="26" t="inlineStr">
        <is>
          <t>Expected</t>
        </is>
      </c>
      <c r="E6" s="26" t="inlineStr">
        <is>
          <t>Key</t>
        </is>
      </c>
      <c r="F6" s="26" t="inlineStr">
        <is>
          <t>Difference</t>
        </is>
      </c>
      <c r="G6" s="26" t="inlineStr">
        <is>
          <t>Tolerance</t>
        </is>
      </c>
      <c r="H6" s="26" t="inlineStr">
        <is>
          <t>Status</t>
        </is>
      </c>
    </row>
    <row r="7">
      <c r="B7" s="34" t="n">
        <v>1</v>
      </c>
      <c r="C7" s="9" t="inlineStr">
        <is>
          <t>1. Enterprise value paid for Lindell (Chapter 4).</t>
        </is>
      </c>
      <c r="D7" s="30" t="n">
        <v>160</v>
      </c>
      <c r="E7" s="28">
        <f>'Answer Key'!C5</f>
        <v/>
      </c>
      <c r="F7" s="28">
        <f>IF(ISNUMBER(E7),E7-D7,"n/a")</f>
        <v/>
      </c>
      <c r="G7" s="30" t="n">
        <v>1e-06</v>
      </c>
      <c r="H7" s="31">
        <f>IF(ISNUMBER(E7),IF(ABS(E7-D7)&lt;=G7+1E-12,"PASS","FAIL"),"FAIL")</f>
        <v/>
      </c>
    </row>
    <row r="8">
      <c r="B8" s="34" t="n">
        <v>2</v>
      </c>
      <c r="C8" s="9" t="inlineStr">
        <is>
          <t xml:space="preserve">2. Equity purchase price paid to the seller, after net debt and debt-like items </t>
        </is>
      </c>
      <c r="D8" s="30" t="n">
        <v>150</v>
      </c>
      <c r="E8" s="28">
        <f>'Answer Key'!C6</f>
        <v/>
      </c>
      <c r="F8" s="28">
        <f>IF(ISNUMBER(E8),E8-D8,"n/a")</f>
        <v/>
      </c>
      <c r="G8" s="30" t="n">
        <v>1e-06</v>
      </c>
      <c r="H8" s="31">
        <f>IF(ISNUMBER(E8),IF(ABS(E8-D8)&lt;=G8+1E-12,"PASS","FAIL"),"FAIL")</f>
        <v/>
      </c>
    </row>
    <row r="9">
      <c r="B9" s="34" t="n">
        <v>3</v>
      </c>
      <c r="C9" s="9" t="inlineStr">
        <is>
          <t>3. The equity check, all shareholders: total uses less the term loan (Chapter 5)</t>
        </is>
      </c>
      <c r="D9" s="30" t="n">
        <v>90</v>
      </c>
      <c r="E9" s="28">
        <f>'Answer Key'!C7</f>
        <v/>
      </c>
      <c r="F9" s="28">
        <f>IF(ISNUMBER(E9),E9-D9,"n/a")</f>
        <v/>
      </c>
      <c r="G9" s="30" t="n">
        <v>1e-06</v>
      </c>
      <c r="H9" s="31">
        <f>IF(ISNUMBER(E9),IF(ABS(E9-D9)&lt;=G9+1E-12,"PASS","FAIL"),"FAIL")</f>
        <v/>
      </c>
    </row>
    <row r="10">
      <c r="B10" s="34" t="n">
        <v>4</v>
      </c>
      <c r="C10" s="9" t="inlineStr">
        <is>
          <t>4. Year-1 cash interest on the term loan, on the opening balance (Chapter 6).</t>
        </is>
      </c>
      <c r="D10" s="30" t="n">
        <v>7.199999999999999</v>
      </c>
      <c r="E10" s="28">
        <f>'Answer Key'!C8</f>
        <v/>
      </c>
      <c r="F10" s="28">
        <f>IF(ISNUMBER(E10),E10-D10,"n/a")</f>
        <v/>
      </c>
      <c r="G10" s="30" t="n">
        <v>1e-06</v>
      </c>
      <c r="H10" s="31">
        <f>IF(ISNUMBER(E10),IF(ABS(E10-D10)&lt;=G10+1E-12,"PASS","FAIL"),"FAIL")</f>
        <v/>
      </c>
    </row>
    <row r="11">
      <c r="B11" s="34" t="n">
        <v>5</v>
      </c>
      <c r="C11" s="9" t="inlineStr">
        <is>
          <t>5. Year-1 interest cover: EBITDA / cash interest, as a multiple (Chapter 6).</t>
        </is>
      </c>
      <c r="D11" s="30" t="n">
        <v>3.0625</v>
      </c>
      <c r="E11" s="28">
        <f>'Answer Key'!C9</f>
        <v/>
      </c>
      <c r="F11" s="28">
        <f>IF(ISNUMBER(E11),E11-D11,"n/a")</f>
        <v/>
      </c>
      <c r="G11" s="30" t="n">
        <v>1e-06</v>
      </c>
      <c r="H11" s="31">
        <f>IF(ISNUMBER(E11),IF(ABS(E11-D11)&lt;=G11+1E-12,"PASS","FAIL"),"FAIL")</f>
        <v/>
      </c>
    </row>
    <row r="12">
      <c r="B12" s="34" t="n">
        <v>6</v>
      </c>
      <c r="C12" s="9" t="inlineStr">
        <is>
          <t xml:space="preserve">6. Year-1 free cash flow after interest and tax, before debt repayment (Chapter </t>
        </is>
      </c>
      <c r="D12" s="30" t="n">
        <v>6.6975</v>
      </c>
      <c r="E12" s="28">
        <f>'Answer Key'!C10</f>
        <v/>
      </c>
      <c r="F12" s="28">
        <f>IF(ISNUMBER(E12),E12-D12,"n/a")</f>
        <v/>
      </c>
      <c r="G12" s="30" t="n">
        <v>1e-06</v>
      </c>
      <c r="H12" s="31">
        <f>IF(ISNUMBER(E12),IF(ABS(E12-D12)&lt;=G12+1E-12,"PASS","FAIL"),"FAIL")</f>
        <v/>
      </c>
    </row>
    <row r="13">
      <c r="B13" s="34" t="n">
        <v>7</v>
      </c>
      <c r="C13" s="9" t="inlineStr">
        <is>
          <t>7. Year-1 excess cash flow sweep (Chapter 7).</t>
        </is>
      </c>
      <c r="D13" s="30" t="n">
        <v>2.94875</v>
      </c>
      <c r="E13" s="28">
        <f>'Answer Key'!C11</f>
        <v/>
      </c>
      <c r="F13" s="28">
        <f>IF(ISNUMBER(E13),E13-D13,"n/a")</f>
        <v/>
      </c>
      <c r="G13" s="30" t="n">
        <v>1e-06</v>
      </c>
      <c r="H13" s="31">
        <f>IF(ISNUMBER(E13),IF(ABS(E13-D13)&lt;=G13+1E-12,"PASS","FAIL"),"FAIL")</f>
        <v/>
      </c>
    </row>
    <row r="14">
      <c r="B14" s="34" t="n">
        <v>8</v>
      </c>
      <c r="C14" s="9" t="inlineStr">
        <is>
          <t>8. Covenant headroom at the end of year 1: maximum less net debt / EBITDA, in tu</t>
        </is>
      </c>
      <c r="D14" s="30" t="n">
        <v>1.402380952380953</v>
      </c>
      <c r="E14" s="28">
        <f>'Answer Key'!C12</f>
        <v/>
      </c>
      <c r="F14" s="28">
        <f>IF(ISNUMBER(E14),E14-D14,"n/a")</f>
        <v/>
      </c>
      <c r="G14" s="30" t="n">
        <v>1e-06</v>
      </c>
      <c r="H14" s="31">
        <f>IF(ISNUMBER(E14),IF(ABS(E14-D14)&lt;=G14+1E-12,"PASS","FAIL"),"FAIL")</f>
        <v/>
      </c>
    </row>
    <row r="15">
      <c r="B15" s="34" t="n">
        <v>9</v>
      </c>
      <c r="C15" s="9" t="inlineStr">
        <is>
          <t xml:space="preserve">9. Value of the option pool at exit by the treasury method, if the equity value </t>
        </is>
      </c>
      <c r="D15" s="30" t="n">
        <v>3</v>
      </c>
      <c r="E15" s="28">
        <f>'Answer Key'!C13</f>
        <v/>
      </c>
      <c r="F15" s="28">
        <f>IF(ISNUMBER(E15),E15-D15,"n/a")</f>
        <v/>
      </c>
      <c r="G15" s="30" t="n">
        <v>1e-06</v>
      </c>
      <c r="H15" s="31">
        <f>IF(ISNUMBER(E15),IF(ABS(E15-D15)&lt;=G15+1E-12,"PASS","FAIL"),"FAIL")</f>
        <v/>
      </c>
    </row>
    <row r="16">
      <c r="B16" s="34" t="n">
        <v>10</v>
      </c>
      <c r="C16" s="9" t="inlineStr">
        <is>
          <t xml:space="preserve">10. The add-on's multiple arbitrage: its EBITDA revalued from the price paid to </t>
        </is>
      </c>
      <c r="D16" s="30" t="n">
        <v>12.6</v>
      </c>
      <c r="E16" s="28">
        <f>'Answer Key'!C14</f>
        <v/>
      </c>
      <c r="F16" s="28">
        <f>IF(ISNUMBER(E16),E16-D16,"n/a")</f>
        <v/>
      </c>
      <c r="G16" s="30" t="n">
        <v>1e-06</v>
      </c>
      <c r="H16" s="31">
        <f>IF(ISNUMBER(E16),IF(ABS(E16-D16)&lt;=G16+1E-12,"PASS","FAIL"),"FAIL")</f>
        <v/>
      </c>
    </row>
    <row r="17">
      <c r="B17" s="34" t="n">
        <v>11</v>
      </c>
      <c r="C17" s="9" t="inlineStr">
        <is>
          <t>11. Equity value at exit at the end of year 3, at the exit multiple (Chapter 14)</t>
        </is>
      </c>
      <c r="D17" s="30" t="n">
        <v>171.1129582734375</v>
      </c>
      <c r="E17" s="28">
        <f>'Answer Key'!C15</f>
        <v/>
      </c>
      <c r="F17" s="28">
        <f>IF(ISNUMBER(E17),E17-D17,"n/a")</f>
        <v/>
      </c>
      <c r="G17" s="30" t="n">
        <v>1e-06</v>
      </c>
      <c r="H17" s="31">
        <f>IF(ISNUMBER(E17),IF(ABS(E17-D17)&lt;=G17+1E-12,"PASS","FAIL"),"FAIL")</f>
        <v/>
      </c>
    </row>
    <row r="18">
      <c r="B18" s="34" t="n">
        <v>12</v>
      </c>
      <c r="C18" s="9" t="inlineStr">
        <is>
          <t xml:space="preserve">12. Returns bridge: the EBITDA-growth component, at the entry multiple (Chapter </t>
        </is>
      </c>
      <c r="D18" s="30" t="n">
        <v>62.26400000000001</v>
      </c>
      <c r="E18" s="28">
        <f>'Answer Key'!C16</f>
        <v/>
      </c>
      <c r="F18" s="28">
        <f>IF(ISNUMBER(E18),E18-D18,"n/a")</f>
        <v/>
      </c>
      <c r="G18" s="30" t="n">
        <v>1e-06</v>
      </c>
      <c r="H18" s="31">
        <f>IF(ISNUMBER(E18),IF(ABS(E18-D18)&lt;=G18+1E-12,"PASS","FAIL"),"FAIL")</f>
        <v/>
      </c>
    </row>
    <row r="19">
      <c r="B19" s="34" t="n">
        <v>13</v>
      </c>
      <c r="C19" s="9" t="inlineStr">
        <is>
          <t xml:space="preserve">13. IRR of all shareholders if the exit multiple were the alternative one given </t>
        </is>
      </c>
      <c r="D19" s="30" t="n">
        <v>0.1689209112000022</v>
      </c>
      <c r="E19" s="28">
        <f>'Answer Key'!C17</f>
        <v/>
      </c>
      <c r="F19" s="28">
        <f>IF(ISNUMBER(E19),E19-D19,"n/a")</f>
        <v/>
      </c>
      <c r="G19" s="30" t="n">
        <v>1e-06</v>
      </c>
      <c r="H19" s="31">
        <f>IF(ISNUMBER(E19),IF(ABS(E19-D19)&lt;=G19+1E-12,"PASS","FAIL"),"FAIL")</f>
        <v/>
      </c>
    </row>
    <row r="20">
      <c r="B20" s="34" t="n">
        <v>14</v>
      </c>
      <c r="C20" s="9" t="inlineStr">
        <is>
          <t>14. Gross IRR to the subscriber, after management fees, before carry (Chapter 17</t>
        </is>
      </c>
      <c r="D20" s="30" t="n">
        <v>0.1978091510947947</v>
      </c>
      <c r="E20" s="28">
        <f>'Answer Key'!C18</f>
        <v/>
      </c>
      <c r="F20" s="28">
        <f>IF(ISNUMBER(E20),E20-D20,"n/a")</f>
        <v/>
      </c>
      <c r="G20" s="30" t="n">
        <v>1e-06</v>
      </c>
      <c r="H20" s="31">
        <f>IF(ISNUMBER(E20),IF(ABS(E20-D20)&lt;=G20+1E-12,"PASS","FAIL"),"FAIL")</f>
        <v/>
      </c>
    </row>
    <row r="21">
      <c r="B21" s="34" t="n">
        <v>15</v>
      </c>
      <c r="C21" s="9" t="inlineStr">
        <is>
          <t>15. Net IRR to the subscriber, after fees and carried interest (Chapter 17).</t>
        </is>
      </c>
      <c r="D21" s="30" t="n">
        <v>0.1633890334945812</v>
      </c>
      <c r="E21" s="28">
        <f>'Answer Key'!C19</f>
        <v/>
      </c>
      <c r="F21" s="28">
        <f>IF(ISNUMBER(E21),E21-D21,"n/a")</f>
        <v/>
      </c>
      <c r="G21" s="30" t="n">
        <v>1e-06</v>
      </c>
      <c r="H21" s="31">
        <f>IF(ISNUMBER(E21),IF(ABS(E21-D21)&lt;=G21+1E-12,"PASS","FAIL"),"FAIL")</f>
        <v/>
      </c>
    </row>
  </sheetData>
  <conditionalFormatting sqref="H7:H21">
    <cfRule type="cellIs" priority="1" operator="equal" dxfId="0">
      <formula>"FAIL"</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2026-09-25T22:01:20Z</dcterms:created>
  <dcterms:modified xmlns:dcterms="http://purl.org/dc/terms/" xmlns:xsi="http://www.w3.org/2001/XMLSchema-instance" xsi:type="dcterms:W3CDTF">2026-09-25T22:01:20Z</dcterms:modified>
</cp:coreProperties>
</file>