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loan split" sheetId="3" state="visible" r:id="rId5"/>
    <sheet name="The bank" sheetId="4" state="visible" r:id="rId6"/>
    <sheet name="The liquidity buffer" sheetId="5" state="visible" r:id="rId7"/>
    <sheet name="Outflows" sheetId="6" state="visible" r:id="rId8"/>
    <sheet name="The coverage ratio" sheetId="7" state="visible" r:id="rId9"/>
    <sheet name="Stable funding" sheetId="8" state="visible" r:id="rId10"/>
    <sheet name="Seven readings" sheetId="9" state="visible" r:id="rId11"/>
    <sheet name="Two costs" sheetId="10" state="visible" r:id="rId12"/>
    <sheet name="Checks" sheetId="11" state="visible" r:id="rId13"/>
  </sheets>
  <definedNames>
    <definedName function="false" hidden="false" name="AsfTot" vbProcedure="false">'Stable funding'!$D$22</definedName>
    <definedName function="false" hidden="false" name="AssetExp" vbProcedure="false">Inputs!$B$37:$B$51</definedName>
    <definedName function="false" hidden="false" name="AssetHc" vbProcedure="false">Inputs!$G$37:$G$51</definedName>
    <definedName function="false" hidden="false" name="AssetInt" vbProcedure="false">Inputs!$D$37:$D$51</definedName>
    <definedName function="false" hidden="false" name="AssetLbl" vbProcedure="false">Inputs!$A$37:$A$51</definedName>
    <definedName function="false" hidden="false" name="AssetLvl" vbProcedure="false">Inputs!$F$37:$F$51</definedName>
    <definedName function="false" hidden="false" name="AssetRsf" vbProcedure="false">Inputs!$E$37:$E$51</definedName>
    <definedName function="false" hidden="false" name="AssetStd" vbProcedure="false">Inputs!$C$37:$C$51</definedName>
    <definedName function="false" hidden="false" name="AssetSup" vbProcedure="false">Inputs!$H$37:$H$51</definedName>
    <definedName function="false" hidden="false" name="At1Cap" vbProcedure="false">'The bank'!$B$57</definedName>
    <definedName function="false" hidden="false" name="BufCons" vbProcedure="false">Inputs!$B$99</definedName>
    <definedName function="false" hidden="false" name="BufOsii" vbProcedure="false">Inputs!$B$100</definedName>
    <definedName function="false" hidden="false" name="BufSect" vbProcedure="false">Inputs!$B$101</definedName>
    <definedName function="false" hidden="false" name="Cap1b" vbProcedure="false">'The liquidity buffer'!$B$39</definedName>
    <definedName function="false" hidden="false" name="Cap2" vbProcedure="false">'The liquidity buffer'!$B$45</definedName>
    <definedName function="false" hidden="false" name="Cap2b" vbProcedure="false">'The liquidity buffer'!$B$42</definedName>
    <definedName function="false" hidden="false" name="CapL1b" vbProcedure="false">Inputs!$B$121</definedName>
    <definedName function="false" hidden="false" name="CapL2" vbProcedure="false">Inputs!$B$122</definedName>
    <definedName function="false" hidden="false" name="CapL2b" vbProcedure="false">Inputs!$B$123</definedName>
    <definedName function="false" hidden="false" name="CbrEur" vbProcedure="false">'The bank'!$B$82</definedName>
    <definedName function="false" hidden="false" name="CbrRate" vbProcedure="false">'The bank'!$B$79</definedName>
    <definedName function="false" hidden="false" name="CcybRate" vbProcedure="false">'The bank'!$B$78</definedName>
    <definedName function="false" hidden="false" name="CetCap" vbProcedure="false">'The bank'!$B$56</definedName>
    <definedName function="false" hidden="false" name="CouponSnp" vbProcedure="false">Inputs!$B$153</definedName>
    <definedName function="false" hidden="false" name="CvaInt" vbProcedure="false">Inputs!$B$68</definedName>
    <definedName function="false" hidden="false" name="CvaStd" vbProcedure="false">Inputs!$B$67</definedName>
    <definedName function="false" hidden="false" name="Encumbered" vbProcedure="false">'The liquidity buffer'!$B$21</definedName>
    <definedName function="false" hidden="false" name="EqRt" vbProcedure="false">Inputs!$C$9:$C$14</definedName>
    <definedName function="false" hidden="false" name="EqRwNow" vbProcedure="false">Inputs!$B$16</definedName>
    <definedName function="false" hidden="false" name="ExpMeas" vbProcedure="false">'The bank'!$B$83</definedName>
    <definedName function="false" hidden="false" name="FloorNow" vbProcedure="false">Inputs!$B$15</definedName>
    <definedName function="false" hidden="false" name="FloorRt" vbProcedure="false">Inputs!$B$9:$B$14</definedName>
    <definedName function="false" hidden="false" name="FloorYr" vbProcedure="false">Inputs!$A$9:$A$14</definedName>
    <definedName function="false" hidden="false" name="GeoLbl" vbProcedure="false">Inputs!$A$107:$A$112</definedName>
    <definedName function="false" hidden="false" name="GeoRate" vbProcedure="false">Inputs!$C$107:$C$112</definedName>
    <definedName function="false" hidden="false" name="GeoShare" vbProcedure="false">Inputs!$B$107:$B$112</definedName>
    <definedName function="false" hidden="false" name="GrossIn" vbProcedure="false">Inputs!$B$119</definedName>
    <definedName function="false" hidden="false" name="HqlaAmt" vbProcedure="false">'The liquidity buffer'!$B$47</definedName>
    <definedName function="false" hidden="false" name="InCap" vbProcedure="false">Outflows!$B$35</definedName>
    <definedName function="false" hidden="false" name="InflowCap" vbProcedure="false">Inputs!$B$120</definedName>
    <definedName function="false" hidden="false" name="InRecognised" vbProcedure="false">Outflows!$B$36</definedName>
    <definedName function="false" hidden="false" name="IntShare" vbProcedure="false">'The bank'!$B$47</definedName>
    <definedName function="false" hidden="false" name="LargeExpPct" vbProcedure="false">Inputs!$B$155</definedName>
    <definedName function="false" hidden="false" name="LargestCpty" vbProcedure="false">Inputs!$B$156</definedName>
    <definedName function="false" hidden="false" name="LcrMin" vbProcedure="false">Inputs!$B$124</definedName>
    <definedName function="false" hidden="false" name="LevReq" vbProcedure="false">Inputs!$B$102</definedName>
    <definedName function="false" hidden="false" name="LiabAmt" vbProcedure="false">Inputs!$B$73:$B$86</definedName>
    <definedName function="false" hidden="false" name="LiabAsf" vbProcedure="false">Inputs!$C$73:$C$86</definedName>
    <definedName function="false" hidden="false" name="LiabLbl" vbProcedure="false">Inputs!$A$73:$A$86</definedName>
    <definedName function="false" hidden="false" name="LiabOut" vbProcedure="false">Inputs!$D$73:$D$86</definedName>
    <definedName function="false" hidden="false" name="LtvAvg" vbProcedure="false">'The loan split'!$B$17</definedName>
    <definedName function="false" hidden="false" name="LtvRw" vbProcedure="false">'The loan split'!$G$8:$G$12</definedName>
    <definedName function="false" hidden="false" name="LtvShare" vbProcedure="false">Inputs!$B$25:$B$29</definedName>
    <definedName function="false" hidden="false" name="LtvVal" vbProcedure="false">Inputs!$C$25:$C$29</definedName>
    <definedName function="false" hidden="false" name="Lvl1" vbProcedure="false">'The liquidity buffer'!$B$37</definedName>
    <definedName function="false" hidden="false" name="Lvl1b" vbProcedure="false">'The liquidity buffer'!$B$40</definedName>
    <definedName function="false" hidden="false" name="Lvl2a" vbProcedure="false">'The liquidity buffer'!$B$46</definedName>
    <definedName function="false" hidden="false" name="Lvl2b" vbProcedure="false">'The liquidity buffer'!$B$43</definedName>
    <definedName function="false" hidden="false" name="MccDeduct" vbProcedure="false">Inputs!$B$150</definedName>
    <definedName function="false" hidden="false" name="MdaPay" vbProcedure="false">Inputs!$C$143:$C$146</definedName>
    <definedName function="false" hidden="false" name="MdaQ" vbProcedure="false">Inputs!$B$143:$B$146</definedName>
    <definedName function="false" hidden="false" name="MdaTrig" vbProcedure="false">'The bank'!$B$80</definedName>
    <definedName function="false" hidden="false" name="MdaWithGuide" vbProcedure="false">'The bank'!$B$81</definedName>
    <definedName function="false" hidden="false" name="MktInt" vbProcedure="false">Inputs!$B$65</definedName>
    <definedName function="false" hidden="false" name="MktStd" vbProcedure="false">Inputs!$B$64</definedName>
    <definedName function="false" hidden="false" name="ModelYear" vbProcedure="false">Inputs!$B$7</definedName>
    <definedName function="false" hidden="false" name="MortAboveThr" vbProcedure="false">'The loan split'!$B$32</definedName>
    <definedName function="false" hidden="false" name="MortExp" vbProcedure="false">'The loan split'!$B$22</definedName>
    <definedName function="false" hidden="false" name="MortShortAmt" vbProcedure="false">Inputs!$B$137</definedName>
    <definedName function="false" hidden="false" name="MrelLevMult" vbProcedure="false">Inputs!$B$152</definedName>
    <definedName function="false" hidden="false" name="NetOut" vbProcedure="false">Outflows!$B$37</definedName>
    <definedName function="false" hidden="false" name="Nsfr" vbProcedure="false">'Stable funding'!$B$53</definedName>
    <definedName function="false" hidden="false" name="NsfrMin" vbProcedure="false">Inputs!$B$125</definedName>
    <definedName function="false" hidden="false" name="OffCcf" vbProcedure="false">Inputs!$C$57:$C$59</definedName>
    <definedName function="false" hidden="false" name="OffInt" vbProcedure="false">Inputs!$E$57:$E$59</definedName>
    <definedName function="false" hidden="false" name="OffLbl" vbProcedure="false">Inputs!$A$57:$A$59</definedName>
    <definedName function="false" hidden="false" name="OffNom" vbProcedure="false">Inputs!$B$57:$B$59</definedName>
    <definedName function="false" hidden="false" name="OffOut" vbProcedure="false">Inputs!$G$57:$G$59</definedName>
    <definedName function="false" hidden="false" name="OffRsf" vbProcedure="false">Inputs!$F$57:$F$59</definedName>
    <definedName function="false" hidden="false" name="OffStd" vbProcedure="false">Inputs!$D$57:$D$59</definedName>
    <definedName function="false" hidden="false" name="OpRisk" vbProcedure="false">Inputs!$B$66</definedName>
    <definedName function="false" hidden="false" name="OtherOut" vbProcedure="false">Inputs!$B$118</definedName>
    <definedName function="false" hidden="false" name="OutGross" vbProcedure="false">Outflows!$B$33</definedName>
    <definedName function="false" hidden="false" name="OwnFunds" vbProcedure="false">'The bank'!$B$60</definedName>
    <definedName function="false" hidden="false" name="OwnInvShare" vbProcedure="false">Inputs!$B$116</definedName>
    <definedName function="false" hidden="false" name="P1Cet" vbProcedure="false">Inputs!$B$91</definedName>
    <definedName function="false" hidden="false" name="P1Tier1" vbProcedure="false">Inputs!$B$92</definedName>
    <definedName function="false" hidden="false" name="P1Total" vbProcedure="false">Inputs!$B$93</definedName>
    <definedName function="false" hidden="false" name="P2At1Req" vbProcedure="false">'The bank'!$B$74</definedName>
    <definedName function="false" hidden="false" name="P2CetReq" vbProcedure="false">'The bank'!$B$73</definedName>
    <definedName function="false" hidden="false" name="P2CetShare" vbProcedure="false">Inputs!$B$95</definedName>
    <definedName function="false" hidden="false" name="P2Guide" vbProcedure="false">Inputs!$B$98</definedName>
    <definedName function="false" hidden="false" name="P2Req" vbProcedure="false">Inputs!$B$94</definedName>
    <definedName function="false" hidden="false" name="P2T1Share" vbProcedure="false">Inputs!$B$96</definedName>
    <definedName function="false" hidden="false" name="P2T2Req" vbProcedure="false">'The bank'!$B$75</definedName>
    <definedName function="false" hidden="false" name="P2T2Share" vbProcedure="false">Inputs!$B$97</definedName>
    <definedName function="false" hidden="false" name="PortLiq" vbProcedure="false">'The liquidity buffer'!$E$13</definedName>
    <definedName function="false" hidden="false" name="RatioCet" vbProcedure="false">'The bank'!$B$67</definedName>
    <definedName function="false" hidden="false" name="RatioTier1" vbProcedure="false">'The bank'!$B$68</definedName>
    <definedName function="false" hidden="false" name="RatioTotal" vbProcedure="false">'The bank'!$B$69</definedName>
    <definedName function="false" hidden="false" name="Raw1b" vbProcedure="false">'The liquidity buffer'!$B$38</definedName>
    <definedName function="false" hidden="false" name="Raw2a" vbProcedure="false">'The liquidity buffer'!$B$44</definedName>
    <definedName function="false" hidden="false" name="Raw2b" vbProcedure="false">'The liquidity buffer'!$B$41</definedName>
    <definedName function="false" hidden="false" name="ReinvRate" vbProcedure="false">Inputs!$B$154</definedName>
    <definedName function="false" hidden="false" name="RepoMargin" vbProcedure="false">Inputs!$B$117</definedName>
    <definedName function="false" hidden="false" name="ReqCetNoBuf" vbProcedure="false">'The bank'!$B$77</definedName>
    <definedName function="false" hidden="false" name="RsfHypoHigh" vbProcedure="false">Inputs!$B$32</definedName>
    <definedName function="false" hidden="false" name="RsfHypoLow" vbProcedure="false">Inputs!$B$31</definedName>
    <definedName function="false" hidden="false" name="RsfHypoThr" vbProcedure="false">Inputs!$B$30</definedName>
    <definedName function="false" hidden="false" name="RsfTot" vbProcedure="false">'Stable funding'!$B$52</definedName>
    <definedName function="false" hidden="false" name="RwaFloor" vbProcedure="false">'The bank'!$B$50</definedName>
    <definedName function="false" hidden="false" name="RwaInt" vbProcedure="false">'The bank'!$B$46</definedName>
    <definedName function="false" hidden="false" name="RwaStd" vbProcedure="false">'The bank'!$B$45</definedName>
    <definedName function="false" hidden="false" name="RwaUsed" vbProcedure="false">'The bank'!$B$51</definedName>
    <definedName function="false" hidden="false" name="RwHypo" vbProcedure="false">'The loan split'!$H$13</definedName>
    <definedName function="false" hidden="false" name="RwHypoAvg" vbProcedure="false">'The loan split'!$B$19</definedName>
    <definedName function="false" hidden="false" name="RwSec" vbProcedure="false">Inputs!$B$22</definedName>
    <definedName function="false" hidden="false" name="RwUns" vbProcedure="false">Inputs!$B$23</definedName>
    <definedName function="false" hidden="false" name="SecAvg" vbProcedure="false">'The loan split'!$B$18</definedName>
    <definedName function="false" hidden="false" name="SecFunding" vbProcedure="false">'The bank'!$B$63</definedName>
    <definedName function="false" hidden="false" name="SnrNonPref" vbProcedure="false">'The bank'!$B$61</definedName>
    <definedName function="false" hidden="false" name="SnrPref" vbProcedure="false">'The bank'!$B$62</definedName>
    <definedName function="false" hidden="false" name="SplitThr" vbProcedure="false">Inputs!$B$21</definedName>
    <definedName function="false" hidden="false" name="StdEffRw" vbProcedure="false">'The bank'!$C$8:$C$22</definedName>
    <definedName function="false" hidden="false" name="StdIntRw" vbProcedure="false">'The bank'!$E$8:$E$22</definedName>
    <definedName function="false" hidden="false" name="SubRate" vbProcedure="false">Inputs!$B$151</definedName>
    <definedName function="false" hidden="false" name="Tier1Cap" vbProcedure="false">'The bank'!$B$59</definedName>
    <definedName function="false" hidden="false" name="TierTwo" vbProcedure="false">'The bank'!$B$58</definedName>
    <definedName function="false" hidden="false" name="TotAssets" vbProcedure="false">'The bank'!$B$23</definedName>
    <definedName function="false" hidden="false" name="TotLiab" vbProcedure="false">'The bank'!$B$64</definedName>
    <definedName function="false" hidden="false" name="VarAlt" vbProcedure="false">Inputs!$C$131:$C$136</definedName>
    <definedName function="false" hidden="false" name="VarLbl" vbProcedure="false">Inputs!$A$131:$A$136</definedName>
    <definedName function="false" hidden="false" name="VarSwitch" vbProcedure="false">Inputs!$B$131:$B$136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<sst xmlns="http://schemas.openxmlformats.org/spreadsheetml/2006/main" count="560" uniqueCount="421">
  <si>
    <t xml:space="preserve">Financial Regulation - The Two Liquidity Ratios</t>
  </si>
  <si>
    <t xml:space="preserve">Companion workbook 3, by Julian R. Sterling</t>
  </si>
  <si>
    <t xml:space="preserve">What this workbook does</t>
  </si>
  <si>
    <t xml:space="preserve">It builds both liquidity ratios from the same two tables. The coverage ratio is built from the deposit book upward, with the securities portfolio shown before encumbrance and after it so the 51 points between 168.8372 and 117.4934 can be watched opening and closing. The stable funding ratio is then built the same way, and argued six times.</t>
  </si>
  <si>
    <t xml:space="preserve">The first experiment to run</t>
  </si>
  <si>
    <t xml:space="preserve">On the Inputs sheet, take the share of secured funding raised against own inventory from 37.6 per cent to nought. The encumbrance disappears, the buffer rises to the full 18 513 million and the coverage ratio jumps to 168.8372 per cent. That single line - which sits in a repo confirmation, not in a liquidity return - is worth 51 points of the ratio the committee reads.</t>
  </si>
  <si>
    <t xml:space="preserve">The second</t>
  </si>
  <si>
    <t xml:space="preserve">On Seven readings, look at the six variations one at a time, then at the foot of the sheet. Three of them help and three hurt; the three that help, switched on together, give 96.5310 per cent, the most favourable ratio anybody could defend. It is still under a hundred. (Turn every switch to 1 and you get 94.7605: the three that hurt come with it.) A shortfall that survives every convention you can argue for is a shortfall.</t>
  </si>
  <si>
    <t xml:space="preserve">The third</t>
  </si>
  <si>
    <t xml:space="preserve">The seventh reading is the one to sit with. The mortgage funding factor of 65 per cent applies where the risk weight is 35 per cent or less. At portfolio level the book weighs 27.7483 and passes. Read exposure by exposure, 13 per cent of it fails on its own weight and funds at 85. Both readings are here, side by side, because the texts permit both and 546 million of required stable funding turns on which one you use.</t>
  </si>
  <si>
    <t xml:space="preserve">The one number to keep an eye on</t>
  </si>
  <si>
    <t xml:space="preserve">On Two costs, the column of ratios. It runs from 6.17 to 45.44 - a factor of seven across one balance sheet - and the mortgage is at the top of it. The rank correlation is +0.86, so the two costs agree about the order and disagree violently about the amount. A bank that optimises its solvency ratio maximises its stable funding problem, and neither report says so.</t>
  </si>
  <si>
    <t xml:space="preserve">On the checks</t>
  </si>
  <si>
    <t xml:space="preserve">The Checks sheet reproduces by formula each figure printed in chapters 11 to 15. Column C is typed from the page; column D is computed here. If a check reads FAIL, the workbook is wrong, not the book.</t>
  </si>
  <si>
    <t xml:space="preserve">Revised 24 September 2026</t>
  </si>
  <si>
    <t xml:space="preserve">Seven checks added, fifty-seven in all. The first edition said that turning every switch to 1 gives the most favourable ratio; it gives 94.7605 per cent, because three of the six variations lower the ratio. The favourable three together give 96.5310 and leave 1,601 million missing; Seven readings now computes both. Two notes corrected: the sovereigns absorb the whole of the pledge, not almost all of it, and the mortgage is not the asset the capital rules treat most gently (the covered bond is) but the one with the most stable funding per unit of capital.</t>
  </si>
  <si>
    <t xml:space="preserve">Inputs - Northbank plc at 31 December 2026</t>
  </si>
  <si>
    <t xml:space="preserve">Blue on pale yellow is an input, and you may edit it. Everything else in this file is a formula over these cells.</t>
  </si>
  <si>
    <t xml:space="preserve">The date, and the transitional schedules read at that date</t>
  </si>
  <si>
    <t xml:space="preserve">The year the model is struck</t>
  </si>
  <si>
    <t xml:space="preserve">year</t>
  </si>
  <si>
    <t xml:space="preserve">output floor</t>
  </si>
  <si>
    <t xml:space="preserve">equity risk weight</t>
  </si>
  <si>
    <t xml:space="preserve">Output floor rate applicable in the model's year</t>
  </si>
  <si>
    <t xml:space="preserve">Equity risk weight applicable in the model's year</t>
  </si>
  <si>
    <t xml:space="preserve">Two of the transitional arrangements, taken at the same date. A parameter read from the wrong year makes the whole picture incoherent without making any single line look wrong.</t>
  </si>
  <si>
    <t xml:space="preserve">The mortgage book, and the split of Article 125</t>
  </si>
  <si>
    <t xml:space="preserve">Threshold of property value up to which the loan is secured</t>
  </si>
  <si>
    <t xml:space="preserve">Risk weight of the part below the threshold</t>
  </si>
  <si>
    <t xml:space="preserve">Risk weight of the remainder, unsecured retail</t>
  </si>
  <si>
    <t xml:space="preserve">band</t>
  </si>
  <si>
    <t xml:space="preserve">share of the book</t>
  </si>
  <si>
    <t xml:space="preserve">average loan-to-value</t>
  </si>
  <si>
    <t xml:space="preserve">band 1</t>
  </si>
  <si>
    <t xml:space="preserve">band 2</t>
  </si>
  <si>
    <t xml:space="preserve">band 3</t>
  </si>
  <si>
    <t xml:space="preserve">band 4</t>
  </si>
  <si>
    <t xml:space="preserve">band 5</t>
  </si>
  <si>
    <t xml:space="preserve">Risk weight at or below which a mortgage funds at the favourable factor</t>
  </si>
  <si>
    <t xml:space="preserve">Mortgage stable funding factor, favourable</t>
  </si>
  <si>
    <t xml:space="preserve">Mortgage stable funding factor, otherwise</t>
  </si>
  <si>
    <t xml:space="preserve">The balance sheet - assets</t>
  </si>
  <si>
    <t xml:space="preserve">asset</t>
  </si>
  <si>
    <t xml:space="preserve">exposure</t>
  </si>
  <si>
    <t xml:space="preserve">standardised weight</t>
  </si>
  <si>
    <t xml:space="preserve">internal weight</t>
  </si>
  <si>
    <t xml:space="preserve">stable funding factor</t>
  </si>
  <si>
    <t xml:space="preserve">liquidity level</t>
  </si>
  <si>
    <t xml:space="preserve">haircut</t>
  </si>
  <si>
    <t xml:space="preserve">Article 501 factor</t>
  </si>
  <si>
    <t xml:space="preserve">Central bank reserves</t>
  </si>
  <si>
    <t xml:space="preserve">1</t>
  </si>
  <si>
    <t xml:space="preserve">EU sovereign bonds, euro denominated</t>
  </si>
  <si>
    <t xml:space="preserve">Covered bonds, AAA</t>
  </si>
  <si>
    <t xml:space="preserve">1b</t>
  </si>
  <si>
    <t xml:space="preserve">Corporate bonds, AA- and above</t>
  </si>
  <si>
    <t xml:space="preserve">2A</t>
  </si>
  <si>
    <t xml:space="preserve">Interbank exposures, three months or less</t>
  </si>
  <si>
    <t xml:space="preserve">Rated large corporates</t>
  </si>
  <si>
    <t xml:space="preserve">Small and medium-sized enterprises</t>
  </si>
  <si>
    <t xml:space="preserve">Residential mortgages</t>
  </si>
  <si>
    <t xml:space="preserve">Other retail lending</t>
  </si>
  <si>
    <t xml:space="preserve">Commercial real estate and specialised lending</t>
  </si>
  <si>
    <t xml:space="preserve">Defaulted exposures, provisioned above 20 per cent</t>
  </si>
  <si>
    <t xml:space="preserve">Listed equities and participations</t>
  </si>
  <si>
    <t xml:space="preserve">2B</t>
  </si>
  <si>
    <t xml:space="preserve">Securities financing transactions</t>
  </si>
  <si>
    <t xml:space="preserve">Derivatives, SA-CCR exposure value</t>
  </si>
  <si>
    <t xml:space="preserve">Other assets: fixed assets, deferred tax, sundry</t>
  </si>
  <si>
    <t xml:space="preserve">Two standardised weights are not typed: the mortgage weight is the band-by-band figure computed on The loan split, and the equity weight is read from the transitional schedule above. The Article 501 supporting factor applies to the standardised ladder only.</t>
  </si>
  <si>
    <t xml:space="preserve">The balance sheet - off balance sheet</t>
  </si>
  <si>
    <t xml:space="preserve">off balance sheet</t>
  </si>
  <si>
    <t xml:space="preserve">nominal</t>
  </si>
  <si>
    <t xml:space="preserve">conversion factor</t>
  </si>
  <si>
    <t xml:space="preserve">30-day outflow</t>
  </si>
  <si>
    <t xml:space="preserve">Committed credit lines to corporates</t>
  </si>
  <si>
    <t xml:space="preserve">Guarantees and sureties given</t>
  </si>
  <si>
    <t xml:space="preserve">Unconditionally cancellable lines</t>
  </si>
  <si>
    <t xml:space="preserve">The stable funding factor of an off balance sheet line applies to the NOMINAL, not to the converted exposure value. The conversion factor belongs to the capital ladder alone.</t>
  </si>
  <si>
    <t xml:space="preserve">The three risk blocks that are not credit risk</t>
  </si>
  <si>
    <t xml:space="preserve">Market risk, standardised</t>
  </si>
  <si>
    <t xml:space="preserve">Market risk, internal models</t>
  </si>
  <si>
    <t xml:space="preserve">Operational risk, one approach and no internal option</t>
  </si>
  <si>
    <t xml:space="preserve">Credit valuation adjustment, standardised</t>
  </si>
  <si>
    <t xml:space="preserve">Credit valuation adjustment, internal models</t>
  </si>
  <si>
    <t xml:space="preserve">Funding and capital</t>
  </si>
  <si>
    <t xml:space="preserve">liability</t>
  </si>
  <si>
    <t xml:space="preserve">amount</t>
  </si>
  <si>
    <t xml:space="preserve">available stable funding factor</t>
  </si>
  <si>
    <t xml:space="preserve">Retail deposits, stable</t>
  </si>
  <si>
    <t xml:space="preserve">Retail deposits, less stable</t>
  </si>
  <si>
    <t xml:space="preserve">Corporate deposits, operational</t>
  </si>
  <si>
    <t xml:space="preserve">Corporate deposits, non-operational</t>
  </si>
  <si>
    <t xml:space="preserve">Financial institution deposits</t>
  </si>
  <si>
    <t xml:space="preserve">Covered bonds issued, over one year</t>
  </si>
  <si>
    <t xml:space="preserve">Senior preferred debt, over one year</t>
  </si>
  <si>
    <t xml:space="preserve">Senior non-preferred debt, over one year</t>
  </si>
  <si>
    <t xml:space="preserve">Secured funding, under six months</t>
  </si>
  <si>
    <t xml:space="preserve">Derivative liabilities</t>
  </si>
  <si>
    <t xml:space="preserve">Tier 2</t>
  </si>
  <si>
    <t xml:space="preserve">Additional tier 1</t>
  </si>
  <si>
    <t xml:space="preserve">Common equity tier 1</t>
  </si>
  <si>
    <t xml:space="preserve">Other liabilities</t>
  </si>
  <si>
    <t xml:space="preserve">No amount of capital is entered twice: common equity, additional tier 1 and tier 2 are read out of this table by name wherever the file needs them.</t>
  </si>
  <si>
    <t xml:space="preserve">Requirements</t>
  </si>
  <si>
    <t xml:space="preserve">Pillar 1, common equity</t>
  </si>
  <si>
    <t xml:space="preserve">Pillar 1, tier 1</t>
  </si>
  <si>
    <t xml:space="preserve">Pillar 1, total capital</t>
  </si>
  <si>
    <t xml:space="preserve">Pillar 2 requirement, total</t>
  </si>
  <si>
    <t xml:space="preserve">Share of it that must be common equity</t>
  </si>
  <si>
    <t xml:space="preserve">Share of it that must be tier 1</t>
  </si>
  <si>
    <t xml:space="preserve">Share of it that may be tier 2</t>
  </si>
  <si>
    <t xml:space="preserve">Supervisory guidance, on top of everything</t>
  </si>
  <si>
    <t xml:space="preserve">Capital conservation buffer</t>
  </si>
  <si>
    <t xml:space="preserve">Systemic institution buffer</t>
  </si>
  <si>
    <t xml:space="preserve">Sectoral systemic risk buffer</t>
  </si>
  <si>
    <t xml:space="preserve">Leverage ratio requirement</t>
  </si>
  <si>
    <t xml:space="preserve">The countercyclical buffer, country by country</t>
  </si>
  <si>
    <t xml:space="preserve">country</t>
  </si>
  <si>
    <t xml:space="preserve">share of own funds requirements for credit risk</t>
  </si>
  <si>
    <t xml:space="preserve">national rate</t>
  </si>
  <si>
    <t xml:space="preserve">France</t>
  </si>
  <si>
    <t xml:space="preserve">Germany</t>
  </si>
  <si>
    <t xml:space="preserve">Netherlands</t>
  </si>
  <si>
    <t xml:space="preserve">Belgium</t>
  </si>
  <si>
    <t xml:space="preserve">Rest of the Union</t>
  </si>
  <si>
    <t xml:space="preserve">Outside the Union</t>
  </si>
  <si>
    <t xml:space="preserve">Liquidity</t>
  </si>
  <si>
    <t xml:space="preserve">Share of secured funding raised against own inventory</t>
  </si>
  <si>
    <t xml:space="preserve">Margin posted on that funding, 105 of paper for 100 of cash</t>
  </si>
  <si>
    <t xml:space="preserve">Other contractual outflows over thirty days</t>
  </si>
  <si>
    <t xml:space="preserve">Contractual inflows over thirty days</t>
  </si>
  <si>
    <t xml:space="preserve">Cap on inflows, as a share of gross outflows</t>
  </si>
  <si>
    <t xml:space="preserve">Article 17 cap on level 1b, as a share of the buffer</t>
  </si>
  <si>
    <t xml:space="preserve">Article 17 cap on level 2 together</t>
  </si>
  <si>
    <t xml:space="preserve">Article 17 cap on level 2B</t>
  </si>
  <si>
    <t xml:space="preserve">Liquidity coverage ratio requirement</t>
  </si>
  <si>
    <t xml:space="preserve">Net stable funding ratio requirement</t>
  </si>
  <si>
    <t xml:space="preserve">The caps are expressed as a share of the FINAL buffer, which is why each is grossed up by its own complement before it is applied.</t>
  </si>
  <si>
    <t xml:space="preserve">The stable funding conventions, as switches</t>
  </si>
  <si>
    <t xml:space="preserve">variation</t>
  </si>
  <si>
    <t xml:space="preserve">switch, 1 applies it</t>
  </si>
  <si>
    <t xml:space="preserve">replacement factor</t>
  </si>
  <si>
    <t xml:space="preserve">Cancellable lines at a zero funding factor (national discretion, Article 428p)</t>
  </si>
  <si>
    <t xml:space="preserve">Guarantees given at a zero funding factor</t>
  </si>
  <si>
    <t xml:space="preserve">One billion of mortgages inside a year, at 50 per cent</t>
  </si>
  <si>
    <t xml:space="preserve">Unsecured interbank at 15 per cent, the Basel convention</t>
  </si>
  <si>
    <t xml:space="preserve">Repo assets at 15 per cent</t>
  </si>
  <si>
    <t xml:space="preserve">Operational deposits at 40 per cent available funding, read strictly</t>
  </si>
  <si>
    <t xml:space="preserve">Mortgages maturing inside a year, variation three</t>
  </si>
  <si>
    <t xml:space="preserve">Each variation is defensible and each is written down somewhere. The band they produce is the honest statement of where the ratio is; a single figure inside it is not.</t>
  </si>
  <si>
    <t xml:space="preserve">The distribution ladder</t>
  </si>
  <si>
    <t xml:space="preserve">quartile</t>
  </si>
  <si>
    <t xml:space="preserve">share of the combined buffer covered</t>
  </si>
  <si>
    <t xml:space="preserve">maximum distributable share</t>
  </si>
  <si>
    <t xml:space="preserve">quartile 1</t>
  </si>
  <si>
    <t xml:space="preserve">quartile 2</t>
  </si>
  <si>
    <t xml:space="preserve">quartile 3</t>
  </si>
  <si>
    <t xml:space="preserve">quartile 4</t>
  </si>
  <si>
    <t xml:space="preserve">Resolution and concentration</t>
  </si>
  <si>
    <t xml:space="preserve">Resolution authority's deduction from the buffer, market confidence charge</t>
  </si>
  <si>
    <t xml:space="preserve">Base subordinated requirement</t>
  </si>
  <si>
    <t xml:space="preserve">Leverage-based variant, multiple of the leverage requirement</t>
  </si>
  <si>
    <t xml:space="preserve">Coupon on senior non-preferred debt</t>
  </si>
  <si>
    <t xml:space="preserve">Rate the proceeds earn once raised</t>
  </si>
  <si>
    <t xml:space="preserve">Large exposure limit, as a share of capital</t>
  </si>
  <si>
    <t xml:space="preserve">Largest connected counterparty</t>
  </si>
  <si>
    <t xml:space="preserve">A portfolio is not its average loan</t>
  </si>
  <si>
    <t xml:space="preserve">Article 125 splits every loan at the threshold. The split is convex in loan-to-value, and convexity does not survive averaging.</t>
  </si>
  <si>
    <t xml:space="preserve">The split, band by band</t>
  </si>
  <si>
    <t xml:space="preserve">share of the loan below the threshold</t>
  </si>
  <si>
    <t xml:space="preserve">weight on that share</t>
  </si>
  <si>
    <t xml:space="preserve">weight on the remainder</t>
  </si>
  <si>
    <t xml:space="preserve">weight of the band</t>
  </si>
  <si>
    <t xml:space="preserve">contribution to the book</t>
  </si>
  <si>
    <t xml:space="preserve">the book</t>
  </si>
  <si>
    <t xml:space="preserve">The shortcut, and what it costs</t>
  </si>
  <si>
    <t xml:space="preserve">Weighted average loan-to-value</t>
  </si>
  <si>
    <t xml:space="preserve">Share of the average loan below the threshold</t>
  </si>
  <si>
    <t xml:space="preserve">Risk weight computed on the average loan</t>
  </si>
  <si>
    <t xml:space="preserve">Band by band, less the average loan</t>
  </si>
  <si>
    <t xml:space="preserve">The same, in basis points</t>
  </si>
  <si>
    <t xml:space="preserve">The mortgage book</t>
  </si>
  <si>
    <t xml:space="preserve">The shortcut, in risk-weighted assets</t>
  </si>
  <si>
    <t xml:space="preserve">The error has a sign. The weight is convex in loan-to-value, so the average of the weights exceeds the weight of the average, always, and the shortcut always understates. It goes the way that flatters.</t>
  </si>
  <si>
    <t xml:space="preserve">The guard on the sign</t>
  </si>
  <si>
    <t xml:space="preserve">The smaller of nought and the difference, which convexity forbids to be negative</t>
  </si>
  <si>
    <t xml:space="preserve">What the split does to the funding threshold</t>
  </si>
  <si>
    <t xml:space="preserve">Share of the book whose OWN weight exceeds the funding threshold</t>
  </si>
  <si>
    <t xml:space="preserve">That share is the whole of chapter thirteen's second reading. At portfolio level the book passes the threshold; band by band, part of it does not.</t>
  </si>
  <si>
    <t xml:space="preserve">The bank, recomputed</t>
  </si>
  <si>
    <t xml:space="preserve">The two ladders line by line, the three blocks that are not credit risk, the output floor at the model's date, and what the capital stack has to answer to.</t>
  </si>
  <si>
    <t xml:space="preserve">Credit risk, on balance sheet</t>
  </si>
  <si>
    <t xml:space="preserve">standardised RWA</t>
  </si>
  <si>
    <t xml:space="preserve">internal RWA</t>
  </si>
  <si>
    <t xml:space="preserve">total assets</t>
  </si>
  <si>
    <t xml:space="preserve">Credit risk, off balance sheet</t>
  </si>
  <si>
    <t xml:space="preserve">exposure value</t>
  </si>
  <si>
    <t xml:space="preserve">total</t>
  </si>
  <si>
    <t xml:space="preserve">The three blocks that are not credit risk</t>
  </si>
  <si>
    <t xml:space="preserve">risk block</t>
  </si>
  <si>
    <t xml:space="preserve">standardised</t>
  </si>
  <si>
    <t xml:space="preserve">internal models</t>
  </si>
  <si>
    <t xml:space="preserve">Market risk</t>
  </si>
  <si>
    <t xml:space="preserve">Operational risk</t>
  </si>
  <si>
    <t xml:space="preserve">Credit valuation adjustment</t>
  </si>
  <si>
    <t xml:space="preserve">the three blocks together</t>
  </si>
  <si>
    <t xml:space="preserve">Operational risk carries the same figure on both ladders: since the last revision there is one approach and no internal option.</t>
  </si>
  <si>
    <t xml:space="preserve">The two ladders, and the floor between them</t>
  </si>
  <si>
    <t xml:space="preserve">Risk-weighted assets, standardised</t>
  </si>
  <si>
    <t xml:space="preserve">Risk-weighted assets, internal models</t>
  </si>
  <si>
    <t xml:space="preserve">Internal models as a share of standardised</t>
  </si>
  <si>
    <t xml:space="preserve">The three non-credit blocks as a share of the standardised ladder</t>
  </si>
  <si>
    <t xml:space="preserve">Risk-weighted assets at the floor</t>
  </si>
  <si>
    <t xml:space="preserve">Risk-weighted assets used</t>
  </si>
  <si>
    <t xml:space="preserve">Does the floor bind at the model's date</t>
  </si>
  <si>
    <t xml:space="preserve">Capital, read out of the funding table by name</t>
  </si>
  <si>
    <t xml:space="preserve">Tier 1</t>
  </si>
  <si>
    <t xml:space="preserve">Total own funds</t>
  </si>
  <si>
    <t xml:space="preserve">Total liabilities and capital</t>
  </si>
  <si>
    <t xml:space="preserve">Total assets less total liabilities</t>
  </si>
  <si>
    <t xml:space="preserve">Common equity tier 1 ratio</t>
  </si>
  <si>
    <t xml:space="preserve">Tier 1 ratio</t>
  </si>
  <si>
    <t xml:space="preserve">Total capital ratio</t>
  </si>
  <si>
    <t xml:space="preserve">The requirement, and the buffers on top of it</t>
  </si>
  <si>
    <t xml:space="preserve">Pillar 2 requirement, of which common equity</t>
  </si>
  <si>
    <t xml:space="preserve">Pillar 2 requirement, of which additional tier 1</t>
  </si>
  <si>
    <t xml:space="preserve">Pillar 2 requirement, of which tier 2</t>
  </si>
  <si>
    <t xml:space="preserve">The split, less the requirement it splits</t>
  </si>
  <si>
    <t xml:space="preserve">Requirement excluding buffers, common equity</t>
  </si>
  <si>
    <t xml:space="preserve">Countercyclical buffer, weighted</t>
  </si>
  <si>
    <t xml:space="preserve">Combined buffer requirement</t>
  </si>
  <si>
    <t xml:space="preserve">Distribution trigger</t>
  </si>
  <si>
    <t xml:space="preserve">Level including supervisory guidance</t>
  </si>
  <si>
    <t xml:space="preserve">Combined buffer, in euros</t>
  </si>
  <si>
    <t xml:space="preserve">Leverage exposure measure</t>
  </si>
  <si>
    <t xml:space="preserve">The tier 2 share of Pillar 2 is defined, not left as a residual. Written as a residual the identity two lines above would be a tautology and would prove nothing.</t>
  </si>
  <si>
    <t xml:space="preserve">The collateral you have already pledged</t>
  </si>
  <si>
    <t xml:space="preserve">The securities portfolio before encumbrance and after it, and the 51 points between the two ratios that follow.</t>
  </si>
  <si>
    <t xml:space="preserve">The portfolio, as treasury reports it</t>
  </si>
  <si>
    <t xml:space="preserve">security</t>
  </si>
  <si>
    <t xml:space="preserve">holding</t>
  </si>
  <si>
    <t xml:space="preserve">level</t>
  </si>
  <si>
    <t xml:space="preserve">after haircut</t>
  </si>
  <si>
    <t xml:space="preserve">the portfolio after haircuts</t>
  </si>
  <si>
    <t xml:space="preserve">What is already pledged</t>
  </si>
  <si>
    <t xml:space="preserve">Share of it raised against Northbank's own inventory</t>
  </si>
  <si>
    <t xml:space="preserve">Cash raised against own inventory</t>
  </si>
  <si>
    <t xml:space="preserve">Margin posted on it</t>
  </si>
  <si>
    <t xml:space="preserve">Securities pledged, at that margin</t>
  </si>
  <si>
    <t xml:space="preserve">105 of paper for every 100 of cash. That is a margin, not a haircut: it increases the securities that leave the buffer, it does not reduce them. The rest of the secured book is matched-book repo, which pledges collateral the bank does not own.</t>
  </si>
  <si>
    <t xml:space="preserve">Which securities leave the buffer, and in what order</t>
  </si>
  <si>
    <t xml:space="preserve">still to allocate</t>
  </si>
  <si>
    <t xml:space="preserve">pledged here</t>
  </si>
  <si>
    <t xml:space="preserve">free after</t>
  </si>
  <si>
    <t xml:space="preserve">nothing should be left unallocated</t>
  </si>
  <si>
    <t xml:space="preserve">Central bank reserves are not pledged and are not in this table. The order in which the rest is imputed is a convention, and it is visible here rather than buried: the sovereigns absorb the whole of it, and not one covered bond is pledged.</t>
  </si>
  <si>
    <t xml:space="preserve">The unencumbered buffer, level by level, with the Article 17 caps</t>
  </si>
  <si>
    <t xml:space="preserve">Level 1, reserves and free sovereigns after haircut</t>
  </si>
  <si>
    <t xml:space="preserve">Level 1b before the cap, free covered bonds after haircut</t>
  </si>
  <si>
    <t xml:space="preserve">Cap on level 1b</t>
  </si>
  <si>
    <t xml:space="preserve">Level 1b, after the cap</t>
  </si>
  <si>
    <t xml:space="preserve">Level 2B before the cap, free equities after haircut</t>
  </si>
  <si>
    <t xml:space="preserve">Cap on level 2B</t>
  </si>
  <si>
    <t xml:space="preserve">Level 2B, after the cap</t>
  </si>
  <si>
    <t xml:space="preserve">Level 2A before the cap, free corporate bonds after haircut</t>
  </si>
  <si>
    <t xml:space="preserve">Cap on level 2 together</t>
  </si>
  <si>
    <t xml:space="preserve">Level 2A, after both caps</t>
  </si>
  <si>
    <t xml:space="preserve">High-quality liquid assets, unencumbered</t>
  </si>
  <si>
    <t xml:space="preserve">The portfolio, less the buffer</t>
  </si>
  <si>
    <t xml:space="preserve">None of the three caps binds on this balance sheet. They are computed anyway, because a cap that does not bind today binds the moment the buffer is rebalanced, and nobody re-derives them then.</t>
  </si>
  <si>
    <t xml:space="preserve">Thirty days</t>
  </si>
  <si>
    <t xml:space="preserve">The deposit book, the lines the bank has promised, and the cap the rules put on what may be counted coming in.</t>
  </si>
  <si>
    <t xml:space="preserve">Outflows from funding and capital</t>
  </si>
  <si>
    <t xml:space="preserve">outflow</t>
  </si>
  <si>
    <t xml:space="preserve">gross outflows on funding</t>
  </si>
  <si>
    <t xml:space="preserve">Outflows on what has been promised off balance sheet</t>
  </si>
  <si>
    <t xml:space="preserve">gross outflows off balance sheet</t>
  </si>
  <si>
    <t xml:space="preserve">Other contractual outflows</t>
  </si>
  <si>
    <t xml:space="preserve">Gross outflows</t>
  </si>
  <si>
    <t xml:space="preserve">Contractual inflows</t>
  </si>
  <si>
    <t xml:space="preserve">Cap on inflows, 75 per cent of gross outflows</t>
  </si>
  <si>
    <t xml:space="preserve">Inflows recognised</t>
  </si>
  <si>
    <t xml:space="preserve">Net outflows over thirty days</t>
  </si>
  <si>
    <t xml:space="preserve">The cap does not bind here either. It is the line that decides the ratio for a bank whose balance sheet is short and matched, and it is the first thing to look at when a coverage ratio looks too comfortable.</t>
  </si>
  <si>
    <t xml:space="preserve">Two figures, both arithmetically correct</t>
  </si>
  <si>
    <t xml:space="preserve">Only one of them is the liquidity coverage ratio. The other is the one that circulates.</t>
  </si>
  <si>
    <t xml:space="preserve">Liquidity coverage ratio</t>
  </si>
  <si>
    <t xml:space="preserve">Requirement</t>
  </si>
  <si>
    <t xml:space="preserve">Headroom, in points</t>
  </si>
  <si>
    <t xml:space="preserve">The same ratio if the pledge were forgotten</t>
  </si>
  <si>
    <t xml:space="preserve">The portfolio after haircuts, as treasury reports it</t>
  </si>
  <si>
    <t xml:space="preserve">The ratio it produces</t>
  </si>
  <si>
    <t xml:space="preserve">The distance between the two, in points</t>
  </si>
  <si>
    <t xml:space="preserve">Both figures are right. They do not measure the same thing, and it is the second that reaches the committee.</t>
  </si>
  <si>
    <t xml:space="preserve">One year</t>
  </si>
  <si>
    <t xml:space="preserve">Available stable funding against required stable funding, both built line by line from the same two tables the coverage ratio uses.</t>
  </si>
  <si>
    <t xml:space="preserve">Available stable funding</t>
  </si>
  <si>
    <t xml:space="preserve">available stable funding</t>
  </si>
  <si>
    <t xml:space="preserve">Required stable funding, on balance sheet</t>
  </si>
  <si>
    <t xml:space="preserve">required stable funding</t>
  </si>
  <si>
    <t xml:space="preserve">required, on balance sheet</t>
  </si>
  <si>
    <t xml:space="preserve">Required stable funding, off balance sheet</t>
  </si>
  <si>
    <t xml:space="preserve">required, off balance sheet</t>
  </si>
  <si>
    <t xml:space="preserve">Required stable funding</t>
  </si>
  <si>
    <t xml:space="preserve">Net stable funding ratio</t>
  </si>
  <si>
    <t xml:space="preserve">Shortfall</t>
  </si>
  <si>
    <t xml:space="preserve">The off balance sheet factor applies to the nominal and not to the converted exposure value. The capital ladder converts; the funding ladder does not.</t>
  </si>
  <si>
    <t xml:space="preserve">The ratio that fails, and how far it can be argued</t>
  </si>
  <si>
    <t xml:space="preserve">Six defensible variations on the factors, each on its own switch, and the mortgage funding factor read a seventh way.</t>
  </si>
  <si>
    <t xml:space="preserve">The six variations, each taken alone</t>
  </si>
  <si>
    <t xml:space="preserve">switch</t>
  </si>
  <si>
    <t xml:space="preserve">change in required stable funding</t>
  </si>
  <si>
    <t xml:space="preserve">change in available stable funding</t>
  </si>
  <si>
    <t xml:space="preserve">required, this reading alone</t>
  </si>
  <si>
    <t xml:space="preserve">available, this reading alone</t>
  </si>
  <si>
    <t xml:space="preserve">ratio, this reading alone</t>
  </si>
  <si>
    <t xml:space="preserve">The ratio as the conventions of this file read it</t>
  </si>
  <si>
    <t xml:space="preserve">The ratio with the switches as they are set</t>
  </si>
  <si>
    <t xml:space="preserve">The bottom of the band</t>
  </si>
  <si>
    <t xml:space="preserve">The top of the band</t>
  </si>
  <si>
    <t xml:space="preserve">The distance from the top of the band to the requirement</t>
  </si>
  <si>
    <t xml:space="preserve">Not one of them reaches a hundred. A result that a defensible assumption overturns is not a result; a band that no defensible assumption escapes is.</t>
  </si>
  <si>
    <t xml:space="preserve">The seventh reading: the mortgage funding factor, read the other way</t>
  </si>
  <si>
    <t xml:space="preserve">Risk weight at or below which the favourable factor applies</t>
  </si>
  <si>
    <t xml:space="preserve">The book's risk weight, at portfolio level</t>
  </si>
  <si>
    <t xml:space="preserve">Does the portfolio pass the test</t>
  </si>
  <si>
    <t xml:space="preserve">Share of the book whose OWN weight fails the test</t>
  </si>
  <si>
    <t xml:space="preserve">Mortgage funding factor, portfolio level</t>
  </si>
  <si>
    <t xml:space="preserve">Mortgage funding factor, exposure by exposure</t>
  </si>
  <si>
    <t xml:space="preserve">Additional required stable funding the second reading costs</t>
  </si>
  <si>
    <t xml:space="preserve">Required stable funding, exposure by exposure</t>
  </si>
  <si>
    <t xml:space="preserve">Net stable funding ratio, exposure by exposure</t>
  </si>
  <si>
    <t xml:space="preserve">The two readings, apart, in points</t>
  </si>
  <si>
    <t xml:space="preserve">Both readings live here on purpose. The texts permit both, the difference is 546 million of required stable funding, and choosing one in silence is the thing this book is against.</t>
  </si>
  <si>
    <t xml:space="preserve">The variations together</t>
  </si>
  <si>
    <t xml:space="preserve">The variations that help, switched on together</t>
  </si>
  <si>
    <t xml:space="preserve">All six switched on together</t>
  </si>
  <si>
    <t xml:space="preserve">Shortfall at the most favourable combination</t>
  </si>
  <si>
    <t xml:space="preserve">Switching everything on is not the most favourable reading: three of the six make the ratio worse. The three that help, together, reach 96.5310 per cent, and 1,601 million of stable funding is still missing.</t>
  </si>
  <si>
    <t xml:space="preserve">The two costs of the same asset</t>
  </si>
  <si>
    <t xml:space="preserve">Common equity per euro of exposure against stable funding per euro, and the rank correlation between them.</t>
  </si>
  <si>
    <t xml:space="preserve">common equity per euro</t>
  </si>
  <si>
    <t xml:space="preserve">stable funding per euro</t>
  </si>
  <si>
    <t xml:space="preserve">funding per unit of capital</t>
  </si>
  <si>
    <t xml:space="preserve">rank, capital</t>
  </si>
  <si>
    <t xml:space="preserve">rank, funding</t>
  </si>
  <si>
    <t xml:space="preserve">What the two columns say together</t>
  </si>
  <si>
    <t xml:space="preserve">Rank correlation between the two costs</t>
  </si>
  <si>
    <t xml:space="preserve">Highest ratio, unrounded</t>
  </si>
  <si>
    <t xml:space="preserve">Lowest ratio, unrounded</t>
  </si>
  <si>
    <t xml:space="preserve">Spread of the ratio across the balance sheet</t>
  </si>
  <si>
    <t xml:space="preserve">The next asset below the top</t>
  </si>
  <si>
    <t xml:space="preserve">Residential mortgage, common equity per euro</t>
  </si>
  <si>
    <t xml:space="preserve">Residential mortgage, funding per unit of capital</t>
  </si>
  <si>
    <t xml:space="preserve">Rated large corporates, funding per unit of capital</t>
  </si>
  <si>
    <t xml:space="preserve">Mortgage against corporate lending</t>
  </si>
  <si>
    <t xml:space="preserve">The two costs move together in rank. They do not move together in intensity: the mortgage, second-lightest of the weighted assets in capital, carries the most stable funding per unit of capital, 2.27 times the corporate loan.</t>
  </si>
  <si>
    <t xml:space="preserve">The same comparison under the floor, in the last year of the schedule</t>
  </si>
  <si>
    <t xml:space="preserve">Terminal output floor rate</t>
  </si>
  <si>
    <t xml:space="preserve">Residential mortgage, standardised weight</t>
  </si>
  <si>
    <t xml:space="preserve">Rated large corporates, standardised weight</t>
  </si>
  <si>
    <t xml:space="preserve">Mortgage, common equity per euro under the floor</t>
  </si>
  <si>
    <t xml:space="preserve">Corporate, common equity per euro under the floor</t>
  </si>
  <si>
    <t xml:space="preserve">Mortgage, funding per unit of capital under the floor</t>
  </si>
  <si>
    <t xml:space="preserve">Corporate, funding per unit of capital under the floor</t>
  </si>
  <si>
    <t xml:space="preserve">Mortgage against corporate, under the floor</t>
  </si>
  <si>
    <t xml:space="preserve">Under the floor the marginal cost of capital follows the standardised ladder, not the internal one. The gap narrows and survives.</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</si>
  <si>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</si>
  <si>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</si>
  <si>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</si>
  <si>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</si>
  <si>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</si>
  <si>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</si>
  <si>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</si>
  <si>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</si>
  <si>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</si>
  <si>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11</t>
  </si>
  <si>
    <t xml:space="preserve">Covered bonds after haircut, EUR m</t>
  </si>
  <si>
    <t xml:space="preserve">Corporate bonds after haircut, EUR m</t>
  </si>
  <si>
    <t xml:space="preserve">Listed equities after haircut, EUR m</t>
  </si>
  <si>
    <t xml:space="preserve">Securities portfolio after haircuts, EUR m</t>
  </si>
  <si>
    <t xml:space="preserve">Gross outflows on funding, EUR m</t>
  </si>
  <si>
    <t xml:space="preserve">Gross outflows off balance sheet, EUR m</t>
  </si>
  <si>
    <t xml:space="preserve">Other contractual outflows, EUR m</t>
  </si>
  <si>
    <t xml:space="preserve">Gross outflows, EUR m</t>
  </si>
  <si>
    <t xml:space="preserve">Cap on inflows, EUR m</t>
  </si>
  <si>
    <t xml:space="preserve">Inflows recognised, EUR m</t>
  </si>
  <si>
    <t xml:space="preserve">Net outflows over thirty days, EUR m</t>
  </si>
  <si>
    <t xml:space="preserve">12</t>
  </si>
  <si>
    <t xml:space="preserve">Share of secured funding against own inventory</t>
  </si>
  <si>
    <t xml:space="preserve">Cash raised against own inventory, EUR m</t>
  </si>
  <si>
    <t xml:space="preserve">Securities pledged, at a 5 per cent margin, EUR m</t>
  </si>
  <si>
    <t xml:space="preserve">EU sovereigns left free, EUR m</t>
  </si>
  <si>
    <t xml:space="preserve">Nothing left unallocated</t>
  </si>
  <si>
    <t xml:space="preserve">High-quality liquid assets, unencumbered, EUR m</t>
  </si>
  <si>
    <t xml:space="preserve">13</t>
  </si>
  <si>
    <t xml:space="preserve">Available stable funding, EUR m</t>
  </si>
  <si>
    <t xml:space="preserve">Required stable funding, on balance sheet, EUR m</t>
  </si>
  <si>
    <t xml:space="preserve">Required stable funding, off balance sheet, EUR m</t>
  </si>
  <si>
    <t xml:space="preserve">Required stable funding, EUR m</t>
  </si>
  <si>
    <t xml:space="preserve">Shortfall, EUR m</t>
  </si>
  <si>
    <t xml:space="preserve">Cancellable lines at a zero funding factor</t>
  </si>
  <si>
    <t xml:space="preserve">Unsecured interbank at 15 per cent</t>
  </si>
  <si>
    <t xml:space="preserve">Operational deposits at 40 per cent available funding</t>
  </si>
  <si>
    <t xml:space="preserve">14</t>
  </si>
  <si>
    <t xml:space="preserve">Share of the book above the funding threshold</t>
  </si>
  <si>
    <t xml:space="preserve">Additional required stable funding, EUR m</t>
  </si>
  <si>
    <t xml:space="preserve">Required stable funding, exposure by exposure, EUR m</t>
  </si>
  <si>
    <t xml:space="preserve">15</t>
  </si>
  <si>
    <t xml:space="preserve">The next asset below the mortgage</t>
  </si>
  <si>
    <t xml:space="preserve">The same, under the floor in the last year of the schedule</t>
  </si>
  <si>
    <t xml:space="preserve">Level 1, reserves and free sovereigns, EUR m</t>
  </si>
  <si>
    <t xml:space="preserve">Covered bonds pledged: the sovereigns absorb the whole pledge, EUR m</t>
  </si>
  <si>
    <t xml:space="preserve">Headroom over the coverage requirement, in points</t>
  </si>
  <si>
    <t xml:space="preserve">Revised: the three favourable variations together</t>
  </si>
  <si>
    <t xml:space="preserve">Revised: all six variations together</t>
  </si>
  <si>
    <t xml:space="preserve">Shortfall at the most favourable combination, EUR m</t>
  </si>
  <si>
    <t xml:space="preserve">The two mortgage readings apart, in points</t>
  </si>
  <si>
    <t xml:space="preserve">Checks that pass</t>
  </si>
  <si>
    <t xml:space="preserve">Checks that fail</t>
  </si>
</sst>
</file>

<file path=xl/styles.xml><?xml version="1.0" encoding="utf-8"?>
<styleSheet xmlns="http://schemas.openxmlformats.org/spreadsheetml/2006/main">
  <numFmts count="13">
    <numFmt numFmtId="164" formatCode="General"/>
    <numFmt numFmtId="165" formatCode="0"/>
    <numFmt numFmtId="166" formatCode="0.00%;\-0.00%"/>
    <numFmt numFmtId="167" formatCode="#,##0;\-#,##0"/>
    <numFmt numFmtId="168" formatCode="@"/>
    <numFmt numFmtId="169" formatCode="0.0000"/>
    <numFmt numFmtId="170" formatCode="0.0000%;\-0.0000%"/>
    <numFmt numFmtId="171" formatCode="0.00"/>
    <numFmt numFmtId="172" formatCode="0.0&quot; bp&quot;"/>
    <numFmt numFmtId="173" formatCode="0.0000000000"/>
    <numFmt numFmtId="174" formatCode="0.00000000"/>
    <numFmt numFmtId="175" formatCode="#,##0.00;\-#,##0.00"/>
    <numFmt numFmtId="176" formatCode="0.00\x"/>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75"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60"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75"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4" min="3" style="0" width="15"/>
    <col collapsed="false" customWidth="true" hidden="false" outlineLevel="0" max="5" min="5" style="0" width="14"/>
    <col collapsed="false" customWidth="true" hidden="false" outlineLevel="0" max="6" min="6" style="0" width="12"/>
    <col collapsed="false" customWidth="true" hidden="false" outlineLevel="0" max="7" min="7" style="0" width="11"/>
    <col collapsed="false" customWidth="true" hidden="false" outlineLevel="0" max="8" min="8" style="0" width="13"/>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c r="E3" s="3"/>
      <c r="F3" s="3"/>
      <c r="G3" s="3"/>
      <c r="H3" s="3"/>
    </row>
    <row r="5" customFormat="false" ht="15" hidden="false" customHeight="false" outlineLevel="0" collapsed="false">
      <c r="A5" s="4" t="s">
        <v>18</v>
      </c>
      <c r="B5" s="6"/>
      <c r="C5" s="6"/>
      <c r="D5" s="6"/>
      <c r="E5" s="6"/>
      <c r="F5" s="6"/>
      <c r="G5" s="6"/>
      <c r="H5" s="6"/>
    </row>
    <row r="7" customFormat="false" ht="15" hidden="false" customHeight="false" outlineLevel="0" collapsed="false">
      <c r="A7" s="7" t="s">
        <v>19</v>
      </c>
      <c r="B7" s="8" t="n">
        <v>2026</v>
      </c>
    </row>
    <row r="8" customFormat="false" ht="31.5" hidden="false" customHeight="true" outlineLevel="0" collapsed="false">
      <c r="A8" s="9" t="s">
        <v>20</v>
      </c>
      <c r="B8" s="10" t="s">
        <v>21</v>
      </c>
      <c r="C8" s="10" t="s">
        <v>22</v>
      </c>
    </row>
    <row r="9" customFormat="false" ht="15" hidden="false" customHeight="false" outlineLevel="0" collapsed="false">
      <c r="A9" s="8" t="n">
        <v>2025</v>
      </c>
      <c r="B9" s="11" t="n">
        <v>0.5</v>
      </c>
      <c r="C9" s="11" t="n">
        <v>1</v>
      </c>
    </row>
    <row r="10" customFormat="false" ht="15" hidden="false" customHeight="false" outlineLevel="0" collapsed="false">
      <c r="A10" s="8" t="n">
        <v>2026</v>
      </c>
      <c r="B10" s="11" t="n">
        <v>0.55</v>
      </c>
      <c r="C10" s="11" t="n">
        <v>1.3</v>
      </c>
    </row>
    <row r="11" customFormat="false" ht="15" hidden="false" customHeight="false" outlineLevel="0" collapsed="false">
      <c r="A11" s="8" t="n">
        <v>2027</v>
      </c>
      <c r="B11" s="11" t="n">
        <v>0.6</v>
      </c>
      <c r="C11" s="11" t="n">
        <v>1.6</v>
      </c>
    </row>
    <row r="12" customFormat="false" ht="15" hidden="false" customHeight="false" outlineLevel="0" collapsed="false">
      <c r="A12" s="8" t="n">
        <v>2028</v>
      </c>
      <c r="B12" s="11" t="n">
        <v>0.65</v>
      </c>
      <c r="C12" s="11" t="n">
        <v>1.9</v>
      </c>
    </row>
    <row r="13" customFormat="false" ht="15" hidden="false" customHeight="false" outlineLevel="0" collapsed="false">
      <c r="A13" s="8" t="n">
        <v>2029</v>
      </c>
      <c r="B13" s="11" t="n">
        <v>0.7</v>
      </c>
      <c r="C13" s="11" t="n">
        <v>2.2</v>
      </c>
    </row>
    <row r="14" customFormat="false" ht="15" hidden="false" customHeight="false" outlineLevel="0" collapsed="false">
      <c r="A14" s="8" t="n">
        <v>2030</v>
      </c>
      <c r="B14" s="11" t="n">
        <v>0.725</v>
      </c>
      <c r="C14" s="11" t="n">
        <v>2.5</v>
      </c>
    </row>
    <row r="15" customFormat="false" ht="15" hidden="false" customHeight="false" outlineLevel="0" collapsed="false">
      <c r="A15" s="7" t="s">
        <v>23</v>
      </c>
      <c r="B15" s="12" t="n">
        <f aca="false">INDEX(FloorRt,MATCH(ModelYear,FloorYr,0))</f>
        <v>0.55</v>
      </c>
    </row>
    <row r="16" customFormat="false" ht="15" hidden="false" customHeight="false" outlineLevel="0" collapsed="false">
      <c r="A16" s="7" t="s">
        <v>24</v>
      </c>
      <c r="B16" s="12" t="n">
        <f aca="false">INDEX(EqRt,MATCH(ModelYear,FloorYr,0))</f>
        <v>1.3</v>
      </c>
    </row>
    <row r="17" customFormat="false" ht="15" hidden="false" customHeight="false" outlineLevel="0" collapsed="false">
      <c r="A17" s="13" t="s">
        <v>25</v>
      </c>
    </row>
    <row r="19" customFormat="false" ht="15" hidden="false" customHeight="false" outlineLevel="0" collapsed="false">
      <c r="A19" s="4" t="s">
        <v>26</v>
      </c>
      <c r="B19" s="6"/>
      <c r="C19" s="6"/>
      <c r="D19" s="6"/>
      <c r="E19" s="6"/>
      <c r="F19" s="6"/>
      <c r="G19" s="6"/>
      <c r="H19" s="6"/>
    </row>
    <row r="21" customFormat="false" ht="15" hidden="false" customHeight="false" outlineLevel="0" collapsed="false">
      <c r="A21" s="7" t="s">
        <v>27</v>
      </c>
      <c r="B21" s="11" t="n">
        <v>0.55</v>
      </c>
    </row>
    <row r="22" customFormat="false" ht="15" hidden="false" customHeight="false" outlineLevel="0" collapsed="false">
      <c r="A22" s="7" t="s">
        <v>28</v>
      </c>
      <c r="B22" s="11" t="n">
        <v>0.2</v>
      </c>
    </row>
    <row r="23" customFormat="false" ht="15" hidden="false" customHeight="false" outlineLevel="0" collapsed="false">
      <c r="A23" s="7" t="s">
        <v>29</v>
      </c>
      <c r="B23" s="11" t="n">
        <v>0.75</v>
      </c>
    </row>
    <row r="24" customFormat="false" ht="31.5" hidden="false" customHeight="true" outlineLevel="0" collapsed="false">
      <c r="A24" s="9" t="s">
        <v>30</v>
      </c>
      <c r="B24" s="10" t="s">
        <v>31</v>
      </c>
      <c r="C24" s="10" t="s">
        <v>32</v>
      </c>
    </row>
    <row r="25" customFormat="false" ht="15" hidden="false" customHeight="false" outlineLevel="0" collapsed="false">
      <c r="A25" s="7" t="s">
        <v>33</v>
      </c>
      <c r="B25" s="11" t="n">
        <v>0.38</v>
      </c>
      <c r="C25" s="11" t="n">
        <v>0.42</v>
      </c>
    </row>
    <row r="26" customFormat="false" ht="15" hidden="false" customHeight="false" outlineLevel="0" collapsed="false">
      <c r="A26" s="7" t="s">
        <v>34</v>
      </c>
      <c r="B26" s="11" t="n">
        <v>0.27</v>
      </c>
      <c r="C26" s="11" t="n">
        <v>0.63</v>
      </c>
    </row>
    <row r="27" customFormat="false" ht="15" hidden="false" customHeight="false" outlineLevel="0" collapsed="false">
      <c r="A27" s="7" t="s">
        <v>35</v>
      </c>
      <c r="B27" s="11" t="n">
        <v>0.22</v>
      </c>
      <c r="C27" s="11" t="n">
        <v>0.75</v>
      </c>
    </row>
    <row r="28" customFormat="false" ht="15" hidden="false" customHeight="false" outlineLevel="0" collapsed="false">
      <c r="A28" s="7" t="s">
        <v>36</v>
      </c>
      <c r="B28" s="11" t="n">
        <v>0.1</v>
      </c>
      <c r="C28" s="11" t="n">
        <v>0.85</v>
      </c>
    </row>
    <row r="29" customFormat="false" ht="15" hidden="false" customHeight="false" outlineLevel="0" collapsed="false">
      <c r="A29" s="7" t="s">
        <v>37</v>
      </c>
      <c r="B29" s="11" t="n">
        <v>0.03</v>
      </c>
      <c r="C29" s="11" t="n">
        <v>0.95</v>
      </c>
    </row>
    <row r="30" customFormat="false" ht="15" hidden="false" customHeight="false" outlineLevel="0" collapsed="false">
      <c r="A30" s="7" t="s">
        <v>38</v>
      </c>
      <c r="B30" s="11" t="n">
        <v>0.35</v>
      </c>
    </row>
    <row r="31" customFormat="false" ht="15" hidden="false" customHeight="false" outlineLevel="0" collapsed="false">
      <c r="A31" s="7" t="s">
        <v>39</v>
      </c>
      <c r="B31" s="11" t="n">
        <v>0.65</v>
      </c>
    </row>
    <row r="32" customFormat="false" ht="15" hidden="false" customHeight="false" outlineLevel="0" collapsed="false">
      <c r="A32" s="7" t="s">
        <v>40</v>
      </c>
      <c r="B32" s="11" t="n">
        <v>0.85</v>
      </c>
    </row>
    <row r="34" customFormat="false" ht="15" hidden="false" customHeight="false" outlineLevel="0" collapsed="false">
      <c r="A34" s="4" t="s">
        <v>41</v>
      </c>
      <c r="B34" s="6"/>
      <c r="C34" s="6"/>
      <c r="D34" s="6"/>
      <c r="E34" s="6"/>
      <c r="F34" s="6"/>
      <c r="G34" s="6"/>
      <c r="H34" s="6"/>
    </row>
    <row r="36" customFormat="false" ht="31.5" hidden="false" customHeight="true" outlineLevel="0" collapsed="false">
      <c r="A36" s="9" t="s">
        <v>42</v>
      </c>
      <c r="B36" s="10" t="s">
        <v>43</v>
      </c>
      <c r="C36" s="10" t="s">
        <v>44</v>
      </c>
      <c r="D36" s="10" t="s">
        <v>45</v>
      </c>
      <c r="E36" s="10" t="s">
        <v>46</v>
      </c>
      <c r="F36" s="10" t="s">
        <v>47</v>
      </c>
      <c r="G36" s="10" t="s">
        <v>48</v>
      </c>
      <c r="H36" s="10" t="s">
        <v>49</v>
      </c>
    </row>
    <row r="37" customFormat="false" ht="15" hidden="false" customHeight="false" outlineLevel="0" collapsed="false">
      <c r="A37" s="7" t="s">
        <v>50</v>
      </c>
      <c r="B37" s="14" t="n">
        <v>8400000000</v>
      </c>
      <c r="C37" s="11" t="n">
        <v>0</v>
      </c>
      <c r="D37" s="11" t="n">
        <v>0</v>
      </c>
      <c r="E37" s="11" t="n">
        <v>0</v>
      </c>
      <c r="F37" s="15" t="s">
        <v>51</v>
      </c>
      <c r="G37" s="11" t="n">
        <v>0</v>
      </c>
      <c r="H37" s="16" t="n">
        <v>1</v>
      </c>
    </row>
    <row r="38" customFormat="false" ht="15" hidden="false" customHeight="false" outlineLevel="0" collapsed="false">
      <c r="A38" s="7" t="s">
        <v>52</v>
      </c>
      <c r="B38" s="14" t="n">
        <v>6200000000</v>
      </c>
      <c r="C38" s="11" t="n">
        <v>0</v>
      </c>
      <c r="D38" s="11" t="n">
        <v>0</v>
      </c>
      <c r="E38" s="11" t="n">
        <v>0.05</v>
      </c>
      <c r="F38" s="15" t="s">
        <v>51</v>
      </c>
      <c r="G38" s="11" t="n">
        <v>0</v>
      </c>
      <c r="H38" s="16" t="n">
        <v>1</v>
      </c>
    </row>
    <row r="39" customFormat="false" ht="15" hidden="false" customHeight="false" outlineLevel="0" collapsed="false">
      <c r="A39" s="7" t="s">
        <v>53</v>
      </c>
      <c r="B39" s="14" t="n">
        <v>2100000000</v>
      </c>
      <c r="C39" s="11" t="n">
        <v>0.1</v>
      </c>
      <c r="D39" s="11" t="n">
        <v>0.075</v>
      </c>
      <c r="E39" s="11" t="n">
        <v>0.07</v>
      </c>
      <c r="F39" s="15" t="s">
        <v>54</v>
      </c>
      <c r="G39" s="11" t="n">
        <v>0.07</v>
      </c>
      <c r="H39" s="16" t="n">
        <v>1</v>
      </c>
    </row>
    <row r="40" customFormat="false" ht="15" hidden="false" customHeight="false" outlineLevel="0" collapsed="false">
      <c r="A40" s="7" t="s">
        <v>55</v>
      </c>
      <c r="B40" s="14" t="n">
        <v>1600000000</v>
      </c>
      <c r="C40" s="11" t="n">
        <v>0.2</v>
      </c>
      <c r="D40" s="11" t="n">
        <v>0.152</v>
      </c>
      <c r="E40" s="11" t="n">
        <v>0.5</v>
      </c>
      <c r="F40" s="15" t="s">
        <v>56</v>
      </c>
      <c r="G40" s="11" t="n">
        <v>0.15</v>
      </c>
      <c r="H40" s="16" t="n">
        <v>1</v>
      </c>
    </row>
    <row r="41" customFormat="false" ht="15" hidden="false" customHeight="false" outlineLevel="0" collapsed="false">
      <c r="A41" s="7" t="s">
        <v>57</v>
      </c>
      <c r="B41" s="14" t="n">
        <v>1800000000</v>
      </c>
      <c r="C41" s="11" t="n">
        <v>0.2</v>
      </c>
      <c r="D41" s="11" t="n">
        <v>0.145</v>
      </c>
      <c r="E41" s="11" t="n">
        <v>0.1</v>
      </c>
      <c r="F41" s="15"/>
      <c r="G41" s="11" t="n">
        <v>0</v>
      </c>
      <c r="H41" s="16" t="n">
        <v>1</v>
      </c>
    </row>
    <row r="42" customFormat="false" ht="15" hidden="false" customHeight="false" outlineLevel="0" collapsed="false">
      <c r="A42" s="7" t="s">
        <v>58</v>
      </c>
      <c r="B42" s="14" t="n">
        <v>14500000000</v>
      </c>
      <c r="C42" s="11" t="n">
        <v>0.75</v>
      </c>
      <c r="D42" s="11" t="n">
        <v>0.4</v>
      </c>
      <c r="E42" s="11" t="n">
        <v>0.85</v>
      </c>
      <c r="F42" s="15"/>
      <c r="G42" s="11" t="n">
        <v>0</v>
      </c>
      <c r="H42" s="16" t="n">
        <v>1</v>
      </c>
    </row>
    <row r="43" customFormat="false" ht="15" hidden="false" customHeight="false" outlineLevel="0" collapsed="false">
      <c r="A43" s="7" t="s">
        <v>59</v>
      </c>
      <c r="B43" s="14" t="n">
        <v>6300000000</v>
      </c>
      <c r="C43" s="11" t="n">
        <v>0.75</v>
      </c>
      <c r="D43" s="11" t="n">
        <v>0.45</v>
      </c>
      <c r="E43" s="11" t="n">
        <v>0.85</v>
      </c>
      <c r="F43" s="15"/>
      <c r="G43" s="11" t="n">
        <v>0</v>
      </c>
      <c r="H43" s="16" t="n">
        <v>0.7619</v>
      </c>
    </row>
    <row r="44" customFormat="false" ht="15" hidden="false" customHeight="false" outlineLevel="0" collapsed="false">
      <c r="A44" s="7" t="s">
        <v>60</v>
      </c>
      <c r="B44" s="14" t="n">
        <v>21000000000</v>
      </c>
      <c r="C44" s="17" t="n">
        <f aca="false">RwHypo</f>
        <v>0.277482942650745</v>
      </c>
      <c r="D44" s="11" t="n">
        <v>0.135</v>
      </c>
      <c r="E44" s="11" t="n">
        <v>0.65</v>
      </c>
      <c r="F44" s="15"/>
      <c r="G44" s="11" t="n">
        <v>0</v>
      </c>
      <c r="H44" s="16" t="n">
        <v>1</v>
      </c>
    </row>
    <row r="45" customFormat="false" ht="15" hidden="false" customHeight="false" outlineLevel="0" collapsed="false">
      <c r="A45" s="7" t="s">
        <v>61</v>
      </c>
      <c r="B45" s="14" t="n">
        <v>4800000000</v>
      </c>
      <c r="C45" s="11" t="n">
        <v>0.75</v>
      </c>
      <c r="D45" s="11" t="n">
        <v>0.43</v>
      </c>
      <c r="E45" s="11" t="n">
        <v>0.85</v>
      </c>
      <c r="F45" s="15"/>
      <c r="G45" s="11" t="n">
        <v>0</v>
      </c>
      <c r="H45" s="16" t="n">
        <v>1</v>
      </c>
    </row>
    <row r="46" customFormat="false" ht="15" hidden="false" customHeight="false" outlineLevel="0" collapsed="false">
      <c r="A46" s="7" t="s">
        <v>62</v>
      </c>
      <c r="B46" s="14" t="n">
        <v>5400000000</v>
      </c>
      <c r="C46" s="11" t="n">
        <v>1</v>
      </c>
      <c r="D46" s="11" t="n">
        <v>0.65</v>
      </c>
      <c r="E46" s="11" t="n">
        <v>0.85</v>
      </c>
      <c r="F46" s="15"/>
      <c r="G46" s="11" t="n">
        <v>0</v>
      </c>
      <c r="H46" s="16" t="n">
        <v>1</v>
      </c>
    </row>
    <row r="47" customFormat="false" ht="15" hidden="false" customHeight="false" outlineLevel="0" collapsed="false">
      <c r="A47" s="7" t="s">
        <v>63</v>
      </c>
      <c r="B47" s="14" t="n">
        <v>900000000</v>
      </c>
      <c r="C47" s="11" t="n">
        <v>1</v>
      </c>
      <c r="D47" s="11" t="n">
        <v>1</v>
      </c>
      <c r="E47" s="11" t="n">
        <v>1</v>
      </c>
      <c r="F47" s="15"/>
      <c r="G47" s="11" t="n">
        <v>0</v>
      </c>
      <c r="H47" s="16" t="n">
        <v>1</v>
      </c>
    </row>
    <row r="48" customFormat="false" ht="15" hidden="false" customHeight="false" outlineLevel="0" collapsed="false">
      <c r="A48" s="7" t="s">
        <v>64</v>
      </c>
      <c r="B48" s="14" t="n">
        <v>1200000000</v>
      </c>
      <c r="C48" s="17" t="n">
        <f aca="false">EqRwNow</f>
        <v>1.3</v>
      </c>
      <c r="D48" s="17" t="n">
        <f aca="false">EqRwNow</f>
        <v>1.3</v>
      </c>
      <c r="E48" s="11" t="n">
        <v>0.85</v>
      </c>
      <c r="F48" s="15" t="s">
        <v>65</v>
      </c>
      <c r="G48" s="11" t="n">
        <v>0.5</v>
      </c>
      <c r="H48" s="16" t="n">
        <v>1</v>
      </c>
    </row>
    <row r="49" customFormat="false" ht="15" hidden="false" customHeight="false" outlineLevel="0" collapsed="false">
      <c r="A49" s="7" t="s">
        <v>66</v>
      </c>
      <c r="B49" s="14" t="n">
        <v>2360000000</v>
      </c>
      <c r="C49" s="11" t="n">
        <v>0.2</v>
      </c>
      <c r="D49" s="11" t="n">
        <v>0.152</v>
      </c>
      <c r="E49" s="11" t="n">
        <v>0.1</v>
      </c>
      <c r="F49" s="15"/>
      <c r="G49" s="11" t="n">
        <v>0</v>
      </c>
      <c r="H49" s="16" t="n">
        <v>1</v>
      </c>
    </row>
    <row r="50" customFormat="false" ht="15" hidden="false" customHeight="false" outlineLevel="0" collapsed="false">
      <c r="A50" s="7" t="s">
        <v>67</v>
      </c>
      <c r="B50" s="14" t="n">
        <v>1480000000</v>
      </c>
      <c r="C50" s="11" t="n">
        <v>0.2</v>
      </c>
      <c r="D50" s="11" t="n">
        <v>0.152</v>
      </c>
      <c r="E50" s="11" t="n">
        <v>0.1</v>
      </c>
      <c r="F50" s="15"/>
      <c r="G50" s="11" t="n">
        <v>0</v>
      </c>
      <c r="H50" s="16" t="n">
        <v>1</v>
      </c>
    </row>
    <row r="51" customFormat="false" ht="15" hidden="false" customHeight="false" outlineLevel="0" collapsed="false">
      <c r="A51" s="7" t="s">
        <v>68</v>
      </c>
      <c r="B51" s="14" t="n">
        <v>2200000000</v>
      </c>
      <c r="C51" s="11" t="n">
        <v>1</v>
      </c>
      <c r="D51" s="11" t="n">
        <v>1</v>
      </c>
      <c r="E51" s="11" t="n">
        <v>1</v>
      </c>
      <c r="F51" s="15"/>
      <c r="G51" s="11" t="n">
        <v>0</v>
      </c>
      <c r="H51" s="16" t="n">
        <v>1</v>
      </c>
    </row>
    <row r="52" customFormat="false" ht="15" hidden="false" customHeight="false" outlineLevel="0" collapsed="false">
      <c r="A52" s="13" t="s">
        <v>69</v>
      </c>
    </row>
    <row r="54" customFormat="false" ht="15" hidden="false" customHeight="false" outlineLevel="0" collapsed="false">
      <c r="A54" s="4" t="s">
        <v>70</v>
      </c>
      <c r="B54" s="6"/>
      <c r="C54" s="6"/>
      <c r="D54" s="6"/>
      <c r="E54" s="6"/>
      <c r="F54" s="6"/>
      <c r="G54" s="6"/>
      <c r="H54" s="6"/>
    </row>
    <row r="56" customFormat="false" ht="31.5" hidden="false" customHeight="true" outlineLevel="0" collapsed="false">
      <c r="A56" s="9" t="s">
        <v>71</v>
      </c>
      <c r="B56" s="10" t="s">
        <v>72</v>
      </c>
      <c r="C56" s="10" t="s">
        <v>73</v>
      </c>
      <c r="D56" s="10" t="s">
        <v>44</v>
      </c>
      <c r="E56" s="10" t="s">
        <v>45</v>
      </c>
      <c r="F56" s="10" t="s">
        <v>46</v>
      </c>
      <c r="G56" s="10" t="s">
        <v>74</v>
      </c>
    </row>
    <row r="57" customFormat="false" ht="15" hidden="false" customHeight="false" outlineLevel="0" collapsed="false">
      <c r="A57" s="7" t="s">
        <v>75</v>
      </c>
      <c r="B57" s="14" t="n">
        <v>7200000000</v>
      </c>
      <c r="C57" s="11" t="n">
        <v>0.4</v>
      </c>
      <c r="D57" s="11" t="n">
        <v>0.75</v>
      </c>
      <c r="E57" s="11" t="n">
        <v>0.4</v>
      </c>
      <c r="F57" s="11" t="n">
        <v>0.05</v>
      </c>
      <c r="G57" s="11" t="n">
        <v>0.1</v>
      </c>
    </row>
    <row r="58" customFormat="false" ht="15" hidden="false" customHeight="false" outlineLevel="0" collapsed="false">
      <c r="A58" s="7" t="s">
        <v>76</v>
      </c>
      <c r="B58" s="14" t="n">
        <v>1100000000</v>
      </c>
      <c r="C58" s="11" t="n">
        <v>0.5</v>
      </c>
      <c r="D58" s="11" t="n">
        <v>1</v>
      </c>
      <c r="E58" s="11" t="n">
        <v>0.65</v>
      </c>
      <c r="F58" s="11" t="n">
        <v>0.05</v>
      </c>
      <c r="G58" s="11" t="n">
        <v>0.05</v>
      </c>
    </row>
    <row r="59" customFormat="false" ht="15" hidden="false" customHeight="false" outlineLevel="0" collapsed="false">
      <c r="A59" s="7" t="s">
        <v>77</v>
      </c>
      <c r="B59" s="14" t="n">
        <v>3000000000</v>
      </c>
      <c r="C59" s="11" t="n">
        <v>0.1</v>
      </c>
      <c r="D59" s="11" t="n">
        <v>0.75</v>
      </c>
      <c r="E59" s="11" t="n">
        <v>0.4</v>
      </c>
      <c r="F59" s="11" t="n">
        <v>0.05</v>
      </c>
      <c r="G59" s="11" t="n">
        <v>0.05</v>
      </c>
    </row>
    <row r="60" customFormat="false" ht="15" hidden="false" customHeight="false" outlineLevel="0" collapsed="false">
      <c r="A60" s="13" t="s">
        <v>78</v>
      </c>
    </row>
    <row r="62" customFormat="false" ht="15" hidden="false" customHeight="false" outlineLevel="0" collapsed="false">
      <c r="A62" s="4" t="s">
        <v>79</v>
      </c>
      <c r="B62" s="6"/>
      <c r="C62" s="6"/>
      <c r="D62" s="6"/>
      <c r="E62" s="6"/>
      <c r="F62" s="6"/>
      <c r="G62" s="6"/>
      <c r="H62" s="6"/>
    </row>
    <row r="64" customFormat="false" ht="15" hidden="false" customHeight="false" outlineLevel="0" collapsed="false">
      <c r="A64" s="7" t="s">
        <v>80</v>
      </c>
      <c r="B64" s="14" t="n">
        <v>1950000000</v>
      </c>
    </row>
    <row r="65" customFormat="false" ht="15" hidden="false" customHeight="false" outlineLevel="0" collapsed="false">
      <c r="A65" s="7" t="s">
        <v>81</v>
      </c>
      <c r="B65" s="14" t="n">
        <v>1240000000</v>
      </c>
    </row>
    <row r="66" customFormat="false" ht="15" hidden="false" customHeight="false" outlineLevel="0" collapsed="false">
      <c r="A66" s="7" t="s">
        <v>82</v>
      </c>
      <c r="B66" s="14" t="n">
        <v>3680000000</v>
      </c>
    </row>
    <row r="67" customFormat="false" ht="15" hidden="false" customHeight="false" outlineLevel="0" collapsed="false">
      <c r="A67" s="7" t="s">
        <v>83</v>
      </c>
      <c r="B67" s="14" t="n">
        <v>640000000</v>
      </c>
    </row>
    <row r="68" customFormat="false" ht="15" hidden="false" customHeight="false" outlineLevel="0" collapsed="false">
      <c r="A68" s="7" t="s">
        <v>84</v>
      </c>
      <c r="B68" s="14" t="n">
        <v>410000000</v>
      </c>
    </row>
    <row r="70" customFormat="false" ht="15" hidden="false" customHeight="false" outlineLevel="0" collapsed="false">
      <c r="A70" s="4" t="s">
        <v>85</v>
      </c>
      <c r="B70" s="6"/>
      <c r="C70" s="6"/>
      <c r="D70" s="6"/>
      <c r="E70" s="6"/>
      <c r="F70" s="6"/>
      <c r="G70" s="6"/>
      <c r="H70" s="6"/>
    </row>
    <row r="72" customFormat="false" ht="31.5" hidden="false" customHeight="true" outlineLevel="0" collapsed="false">
      <c r="A72" s="9" t="s">
        <v>86</v>
      </c>
      <c r="B72" s="10" t="s">
        <v>87</v>
      </c>
      <c r="C72" s="10" t="s">
        <v>88</v>
      </c>
      <c r="D72" s="10" t="s">
        <v>74</v>
      </c>
    </row>
    <row r="73" customFormat="false" ht="15" hidden="false" customHeight="false" outlineLevel="0" collapsed="false">
      <c r="A73" s="7" t="s">
        <v>89</v>
      </c>
      <c r="B73" s="14" t="n">
        <v>18000000000</v>
      </c>
      <c r="C73" s="11" t="n">
        <v>0.95</v>
      </c>
      <c r="D73" s="11" t="n">
        <v>0.05</v>
      </c>
    </row>
    <row r="74" customFormat="false" ht="15" hidden="false" customHeight="false" outlineLevel="0" collapsed="false">
      <c r="A74" s="7" t="s">
        <v>90</v>
      </c>
      <c r="B74" s="14" t="n">
        <v>7400000000</v>
      </c>
      <c r="C74" s="11" t="n">
        <v>0.9</v>
      </c>
      <c r="D74" s="11" t="n">
        <v>0.1</v>
      </c>
    </row>
    <row r="75" customFormat="false" ht="15" hidden="false" customHeight="false" outlineLevel="0" collapsed="false">
      <c r="A75" s="7" t="s">
        <v>91</v>
      </c>
      <c r="B75" s="14" t="n">
        <v>6200000000</v>
      </c>
      <c r="C75" s="11" t="n">
        <v>0.5</v>
      </c>
      <c r="D75" s="11" t="n">
        <v>0.25</v>
      </c>
    </row>
    <row r="76" customFormat="false" ht="15" hidden="false" customHeight="false" outlineLevel="0" collapsed="false">
      <c r="A76" s="7" t="s">
        <v>92</v>
      </c>
      <c r="B76" s="14" t="n">
        <v>11500000000</v>
      </c>
      <c r="C76" s="11" t="n">
        <v>0.5</v>
      </c>
      <c r="D76" s="11" t="n">
        <v>0.4</v>
      </c>
    </row>
    <row r="77" customFormat="false" ht="15" hidden="false" customHeight="false" outlineLevel="0" collapsed="false">
      <c r="A77" s="7" t="s">
        <v>93</v>
      </c>
      <c r="B77" s="14" t="n">
        <v>5600000000</v>
      </c>
      <c r="C77" s="11" t="n">
        <v>0</v>
      </c>
      <c r="D77" s="11" t="n">
        <v>1</v>
      </c>
    </row>
    <row r="78" customFormat="false" ht="15" hidden="false" customHeight="false" outlineLevel="0" collapsed="false">
      <c r="A78" s="7" t="s">
        <v>94</v>
      </c>
      <c r="B78" s="14" t="n">
        <v>3200000000</v>
      </c>
      <c r="C78" s="11" t="n">
        <v>1</v>
      </c>
      <c r="D78" s="11" t="n">
        <v>0</v>
      </c>
    </row>
    <row r="79" customFormat="false" ht="15" hidden="false" customHeight="false" outlineLevel="0" collapsed="false">
      <c r="A79" s="7" t="s">
        <v>95</v>
      </c>
      <c r="B79" s="14" t="n">
        <v>1900000000</v>
      </c>
      <c r="C79" s="11" t="n">
        <v>1</v>
      </c>
      <c r="D79" s="11" t="n">
        <v>0</v>
      </c>
    </row>
    <row r="80" customFormat="false" ht="15" hidden="false" customHeight="false" outlineLevel="0" collapsed="false">
      <c r="A80" s="7" t="s">
        <v>96</v>
      </c>
      <c r="B80" s="14" t="n">
        <v>1350000000</v>
      </c>
      <c r="C80" s="11" t="n">
        <v>1</v>
      </c>
      <c r="D80" s="11" t="n">
        <v>0</v>
      </c>
    </row>
    <row r="81" customFormat="false" ht="15" hidden="false" customHeight="false" outlineLevel="0" collapsed="false">
      <c r="A81" s="7" t="s">
        <v>97</v>
      </c>
      <c r="B81" s="14" t="n">
        <v>14260000000</v>
      </c>
      <c r="C81" s="11" t="n">
        <v>0</v>
      </c>
      <c r="D81" s="11" t="n">
        <v>0</v>
      </c>
    </row>
    <row r="82" customFormat="false" ht="15" hidden="false" customHeight="false" outlineLevel="0" collapsed="false">
      <c r="A82" s="7" t="s">
        <v>98</v>
      </c>
      <c r="B82" s="14" t="n">
        <v>1480000000</v>
      </c>
      <c r="C82" s="11" t="n">
        <v>0</v>
      </c>
      <c r="D82" s="11" t="n">
        <v>0</v>
      </c>
    </row>
    <row r="83" customFormat="false" ht="15" hidden="false" customHeight="false" outlineLevel="0" collapsed="false">
      <c r="A83" s="7" t="s">
        <v>99</v>
      </c>
      <c r="B83" s="14" t="n">
        <v>910000000</v>
      </c>
      <c r="C83" s="11" t="n">
        <v>1</v>
      </c>
      <c r="D83" s="11" t="n">
        <v>0</v>
      </c>
    </row>
    <row r="84" customFormat="false" ht="15" hidden="false" customHeight="false" outlineLevel="0" collapsed="false">
      <c r="A84" s="7" t="s">
        <v>100</v>
      </c>
      <c r="B84" s="14" t="n">
        <v>520000000</v>
      </c>
      <c r="C84" s="11" t="n">
        <v>1</v>
      </c>
      <c r="D84" s="11" t="n">
        <v>0</v>
      </c>
    </row>
    <row r="85" customFormat="false" ht="15" hidden="false" customHeight="false" outlineLevel="0" collapsed="false">
      <c r="A85" s="7" t="s">
        <v>101</v>
      </c>
      <c r="B85" s="14" t="n">
        <v>4060000000</v>
      </c>
      <c r="C85" s="11" t="n">
        <v>1</v>
      </c>
      <c r="D85" s="11" t="n">
        <v>0</v>
      </c>
    </row>
    <row r="86" customFormat="false" ht="15" hidden="false" customHeight="false" outlineLevel="0" collapsed="false">
      <c r="A86" s="7" t="s">
        <v>102</v>
      </c>
      <c r="B86" s="14" t="n">
        <v>3860000000</v>
      </c>
      <c r="C86" s="11" t="n">
        <v>0</v>
      </c>
      <c r="D86" s="11" t="n">
        <v>0</v>
      </c>
    </row>
    <row r="87" customFormat="false" ht="15" hidden="false" customHeight="false" outlineLevel="0" collapsed="false">
      <c r="A87" s="13" t="s">
        <v>103</v>
      </c>
    </row>
    <row r="89" customFormat="false" ht="15" hidden="false" customHeight="false" outlineLevel="0" collapsed="false">
      <c r="A89" s="4" t="s">
        <v>104</v>
      </c>
      <c r="B89" s="6"/>
      <c r="C89" s="6"/>
      <c r="D89" s="6"/>
      <c r="E89" s="6"/>
      <c r="F89" s="6"/>
      <c r="G89" s="6"/>
      <c r="H89" s="6"/>
    </row>
    <row r="91" customFormat="false" ht="15" hidden="false" customHeight="false" outlineLevel="0" collapsed="false">
      <c r="A91" s="7" t="s">
        <v>105</v>
      </c>
      <c r="B91" s="11" t="n">
        <v>0.045</v>
      </c>
    </row>
    <row r="92" customFormat="false" ht="15" hidden="false" customHeight="false" outlineLevel="0" collapsed="false">
      <c r="A92" s="7" t="s">
        <v>106</v>
      </c>
      <c r="B92" s="11" t="n">
        <v>0.06</v>
      </c>
    </row>
    <row r="93" customFormat="false" ht="15" hidden="false" customHeight="false" outlineLevel="0" collapsed="false">
      <c r="A93" s="7" t="s">
        <v>107</v>
      </c>
      <c r="B93" s="11" t="n">
        <v>0.08</v>
      </c>
    </row>
    <row r="94" customFormat="false" ht="15" hidden="false" customHeight="false" outlineLevel="0" collapsed="false">
      <c r="A94" s="7" t="s">
        <v>108</v>
      </c>
      <c r="B94" s="11" t="n">
        <v>0.02</v>
      </c>
    </row>
    <row r="95" customFormat="false" ht="15" hidden="false" customHeight="false" outlineLevel="0" collapsed="false">
      <c r="A95" s="7" t="s">
        <v>109</v>
      </c>
      <c r="B95" s="18" t="n">
        <v>0.5625</v>
      </c>
    </row>
    <row r="96" customFormat="false" ht="15" hidden="false" customHeight="false" outlineLevel="0" collapsed="false">
      <c r="A96" s="7" t="s">
        <v>110</v>
      </c>
      <c r="B96" s="11" t="n">
        <v>0.75</v>
      </c>
    </row>
    <row r="97" customFormat="false" ht="15" hidden="false" customHeight="false" outlineLevel="0" collapsed="false">
      <c r="A97" s="7" t="s">
        <v>111</v>
      </c>
      <c r="B97" s="11" t="n">
        <v>0.25</v>
      </c>
    </row>
    <row r="98" customFormat="false" ht="15" hidden="false" customHeight="false" outlineLevel="0" collapsed="false">
      <c r="A98" s="7" t="s">
        <v>112</v>
      </c>
      <c r="B98" s="11" t="n">
        <v>0.0125</v>
      </c>
    </row>
    <row r="99" customFormat="false" ht="15" hidden="false" customHeight="false" outlineLevel="0" collapsed="false">
      <c r="A99" s="7" t="s">
        <v>113</v>
      </c>
      <c r="B99" s="11" t="n">
        <v>0.025</v>
      </c>
    </row>
    <row r="100" customFormat="false" ht="15" hidden="false" customHeight="false" outlineLevel="0" collapsed="false">
      <c r="A100" s="7" t="s">
        <v>114</v>
      </c>
      <c r="B100" s="11" t="n">
        <v>0.01</v>
      </c>
    </row>
    <row r="101" customFormat="false" ht="15" hidden="false" customHeight="false" outlineLevel="0" collapsed="false">
      <c r="A101" s="7" t="s">
        <v>115</v>
      </c>
      <c r="B101" s="11" t="n">
        <v>0.005</v>
      </c>
    </row>
    <row r="102" customFormat="false" ht="15" hidden="false" customHeight="false" outlineLevel="0" collapsed="false">
      <c r="A102" s="7" t="s">
        <v>116</v>
      </c>
      <c r="B102" s="11" t="n">
        <v>0.03</v>
      </c>
    </row>
    <row r="104" customFormat="false" ht="15" hidden="false" customHeight="false" outlineLevel="0" collapsed="false">
      <c r="A104" s="4" t="s">
        <v>117</v>
      </c>
      <c r="B104" s="6"/>
      <c r="C104" s="6"/>
      <c r="D104" s="6"/>
      <c r="E104" s="6"/>
      <c r="F104" s="6"/>
      <c r="G104" s="6"/>
      <c r="H104" s="6"/>
    </row>
    <row r="106" customFormat="false" ht="31.5" hidden="false" customHeight="true" outlineLevel="0" collapsed="false">
      <c r="A106" s="9" t="s">
        <v>118</v>
      </c>
      <c r="B106" s="10" t="s">
        <v>119</v>
      </c>
      <c r="C106" s="10" t="s">
        <v>120</v>
      </c>
    </row>
    <row r="107" customFormat="false" ht="15" hidden="false" customHeight="false" outlineLevel="0" collapsed="false">
      <c r="A107" s="7" t="s">
        <v>121</v>
      </c>
      <c r="B107" s="11" t="n">
        <v>0.46</v>
      </c>
      <c r="C107" s="11" t="n">
        <v>0.01</v>
      </c>
    </row>
    <row r="108" customFormat="false" ht="15" hidden="false" customHeight="false" outlineLevel="0" collapsed="false">
      <c r="A108" s="7" t="s">
        <v>122</v>
      </c>
      <c r="B108" s="11" t="n">
        <v>0.21</v>
      </c>
      <c r="C108" s="11" t="n">
        <v>0.0075</v>
      </c>
    </row>
    <row r="109" customFormat="false" ht="15" hidden="false" customHeight="false" outlineLevel="0" collapsed="false">
      <c r="A109" s="7" t="s">
        <v>123</v>
      </c>
      <c r="B109" s="11" t="n">
        <v>0.12</v>
      </c>
      <c r="C109" s="11" t="n">
        <v>0.02</v>
      </c>
    </row>
    <row r="110" customFormat="false" ht="15" hidden="false" customHeight="false" outlineLevel="0" collapsed="false">
      <c r="A110" s="7" t="s">
        <v>124</v>
      </c>
      <c r="B110" s="11" t="n">
        <v>0.09</v>
      </c>
      <c r="C110" s="11" t="n">
        <v>0.0125</v>
      </c>
    </row>
    <row r="111" customFormat="false" ht="15" hidden="false" customHeight="false" outlineLevel="0" collapsed="false">
      <c r="A111" s="7" t="s">
        <v>125</v>
      </c>
      <c r="B111" s="11" t="n">
        <v>0.08</v>
      </c>
      <c r="C111" s="11" t="n">
        <v>0</v>
      </c>
    </row>
    <row r="112" customFormat="false" ht="15" hidden="false" customHeight="false" outlineLevel="0" collapsed="false">
      <c r="A112" s="7" t="s">
        <v>126</v>
      </c>
      <c r="B112" s="11" t="n">
        <v>0.04</v>
      </c>
      <c r="C112" s="11" t="n">
        <v>0</v>
      </c>
    </row>
    <row r="114" customFormat="false" ht="15" hidden="false" customHeight="false" outlineLevel="0" collapsed="false">
      <c r="A114" s="4" t="s">
        <v>127</v>
      </c>
      <c r="B114" s="6"/>
      <c r="C114" s="6"/>
      <c r="D114" s="6"/>
      <c r="E114" s="6"/>
      <c r="F114" s="6"/>
      <c r="G114" s="6"/>
      <c r="H114" s="6"/>
    </row>
    <row r="116" customFormat="false" ht="15" hidden="false" customHeight="false" outlineLevel="0" collapsed="false">
      <c r="A116" s="7" t="s">
        <v>128</v>
      </c>
      <c r="B116" s="11" t="n">
        <v>0.376</v>
      </c>
    </row>
    <row r="117" customFormat="false" ht="15" hidden="false" customHeight="false" outlineLevel="0" collapsed="false">
      <c r="A117" s="7" t="s">
        <v>129</v>
      </c>
      <c r="B117" s="11" t="n">
        <v>0.05</v>
      </c>
    </row>
    <row r="118" customFormat="false" ht="15" hidden="false" customHeight="false" outlineLevel="0" collapsed="false">
      <c r="A118" s="7" t="s">
        <v>130</v>
      </c>
      <c r="B118" s="14" t="n">
        <v>850000000</v>
      </c>
    </row>
    <row r="119" customFormat="false" ht="15" hidden="false" customHeight="false" outlineLevel="0" collapsed="false">
      <c r="A119" s="7" t="s">
        <v>131</v>
      </c>
      <c r="B119" s="14" t="n">
        <v>4200000000</v>
      </c>
    </row>
    <row r="120" customFormat="false" ht="15" hidden="false" customHeight="false" outlineLevel="0" collapsed="false">
      <c r="A120" s="7" t="s">
        <v>132</v>
      </c>
      <c r="B120" s="11" t="n">
        <v>0.75</v>
      </c>
    </row>
    <row r="121" customFormat="false" ht="15" hidden="false" customHeight="false" outlineLevel="0" collapsed="false">
      <c r="A121" s="7" t="s">
        <v>133</v>
      </c>
      <c r="B121" s="11" t="n">
        <v>0.7</v>
      </c>
    </row>
    <row r="122" customFormat="false" ht="15" hidden="false" customHeight="false" outlineLevel="0" collapsed="false">
      <c r="A122" s="7" t="s">
        <v>134</v>
      </c>
      <c r="B122" s="11" t="n">
        <v>0.4</v>
      </c>
    </row>
    <row r="123" customFormat="false" ht="15" hidden="false" customHeight="false" outlineLevel="0" collapsed="false">
      <c r="A123" s="7" t="s">
        <v>135</v>
      </c>
      <c r="B123" s="11" t="n">
        <v>0.15</v>
      </c>
    </row>
    <row r="124" customFormat="false" ht="15" hidden="false" customHeight="false" outlineLevel="0" collapsed="false">
      <c r="A124" s="7" t="s">
        <v>136</v>
      </c>
      <c r="B124" s="11" t="n">
        <v>1</v>
      </c>
    </row>
    <row r="125" customFormat="false" ht="15" hidden="false" customHeight="false" outlineLevel="0" collapsed="false">
      <c r="A125" s="7" t="s">
        <v>137</v>
      </c>
      <c r="B125" s="11" t="n">
        <v>1</v>
      </c>
    </row>
    <row r="126" customFormat="false" ht="15" hidden="false" customHeight="false" outlineLevel="0" collapsed="false">
      <c r="A126" s="13" t="s">
        <v>138</v>
      </c>
    </row>
    <row r="128" customFormat="false" ht="15" hidden="false" customHeight="false" outlineLevel="0" collapsed="false">
      <c r="A128" s="4" t="s">
        <v>139</v>
      </c>
      <c r="B128" s="6"/>
      <c r="C128" s="6"/>
      <c r="D128" s="6"/>
      <c r="E128" s="6"/>
      <c r="F128" s="6"/>
      <c r="G128" s="6"/>
      <c r="H128" s="6"/>
    </row>
    <row r="130" customFormat="false" ht="31.5" hidden="false" customHeight="true" outlineLevel="0" collapsed="false">
      <c r="A130" s="9" t="s">
        <v>140</v>
      </c>
      <c r="B130" s="10" t="s">
        <v>141</v>
      </c>
      <c r="C130" s="10" t="s">
        <v>142</v>
      </c>
    </row>
    <row r="131" customFormat="false" ht="15" hidden="false" customHeight="false" outlineLevel="0" collapsed="false">
      <c r="A131" s="7" t="s">
        <v>143</v>
      </c>
      <c r="B131" s="8" t="n">
        <v>0</v>
      </c>
      <c r="C131" s="11" t="n">
        <v>0</v>
      </c>
    </row>
    <row r="132" customFormat="false" ht="15" hidden="false" customHeight="false" outlineLevel="0" collapsed="false">
      <c r="A132" s="7" t="s">
        <v>144</v>
      </c>
      <c r="B132" s="8" t="n">
        <v>0</v>
      </c>
      <c r="C132" s="11" t="n">
        <v>0</v>
      </c>
    </row>
    <row r="133" customFormat="false" ht="15" hidden="false" customHeight="false" outlineLevel="0" collapsed="false">
      <c r="A133" s="7" t="s">
        <v>145</v>
      </c>
      <c r="B133" s="8" t="n">
        <v>0</v>
      </c>
      <c r="C133" s="11" t="n">
        <v>0.5</v>
      </c>
    </row>
    <row r="134" customFormat="false" ht="15" hidden="false" customHeight="false" outlineLevel="0" collapsed="false">
      <c r="A134" s="7" t="s">
        <v>146</v>
      </c>
      <c r="B134" s="8" t="n">
        <v>0</v>
      </c>
      <c r="C134" s="11" t="n">
        <v>0.15</v>
      </c>
    </row>
    <row r="135" customFormat="false" ht="15" hidden="false" customHeight="false" outlineLevel="0" collapsed="false">
      <c r="A135" s="7" t="s">
        <v>147</v>
      </c>
      <c r="B135" s="8" t="n">
        <v>0</v>
      </c>
      <c r="C135" s="11" t="n">
        <v>0.15</v>
      </c>
    </row>
    <row r="136" customFormat="false" ht="15" hidden="false" customHeight="false" outlineLevel="0" collapsed="false">
      <c r="A136" s="7" t="s">
        <v>148</v>
      </c>
      <c r="B136" s="8" t="n">
        <v>0</v>
      </c>
      <c r="C136" s="11" t="n">
        <v>0.4</v>
      </c>
    </row>
    <row r="137" customFormat="false" ht="15" hidden="false" customHeight="false" outlineLevel="0" collapsed="false">
      <c r="A137" s="7" t="s">
        <v>149</v>
      </c>
      <c r="B137" s="14" t="n">
        <v>1000000000</v>
      </c>
    </row>
    <row r="138" customFormat="false" ht="15" hidden="false" customHeight="false" outlineLevel="0" collapsed="false">
      <c r="A138" s="13" t="s">
        <v>150</v>
      </c>
    </row>
    <row r="140" customFormat="false" ht="15" hidden="false" customHeight="false" outlineLevel="0" collapsed="false">
      <c r="A140" s="4" t="s">
        <v>151</v>
      </c>
      <c r="B140" s="6"/>
      <c r="C140" s="6"/>
      <c r="D140" s="6"/>
      <c r="E140" s="6"/>
      <c r="F140" s="6"/>
      <c r="G140" s="6"/>
      <c r="H140" s="6"/>
    </row>
    <row r="142" customFormat="false" ht="31.5" hidden="false" customHeight="true" outlineLevel="0" collapsed="false">
      <c r="A142" s="9" t="s">
        <v>152</v>
      </c>
      <c r="B142" s="10" t="s">
        <v>153</v>
      </c>
      <c r="C142" s="10" t="s">
        <v>154</v>
      </c>
    </row>
    <row r="143" customFormat="false" ht="15" hidden="false" customHeight="false" outlineLevel="0" collapsed="false">
      <c r="A143" s="7" t="s">
        <v>155</v>
      </c>
      <c r="B143" s="11" t="n">
        <v>0.25</v>
      </c>
      <c r="C143" s="11" t="n">
        <v>0.2</v>
      </c>
    </row>
    <row r="144" customFormat="false" ht="15" hidden="false" customHeight="false" outlineLevel="0" collapsed="false">
      <c r="A144" s="7" t="s">
        <v>156</v>
      </c>
      <c r="B144" s="11" t="n">
        <v>0.5</v>
      </c>
      <c r="C144" s="11" t="n">
        <v>0.4</v>
      </c>
    </row>
    <row r="145" customFormat="false" ht="15" hidden="false" customHeight="false" outlineLevel="0" collapsed="false">
      <c r="A145" s="7" t="s">
        <v>157</v>
      </c>
      <c r="B145" s="11" t="n">
        <v>0.75</v>
      </c>
      <c r="C145" s="11" t="n">
        <v>0.6</v>
      </c>
    </row>
    <row r="146" customFormat="false" ht="15" hidden="false" customHeight="false" outlineLevel="0" collapsed="false">
      <c r="A146" s="7" t="s">
        <v>158</v>
      </c>
      <c r="B146" s="11" t="n">
        <v>1</v>
      </c>
      <c r="C146" s="11" t="n">
        <v>1</v>
      </c>
    </row>
    <row r="148" customFormat="false" ht="15" hidden="false" customHeight="false" outlineLevel="0" collapsed="false">
      <c r="A148" s="4" t="s">
        <v>159</v>
      </c>
      <c r="B148" s="6"/>
      <c r="C148" s="6"/>
      <c r="D148" s="6"/>
      <c r="E148" s="6"/>
      <c r="F148" s="6"/>
      <c r="G148" s="6"/>
      <c r="H148" s="6"/>
    </row>
    <row r="150" customFormat="false" ht="15" hidden="false" customHeight="false" outlineLevel="0" collapsed="false">
      <c r="A150" s="7" t="s">
        <v>160</v>
      </c>
      <c r="B150" s="11" t="n">
        <v>0.0125</v>
      </c>
    </row>
    <row r="151" customFormat="false" ht="15" hidden="false" customHeight="false" outlineLevel="0" collapsed="false">
      <c r="A151" s="7" t="s">
        <v>161</v>
      </c>
      <c r="B151" s="11" t="n">
        <v>0.135</v>
      </c>
    </row>
    <row r="152" customFormat="false" ht="15" hidden="false" customHeight="false" outlineLevel="0" collapsed="false">
      <c r="A152" s="7" t="s">
        <v>162</v>
      </c>
      <c r="B152" s="19" t="n">
        <v>2</v>
      </c>
    </row>
    <row r="153" customFormat="false" ht="15" hidden="false" customHeight="false" outlineLevel="0" collapsed="false">
      <c r="A153" s="7" t="s">
        <v>163</v>
      </c>
      <c r="B153" s="11" t="n">
        <v>0.0485</v>
      </c>
    </row>
    <row r="154" customFormat="false" ht="15" hidden="false" customHeight="false" outlineLevel="0" collapsed="false">
      <c r="A154" s="7" t="s">
        <v>164</v>
      </c>
      <c r="B154" s="11" t="n">
        <v>0.0215</v>
      </c>
    </row>
    <row r="155" customFormat="false" ht="15" hidden="false" customHeight="false" outlineLevel="0" collapsed="false">
      <c r="A155" s="7" t="s">
        <v>165</v>
      </c>
      <c r="B155" s="11" t="n">
        <v>0.25</v>
      </c>
    </row>
    <row r="156" customFormat="false" ht="15" hidden="false" customHeight="false" outlineLevel="0" collapsed="false">
      <c r="A156" s="7" t="s">
        <v>166</v>
      </c>
      <c r="B156" s="14" t="n">
        <v>1284000000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 collapsed="false" customWidth="true" hidden="false" outlineLevel="0" max="4" min="4" style="0" width="18"/>
    <col collapsed="false" customWidth="true" hidden="false" outlineLevel="0" max="7" min="5" style="0" width="16"/>
    <col collapsed="false" customWidth="true" hidden="false" outlineLevel="0" max="8" min="8" style="0" width="18"/>
  </cols>
  <sheetData>
    <row r="1" customFormat="false" ht="24" hidden="false" customHeight="true" outlineLevel="0" collapsed="false">
      <c r="A1" s="1" t="s">
        <v>167</v>
      </c>
    </row>
    <row r="2" customFormat="false" ht="15" hidden="false" customHeight="false" outlineLevel="0" collapsed="false">
      <c r="A2" s="2" t="s">
        <v>168</v>
      </c>
    </row>
    <row r="3" customFormat="false" ht="15" hidden="false" customHeight="false" outlineLevel="0" collapsed="false">
      <c r="A3" s="3"/>
      <c r="B3" s="3"/>
      <c r="C3" s="3"/>
      <c r="D3" s="3"/>
      <c r="E3" s="3"/>
      <c r="F3" s="3"/>
      <c r="G3" s="3"/>
      <c r="H3" s="3"/>
    </row>
    <row r="5" customFormat="false" ht="15" hidden="false" customHeight="false" outlineLevel="0" collapsed="false">
      <c r="A5" s="4" t="s">
        <v>169</v>
      </c>
      <c r="B5" s="6"/>
      <c r="C5" s="6"/>
      <c r="D5" s="6"/>
      <c r="E5" s="6"/>
      <c r="F5" s="6"/>
      <c r="G5" s="6"/>
      <c r="H5" s="6"/>
    </row>
    <row r="7" customFormat="false" ht="31.5" hidden="false" customHeight="true" outlineLevel="0" collapsed="false">
      <c r="A7" s="9" t="s">
        <v>30</v>
      </c>
      <c r="B7" s="10" t="s">
        <v>31</v>
      </c>
      <c r="C7" s="10" t="s">
        <v>32</v>
      </c>
      <c r="D7" s="10" t="s">
        <v>170</v>
      </c>
      <c r="E7" s="10" t="s">
        <v>171</v>
      </c>
      <c r="F7" s="10" t="s">
        <v>172</v>
      </c>
      <c r="G7" s="10" t="s">
        <v>173</v>
      </c>
      <c r="H7" s="10" t="s">
        <v>174</v>
      </c>
    </row>
    <row r="8" customFormat="false" ht="15" hidden="false" customHeight="false" outlineLevel="0" collapsed="false">
      <c r="A8" s="7" t="s">
        <v>33</v>
      </c>
      <c r="B8" s="20" t="n">
        <f aca="false">INDEX(LtvShare,1)</f>
        <v>0.38</v>
      </c>
      <c r="C8" s="20" t="n">
        <f aca="false">INDEX(LtvVal,1)</f>
        <v>0.42</v>
      </c>
      <c r="D8" s="17" t="n">
        <f aca="false">MIN(1,SplitThr/C8)</f>
        <v>1</v>
      </c>
      <c r="E8" s="17" t="n">
        <f aca="false">D8*RwSec</f>
        <v>0.2</v>
      </c>
      <c r="F8" s="17" t="n">
        <f aca="false">(1-D8)*RwUns</f>
        <v>0</v>
      </c>
      <c r="G8" s="17" t="n">
        <f aca="false">E8+F8</f>
        <v>0.2</v>
      </c>
      <c r="H8" s="17" t="n">
        <f aca="false">B8*G8</f>
        <v>0.076</v>
      </c>
    </row>
    <row r="9" customFormat="false" ht="15" hidden="false" customHeight="false" outlineLevel="0" collapsed="false">
      <c r="A9" s="21" t="s">
        <v>34</v>
      </c>
      <c r="B9" s="22" t="n">
        <f aca="false">INDEX(LtvShare,2)</f>
        <v>0.27</v>
      </c>
      <c r="C9" s="22" t="n">
        <f aca="false">INDEX(LtvVal,2)</f>
        <v>0.63</v>
      </c>
      <c r="D9" s="23" t="n">
        <f aca="false">MIN(1,SplitThr/C9)</f>
        <v>0.873015873015873</v>
      </c>
      <c r="E9" s="23" t="n">
        <f aca="false">D9*RwSec</f>
        <v>0.174603174603175</v>
      </c>
      <c r="F9" s="23" t="n">
        <f aca="false">(1-D9)*RwUns</f>
        <v>0.0952380952380952</v>
      </c>
      <c r="G9" s="23" t="n">
        <f aca="false">E9+F9</f>
        <v>0.26984126984127</v>
      </c>
      <c r="H9" s="23" t="n">
        <f aca="false">B9*G9</f>
        <v>0.0728571428571428</v>
      </c>
    </row>
    <row r="10" customFormat="false" ht="15" hidden="false" customHeight="false" outlineLevel="0" collapsed="false">
      <c r="A10" s="7" t="s">
        <v>35</v>
      </c>
      <c r="B10" s="20" t="n">
        <f aca="false">INDEX(LtvShare,3)</f>
        <v>0.22</v>
      </c>
      <c r="C10" s="20" t="n">
        <f aca="false">INDEX(LtvVal,3)</f>
        <v>0.75</v>
      </c>
      <c r="D10" s="17" t="n">
        <f aca="false">MIN(1,SplitThr/C10)</f>
        <v>0.733333333333333</v>
      </c>
      <c r="E10" s="17" t="n">
        <f aca="false">D10*RwSec</f>
        <v>0.146666666666667</v>
      </c>
      <c r="F10" s="17" t="n">
        <f aca="false">(1-D10)*RwUns</f>
        <v>0.2</v>
      </c>
      <c r="G10" s="17" t="n">
        <f aca="false">E10+F10</f>
        <v>0.346666666666667</v>
      </c>
      <c r="H10" s="17" t="n">
        <f aca="false">B10*G10</f>
        <v>0.0762666666666667</v>
      </c>
    </row>
    <row r="11" customFormat="false" ht="15" hidden="false" customHeight="false" outlineLevel="0" collapsed="false">
      <c r="A11" s="21" t="s">
        <v>36</v>
      </c>
      <c r="B11" s="22" t="n">
        <f aca="false">INDEX(LtvShare,4)</f>
        <v>0.1</v>
      </c>
      <c r="C11" s="22" t="n">
        <f aca="false">INDEX(LtvVal,4)</f>
        <v>0.85</v>
      </c>
      <c r="D11" s="23" t="n">
        <f aca="false">MIN(1,SplitThr/C11)</f>
        <v>0.647058823529412</v>
      </c>
      <c r="E11" s="23" t="n">
        <f aca="false">D11*RwSec</f>
        <v>0.129411764705882</v>
      </c>
      <c r="F11" s="23" t="n">
        <f aca="false">(1-D11)*RwUns</f>
        <v>0.264705882352941</v>
      </c>
      <c r="G11" s="23" t="n">
        <f aca="false">E11+F11</f>
        <v>0.394117647058823</v>
      </c>
      <c r="H11" s="23" t="n">
        <f aca="false">B11*G11</f>
        <v>0.0394117647058824</v>
      </c>
    </row>
    <row r="12" customFormat="false" ht="15" hidden="false" customHeight="false" outlineLevel="0" collapsed="false">
      <c r="A12" s="7" t="s">
        <v>37</v>
      </c>
      <c r="B12" s="20" t="n">
        <f aca="false">INDEX(LtvShare,5)</f>
        <v>0.03</v>
      </c>
      <c r="C12" s="20" t="n">
        <f aca="false">INDEX(LtvVal,5)</f>
        <v>0.95</v>
      </c>
      <c r="D12" s="17" t="n">
        <f aca="false">MIN(1,SplitThr/C12)</f>
        <v>0.578947368421053</v>
      </c>
      <c r="E12" s="17" t="n">
        <f aca="false">D12*RwSec</f>
        <v>0.115789473684211</v>
      </c>
      <c r="F12" s="17" t="n">
        <f aca="false">(1-D12)*RwUns</f>
        <v>0.315789473684211</v>
      </c>
      <c r="G12" s="17" t="n">
        <f aca="false">E12+F12</f>
        <v>0.431578947368421</v>
      </c>
      <c r="H12" s="17" t="n">
        <f aca="false">B12*G12</f>
        <v>0.0129473684210526</v>
      </c>
    </row>
    <row r="13" customFormat="false" ht="15" hidden="false" customHeight="false" outlineLevel="0" collapsed="false">
      <c r="A13" s="24" t="s">
        <v>175</v>
      </c>
      <c r="B13" s="12" t="n">
        <f aca="false">SUM(B8:B12)</f>
        <v>1</v>
      </c>
      <c r="H13" s="25" t="n">
        <f aca="false">SUM(H8:H12)</f>
        <v>0.277482942650745</v>
      </c>
    </row>
    <row r="15" customFormat="false" ht="15" hidden="false" customHeight="false" outlineLevel="0" collapsed="false">
      <c r="A15" s="4" t="s">
        <v>176</v>
      </c>
      <c r="B15" s="6"/>
      <c r="C15" s="6"/>
      <c r="D15" s="6"/>
      <c r="E15" s="6"/>
      <c r="F15" s="6"/>
      <c r="G15" s="6"/>
      <c r="H15" s="6"/>
    </row>
    <row r="17" customFormat="false" ht="15" hidden="false" customHeight="false" outlineLevel="0" collapsed="false">
      <c r="A17" s="7" t="s">
        <v>177</v>
      </c>
      <c r="B17" s="17" t="n">
        <f aca="false">SUMPRODUCT(LtvShare,LtvVal)</f>
        <v>0.6082</v>
      </c>
    </row>
    <row r="18" customFormat="false" ht="15" hidden="false" customHeight="false" outlineLevel="0" collapsed="false">
      <c r="A18" s="7" t="s">
        <v>178</v>
      </c>
      <c r="B18" s="17" t="n">
        <f aca="false">MIN(1,SplitThr/LtvAvg)</f>
        <v>0.904307793488984</v>
      </c>
    </row>
    <row r="19" customFormat="false" ht="15" hidden="false" customHeight="false" outlineLevel="0" collapsed="false">
      <c r="A19" s="7" t="s">
        <v>179</v>
      </c>
      <c r="B19" s="17" t="n">
        <f aca="false">SecAvg*RwSec+(1-SecAvg)*RwUns</f>
        <v>0.252630713581059</v>
      </c>
    </row>
    <row r="20" customFormat="false" ht="15" hidden="false" customHeight="false" outlineLevel="0" collapsed="false">
      <c r="A20" s="7" t="s">
        <v>180</v>
      </c>
      <c r="B20" s="17" t="n">
        <f aca="false">RwHypo-RwHypoAvg</f>
        <v>0.0248522290696857</v>
      </c>
    </row>
    <row r="21" customFormat="false" ht="15" hidden="false" customHeight="false" outlineLevel="0" collapsed="false">
      <c r="A21" s="7" t="s">
        <v>181</v>
      </c>
      <c r="B21" s="26" t="n">
        <f aca="false">(RwHypo-RwHypoAvg)*10000</f>
        <v>248.522290696857</v>
      </c>
    </row>
    <row r="22" customFormat="false" ht="15" hidden="false" customHeight="false" outlineLevel="0" collapsed="false">
      <c r="A22" s="7" t="s">
        <v>182</v>
      </c>
      <c r="B22" s="27" t="n">
        <f aca="false">INDEX(AssetExp,MATCH("Residential mortgages",AssetLbl,0))</f>
        <v>21000000000</v>
      </c>
    </row>
    <row r="23" customFormat="false" ht="15" hidden="false" customHeight="false" outlineLevel="0" collapsed="false">
      <c r="A23" s="7" t="s">
        <v>183</v>
      </c>
      <c r="B23" s="27" t="n">
        <f aca="false">(RwHypo-RwHypoAvg)*MortExp</f>
        <v>521896810.4634</v>
      </c>
    </row>
    <row r="24" customFormat="false" ht="15" hidden="false" customHeight="false" outlineLevel="0" collapsed="false">
      <c r="A24" s="13" t="s">
        <v>184</v>
      </c>
    </row>
    <row r="26" customFormat="false" ht="15" hidden="false" customHeight="false" outlineLevel="0" collapsed="false">
      <c r="A26" s="4" t="s">
        <v>185</v>
      </c>
      <c r="B26" s="6"/>
      <c r="C26" s="6"/>
      <c r="D26" s="6"/>
      <c r="E26" s="6"/>
      <c r="F26" s="6"/>
      <c r="G26" s="6"/>
      <c r="H26" s="6"/>
    </row>
    <row r="28" customFormat="false" ht="15" hidden="false" customHeight="false" outlineLevel="0" collapsed="false">
      <c r="A28" s="7" t="s">
        <v>186</v>
      </c>
      <c r="B28" s="28" t="n">
        <f aca="false">MIN(0,RwHypo-RwHypoAvg)</f>
        <v>0</v>
      </c>
    </row>
    <row r="30" customFormat="false" ht="15" hidden="false" customHeight="false" outlineLevel="0" collapsed="false">
      <c r="A30" s="4" t="s">
        <v>187</v>
      </c>
      <c r="B30" s="6"/>
      <c r="C30" s="6"/>
      <c r="D30" s="6"/>
      <c r="E30" s="6"/>
      <c r="F30" s="6"/>
      <c r="G30" s="6"/>
      <c r="H30" s="6"/>
    </row>
    <row r="32" customFormat="false" ht="15" hidden="false" customHeight="false" outlineLevel="0" collapsed="false">
      <c r="A32" s="7" t="s">
        <v>188</v>
      </c>
      <c r="B32" s="20" t="n">
        <f aca="false">SUMPRODUCT((LtvRw&gt;RsfHypoThr)*LtvShare)</f>
        <v>0.13</v>
      </c>
    </row>
    <row r="33" customFormat="false" ht="15" hidden="false" customHeight="false" outlineLevel="0" collapsed="false">
      <c r="A33" s="13" t="s">
        <v>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3" min="3" style="0" width="15"/>
    <col collapsed="false" customWidth="true" hidden="false" outlineLevel="0" max="4" min="4" style="0" width="17"/>
    <col collapsed="false" customWidth="true" hidden="false" outlineLevel="0" max="5" min="5" style="0" width="15"/>
    <col collapsed="false" customWidth="true" hidden="false" outlineLevel="0" max="6" min="6" style="0" width="17"/>
    <col collapsed="false" customWidth="true" hidden="false" outlineLevel="0" max="7" min="7" style="0" width="15"/>
    <col collapsed="false" customWidth="true" hidden="false" outlineLevel="0" max="8" min="8" style="0" width="17"/>
  </cols>
  <sheetData>
    <row r="1" customFormat="false" ht="24" hidden="false" customHeight="true" outlineLevel="0" collapsed="false">
      <c r="A1" s="1" t="s">
        <v>190</v>
      </c>
    </row>
    <row r="2" customFormat="false" ht="15" hidden="false" customHeight="false" outlineLevel="0" collapsed="false">
      <c r="A2" s="2" t="s">
        <v>191</v>
      </c>
    </row>
    <row r="3" customFormat="false" ht="15" hidden="false" customHeight="false" outlineLevel="0" collapsed="false">
      <c r="A3" s="3"/>
      <c r="B3" s="3"/>
      <c r="C3" s="3"/>
      <c r="D3" s="3"/>
      <c r="E3" s="3"/>
      <c r="F3" s="3"/>
      <c r="G3" s="3"/>
      <c r="H3" s="3"/>
    </row>
    <row r="5" customFormat="false" ht="15" hidden="false" customHeight="false" outlineLevel="0" collapsed="false">
      <c r="A5" s="4" t="s">
        <v>192</v>
      </c>
      <c r="B5" s="6"/>
      <c r="C5" s="6"/>
      <c r="D5" s="6"/>
      <c r="E5" s="6"/>
      <c r="F5" s="6"/>
      <c r="G5" s="6"/>
      <c r="H5" s="6"/>
    </row>
    <row r="7" customFormat="false" ht="31.5" hidden="false" customHeight="true" outlineLevel="0" collapsed="false">
      <c r="A7" s="9" t="s">
        <v>42</v>
      </c>
      <c r="B7" s="10" t="s">
        <v>43</v>
      </c>
      <c r="C7" s="10" t="s">
        <v>44</v>
      </c>
      <c r="D7" s="10" t="s">
        <v>193</v>
      </c>
      <c r="E7" s="10" t="s">
        <v>45</v>
      </c>
      <c r="F7" s="10" t="s">
        <v>194</v>
      </c>
    </row>
    <row r="8" customFormat="false" ht="15" hidden="false" customHeight="false" outlineLevel="0" collapsed="false">
      <c r="A8" s="29" t="str">
        <f aca="false">INDEX(AssetLbl,1)</f>
        <v>Central bank reserves</v>
      </c>
      <c r="B8" s="27" t="n">
        <f aca="false">INDEX(AssetExp,1)</f>
        <v>8400000000</v>
      </c>
      <c r="C8" s="17" t="n">
        <f aca="false">INDEX(AssetStd,1)*INDEX(AssetSup,1)</f>
        <v>0</v>
      </c>
      <c r="D8" s="27" t="n">
        <f aca="false">B8*C8</f>
        <v>0</v>
      </c>
      <c r="E8" s="17" t="n">
        <f aca="false">INDEX(AssetInt,1)</f>
        <v>0</v>
      </c>
      <c r="F8" s="27" t="n">
        <f aca="false">B8*E8</f>
        <v>0</v>
      </c>
    </row>
    <row r="9" customFormat="false" ht="15" hidden="false" customHeight="false" outlineLevel="0" collapsed="false">
      <c r="A9" s="30" t="str">
        <f aca="false">INDEX(AssetLbl,2)</f>
        <v>EU sovereign bonds, euro denominated</v>
      </c>
      <c r="B9" s="31" t="n">
        <f aca="false">INDEX(AssetExp,2)</f>
        <v>6200000000</v>
      </c>
      <c r="C9" s="23" t="n">
        <f aca="false">INDEX(AssetStd,2)*INDEX(AssetSup,2)</f>
        <v>0</v>
      </c>
      <c r="D9" s="31" t="n">
        <f aca="false">B9*C9</f>
        <v>0</v>
      </c>
      <c r="E9" s="23" t="n">
        <f aca="false">INDEX(AssetInt,2)</f>
        <v>0</v>
      </c>
      <c r="F9" s="31" t="n">
        <f aca="false">B9*E9</f>
        <v>0</v>
      </c>
    </row>
    <row r="10" customFormat="false" ht="15" hidden="false" customHeight="false" outlineLevel="0" collapsed="false">
      <c r="A10" s="29" t="str">
        <f aca="false">INDEX(AssetLbl,3)</f>
        <v>Covered bonds, AAA</v>
      </c>
      <c r="B10" s="27" t="n">
        <f aca="false">INDEX(AssetExp,3)</f>
        <v>2100000000</v>
      </c>
      <c r="C10" s="17" t="n">
        <f aca="false">INDEX(AssetStd,3)*INDEX(AssetSup,3)</f>
        <v>0.1</v>
      </c>
      <c r="D10" s="27" t="n">
        <f aca="false">B10*C10</f>
        <v>210000000</v>
      </c>
      <c r="E10" s="17" t="n">
        <f aca="false">INDEX(AssetInt,3)</f>
        <v>0.075</v>
      </c>
      <c r="F10" s="27" t="n">
        <f aca="false">B10*E10</f>
        <v>157500000</v>
      </c>
    </row>
    <row r="11" customFormat="false" ht="15" hidden="false" customHeight="false" outlineLevel="0" collapsed="false">
      <c r="A11" s="30" t="str">
        <f aca="false">INDEX(AssetLbl,4)</f>
        <v>Corporate bonds, AA- and above</v>
      </c>
      <c r="B11" s="31" t="n">
        <f aca="false">INDEX(AssetExp,4)</f>
        <v>1600000000</v>
      </c>
      <c r="C11" s="23" t="n">
        <f aca="false">INDEX(AssetStd,4)*INDEX(AssetSup,4)</f>
        <v>0.2</v>
      </c>
      <c r="D11" s="31" t="n">
        <f aca="false">B11*C11</f>
        <v>320000000</v>
      </c>
      <c r="E11" s="23" t="n">
        <f aca="false">INDEX(AssetInt,4)</f>
        <v>0.152</v>
      </c>
      <c r="F11" s="31" t="n">
        <f aca="false">B11*E11</f>
        <v>243200000</v>
      </c>
    </row>
    <row r="12" customFormat="false" ht="15" hidden="false" customHeight="false" outlineLevel="0" collapsed="false">
      <c r="A12" s="29" t="str">
        <f aca="false">INDEX(AssetLbl,5)</f>
        <v>Interbank exposures, three months or less</v>
      </c>
      <c r="B12" s="27" t="n">
        <f aca="false">INDEX(AssetExp,5)</f>
        <v>1800000000</v>
      </c>
      <c r="C12" s="17" t="n">
        <f aca="false">INDEX(AssetStd,5)*INDEX(AssetSup,5)</f>
        <v>0.2</v>
      </c>
      <c r="D12" s="27" t="n">
        <f aca="false">B12*C12</f>
        <v>360000000</v>
      </c>
      <c r="E12" s="17" t="n">
        <f aca="false">INDEX(AssetInt,5)</f>
        <v>0.145</v>
      </c>
      <c r="F12" s="27" t="n">
        <f aca="false">B12*E12</f>
        <v>261000000</v>
      </c>
    </row>
    <row r="13" customFormat="false" ht="15" hidden="false" customHeight="false" outlineLevel="0" collapsed="false">
      <c r="A13" s="30" t="str">
        <f aca="false">INDEX(AssetLbl,6)</f>
        <v>Rated large corporates</v>
      </c>
      <c r="B13" s="31" t="n">
        <f aca="false">INDEX(AssetExp,6)</f>
        <v>14500000000</v>
      </c>
      <c r="C13" s="23" t="n">
        <f aca="false">INDEX(AssetStd,6)*INDEX(AssetSup,6)</f>
        <v>0.75</v>
      </c>
      <c r="D13" s="31" t="n">
        <f aca="false">B13*C13</f>
        <v>10875000000</v>
      </c>
      <c r="E13" s="23" t="n">
        <f aca="false">INDEX(AssetInt,6)</f>
        <v>0.4</v>
      </c>
      <c r="F13" s="31" t="n">
        <f aca="false">B13*E13</f>
        <v>5800000000</v>
      </c>
    </row>
    <row r="14" customFormat="false" ht="15" hidden="false" customHeight="false" outlineLevel="0" collapsed="false">
      <c r="A14" s="29" t="str">
        <f aca="false">INDEX(AssetLbl,7)</f>
        <v>Small and medium-sized enterprises</v>
      </c>
      <c r="B14" s="27" t="n">
        <f aca="false">INDEX(AssetExp,7)</f>
        <v>6300000000</v>
      </c>
      <c r="C14" s="17" t="n">
        <f aca="false">INDEX(AssetStd,7)*INDEX(AssetSup,7)</f>
        <v>0.571425</v>
      </c>
      <c r="D14" s="27" t="n">
        <f aca="false">B14*C14</f>
        <v>3599977500</v>
      </c>
      <c r="E14" s="17" t="n">
        <f aca="false">INDEX(AssetInt,7)</f>
        <v>0.45</v>
      </c>
      <c r="F14" s="27" t="n">
        <f aca="false">B14*E14</f>
        <v>2835000000</v>
      </c>
    </row>
    <row r="15" customFormat="false" ht="15" hidden="false" customHeight="false" outlineLevel="0" collapsed="false">
      <c r="A15" s="30" t="str">
        <f aca="false">INDEX(AssetLbl,8)</f>
        <v>Residential mortgages</v>
      </c>
      <c r="B15" s="31" t="n">
        <f aca="false">INDEX(AssetExp,8)</f>
        <v>21000000000</v>
      </c>
      <c r="C15" s="23" t="n">
        <f aca="false">INDEX(AssetStd,8)*INDEX(AssetSup,8)</f>
        <v>0.277482942650745</v>
      </c>
      <c r="D15" s="31" t="n">
        <f aca="false">B15*C15</f>
        <v>5827141795.66564</v>
      </c>
      <c r="E15" s="23" t="n">
        <f aca="false">INDEX(AssetInt,8)</f>
        <v>0.135</v>
      </c>
      <c r="F15" s="31" t="n">
        <f aca="false">B15*E15</f>
        <v>2835000000</v>
      </c>
    </row>
    <row r="16" customFormat="false" ht="15" hidden="false" customHeight="false" outlineLevel="0" collapsed="false">
      <c r="A16" s="29" t="str">
        <f aca="false">INDEX(AssetLbl,9)</f>
        <v>Other retail lending</v>
      </c>
      <c r="B16" s="27" t="n">
        <f aca="false">INDEX(AssetExp,9)</f>
        <v>4800000000</v>
      </c>
      <c r="C16" s="17" t="n">
        <f aca="false">INDEX(AssetStd,9)*INDEX(AssetSup,9)</f>
        <v>0.75</v>
      </c>
      <c r="D16" s="27" t="n">
        <f aca="false">B16*C16</f>
        <v>3600000000</v>
      </c>
      <c r="E16" s="17" t="n">
        <f aca="false">INDEX(AssetInt,9)</f>
        <v>0.43</v>
      </c>
      <c r="F16" s="27" t="n">
        <f aca="false">B16*E16</f>
        <v>2064000000</v>
      </c>
    </row>
    <row r="17" customFormat="false" ht="15" hidden="false" customHeight="false" outlineLevel="0" collapsed="false">
      <c r="A17" s="30" t="str">
        <f aca="false">INDEX(AssetLbl,10)</f>
        <v>Commercial real estate and specialised lending</v>
      </c>
      <c r="B17" s="31" t="n">
        <f aca="false">INDEX(AssetExp,10)</f>
        <v>5400000000</v>
      </c>
      <c r="C17" s="23" t="n">
        <f aca="false">INDEX(AssetStd,10)*INDEX(AssetSup,10)</f>
        <v>1</v>
      </c>
      <c r="D17" s="31" t="n">
        <f aca="false">B17*C17</f>
        <v>5400000000</v>
      </c>
      <c r="E17" s="23" t="n">
        <f aca="false">INDEX(AssetInt,10)</f>
        <v>0.65</v>
      </c>
      <c r="F17" s="31" t="n">
        <f aca="false">B17*E17</f>
        <v>3510000000</v>
      </c>
    </row>
    <row r="18" customFormat="false" ht="15" hidden="false" customHeight="false" outlineLevel="0" collapsed="false">
      <c r="A18" s="29" t="str">
        <f aca="false">INDEX(AssetLbl,11)</f>
        <v>Defaulted exposures, provisioned above 20 per cent</v>
      </c>
      <c r="B18" s="27" t="n">
        <f aca="false">INDEX(AssetExp,11)</f>
        <v>900000000</v>
      </c>
      <c r="C18" s="17" t="n">
        <f aca="false">INDEX(AssetStd,11)*INDEX(AssetSup,11)</f>
        <v>1</v>
      </c>
      <c r="D18" s="27" t="n">
        <f aca="false">B18*C18</f>
        <v>900000000</v>
      </c>
      <c r="E18" s="17" t="n">
        <f aca="false">INDEX(AssetInt,11)</f>
        <v>1</v>
      </c>
      <c r="F18" s="27" t="n">
        <f aca="false">B18*E18</f>
        <v>900000000</v>
      </c>
    </row>
    <row r="19" customFormat="false" ht="15" hidden="false" customHeight="false" outlineLevel="0" collapsed="false">
      <c r="A19" s="30" t="str">
        <f aca="false">INDEX(AssetLbl,12)</f>
        <v>Listed equities and participations</v>
      </c>
      <c r="B19" s="31" t="n">
        <f aca="false">INDEX(AssetExp,12)</f>
        <v>1200000000</v>
      </c>
      <c r="C19" s="23" t="n">
        <f aca="false">INDEX(AssetStd,12)*INDEX(AssetSup,12)</f>
        <v>1.3</v>
      </c>
      <c r="D19" s="31" t="n">
        <f aca="false">B19*C19</f>
        <v>1560000000</v>
      </c>
      <c r="E19" s="23" t="n">
        <f aca="false">INDEX(AssetInt,12)</f>
        <v>1.3</v>
      </c>
      <c r="F19" s="31" t="n">
        <f aca="false">B19*E19</f>
        <v>1560000000</v>
      </c>
    </row>
    <row r="20" customFormat="false" ht="15" hidden="false" customHeight="false" outlineLevel="0" collapsed="false">
      <c r="A20" s="29" t="str">
        <f aca="false">INDEX(AssetLbl,13)</f>
        <v>Securities financing transactions</v>
      </c>
      <c r="B20" s="27" t="n">
        <f aca="false">INDEX(AssetExp,13)</f>
        <v>2360000000</v>
      </c>
      <c r="C20" s="17" t="n">
        <f aca="false">INDEX(AssetStd,13)*INDEX(AssetSup,13)</f>
        <v>0.2</v>
      </c>
      <c r="D20" s="27" t="n">
        <f aca="false">B20*C20</f>
        <v>472000000</v>
      </c>
      <c r="E20" s="17" t="n">
        <f aca="false">INDEX(AssetInt,13)</f>
        <v>0.152</v>
      </c>
      <c r="F20" s="27" t="n">
        <f aca="false">B20*E20</f>
        <v>358720000</v>
      </c>
    </row>
    <row r="21" customFormat="false" ht="15" hidden="false" customHeight="false" outlineLevel="0" collapsed="false">
      <c r="A21" s="30" t="str">
        <f aca="false">INDEX(AssetLbl,14)</f>
        <v>Derivatives, SA-CCR exposure value</v>
      </c>
      <c r="B21" s="31" t="n">
        <f aca="false">INDEX(AssetExp,14)</f>
        <v>1480000000</v>
      </c>
      <c r="C21" s="23" t="n">
        <f aca="false">INDEX(AssetStd,14)*INDEX(AssetSup,14)</f>
        <v>0.2</v>
      </c>
      <c r="D21" s="31" t="n">
        <f aca="false">B21*C21</f>
        <v>296000000</v>
      </c>
      <c r="E21" s="23" t="n">
        <f aca="false">INDEX(AssetInt,14)</f>
        <v>0.152</v>
      </c>
      <c r="F21" s="31" t="n">
        <f aca="false">B21*E21</f>
        <v>224960000</v>
      </c>
    </row>
    <row r="22" customFormat="false" ht="15" hidden="false" customHeight="false" outlineLevel="0" collapsed="false">
      <c r="A22" s="29" t="str">
        <f aca="false">INDEX(AssetLbl,15)</f>
        <v>Other assets: fixed assets, deferred tax, sundry</v>
      </c>
      <c r="B22" s="27" t="n">
        <f aca="false">INDEX(AssetExp,15)</f>
        <v>2200000000</v>
      </c>
      <c r="C22" s="17" t="n">
        <f aca="false">INDEX(AssetStd,15)*INDEX(AssetSup,15)</f>
        <v>1</v>
      </c>
      <c r="D22" s="27" t="n">
        <f aca="false">B22*C22</f>
        <v>2200000000</v>
      </c>
      <c r="E22" s="17" t="n">
        <f aca="false">INDEX(AssetInt,15)</f>
        <v>1</v>
      </c>
      <c r="F22" s="27" t="n">
        <f aca="false">B22*E22</f>
        <v>2200000000</v>
      </c>
    </row>
    <row r="23" customFormat="false" ht="15" hidden="false" customHeight="false" outlineLevel="0" collapsed="false">
      <c r="A23" s="24" t="s">
        <v>195</v>
      </c>
      <c r="B23" s="32" t="n">
        <f aca="false">SUM(B8:B22)</f>
        <v>80240000000</v>
      </c>
      <c r="D23" s="32" t="n">
        <f aca="false">SUM(D8:D22)</f>
        <v>35620119295.6656</v>
      </c>
      <c r="F23" s="32" t="n">
        <f aca="false">SUM(F8:F22)</f>
        <v>22949380000</v>
      </c>
    </row>
    <row r="25" customFormat="false" ht="15" hidden="false" customHeight="false" outlineLevel="0" collapsed="false">
      <c r="A25" s="4" t="s">
        <v>196</v>
      </c>
      <c r="B25" s="6"/>
      <c r="C25" s="6"/>
      <c r="D25" s="6"/>
      <c r="E25" s="6"/>
      <c r="F25" s="6"/>
      <c r="G25" s="6"/>
      <c r="H25" s="6"/>
    </row>
    <row r="27" customFormat="false" ht="31.5" hidden="false" customHeight="true" outlineLevel="0" collapsed="false">
      <c r="A27" s="9" t="s">
        <v>71</v>
      </c>
      <c r="B27" s="10" t="s">
        <v>72</v>
      </c>
      <c r="C27" s="10" t="s">
        <v>73</v>
      </c>
      <c r="D27" s="10" t="s">
        <v>197</v>
      </c>
      <c r="E27" s="10" t="s">
        <v>44</v>
      </c>
      <c r="F27" s="10" t="s">
        <v>193</v>
      </c>
      <c r="G27" s="10" t="s">
        <v>45</v>
      </c>
      <c r="H27" s="10" t="s">
        <v>194</v>
      </c>
    </row>
    <row r="28" customFormat="false" ht="15" hidden="false" customHeight="false" outlineLevel="0" collapsed="false">
      <c r="A28" s="29" t="str">
        <f aca="false">INDEX(OffLbl,1)</f>
        <v>Committed credit lines to corporates</v>
      </c>
      <c r="B28" s="27" t="n">
        <f aca="false">INDEX(OffNom,1)</f>
        <v>7200000000</v>
      </c>
      <c r="C28" s="20" t="n">
        <f aca="false">INDEX(OffCcf,1)</f>
        <v>0.4</v>
      </c>
      <c r="D28" s="27" t="n">
        <f aca="false">B28*C28</f>
        <v>2880000000</v>
      </c>
      <c r="E28" s="20" t="n">
        <f aca="false">INDEX(OffStd,1)</f>
        <v>0.75</v>
      </c>
      <c r="F28" s="27" t="n">
        <f aca="false">D28*E28</f>
        <v>2160000000</v>
      </c>
      <c r="G28" s="20" t="n">
        <f aca="false">INDEX(OffInt,1)</f>
        <v>0.4</v>
      </c>
      <c r="H28" s="27" t="n">
        <f aca="false">D28*G28</f>
        <v>1152000000</v>
      </c>
    </row>
    <row r="29" customFormat="false" ht="15" hidden="false" customHeight="false" outlineLevel="0" collapsed="false">
      <c r="A29" s="30" t="str">
        <f aca="false">INDEX(OffLbl,2)</f>
        <v>Guarantees and sureties given</v>
      </c>
      <c r="B29" s="31" t="n">
        <f aca="false">INDEX(OffNom,2)</f>
        <v>1100000000</v>
      </c>
      <c r="C29" s="22" t="n">
        <f aca="false">INDEX(OffCcf,2)</f>
        <v>0.5</v>
      </c>
      <c r="D29" s="31" t="n">
        <f aca="false">B29*C29</f>
        <v>550000000</v>
      </c>
      <c r="E29" s="22" t="n">
        <f aca="false">INDEX(OffStd,2)</f>
        <v>1</v>
      </c>
      <c r="F29" s="31" t="n">
        <f aca="false">D29*E29</f>
        <v>550000000</v>
      </c>
      <c r="G29" s="22" t="n">
        <f aca="false">INDEX(OffInt,2)</f>
        <v>0.65</v>
      </c>
      <c r="H29" s="31" t="n">
        <f aca="false">D29*G29</f>
        <v>357500000</v>
      </c>
    </row>
    <row r="30" customFormat="false" ht="15" hidden="false" customHeight="false" outlineLevel="0" collapsed="false">
      <c r="A30" s="29" t="str">
        <f aca="false">INDEX(OffLbl,3)</f>
        <v>Unconditionally cancellable lines</v>
      </c>
      <c r="B30" s="27" t="n">
        <f aca="false">INDEX(OffNom,3)</f>
        <v>3000000000</v>
      </c>
      <c r="C30" s="20" t="n">
        <f aca="false">INDEX(OffCcf,3)</f>
        <v>0.1</v>
      </c>
      <c r="D30" s="27" t="n">
        <f aca="false">B30*C30</f>
        <v>300000000</v>
      </c>
      <c r="E30" s="20" t="n">
        <f aca="false">INDEX(OffStd,3)</f>
        <v>0.75</v>
      </c>
      <c r="F30" s="27" t="n">
        <f aca="false">D30*E30</f>
        <v>225000000</v>
      </c>
      <c r="G30" s="20" t="n">
        <f aca="false">INDEX(OffInt,3)</f>
        <v>0.4</v>
      </c>
      <c r="H30" s="27" t="n">
        <f aca="false">D30*G30</f>
        <v>120000000</v>
      </c>
    </row>
    <row r="31" customFormat="false" ht="15" hidden="false" customHeight="false" outlineLevel="0" collapsed="false">
      <c r="A31" s="24" t="s">
        <v>198</v>
      </c>
      <c r="B31" s="32" t="n">
        <f aca="false">SUM(B28:B30)</f>
        <v>11300000000</v>
      </c>
      <c r="D31" s="32" t="n">
        <f aca="false">SUM(D28:D30)</f>
        <v>3730000000</v>
      </c>
      <c r="F31" s="32" t="n">
        <f aca="false">SUM(F28:F30)</f>
        <v>2935000000</v>
      </c>
      <c r="H31" s="32" t="n">
        <f aca="false">SUM(H28:H30)</f>
        <v>1629500000</v>
      </c>
    </row>
    <row r="33" customFormat="false" ht="15" hidden="false" customHeight="false" outlineLevel="0" collapsed="false">
      <c r="A33" s="4" t="s">
        <v>199</v>
      </c>
      <c r="B33" s="6"/>
      <c r="C33" s="6"/>
      <c r="D33" s="6"/>
      <c r="E33" s="6"/>
      <c r="F33" s="6"/>
      <c r="G33" s="6"/>
      <c r="H33" s="6"/>
    </row>
    <row r="35" customFormat="false" ht="31.5" hidden="false" customHeight="true" outlineLevel="0" collapsed="false">
      <c r="A35" s="9" t="s">
        <v>200</v>
      </c>
      <c r="B35" s="10" t="s">
        <v>201</v>
      </c>
      <c r="C35" s="10" t="s">
        <v>202</v>
      </c>
    </row>
    <row r="36" customFormat="false" ht="15" hidden="false" customHeight="false" outlineLevel="0" collapsed="false">
      <c r="A36" s="7" t="s">
        <v>203</v>
      </c>
      <c r="B36" s="27" t="n">
        <f aca="false">MktStd</f>
        <v>1950000000</v>
      </c>
      <c r="C36" s="27" t="n">
        <f aca="false">MktInt</f>
        <v>1240000000</v>
      </c>
    </row>
    <row r="37" customFormat="false" ht="15" hidden="false" customHeight="false" outlineLevel="0" collapsed="false">
      <c r="A37" s="21" t="s">
        <v>204</v>
      </c>
      <c r="B37" s="31" t="n">
        <f aca="false">OpRisk</f>
        <v>3680000000</v>
      </c>
      <c r="C37" s="31" t="n">
        <f aca="false">OpRisk</f>
        <v>3680000000</v>
      </c>
    </row>
    <row r="38" customFormat="false" ht="15" hidden="false" customHeight="false" outlineLevel="0" collapsed="false">
      <c r="A38" s="7" t="s">
        <v>205</v>
      </c>
      <c r="B38" s="27" t="n">
        <f aca="false">CvaStd</f>
        <v>640000000</v>
      </c>
      <c r="C38" s="27" t="n">
        <f aca="false">CvaInt</f>
        <v>410000000</v>
      </c>
    </row>
    <row r="39" customFormat="false" ht="15" hidden="false" customHeight="false" outlineLevel="0" collapsed="false">
      <c r="A39" s="24" t="s">
        <v>206</v>
      </c>
      <c r="B39" s="32" t="n">
        <f aca="false">SUM(B36:B38)</f>
        <v>6270000000</v>
      </c>
      <c r="C39" s="32" t="n">
        <f aca="false">SUM(C36:C38)</f>
        <v>5330000000</v>
      </c>
    </row>
    <row r="41" customFormat="false" ht="15" hidden="false" customHeight="false" outlineLevel="0" collapsed="false">
      <c r="A41" s="13" t="s">
        <v>207</v>
      </c>
    </row>
    <row r="43" customFormat="false" ht="15" hidden="false" customHeight="false" outlineLevel="0" collapsed="false">
      <c r="A43" s="4" t="s">
        <v>208</v>
      </c>
      <c r="B43" s="6"/>
      <c r="C43" s="6"/>
      <c r="D43" s="6"/>
      <c r="E43" s="6"/>
      <c r="F43" s="6"/>
      <c r="G43" s="6"/>
      <c r="H43" s="6"/>
    </row>
    <row r="45" customFormat="false" ht="15" hidden="false" customHeight="false" outlineLevel="0" collapsed="false">
      <c r="A45" s="7" t="s">
        <v>209</v>
      </c>
      <c r="B45" s="27" t="n">
        <f aca="false">'The bank'!$D$23+'The bank'!$F$31+'The bank'!$B$39</f>
        <v>44825119295.6656</v>
      </c>
    </row>
    <row r="46" customFormat="false" ht="15" hidden="false" customHeight="false" outlineLevel="0" collapsed="false">
      <c r="A46" s="7" t="s">
        <v>210</v>
      </c>
      <c r="B46" s="27" t="n">
        <f aca="false">'The bank'!$F$23+'The bank'!$H$31+'The bank'!$C$39</f>
        <v>29908880000</v>
      </c>
    </row>
    <row r="47" customFormat="false" ht="15" hidden="false" customHeight="false" outlineLevel="0" collapsed="false">
      <c r="A47" s="7" t="s">
        <v>211</v>
      </c>
      <c r="B47" s="20" t="n">
        <f aca="false">RwaInt/RwaStd</f>
        <v>0.66723481097109</v>
      </c>
    </row>
    <row r="48" customFormat="false" ht="15" hidden="false" customHeight="false" outlineLevel="0" collapsed="false">
      <c r="A48" s="7" t="s">
        <v>212</v>
      </c>
      <c r="B48" s="20" t="n">
        <f aca="false">'The bank'!$B$39/RwaStd</f>
        <v>0.139876928349999</v>
      </c>
    </row>
    <row r="49" customFormat="false" ht="15" hidden="false" customHeight="false" outlineLevel="0" collapsed="false">
      <c r="A49" s="7" t="s">
        <v>23</v>
      </c>
      <c r="B49" s="20" t="n">
        <f aca="false">FloorNow</f>
        <v>0.55</v>
      </c>
    </row>
    <row r="50" customFormat="false" ht="15" hidden="false" customHeight="false" outlineLevel="0" collapsed="false">
      <c r="A50" s="7" t="s">
        <v>213</v>
      </c>
      <c r="B50" s="27" t="n">
        <f aca="false">RwaStd*FloorNow</f>
        <v>24653815612.6161</v>
      </c>
    </row>
    <row r="51" customFormat="false" ht="15" hidden="false" customHeight="false" outlineLevel="0" collapsed="false">
      <c r="A51" s="7" t="s">
        <v>214</v>
      </c>
      <c r="B51" s="27" t="n">
        <f aca="false">MAX(RwaInt,RwaFloor)</f>
        <v>29908880000</v>
      </c>
    </row>
    <row r="52" customFormat="false" ht="15" hidden="false" customHeight="false" outlineLevel="0" collapsed="false">
      <c r="A52" s="7" t="s">
        <v>215</v>
      </c>
      <c r="B52" s="33" t="str">
        <f aca="false">IF(RwaFloor&gt;RwaInt,"yes","no")</f>
        <v>no</v>
      </c>
    </row>
    <row r="54" customFormat="false" ht="15" hidden="false" customHeight="false" outlineLevel="0" collapsed="false">
      <c r="A54" s="4" t="s">
        <v>216</v>
      </c>
      <c r="B54" s="6"/>
      <c r="C54" s="6"/>
      <c r="D54" s="6"/>
      <c r="E54" s="6"/>
      <c r="F54" s="6"/>
      <c r="G54" s="6"/>
      <c r="H54" s="6"/>
    </row>
    <row r="56" customFormat="false" ht="15" hidden="false" customHeight="false" outlineLevel="0" collapsed="false">
      <c r="A56" s="7" t="s">
        <v>101</v>
      </c>
      <c r="B56" s="27" t="n">
        <f aca="false">INDEX(LiabAmt,MATCH("Common equity tier 1",LiabLbl,0))</f>
        <v>4060000000</v>
      </c>
    </row>
    <row r="57" customFormat="false" ht="15" hidden="false" customHeight="false" outlineLevel="0" collapsed="false">
      <c r="A57" s="7" t="s">
        <v>100</v>
      </c>
      <c r="B57" s="27" t="n">
        <f aca="false">INDEX(LiabAmt,MATCH("Additional tier 1",LiabLbl,0))</f>
        <v>520000000</v>
      </c>
    </row>
    <row r="58" customFormat="false" ht="15" hidden="false" customHeight="false" outlineLevel="0" collapsed="false">
      <c r="A58" s="7" t="s">
        <v>99</v>
      </c>
      <c r="B58" s="27" t="n">
        <f aca="false">INDEX(LiabAmt,MATCH("Tier 2",LiabLbl,0))</f>
        <v>910000000</v>
      </c>
    </row>
    <row r="59" customFormat="false" ht="15" hidden="false" customHeight="false" outlineLevel="0" collapsed="false">
      <c r="A59" s="7" t="s">
        <v>217</v>
      </c>
      <c r="B59" s="27" t="n">
        <f aca="false">CetCap+At1Cap</f>
        <v>4580000000</v>
      </c>
    </row>
    <row r="60" customFormat="false" ht="15" hidden="false" customHeight="false" outlineLevel="0" collapsed="false">
      <c r="A60" s="7" t="s">
        <v>218</v>
      </c>
      <c r="B60" s="27" t="n">
        <f aca="false">Tier1Cap+TierTwo</f>
        <v>5490000000</v>
      </c>
    </row>
    <row r="61" customFormat="false" ht="15" hidden="false" customHeight="false" outlineLevel="0" collapsed="false">
      <c r="A61" s="7" t="s">
        <v>96</v>
      </c>
      <c r="B61" s="27" t="n">
        <f aca="false">INDEX(LiabAmt,MATCH("Senior non-preferred debt, over one year",LiabLbl,0))</f>
        <v>1350000000</v>
      </c>
    </row>
    <row r="62" customFormat="false" ht="15" hidden="false" customHeight="false" outlineLevel="0" collapsed="false">
      <c r="A62" s="7" t="s">
        <v>95</v>
      </c>
      <c r="B62" s="27" t="n">
        <f aca="false">INDEX(LiabAmt,MATCH("Senior preferred debt, over one year",LiabLbl,0))</f>
        <v>1900000000</v>
      </c>
    </row>
    <row r="63" customFormat="false" ht="15" hidden="false" customHeight="false" outlineLevel="0" collapsed="false">
      <c r="A63" s="7" t="s">
        <v>97</v>
      </c>
      <c r="B63" s="27" t="n">
        <f aca="false">INDEX(LiabAmt,MATCH("Secured funding, under six months",LiabLbl,0))</f>
        <v>14260000000</v>
      </c>
    </row>
    <row r="64" customFormat="false" ht="15" hidden="false" customHeight="false" outlineLevel="0" collapsed="false">
      <c r="A64" s="7" t="s">
        <v>219</v>
      </c>
      <c r="B64" s="27" t="n">
        <f aca="false">SUM(LiabAmt)</f>
        <v>80240000000</v>
      </c>
    </row>
    <row r="65" customFormat="false" ht="15" hidden="false" customHeight="false" outlineLevel="0" collapsed="false">
      <c r="A65" s="7" t="s">
        <v>220</v>
      </c>
      <c r="B65" s="34" t="n">
        <f aca="false">TotAssets-TotLiab</f>
        <v>0</v>
      </c>
    </row>
    <row r="67" customFormat="false" ht="15" hidden="false" customHeight="false" outlineLevel="0" collapsed="false">
      <c r="A67" s="7" t="s">
        <v>221</v>
      </c>
      <c r="B67" s="17" t="n">
        <f aca="false">CetCap/RwaUsed</f>
        <v>0.135745638084743</v>
      </c>
    </row>
    <row r="68" customFormat="false" ht="15" hidden="false" customHeight="false" outlineLevel="0" collapsed="false">
      <c r="A68" s="7" t="s">
        <v>222</v>
      </c>
      <c r="B68" s="17" t="n">
        <f aca="false">Tier1Cap/RwaUsed</f>
        <v>0.153131778923183</v>
      </c>
    </row>
    <row r="69" customFormat="false" ht="15" hidden="false" customHeight="false" outlineLevel="0" collapsed="false">
      <c r="A69" s="7" t="s">
        <v>223</v>
      </c>
      <c r="B69" s="17" t="n">
        <f aca="false">OwnFunds/RwaUsed</f>
        <v>0.183557525390453</v>
      </c>
    </row>
    <row r="71" customFormat="false" ht="15" hidden="false" customHeight="false" outlineLevel="0" collapsed="false">
      <c r="A71" s="4" t="s">
        <v>224</v>
      </c>
      <c r="B71" s="6"/>
      <c r="C71" s="6"/>
      <c r="D71" s="6"/>
      <c r="E71" s="6"/>
      <c r="F71" s="6"/>
      <c r="G71" s="6"/>
      <c r="H71" s="6"/>
    </row>
    <row r="73" customFormat="false" ht="15" hidden="false" customHeight="false" outlineLevel="0" collapsed="false">
      <c r="A73" s="7" t="s">
        <v>225</v>
      </c>
      <c r="B73" s="17" t="n">
        <f aca="false">P2Req*P2CetShare</f>
        <v>0.01125</v>
      </c>
    </row>
    <row r="74" customFormat="false" ht="15" hidden="false" customHeight="false" outlineLevel="0" collapsed="false">
      <c r="A74" s="7" t="s">
        <v>226</v>
      </c>
      <c r="B74" s="17" t="n">
        <f aca="false">P2Req*P2T1Share-P2CetReq</f>
        <v>0.00375</v>
      </c>
    </row>
    <row r="75" customFormat="false" ht="15" hidden="false" customHeight="false" outlineLevel="0" collapsed="false">
      <c r="A75" s="7" t="s">
        <v>227</v>
      </c>
      <c r="B75" s="17" t="n">
        <f aca="false">P2Req*P2T2Share</f>
        <v>0.005</v>
      </c>
    </row>
    <row r="76" customFormat="false" ht="15" hidden="false" customHeight="false" outlineLevel="0" collapsed="false">
      <c r="A76" s="7" t="s">
        <v>228</v>
      </c>
      <c r="B76" s="28" t="n">
        <f aca="false">P2CetReq+P2At1Req+P2T2Req-P2Req</f>
        <v>0</v>
      </c>
    </row>
    <row r="77" customFormat="false" ht="15" hidden="false" customHeight="false" outlineLevel="0" collapsed="false">
      <c r="A77" s="7" t="s">
        <v>229</v>
      </c>
      <c r="B77" s="17" t="n">
        <f aca="false">P1Cet+P2CetReq</f>
        <v>0.05625</v>
      </c>
    </row>
    <row r="78" customFormat="false" ht="15" hidden="false" customHeight="false" outlineLevel="0" collapsed="false">
      <c r="A78" s="7" t="s">
        <v>230</v>
      </c>
      <c r="B78" s="17" t="n">
        <f aca="false">SUMPRODUCT(GeoShare,GeoRate)</f>
        <v>0.0097</v>
      </c>
    </row>
    <row r="79" customFormat="false" ht="15" hidden="false" customHeight="false" outlineLevel="0" collapsed="false">
      <c r="A79" s="7" t="s">
        <v>231</v>
      </c>
      <c r="B79" s="17" t="n">
        <f aca="false">BufCons+CcybRate+BufOsii+BufSect</f>
        <v>0.0497</v>
      </c>
    </row>
    <row r="80" customFormat="false" ht="15" hidden="false" customHeight="false" outlineLevel="0" collapsed="false">
      <c r="A80" s="7" t="s">
        <v>232</v>
      </c>
      <c r="B80" s="17" t="n">
        <f aca="false">ReqCetNoBuf+CbrRate</f>
        <v>0.10595</v>
      </c>
    </row>
    <row r="81" customFormat="false" ht="15" hidden="false" customHeight="false" outlineLevel="0" collapsed="false">
      <c r="A81" s="7" t="s">
        <v>233</v>
      </c>
      <c r="B81" s="17" t="n">
        <f aca="false">MdaTrig+P2Guide</f>
        <v>0.11845</v>
      </c>
    </row>
    <row r="82" customFormat="false" ht="15" hidden="false" customHeight="false" outlineLevel="0" collapsed="false">
      <c r="A82" s="7" t="s">
        <v>234</v>
      </c>
      <c r="B82" s="27" t="n">
        <f aca="false">CbrRate*RwaUsed</f>
        <v>1486471336</v>
      </c>
    </row>
    <row r="83" customFormat="false" ht="15" hidden="false" customHeight="false" outlineLevel="0" collapsed="false">
      <c r="A83" s="7" t="s">
        <v>235</v>
      </c>
      <c r="B83" s="27" t="n">
        <f aca="false">TotAssets+'The bank'!$D$31</f>
        <v>83970000000</v>
      </c>
    </row>
    <row r="84" customFormat="false" ht="15" hidden="false" customHeight="false" outlineLevel="0" collapsed="false">
      <c r="A84" s="13" t="s">
        <v>236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12"/>
    <col collapsed="false" customWidth="true" hidden="false" outlineLevel="0" max="4" min="4" style="0" width="10"/>
    <col collapsed="false" customWidth="true" hidden="false" outlineLevel="0" max="7" min="5" style="0" width="18"/>
  </cols>
  <sheetData>
    <row r="1" customFormat="false" ht="24" hidden="false" customHeight="true" outlineLevel="0" collapsed="false">
      <c r="A1" s="1" t="s">
        <v>237</v>
      </c>
    </row>
    <row r="2" customFormat="false" ht="15" hidden="false" customHeight="false" outlineLevel="0" collapsed="false">
      <c r="A2" s="2" t="s">
        <v>238</v>
      </c>
    </row>
    <row r="3" customFormat="false" ht="15" hidden="false" customHeight="false" outlineLevel="0" collapsed="false">
      <c r="A3" s="3"/>
      <c r="B3" s="3"/>
      <c r="C3" s="3"/>
      <c r="D3" s="3"/>
      <c r="E3" s="3"/>
      <c r="F3" s="3"/>
      <c r="G3" s="3"/>
    </row>
    <row r="5" customFormat="false" ht="15" hidden="false" customHeight="false" outlineLevel="0" collapsed="false">
      <c r="A5" s="4" t="s">
        <v>239</v>
      </c>
      <c r="B5" s="6"/>
      <c r="C5" s="6"/>
      <c r="D5" s="6"/>
      <c r="E5" s="6"/>
      <c r="F5" s="6"/>
      <c r="G5" s="6"/>
    </row>
    <row r="7" customFormat="false" ht="31.5" hidden="false" customHeight="true" outlineLevel="0" collapsed="false">
      <c r="A7" s="9" t="s">
        <v>240</v>
      </c>
      <c r="B7" s="10" t="s">
        <v>241</v>
      </c>
      <c r="C7" s="10" t="s">
        <v>48</v>
      </c>
      <c r="D7" s="10" t="s">
        <v>242</v>
      </c>
      <c r="E7" s="10" t="s">
        <v>243</v>
      </c>
    </row>
    <row r="8" customFormat="false" ht="15" hidden="false" customHeight="false" outlineLevel="0" collapsed="false">
      <c r="A8" s="7" t="s">
        <v>50</v>
      </c>
      <c r="B8" s="27" t="n">
        <f aca="false">INDEX(AssetExp,MATCH($A8,AssetLbl,0))</f>
        <v>8400000000</v>
      </c>
      <c r="C8" s="20" t="n">
        <f aca="false">INDEX(AssetHc,MATCH($A8,AssetLbl,0))</f>
        <v>0</v>
      </c>
      <c r="D8" s="29" t="str">
        <f aca="false">INDEX(AssetLvl,MATCH($A8,AssetLbl,0))</f>
        <v>1</v>
      </c>
      <c r="E8" s="27" t="n">
        <f aca="false">B8*(1-C8)</f>
        <v>8400000000</v>
      </c>
    </row>
    <row r="9" customFormat="false" ht="15" hidden="false" customHeight="false" outlineLevel="0" collapsed="false">
      <c r="A9" s="21" t="s">
        <v>52</v>
      </c>
      <c r="B9" s="31" t="n">
        <f aca="false">INDEX(AssetExp,MATCH($A9,AssetLbl,0))</f>
        <v>6200000000</v>
      </c>
      <c r="C9" s="22" t="n">
        <f aca="false">INDEX(AssetHc,MATCH($A9,AssetLbl,0))</f>
        <v>0</v>
      </c>
      <c r="D9" s="30" t="str">
        <f aca="false">INDEX(AssetLvl,MATCH($A9,AssetLbl,0))</f>
        <v>1</v>
      </c>
      <c r="E9" s="31" t="n">
        <f aca="false">B9*(1-C9)</f>
        <v>6200000000</v>
      </c>
    </row>
    <row r="10" customFormat="false" ht="15" hidden="false" customHeight="false" outlineLevel="0" collapsed="false">
      <c r="A10" s="7" t="s">
        <v>53</v>
      </c>
      <c r="B10" s="27" t="n">
        <f aca="false">INDEX(AssetExp,MATCH($A10,AssetLbl,0))</f>
        <v>2100000000</v>
      </c>
      <c r="C10" s="20" t="n">
        <f aca="false">INDEX(AssetHc,MATCH($A10,AssetLbl,0))</f>
        <v>0.07</v>
      </c>
      <c r="D10" s="29" t="str">
        <f aca="false">INDEX(AssetLvl,MATCH($A10,AssetLbl,0))</f>
        <v>1b</v>
      </c>
      <c r="E10" s="27" t="n">
        <f aca="false">B10*(1-C10)</f>
        <v>1953000000</v>
      </c>
    </row>
    <row r="11" customFormat="false" ht="15" hidden="false" customHeight="false" outlineLevel="0" collapsed="false">
      <c r="A11" s="21" t="s">
        <v>55</v>
      </c>
      <c r="B11" s="31" t="n">
        <f aca="false">INDEX(AssetExp,MATCH($A11,AssetLbl,0))</f>
        <v>1600000000</v>
      </c>
      <c r="C11" s="22" t="n">
        <f aca="false">INDEX(AssetHc,MATCH($A11,AssetLbl,0))</f>
        <v>0.15</v>
      </c>
      <c r="D11" s="30" t="str">
        <f aca="false">INDEX(AssetLvl,MATCH($A11,AssetLbl,0))</f>
        <v>2A</v>
      </c>
      <c r="E11" s="31" t="n">
        <f aca="false">B11*(1-C11)</f>
        <v>1360000000</v>
      </c>
    </row>
    <row r="12" customFormat="false" ht="15" hidden="false" customHeight="false" outlineLevel="0" collapsed="false">
      <c r="A12" s="7" t="s">
        <v>64</v>
      </c>
      <c r="B12" s="27" t="n">
        <f aca="false">INDEX(AssetExp,MATCH($A12,AssetLbl,0))</f>
        <v>1200000000</v>
      </c>
      <c r="C12" s="20" t="n">
        <f aca="false">INDEX(AssetHc,MATCH($A12,AssetLbl,0))</f>
        <v>0.5</v>
      </c>
      <c r="D12" s="29" t="str">
        <f aca="false">INDEX(AssetLvl,MATCH($A12,AssetLbl,0))</f>
        <v>2B</v>
      </c>
      <c r="E12" s="27" t="n">
        <f aca="false">B12*(1-C12)</f>
        <v>600000000</v>
      </c>
    </row>
    <row r="13" customFormat="false" ht="15" hidden="false" customHeight="false" outlineLevel="0" collapsed="false">
      <c r="A13" s="24" t="s">
        <v>244</v>
      </c>
      <c r="E13" s="32" t="n">
        <f aca="false">SUM(E8:E12)</f>
        <v>18513000000</v>
      </c>
    </row>
    <row r="15" customFormat="false" ht="15" hidden="false" customHeight="false" outlineLevel="0" collapsed="false">
      <c r="A15" s="4" t="s">
        <v>245</v>
      </c>
      <c r="B15" s="6"/>
      <c r="C15" s="6"/>
      <c r="D15" s="6"/>
      <c r="E15" s="6"/>
      <c r="F15" s="6"/>
      <c r="G15" s="6"/>
    </row>
    <row r="17" customFormat="false" ht="15" hidden="false" customHeight="false" outlineLevel="0" collapsed="false">
      <c r="A17" s="7" t="s">
        <v>97</v>
      </c>
      <c r="B17" s="27" t="n">
        <f aca="false">SecFunding</f>
        <v>14260000000</v>
      </c>
    </row>
    <row r="18" customFormat="false" ht="15" hidden="false" customHeight="false" outlineLevel="0" collapsed="false">
      <c r="A18" s="7" t="s">
        <v>246</v>
      </c>
      <c r="B18" s="20" t="n">
        <f aca="false">OwnInvShare</f>
        <v>0.376</v>
      </c>
    </row>
    <row r="19" customFormat="false" ht="15" hidden="false" customHeight="false" outlineLevel="0" collapsed="false">
      <c r="A19" s="7" t="s">
        <v>247</v>
      </c>
      <c r="B19" s="27" t="n">
        <f aca="false">SecFunding*OwnInvShare</f>
        <v>5361760000</v>
      </c>
    </row>
    <row r="20" customFormat="false" ht="15" hidden="false" customHeight="false" outlineLevel="0" collapsed="false">
      <c r="A20" s="7" t="s">
        <v>248</v>
      </c>
      <c r="B20" s="20" t="n">
        <f aca="false">RepoMargin</f>
        <v>0.05</v>
      </c>
    </row>
    <row r="21" customFormat="false" ht="15" hidden="false" customHeight="false" outlineLevel="0" collapsed="false">
      <c r="A21" s="7" t="s">
        <v>249</v>
      </c>
      <c r="B21" s="27" t="n">
        <f aca="false">SecFunding*OwnInvShare*(1+RepoMargin)</f>
        <v>5629848000</v>
      </c>
    </row>
    <row r="22" customFormat="false" ht="15" hidden="false" customHeight="false" outlineLevel="0" collapsed="false">
      <c r="A22" s="13" t="s">
        <v>250</v>
      </c>
    </row>
    <row r="24" customFormat="false" ht="15" hidden="false" customHeight="false" outlineLevel="0" collapsed="false">
      <c r="A24" s="4" t="s">
        <v>251</v>
      </c>
      <c r="B24" s="6"/>
      <c r="C24" s="6"/>
      <c r="D24" s="6"/>
      <c r="E24" s="6"/>
      <c r="F24" s="6"/>
      <c r="G24" s="6"/>
    </row>
    <row r="26" customFormat="false" ht="31.5" hidden="false" customHeight="true" outlineLevel="0" collapsed="false">
      <c r="A26" s="9" t="s">
        <v>240</v>
      </c>
      <c r="B26" s="10" t="s">
        <v>241</v>
      </c>
      <c r="C26" s="10" t="s">
        <v>252</v>
      </c>
      <c r="D26" s="10" t="s">
        <v>253</v>
      </c>
      <c r="E26" s="10" t="s">
        <v>254</v>
      </c>
    </row>
    <row r="27" customFormat="false" ht="15" hidden="false" customHeight="false" outlineLevel="0" collapsed="false">
      <c r="A27" s="7" t="s">
        <v>52</v>
      </c>
      <c r="B27" s="27" t="n">
        <f aca="false">INDEX(AssetExp,MATCH($A27,AssetLbl,0))</f>
        <v>6200000000</v>
      </c>
      <c r="C27" s="27" t="n">
        <f aca="false">Encumbered</f>
        <v>5629848000</v>
      </c>
      <c r="D27" s="27" t="n">
        <f aca="false">MIN(B27,C27)</f>
        <v>5629848000</v>
      </c>
      <c r="E27" s="27" t="n">
        <f aca="false">B27-D27</f>
        <v>570152000</v>
      </c>
    </row>
    <row r="28" customFormat="false" ht="15" hidden="false" customHeight="false" outlineLevel="0" collapsed="false">
      <c r="A28" s="21" t="s">
        <v>53</v>
      </c>
      <c r="B28" s="31" t="n">
        <f aca="false">INDEX(AssetExp,MATCH($A28,AssetLbl,0))</f>
        <v>2100000000</v>
      </c>
      <c r="C28" s="31" t="n">
        <f aca="false">C27-D27</f>
        <v>0</v>
      </c>
      <c r="D28" s="31" t="n">
        <f aca="false">MIN(B28,C28)</f>
        <v>0</v>
      </c>
      <c r="E28" s="31" t="n">
        <f aca="false">B28-D28</f>
        <v>2100000000</v>
      </c>
    </row>
    <row r="29" customFormat="false" ht="15" hidden="false" customHeight="false" outlineLevel="0" collapsed="false">
      <c r="A29" s="7" t="s">
        <v>55</v>
      </c>
      <c r="B29" s="27" t="n">
        <f aca="false">INDEX(AssetExp,MATCH($A29,AssetLbl,0))</f>
        <v>1600000000</v>
      </c>
      <c r="C29" s="27" t="n">
        <f aca="false">C28-D28</f>
        <v>0</v>
      </c>
      <c r="D29" s="27" t="n">
        <f aca="false">MIN(B29,C29)</f>
        <v>0</v>
      </c>
      <c r="E29" s="27" t="n">
        <f aca="false">B29-D29</f>
        <v>1600000000</v>
      </c>
    </row>
    <row r="30" customFormat="false" ht="15" hidden="false" customHeight="false" outlineLevel="0" collapsed="false">
      <c r="A30" s="21" t="s">
        <v>64</v>
      </c>
      <c r="B30" s="31" t="n">
        <f aca="false">INDEX(AssetExp,MATCH($A30,AssetLbl,0))</f>
        <v>1200000000</v>
      </c>
      <c r="C30" s="31" t="n">
        <f aca="false">C29-D29</f>
        <v>0</v>
      </c>
      <c r="D30" s="31" t="n">
        <f aca="false">MIN(B30,C30)</f>
        <v>0</v>
      </c>
      <c r="E30" s="31" t="n">
        <f aca="false">B30-D30</f>
        <v>1200000000</v>
      </c>
    </row>
    <row r="31" customFormat="false" ht="15" hidden="false" customHeight="false" outlineLevel="0" collapsed="false">
      <c r="A31" s="24" t="s">
        <v>255</v>
      </c>
      <c r="C31" s="35" t="n">
        <f aca="false">C30-D30</f>
        <v>0</v>
      </c>
    </row>
    <row r="33" customFormat="false" ht="15" hidden="false" customHeight="false" outlineLevel="0" collapsed="false">
      <c r="A33" s="13" t="s">
        <v>256</v>
      </c>
    </row>
    <row r="35" customFormat="false" ht="15" hidden="false" customHeight="false" outlineLevel="0" collapsed="false">
      <c r="A35" s="4" t="s">
        <v>257</v>
      </c>
      <c r="B35" s="6"/>
      <c r="C35" s="6"/>
      <c r="D35" s="6"/>
      <c r="E35" s="6"/>
      <c r="F35" s="6"/>
      <c r="G35" s="6"/>
    </row>
    <row r="37" customFormat="false" ht="15" hidden="false" customHeight="false" outlineLevel="0" collapsed="false">
      <c r="A37" s="7" t="s">
        <v>258</v>
      </c>
      <c r="B37" s="27" t="n">
        <f aca="false">INDEX(AssetExp,MATCH("Central bank reserves",AssetLbl,0))*(1-INDEX(AssetHc,MATCH("Central bank reserves",AssetLbl,0)))+'The liquidity buffer'!$E$27*(1-INDEX(AssetHc,MATCH("EU sovereign bonds, euro denominated",AssetLbl,0)))</f>
        <v>8970152000</v>
      </c>
    </row>
    <row r="38" customFormat="false" ht="15" hidden="false" customHeight="false" outlineLevel="0" collapsed="false">
      <c r="A38" s="7" t="s">
        <v>259</v>
      </c>
      <c r="B38" s="27" t="n">
        <f aca="false">'The liquidity buffer'!$E$28*(1-INDEX(AssetHc,MATCH("Covered bonds, AAA",AssetLbl,0)))</f>
        <v>1953000000</v>
      </c>
    </row>
    <row r="39" customFormat="false" ht="15" hidden="false" customHeight="false" outlineLevel="0" collapsed="false">
      <c r="A39" s="7" t="s">
        <v>260</v>
      </c>
      <c r="B39" s="27" t="n">
        <f aca="false">CapL1b/(1-CapL1b)*Lvl1</f>
        <v>20930354666.6667</v>
      </c>
    </row>
    <row r="40" customFormat="false" ht="15" hidden="false" customHeight="false" outlineLevel="0" collapsed="false">
      <c r="A40" s="7" t="s">
        <v>261</v>
      </c>
      <c r="B40" s="27" t="n">
        <f aca="false">MIN(Raw1b,Cap1b)</f>
        <v>1953000000</v>
      </c>
    </row>
    <row r="41" customFormat="false" ht="15" hidden="false" customHeight="false" outlineLevel="0" collapsed="false">
      <c r="A41" s="7" t="s">
        <v>262</v>
      </c>
      <c r="B41" s="27" t="n">
        <f aca="false">'The liquidity buffer'!$E$30*(1-INDEX(AssetHc,MATCH("Listed equities and participations",AssetLbl,0)))</f>
        <v>600000000</v>
      </c>
    </row>
    <row r="42" customFormat="false" ht="15" hidden="false" customHeight="false" outlineLevel="0" collapsed="false">
      <c r="A42" s="7" t="s">
        <v>263</v>
      </c>
      <c r="B42" s="27" t="n">
        <f aca="false">CapL2b/(1-CapL2b)*(Lvl1+Lvl1b)</f>
        <v>1927615058.82353</v>
      </c>
    </row>
    <row r="43" customFormat="false" ht="15" hidden="false" customHeight="false" outlineLevel="0" collapsed="false">
      <c r="A43" s="7" t="s">
        <v>264</v>
      </c>
      <c r="B43" s="27" t="n">
        <f aca="false">MIN(Raw2b,Cap2b)</f>
        <v>600000000</v>
      </c>
    </row>
    <row r="44" customFormat="false" ht="15" hidden="false" customHeight="false" outlineLevel="0" collapsed="false">
      <c r="A44" s="7" t="s">
        <v>265</v>
      </c>
      <c r="B44" s="27" t="n">
        <f aca="false">'The liquidity buffer'!$E$29*(1-INDEX(AssetHc,MATCH("Corporate bonds, AA- and above",AssetLbl,0)))</f>
        <v>1360000000</v>
      </c>
    </row>
    <row r="45" customFormat="false" ht="15" hidden="false" customHeight="false" outlineLevel="0" collapsed="false">
      <c r="A45" s="7" t="s">
        <v>266</v>
      </c>
      <c r="B45" s="27" t="n">
        <f aca="false">CapL2/(1-CapL2)*(Lvl1+Lvl1b)</f>
        <v>7282101333.33333</v>
      </c>
    </row>
    <row r="46" customFormat="false" ht="15" hidden="false" customHeight="false" outlineLevel="0" collapsed="false">
      <c r="A46" s="7" t="s">
        <v>267</v>
      </c>
      <c r="B46" s="27" t="n">
        <f aca="false">MIN(Raw2a,MAX(0,Cap2-Lvl2b))</f>
        <v>1360000000</v>
      </c>
    </row>
    <row r="47" customFormat="false" ht="15" hidden="false" customHeight="false" outlineLevel="0" collapsed="false">
      <c r="A47" s="7" t="s">
        <v>268</v>
      </c>
      <c r="B47" s="27" t="n">
        <f aca="false">Lvl1+Lvl1b+Lvl2a+Lvl2b</f>
        <v>12883152000</v>
      </c>
    </row>
    <row r="48" customFormat="false" ht="15" hidden="false" customHeight="false" outlineLevel="0" collapsed="false">
      <c r="A48" s="7" t="s">
        <v>269</v>
      </c>
      <c r="B48" s="27" t="n">
        <f aca="false">PortLiq-HqlaAmt</f>
        <v>5629848000</v>
      </c>
    </row>
    <row r="49" customFormat="false" ht="15" hidden="false" customHeight="false" outlineLevel="0" collapsed="false">
      <c r="A49" s="13" t="s">
        <v>270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14"/>
    <col collapsed="false" customWidth="true" hidden="false" outlineLevel="0" max="4" min="4" style="0" width="18"/>
  </cols>
  <sheetData>
    <row r="1" customFormat="false" ht="24" hidden="false" customHeight="true" outlineLevel="0" collapsed="false">
      <c r="A1" s="1" t="s">
        <v>271</v>
      </c>
    </row>
    <row r="2" customFormat="false" ht="15" hidden="false" customHeight="false" outlineLevel="0" collapsed="false">
      <c r="A2" s="2" t="s">
        <v>272</v>
      </c>
    </row>
    <row r="3" customFormat="false" ht="15" hidden="false" customHeight="false" outlineLevel="0" collapsed="false">
      <c r="A3" s="3"/>
      <c r="B3" s="3"/>
      <c r="C3" s="3"/>
      <c r="D3" s="3"/>
    </row>
    <row r="5" customFormat="false" ht="15" hidden="false" customHeight="false" outlineLevel="0" collapsed="false">
      <c r="A5" s="4" t="s">
        <v>273</v>
      </c>
      <c r="B5" s="6"/>
      <c r="C5" s="6"/>
      <c r="D5" s="6"/>
    </row>
    <row r="7" customFormat="false" ht="31.5" hidden="false" customHeight="true" outlineLevel="0" collapsed="false">
      <c r="A7" s="9" t="s">
        <v>86</v>
      </c>
      <c r="B7" s="10" t="s">
        <v>87</v>
      </c>
      <c r="C7" s="10" t="s">
        <v>74</v>
      </c>
      <c r="D7" s="10" t="s">
        <v>274</v>
      </c>
    </row>
    <row r="8" customFormat="false" ht="15" hidden="false" customHeight="false" outlineLevel="0" collapsed="false">
      <c r="A8" s="29" t="str">
        <f aca="false">INDEX(LiabLbl,1)</f>
        <v>Retail deposits, stable</v>
      </c>
      <c r="B8" s="27" t="n">
        <f aca="false">INDEX(LiabAmt,1)</f>
        <v>18000000000</v>
      </c>
      <c r="C8" s="20" t="n">
        <f aca="false">INDEX(LiabOut,1)</f>
        <v>0.05</v>
      </c>
      <c r="D8" s="27" t="n">
        <f aca="false">B8*C8</f>
        <v>900000000</v>
      </c>
    </row>
    <row r="9" customFormat="false" ht="15" hidden="false" customHeight="false" outlineLevel="0" collapsed="false">
      <c r="A9" s="30" t="str">
        <f aca="false">INDEX(LiabLbl,2)</f>
        <v>Retail deposits, less stable</v>
      </c>
      <c r="B9" s="31" t="n">
        <f aca="false">INDEX(LiabAmt,2)</f>
        <v>7400000000</v>
      </c>
      <c r="C9" s="22" t="n">
        <f aca="false">INDEX(LiabOut,2)</f>
        <v>0.1</v>
      </c>
      <c r="D9" s="31" t="n">
        <f aca="false">B9*C9</f>
        <v>740000000</v>
      </c>
    </row>
    <row r="10" customFormat="false" ht="15" hidden="false" customHeight="false" outlineLevel="0" collapsed="false">
      <c r="A10" s="29" t="str">
        <f aca="false">INDEX(LiabLbl,3)</f>
        <v>Corporate deposits, operational</v>
      </c>
      <c r="B10" s="27" t="n">
        <f aca="false">INDEX(LiabAmt,3)</f>
        <v>6200000000</v>
      </c>
      <c r="C10" s="20" t="n">
        <f aca="false">INDEX(LiabOut,3)</f>
        <v>0.25</v>
      </c>
      <c r="D10" s="27" t="n">
        <f aca="false">B10*C10</f>
        <v>1550000000</v>
      </c>
    </row>
    <row r="11" customFormat="false" ht="15" hidden="false" customHeight="false" outlineLevel="0" collapsed="false">
      <c r="A11" s="30" t="str">
        <f aca="false">INDEX(LiabLbl,4)</f>
        <v>Corporate deposits, non-operational</v>
      </c>
      <c r="B11" s="31" t="n">
        <f aca="false">INDEX(LiabAmt,4)</f>
        <v>11500000000</v>
      </c>
      <c r="C11" s="22" t="n">
        <f aca="false">INDEX(LiabOut,4)</f>
        <v>0.4</v>
      </c>
      <c r="D11" s="31" t="n">
        <f aca="false">B11*C11</f>
        <v>4600000000</v>
      </c>
    </row>
    <row r="12" customFormat="false" ht="15" hidden="false" customHeight="false" outlineLevel="0" collapsed="false">
      <c r="A12" s="29" t="str">
        <f aca="false">INDEX(LiabLbl,5)</f>
        <v>Financial institution deposits</v>
      </c>
      <c r="B12" s="27" t="n">
        <f aca="false">INDEX(LiabAmt,5)</f>
        <v>5600000000</v>
      </c>
      <c r="C12" s="20" t="n">
        <f aca="false">INDEX(LiabOut,5)</f>
        <v>1</v>
      </c>
      <c r="D12" s="27" t="n">
        <f aca="false">B12*C12</f>
        <v>5600000000</v>
      </c>
    </row>
    <row r="13" customFormat="false" ht="15" hidden="false" customHeight="false" outlineLevel="0" collapsed="false">
      <c r="A13" s="30" t="str">
        <f aca="false">INDEX(LiabLbl,6)</f>
        <v>Covered bonds issued, over one year</v>
      </c>
      <c r="B13" s="31" t="n">
        <f aca="false">INDEX(LiabAmt,6)</f>
        <v>3200000000</v>
      </c>
      <c r="C13" s="22" t="n">
        <f aca="false">INDEX(LiabOut,6)</f>
        <v>0</v>
      </c>
      <c r="D13" s="31" t="n">
        <f aca="false">B13*C13</f>
        <v>0</v>
      </c>
    </row>
    <row r="14" customFormat="false" ht="15" hidden="false" customHeight="false" outlineLevel="0" collapsed="false">
      <c r="A14" s="29" t="str">
        <f aca="false">INDEX(LiabLbl,7)</f>
        <v>Senior preferred debt, over one year</v>
      </c>
      <c r="B14" s="27" t="n">
        <f aca="false">INDEX(LiabAmt,7)</f>
        <v>1900000000</v>
      </c>
      <c r="C14" s="20" t="n">
        <f aca="false">INDEX(LiabOut,7)</f>
        <v>0</v>
      </c>
      <c r="D14" s="27" t="n">
        <f aca="false">B14*C14</f>
        <v>0</v>
      </c>
    </row>
    <row r="15" customFormat="false" ht="15" hidden="false" customHeight="false" outlineLevel="0" collapsed="false">
      <c r="A15" s="30" t="str">
        <f aca="false">INDEX(LiabLbl,8)</f>
        <v>Senior non-preferred debt, over one year</v>
      </c>
      <c r="B15" s="31" t="n">
        <f aca="false">INDEX(LiabAmt,8)</f>
        <v>1350000000</v>
      </c>
      <c r="C15" s="22" t="n">
        <f aca="false">INDEX(LiabOut,8)</f>
        <v>0</v>
      </c>
      <c r="D15" s="31" t="n">
        <f aca="false">B15*C15</f>
        <v>0</v>
      </c>
    </row>
    <row r="16" customFormat="false" ht="15" hidden="false" customHeight="false" outlineLevel="0" collapsed="false">
      <c r="A16" s="29" t="str">
        <f aca="false">INDEX(LiabLbl,9)</f>
        <v>Secured funding, under six months</v>
      </c>
      <c r="B16" s="27" t="n">
        <f aca="false">INDEX(LiabAmt,9)</f>
        <v>14260000000</v>
      </c>
      <c r="C16" s="20" t="n">
        <f aca="false">INDEX(LiabOut,9)</f>
        <v>0</v>
      </c>
      <c r="D16" s="27" t="n">
        <f aca="false">B16*C16</f>
        <v>0</v>
      </c>
    </row>
    <row r="17" customFormat="false" ht="15" hidden="false" customHeight="false" outlineLevel="0" collapsed="false">
      <c r="A17" s="30" t="str">
        <f aca="false">INDEX(LiabLbl,10)</f>
        <v>Derivative liabilities</v>
      </c>
      <c r="B17" s="31" t="n">
        <f aca="false">INDEX(LiabAmt,10)</f>
        <v>1480000000</v>
      </c>
      <c r="C17" s="22" t="n">
        <f aca="false">INDEX(LiabOut,10)</f>
        <v>0</v>
      </c>
      <c r="D17" s="31" t="n">
        <f aca="false">B17*C17</f>
        <v>0</v>
      </c>
    </row>
    <row r="18" customFormat="false" ht="15" hidden="false" customHeight="false" outlineLevel="0" collapsed="false">
      <c r="A18" s="29" t="str">
        <f aca="false">INDEX(LiabLbl,11)</f>
        <v>Tier 2</v>
      </c>
      <c r="B18" s="27" t="n">
        <f aca="false">INDEX(LiabAmt,11)</f>
        <v>910000000</v>
      </c>
      <c r="C18" s="20" t="n">
        <f aca="false">INDEX(LiabOut,11)</f>
        <v>0</v>
      </c>
      <c r="D18" s="27" t="n">
        <f aca="false">B18*C18</f>
        <v>0</v>
      </c>
    </row>
    <row r="19" customFormat="false" ht="15" hidden="false" customHeight="false" outlineLevel="0" collapsed="false">
      <c r="A19" s="30" t="str">
        <f aca="false">INDEX(LiabLbl,12)</f>
        <v>Additional tier 1</v>
      </c>
      <c r="B19" s="31" t="n">
        <f aca="false">INDEX(LiabAmt,12)</f>
        <v>520000000</v>
      </c>
      <c r="C19" s="22" t="n">
        <f aca="false">INDEX(LiabOut,12)</f>
        <v>0</v>
      </c>
      <c r="D19" s="31" t="n">
        <f aca="false">B19*C19</f>
        <v>0</v>
      </c>
    </row>
    <row r="20" customFormat="false" ht="15" hidden="false" customHeight="false" outlineLevel="0" collapsed="false">
      <c r="A20" s="29" t="str">
        <f aca="false">INDEX(LiabLbl,13)</f>
        <v>Common equity tier 1</v>
      </c>
      <c r="B20" s="27" t="n">
        <f aca="false">INDEX(LiabAmt,13)</f>
        <v>4060000000</v>
      </c>
      <c r="C20" s="20" t="n">
        <f aca="false">INDEX(LiabOut,13)</f>
        <v>0</v>
      </c>
      <c r="D20" s="27" t="n">
        <f aca="false">B20*C20</f>
        <v>0</v>
      </c>
    </row>
    <row r="21" customFormat="false" ht="15" hidden="false" customHeight="false" outlineLevel="0" collapsed="false">
      <c r="A21" s="30" t="str">
        <f aca="false">INDEX(LiabLbl,14)</f>
        <v>Other liabilities</v>
      </c>
      <c r="B21" s="31" t="n">
        <f aca="false">INDEX(LiabAmt,14)</f>
        <v>3860000000</v>
      </c>
      <c r="C21" s="22" t="n">
        <f aca="false">INDEX(LiabOut,14)</f>
        <v>0</v>
      </c>
      <c r="D21" s="31" t="n">
        <f aca="false">B21*C21</f>
        <v>0</v>
      </c>
    </row>
    <row r="22" customFormat="false" ht="15" hidden="false" customHeight="false" outlineLevel="0" collapsed="false">
      <c r="A22" s="24" t="s">
        <v>275</v>
      </c>
      <c r="D22" s="32" t="n">
        <f aca="false">SUM(D8:D21)</f>
        <v>13390000000</v>
      </c>
    </row>
    <row r="24" customFormat="false" ht="15" hidden="false" customHeight="false" outlineLevel="0" collapsed="false">
      <c r="A24" s="4" t="s">
        <v>276</v>
      </c>
      <c r="B24" s="6"/>
      <c r="C24" s="6"/>
      <c r="D24" s="6"/>
    </row>
    <row r="26" customFormat="false" ht="31.5" hidden="false" customHeight="true" outlineLevel="0" collapsed="false">
      <c r="A26" s="9" t="s">
        <v>71</v>
      </c>
      <c r="B26" s="10" t="s">
        <v>72</v>
      </c>
      <c r="C26" s="10" t="s">
        <v>74</v>
      </c>
      <c r="D26" s="10" t="s">
        <v>274</v>
      </c>
    </row>
    <row r="27" customFormat="false" ht="15" hidden="false" customHeight="false" outlineLevel="0" collapsed="false">
      <c r="A27" s="29" t="str">
        <f aca="false">INDEX(OffLbl,1)</f>
        <v>Committed credit lines to corporates</v>
      </c>
      <c r="B27" s="27" t="n">
        <f aca="false">INDEX(OffNom,1)</f>
        <v>7200000000</v>
      </c>
      <c r="C27" s="20" t="n">
        <f aca="false">INDEX(OffOut,1)</f>
        <v>0.1</v>
      </c>
      <c r="D27" s="27" t="n">
        <f aca="false">B27*C27</f>
        <v>720000000</v>
      </c>
    </row>
    <row r="28" customFormat="false" ht="15" hidden="false" customHeight="false" outlineLevel="0" collapsed="false">
      <c r="A28" s="30" t="str">
        <f aca="false">INDEX(OffLbl,2)</f>
        <v>Guarantees and sureties given</v>
      </c>
      <c r="B28" s="31" t="n">
        <f aca="false">INDEX(OffNom,2)</f>
        <v>1100000000</v>
      </c>
      <c r="C28" s="22" t="n">
        <f aca="false">INDEX(OffOut,2)</f>
        <v>0.05</v>
      </c>
      <c r="D28" s="31" t="n">
        <f aca="false">B28*C28</f>
        <v>55000000</v>
      </c>
    </row>
    <row r="29" customFormat="false" ht="15" hidden="false" customHeight="false" outlineLevel="0" collapsed="false">
      <c r="A29" s="29" t="str">
        <f aca="false">INDEX(OffLbl,3)</f>
        <v>Unconditionally cancellable lines</v>
      </c>
      <c r="B29" s="27" t="n">
        <f aca="false">INDEX(OffNom,3)</f>
        <v>3000000000</v>
      </c>
      <c r="C29" s="20" t="n">
        <f aca="false">INDEX(OffOut,3)</f>
        <v>0.05</v>
      </c>
      <c r="D29" s="27" t="n">
        <f aca="false">B29*C29</f>
        <v>150000000</v>
      </c>
    </row>
    <row r="30" customFormat="false" ht="15" hidden="false" customHeight="false" outlineLevel="0" collapsed="false">
      <c r="A30" s="24" t="s">
        <v>277</v>
      </c>
      <c r="D30" s="32" t="n">
        <f aca="false">SUM(D27:D29)</f>
        <v>925000000</v>
      </c>
    </row>
    <row r="32" customFormat="false" ht="15" hidden="false" customHeight="false" outlineLevel="0" collapsed="false">
      <c r="A32" s="7" t="s">
        <v>278</v>
      </c>
      <c r="B32" s="27" t="n">
        <f aca="false">OtherOut</f>
        <v>850000000</v>
      </c>
    </row>
    <row r="33" customFormat="false" ht="15" hidden="false" customHeight="false" outlineLevel="0" collapsed="false">
      <c r="A33" s="7" t="s">
        <v>279</v>
      </c>
      <c r="B33" s="27" t="n">
        <f aca="false">Outflows!$D$22+Outflows!$D$30+OtherOut</f>
        <v>15165000000</v>
      </c>
    </row>
    <row r="34" customFormat="false" ht="15" hidden="false" customHeight="false" outlineLevel="0" collapsed="false">
      <c r="A34" s="7" t="s">
        <v>280</v>
      </c>
      <c r="B34" s="27" t="n">
        <f aca="false">GrossIn</f>
        <v>4200000000</v>
      </c>
    </row>
    <row r="35" customFormat="false" ht="15" hidden="false" customHeight="false" outlineLevel="0" collapsed="false">
      <c r="A35" s="7" t="s">
        <v>281</v>
      </c>
      <c r="B35" s="27" t="n">
        <f aca="false">InflowCap*OutGross</f>
        <v>11373750000</v>
      </c>
    </row>
    <row r="36" customFormat="false" ht="15" hidden="false" customHeight="false" outlineLevel="0" collapsed="false">
      <c r="A36" s="7" t="s">
        <v>282</v>
      </c>
      <c r="B36" s="27" t="n">
        <f aca="false">MIN(GrossIn,InCap)</f>
        <v>4200000000</v>
      </c>
    </row>
    <row r="37" customFormat="false" ht="15" hidden="false" customHeight="false" outlineLevel="0" collapsed="false">
      <c r="A37" s="7" t="s">
        <v>283</v>
      </c>
      <c r="B37" s="27" t="n">
        <f aca="false">OutGross-InRecognised</f>
        <v>10965000000</v>
      </c>
    </row>
    <row r="38" customFormat="false" ht="15" hidden="false" customHeight="false" outlineLevel="0" collapsed="false">
      <c r="A38" s="13" t="s">
        <v>284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20"/>
  </cols>
  <sheetData>
    <row r="1" customFormat="false" ht="24" hidden="false" customHeight="true" outlineLevel="0" collapsed="false">
      <c r="A1" s="1" t="s">
        <v>285</v>
      </c>
    </row>
    <row r="2" customFormat="false" ht="15" hidden="false" customHeight="false" outlineLevel="0" collapsed="false">
      <c r="A2" s="2" t="s">
        <v>286</v>
      </c>
    </row>
    <row r="3" customFormat="false" ht="15" hidden="false" customHeight="false" outlineLevel="0" collapsed="false">
      <c r="A3" s="3"/>
      <c r="B3" s="3"/>
    </row>
    <row r="5" customFormat="false" ht="15" hidden="false" customHeight="false" outlineLevel="0" collapsed="false">
      <c r="A5" s="7" t="s">
        <v>268</v>
      </c>
      <c r="B5" s="27" t="n">
        <f aca="false">HqlaAmt</f>
        <v>12883152000</v>
      </c>
    </row>
    <row r="6" customFormat="false" ht="15" hidden="false" customHeight="false" outlineLevel="0" collapsed="false">
      <c r="A6" s="7" t="s">
        <v>283</v>
      </c>
      <c r="B6" s="27" t="n">
        <f aca="false">NetOut</f>
        <v>10965000000</v>
      </c>
    </row>
    <row r="7" customFormat="false" ht="15" hidden="false" customHeight="false" outlineLevel="0" collapsed="false">
      <c r="A7" s="7" t="s">
        <v>287</v>
      </c>
      <c r="B7" s="17" t="n">
        <f aca="false">HqlaAmt/NetOut</f>
        <v>1.1749340629275</v>
      </c>
    </row>
    <row r="8" customFormat="false" ht="15" hidden="false" customHeight="false" outlineLevel="0" collapsed="false">
      <c r="A8" s="7" t="s">
        <v>288</v>
      </c>
      <c r="B8" s="20" t="n">
        <f aca="false">LcrMin</f>
        <v>1</v>
      </c>
    </row>
    <row r="9" customFormat="false" ht="15" hidden="false" customHeight="false" outlineLevel="0" collapsed="false">
      <c r="A9" s="7" t="s">
        <v>289</v>
      </c>
      <c r="B9" s="36" t="n">
        <f aca="false">(HqlaAmt/NetOut-LcrMin)*100</f>
        <v>17.4934062927496</v>
      </c>
    </row>
    <row r="11" customFormat="false" ht="15" hidden="false" customHeight="false" outlineLevel="0" collapsed="false">
      <c r="A11" s="4" t="s">
        <v>290</v>
      </c>
      <c r="B11" s="6"/>
    </row>
    <row r="13" customFormat="false" ht="15" hidden="false" customHeight="false" outlineLevel="0" collapsed="false">
      <c r="A13" s="7" t="s">
        <v>291</v>
      </c>
      <c r="B13" s="27" t="n">
        <f aca="false">PortLiq</f>
        <v>18513000000</v>
      </c>
    </row>
    <row r="14" customFormat="false" ht="15" hidden="false" customHeight="false" outlineLevel="0" collapsed="false">
      <c r="A14" s="7" t="s">
        <v>292</v>
      </c>
      <c r="B14" s="17" t="n">
        <f aca="false">PortLiq/NetOut</f>
        <v>1.68837209302326</v>
      </c>
    </row>
    <row r="15" customFormat="false" ht="15" hidden="false" customHeight="false" outlineLevel="0" collapsed="false">
      <c r="A15" s="7" t="s">
        <v>293</v>
      </c>
      <c r="B15" s="36" t="n">
        <f aca="false">(PortLiq/NetOut-HqlaAmt/NetOut)*100</f>
        <v>51.3438030095759</v>
      </c>
    </row>
    <row r="16" customFormat="false" ht="15" hidden="false" customHeight="false" outlineLevel="0" collapsed="false">
      <c r="A16" s="13" t="s">
        <v>294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14"/>
    <col collapsed="false" customWidth="true" hidden="false" outlineLevel="0" max="4" min="4" style="0" width="18"/>
  </cols>
  <sheetData>
    <row r="1" customFormat="false" ht="24" hidden="false" customHeight="true" outlineLevel="0" collapsed="false">
      <c r="A1" s="1" t="s">
        <v>295</v>
      </c>
    </row>
    <row r="2" customFormat="false" ht="15" hidden="false" customHeight="false" outlineLevel="0" collapsed="false">
      <c r="A2" s="2" t="s">
        <v>296</v>
      </c>
    </row>
    <row r="3" customFormat="false" ht="15" hidden="false" customHeight="false" outlineLevel="0" collapsed="false">
      <c r="A3" s="3"/>
      <c r="B3" s="3"/>
      <c r="C3" s="3"/>
      <c r="D3" s="3"/>
    </row>
    <row r="5" customFormat="false" ht="15" hidden="false" customHeight="false" outlineLevel="0" collapsed="false">
      <c r="A5" s="4" t="s">
        <v>297</v>
      </c>
      <c r="B5" s="6"/>
      <c r="C5" s="6"/>
      <c r="D5" s="6"/>
    </row>
    <row r="7" customFormat="false" ht="31.5" hidden="false" customHeight="true" outlineLevel="0" collapsed="false">
      <c r="A7" s="9" t="s">
        <v>86</v>
      </c>
      <c r="B7" s="10" t="s">
        <v>87</v>
      </c>
      <c r="C7" s="10" t="s">
        <v>88</v>
      </c>
      <c r="D7" s="10" t="s">
        <v>298</v>
      </c>
    </row>
    <row r="8" customFormat="false" ht="15" hidden="false" customHeight="false" outlineLevel="0" collapsed="false">
      <c r="A8" s="29" t="str">
        <f aca="false">INDEX(LiabLbl,1)</f>
        <v>Retail deposits, stable</v>
      </c>
      <c r="B8" s="27" t="n">
        <f aca="false">INDEX(LiabAmt,1)</f>
        <v>18000000000</v>
      </c>
      <c r="C8" s="20" t="n">
        <f aca="false">INDEX(LiabAsf,1)</f>
        <v>0.95</v>
      </c>
      <c r="D8" s="27" t="n">
        <f aca="false">B8*C8</f>
        <v>17100000000</v>
      </c>
    </row>
    <row r="9" customFormat="false" ht="15" hidden="false" customHeight="false" outlineLevel="0" collapsed="false">
      <c r="A9" s="30" t="str">
        <f aca="false">INDEX(LiabLbl,2)</f>
        <v>Retail deposits, less stable</v>
      </c>
      <c r="B9" s="31" t="n">
        <f aca="false">INDEX(LiabAmt,2)</f>
        <v>7400000000</v>
      </c>
      <c r="C9" s="22" t="n">
        <f aca="false">INDEX(LiabAsf,2)</f>
        <v>0.9</v>
      </c>
      <c r="D9" s="31" t="n">
        <f aca="false">B9*C9</f>
        <v>6660000000</v>
      </c>
    </row>
    <row r="10" customFormat="false" ht="15" hidden="false" customHeight="false" outlineLevel="0" collapsed="false">
      <c r="A10" s="29" t="str">
        <f aca="false">INDEX(LiabLbl,3)</f>
        <v>Corporate deposits, operational</v>
      </c>
      <c r="B10" s="27" t="n">
        <f aca="false">INDEX(LiabAmt,3)</f>
        <v>6200000000</v>
      </c>
      <c r="C10" s="20" t="n">
        <f aca="false">INDEX(LiabAsf,3)</f>
        <v>0.5</v>
      </c>
      <c r="D10" s="27" t="n">
        <f aca="false">B10*C10</f>
        <v>3100000000</v>
      </c>
    </row>
    <row r="11" customFormat="false" ht="15" hidden="false" customHeight="false" outlineLevel="0" collapsed="false">
      <c r="A11" s="30" t="str">
        <f aca="false">INDEX(LiabLbl,4)</f>
        <v>Corporate deposits, non-operational</v>
      </c>
      <c r="B11" s="31" t="n">
        <f aca="false">INDEX(LiabAmt,4)</f>
        <v>11500000000</v>
      </c>
      <c r="C11" s="22" t="n">
        <f aca="false">INDEX(LiabAsf,4)</f>
        <v>0.5</v>
      </c>
      <c r="D11" s="31" t="n">
        <f aca="false">B11*C11</f>
        <v>5750000000</v>
      </c>
    </row>
    <row r="12" customFormat="false" ht="15" hidden="false" customHeight="false" outlineLevel="0" collapsed="false">
      <c r="A12" s="29" t="str">
        <f aca="false">INDEX(LiabLbl,5)</f>
        <v>Financial institution deposits</v>
      </c>
      <c r="B12" s="27" t="n">
        <f aca="false">INDEX(LiabAmt,5)</f>
        <v>5600000000</v>
      </c>
      <c r="C12" s="20" t="n">
        <f aca="false">INDEX(LiabAsf,5)</f>
        <v>0</v>
      </c>
      <c r="D12" s="27" t="n">
        <f aca="false">B12*C12</f>
        <v>0</v>
      </c>
    </row>
    <row r="13" customFormat="false" ht="15" hidden="false" customHeight="false" outlineLevel="0" collapsed="false">
      <c r="A13" s="30" t="str">
        <f aca="false">INDEX(LiabLbl,6)</f>
        <v>Covered bonds issued, over one year</v>
      </c>
      <c r="B13" s="31" t="n">
        <f aca="false">INDEX(LiabAmt,6)</f>
        <v>3200000000</v>
      </c>
      <c r="C13" s="22" t="n">
        <f aca="false">INDEX(LiabAsf,6)</f>
        <v>1</v>
      </c>
      <c r="D13" s="31" t="n">
        <f aca="false">B13*C13</f>
        <v>3200000000</v>
      </c>
    </row>
    <row r="14" customFormat="false" ht="15" hidden="false" customHeight="false" outlineLevel="0" collapsed="false">
      <c r="A14" s="29" t="str">
        <f aca="false">INDEX(LiabLbl,7)</f>
        <v>Senior preferred debt, over one year</v>
      </c>
      <c r="B14" s="27" t="n">
        <f aca="false">INDEX(LiabAmt,7)</f>
        <v>1900000000</v>
      </c>
      <c r="C14" s="20" t="n">
        <f aca="false">INDEX(LiabAsf,7)</f>
        <v>1</v>
      </c>
      <c r="D14" s="27" t="n">
        <f aca="false">B14*C14</f>
        <v>1900000000</v>
      </c>
    </row>
    <row r="15" customFormat="false" ht="15" hidden="false" customHeight="false" outlineLevel="0" collapsed="false">
      <c r="A15" s="30" t="str">
        <f aca="false">INDEX(LiabLbl,8)</f>
        <v>Senior non-preferred debt, over one year</v>
      </c>
      <c r="B15" s="31" t="n">
        <f aca="false">INDEX(LiabAmt,8)</f>
        <v>1350000000</v>
      </c>
      <c r="C15" s="22" t="n">
        <f aca="false">INDEX(LiabAsf,8)</f>
        <v>1</v>
      </c>
      <c r="D15" s="31" t="n">
        <f aca="false">B15*C15</f>
        <v>1350000000</v>
      </c>
    </row>
    <row r="16" customFormat="false" ht="15" hidden="false" customHeight="false" outlineLevel="0" collapsed="false">
      <c r="A16" s="29" t="str">
        <f aca="false">INDEX(LiabLbl,9)</f>
        <v>Secured funding, under six months</v>
      </c>
      <c r="B16" s="27" t="n">
        <f aca="false">INDEX(LiabAmt,9)</f>
        <v>14260000000</v>
      </c>
      <c r="C16" s="20" t="n">
        <f aca="false">INDEX(LiabAsf,9)</f>
        <v>0</v>
      </c>
      <c r="D16" s="27" t="n">
        <f aca="false">B16*C16</f>
        <v>0</v>
      </c>
    </row>
    <row r="17" customFormat="false" ht="15" hidden="false" customHeight="false" outlineLevel="0" collapsed="false">
      <c r="A17" s="30" t="str">
        <f aca="false">INDEX(LiabLbl,10)</f>
        <v>Derivative liabilities</v>
      </c>
      <c r="B17" s="31" t="n">
        <f aca="false">INDEX(LiabAmt,10)</f>
        <v>1480000000</v>
      </c>
      <c r="C17" s="22" t="n">
        <f aca="false">INDEX(LiabAsf,10)</f>
        <v>0</v>
      </c>
      <c r="D17" s="31" t="n">
        <f aca="false">B17*C17</f>
        <v>0</v>
      </c>
    </row>
    <row r="18" customFormat="false" ht="15" hidden="false" customHeight="false" outlineLevel="0" collapsed="false">
      <c r="A18" s="29" t="str">
        <f aca="false">INDEX(LiabLbl,11)</f>
        <v>Tier 2</v>
      </c>
      <c r="B18" s="27" t="n">
        <f aca="false">INDEX(LiabAmt,11)</f>
        <v>910000000</v>
      </c>
      <c r="C18" s="20" t="n">
        <f aca="false">INDEX(LiabAsf,11)</f>
        <v>1</v>
      </c>
      <c r="D18" s="27" t="n">
        <f aca="false">B18*C18</f>
        <v>910000000</v>
      </c>
    </row>
    <row r="19" customFormat="false" ht="15" hidden="false" customHeight="false" outlineLevel="0" collapsed="false">
      <c r="A19" s="30" t="str">
        <f aca="false">INDEX(LiabLbl,12)</f>
        <v>Additional tier 1</v>
      </c>
      <c r="B19" s="31" t="n">
        <f aca="false">INDEX(LiabAmt,12)</f>
        <v>520000000</v>
      </c>
      <c r="C19" s="22" t="n">
        <f aca="false">INDEX(LiabAsf,12)</f>
        <v>1</v>
      </c>
      <c r="D19" s="31" t="n">
        <f aca="false">B19*C19</f>
        <v>520000000</v>
      </c>
    </row>
    <row r="20" customFormat="false" ht="15" hidden="false" customHeight="false" outlineLevel="0" collapsed="false">
      <c r="A20" s="29" t="str">
        <f aca="false">INDEX(LiabLbl,13)</f>
        <v>Common equity tier 1</v>
      </c>
      <c r="B20" s="27" t="n">
        <f aca="false">INDEX(LiabAmt,13)</f>
        <v>4060000000</v>
      </c>
      <c r="C20" s="20" t="n">
        <f aca="false">INDEX(LiabAsf,13)</f>
        <v>1</v>
      </c>
      <c r="D20" s="27" t="n">
        <f aca="false">B20*C20</f>
        <v>4060000000</v>
      </c>
    </row>
    <row r="21" customFormat="false" ht="15" hidden="false" customHeight="false" outlineLevel="0" collapsed="false">
      <c r="A21" s="30" t="str">
        <f aca="false">INDEX(LiabLbl,14)</f>
        <v>Other liabilities</v>
      </c>
      <c r="B21" s="31" t="n">
        <f aca="false">INDEX(LiabAmt,14)</f>
        <v>3860000000</v>
      </c>
      <c r="C21" s="22" t="n">
        <f aca="false">INDEX(LiabAsf,14)</f>
        <v>0</v>
      </c>
      <c r="D21" s="31" t="n">
        <f aca="false">B21*C21</f>
        <v>0</v>
      </c>
    </row>
    <row r="22" customFormat="false" ht="15" hidden="false" customHeight="false" outlineLevel="0" collapsed="false">
      <c r="A22" s="24" t="s">
        <v>298</v>
      </c>
      <c r="D22" s="32" t="n">
        <f aca="false">SUM(D8:D21)</f>
        <v>44550000000</v>
      </c>
    </row>
    <row r="24" customFormat="false" ht="15" hidden="false" customHeight="false" outlineLevel="0" collapsed="false">
      <c r="A24" s="4" t="s">
        <v>299</v>
      </c>
      <c r="B24" s="6"/>
      <c r="C24" s="6"/>
      <c r="D24" s="6"/>
    </row>
    <row r="26" customFormat="false" ht="31.5" hidden="false" customHeight="true" outlineLevel="0" collapsed="false">
      <c r="A26" s="9" t="s">
        <v>42</v>
      </c>
      <c r="B26" s="10" t="s">
        <v>43</v>
      </c>
      <c r="C26" s="10" t="s">
        <v>46</v>
      </c>
      <c r="D26" s="10" t="s">
        <v>300</v>
      </c>
    </row>
    <row r="27" customFormat="false" ht="15" hidden="false" customHeight="false" outlineLevel="0" collapsed="false">
      <c r="A27" s="29" t="str">
        <f aca="false">INDEX(AssetLbl,1)</f>
        <v>Central bank reserves</v>
      </c>
      <c r="B27" s="27" t="n">
        <f aca="false">INDEX(AssetExp,1)</f>
        <v>8400000000</v>
      </c>
      <c r="C27" s="20" t="n">
        <f aca="false">INDEX(AssetRsf,1)</f>
        <v>0</v>
      </c>
      <c r="D27" s="27" t="n">
        <f aca="false">B27*C27</f>
        <v>0</v>
      </c>
    </row>
    <row r="28" customFormat="false" ht="15" hidden="false" customHeight="false" outlineLevel="0" collapsed="false">
      <c r="A28" s="30" t="str">
        <f aca="false">INDEX(AssetLbl,2)</f>
        <v>EU sovereign bonds, euro denominated</v>
      </c>
      <c r="B28" s="31" t="n">
        <f aca="false">INDEX(AssetExp,2)</f>
        <v>6200000000</v>
      </c>
      <c r="C28" s="22" t="n">
        <f aca="false">INDEX(AssetRsf,2)</f>
        <v>0.05</v>
      </c>
      <c r="D28" s="31" t="n">
        <f aca="false">B28*C28</f>
        <v>310000000</v>
      </c>
    </row>
    <row r="29" customFormat="false" ht="15" hidden="false" customHeight="false" outlineLevel="0" collapsed="false">
      <c r="A29" s="29" t="str">
        <f aca="false">INDEX(AssetLbl,3)</f>
        <v>Covered bonds, AAA</v>
      </c>
      <c r="B29" s="27" t="n">
        <f aca="false">INDEX(AssetExp,3)</f>
        <v>2100000000</v>
      </c>
      <c r="C29" s="20" t="n">
        <f aca="false">INDEX(AssetRsf,3)</f>
        <v>0.07</v>
      </c>
      <c r="D29" s="27" t="n">
        <f aca="false">B29*C29</f>
        <v>147000000</v>
      </c>
    </row>
    <row r="30" customFormat="false" ht="15" hidden="false" customHeight="false" outlineLevel="0" collapsed="false">
      <c r="A30" s="30" t="str">
        <f aca="false">INDEX(AssetLbl,4)</f>
        <v>Corporate bonds, AA- and above</v>
      </c>
      <c r="B30" s="31" t="n">
        <f aca="false">INDEX(AssetExp,4)</f>
        <v>1600000000</v>
      </c>
      <c r="C30" s="22" t="n">
        <f aca="false">INDEX(AssetRsf,4)</f>
        <v>0.5</v>
      </c>
      <c r="D30" s="31" t="n">
        <f aca="false">B30*C30</f>
        <v>800000000</v>
      </c>
    </row>
    <row r="31" customFormat="false" ht="15" hidden="false" customHeight="false" outlineLevel="0" collapsed="false">
      <c r="A31" s="29" t="str">
        <f aca="false">INDEX(AssetLbl,5)</f>
        <v>Interbank exposures, three months or less</v>
      </c>
      <c r="B31" s="27" t="n">
        <f aca="false">INDEX(AssetExp,5)</f>
        <v>1800000000</v>
      </c>
      <c r="C31" s="20" t="n">
        <f aca="false">INDEX(AssetRsf,5)</f>
        <v>0.1</v>
      </c>
      <c r="D31" s="27" t="n">
        <f aca="false">B31*C31</f>
        <v>180000000</v>
      </c>
    </row>
    <row r="32" customFormat="false" ht="15" hidden="false" customHeight="false" outlineLevel="0" collapsed="false">
      <c r="A32" s="30" t="str">
        <f aca="false">INDEX(AssetLbl,6)</f>
        <v>Rated large corporates</v>
      </c>
      <c r="B32" s="31" t="n">
        <f aca="false">INDEX(AssetExp,6)</f>
        <v>14500000000</v>
      </c>
      <c r="C32" s="22" t="n">
        <f aca="false">INDEX(AssetRsf,6)</f>
        <v>0.85</v>
      </c>
      <c r="D32" s="31" t="n">
        <f aca="false">B32*C32</f>
        <v>12325000000</v>
      </c>
    </row>
    <row r="33" customFormat="false" ht="15" hidden="false" customHeight="false" outlineLevel="0" collapsed="false">
      <c r="A33" s="29" t="str">
        <f aca="false">INDEX(AssetLbl,7)</f>
        <v>Small and medium-sized enterprises</v>
      </c>
      <c r="B33" s="27" t="n">
        <f aca="false">INDEX(AssetExp,7)</f>
        <v>6300000000</v>
      </c>
      <c r="C33" s="20" t="n">
        <f aca="false">INDEX(AssetRsf,7)</f>
        <v>0.85</v>
      </c>
      <c r="D33" s="27" t="n">
        <f aca="false">B33*C33</f>
        <v>5355000000</v>
      </c>
    </row>
    <row r="34" customFormat="false" ht="15" hidden="false" customHeight="false" outlineLevel="0" collapsed="false">
      <c r="A34" s="30" t="str">
        <f aca="false">INDEX(AssetLbl,8)</f>
        <v>Residential mortgages</v>
      </c>
      <c r="B34" s="31" t="n">
        <f aca="false">INDEX(AssetExp,8)</f>
        <v>21000000000</v>
      </c>
      <c r="C34" s="22" t="n">
        <f aca="false">INDEX(AssetRsf,8)</f>
        <v>0.65</v>
      </c>
      <c r="D34" s="31" t="n">
        <f aca="false">B34*C34</f>
        <v>13650000000</v>
      </c>
    </row>
    <row r="35" customFormat="false" ht="15" hidden="false" customHeight="false" outlineLevel="0" collapsed="false">
      <c r="A35" s="29" t="str">
        <f aca="false">INDEX(AssetLbl,9)</f>
        <v>Other retail lending</v>
      </c>
      <c r="B35" s="27" t="n">
        <f aca="false">INDEX(AssetExp,9)</f>
        <v>4800000000</v>
      </c>
      <c r="C35" s="20" t="n">
        <f aca="false">INDEX(AssetRsf,9)</f>
        <v>0.85</v>
      </c>
      <c r="D35" s="27" t="n">
        <f aca="false">B35*C35</f>
        <v>4080000000</v>
      </c>
    </row>
    <row r="36" customFormat="false" ht="15" hidden="false" customHeight="false" outlineLevel="0" collapsed="false">
      <c r="A36" s="30" t="str">
        <f aca="false">INDEX(AssetLbl,10)</f>
        <v>Commercial real estate and specialised lending</v>
      </c>
      <c r="B36" s="31" t="n">
        <f aca="false">INDEX(AssetExp,10)</f>
        <v>5400000000</v>
      </c>
      <c r="C36" s="22" t="n">
        <f aca="false">INDEX(AssetRsf,10)</f>
        <v>0.85</v>
      </c>
      <c r="D36" s="31" t="n">
        <f aca="false">B36*C36</f>
        <v>4590000000</v>
      </c>
    </row>
    <row r="37" customFormat="false" ht="15" hidden="false" customHeight="false" outlineLevel="0" collapsed="false">
      <c r="A37" s="29" t="str">
        <f aca="false">INDEX(AssetLbl,11)</f>
        <v>Defaulted exposures, provisioned above 20 per cent</v>
      </c>
      <c r="B37" s="27" t="n">
        <f aca="false">INDEX(AssetExp,11)</f>
        <v>900000000</v>
      </c>
      <c r="C37" s="20" t="n">
        <f aca="false">INDEX(AssetRsf,11)</f>
        <v>1</v>
      </c>
      <c r="D37" s="27" t="n">
        <f aca="false">B37*C37</f>
        <v>900000000</v>
      </c>
    </row>
    <row r="38" customFormat="false" ht="15" hidden="false" customHeight="false" outlineLevel="0" collapsed="false">
      <c r="A38" s="30" t="str">
        <f aca="false">INDEX(AssetLbl,12)</f>
        <v>Listed equities and participations</v>
      </c>
      <c r="B38" s="31" t="n">
        <f aca="false">INDEX(AssetExp,12)</f>
        <v>1200000000</v>
      </c>
      <c r="C38" s="22" t="n">
        <f aca="false">INDEX(AssetRsf,12)</f>
        <v>0.85</v>
      </c>
      <c r="D38" s="31" t="n">
        <f aca="false">B38*C38</f>
        <v>1020000000</v>
      </c>
    </row>
    <row r="39" customFormat="false" ht="15" hidden="false" customHeight="false" outlineLevel="0" collapsed="false">
      <c r="A39" s="29" t="str">
        <f aca="false">INDEX(AssetLbl,13)</f>
        <v>Securities financing transactions</v>
      </c>
      <c r="B39" s="27" t="n">
        <f aca="false">INDEX(AssetExp,13)</f>
        <v>2360000000</v>
      </c>
      <c r="C39" s="20" t="n">
        <f aca="false">INDEX(AssetRsf,13)</f>
        <v>0.1</v>
      </c>
      <c r="D39" s="27" t="n">
        <f aca="false">B39*C39</f>
        <v>236000000</v>
      </c>
    </row>
    <row r="40" customFormat="false" ht="15" hidden="false" customHeight="false" outlineLevel="0" collapsed="false">
      <c r="A40" s="30" t="str">
        <f aca="false">INDEX(AssetLbl,14)</f>
        <v>Derivatives, SA-CCR exposure value</v>
      </c>
      <c r="B40" s="31" t="n">
        <f aca="false">INDEX(AssetExp,14)</f>
        <v>1480000000</v>
      </c>
      <c r="C40" s="22" t="n">
        <f aca="false">INDEX(AssetRsf,14)</f>
        <v>0.1</v>
      </c>
      <c r="D40" s="31" t="n">
        <f aca="false">B40*C40</f>
        <v>148000000</v>
      </c>
    </row>
    <row r="41" customFormat="false" ht="15" hidden="false" customHeight="false" outlineLevel="0" collapsed="false">
      <c r="A41" s="29" t="str">
        <f aca="false">INDEX(AssetLbl,15)</f>
        <v>Other assets: fixed assets, deferred tax, sundry</v>
      </c>
      <c r="B41" s="27" t="n">
        <f aca="false">INDEX(AssetExp,15)</f>
        <v>2200000000</v>
      </c>
      <c r="C41" s="20" t="n">
        <f aca="false">INDEX(AssetRsf,15)</f>
        <v>1</v>
      </c>
      <c r="D41" s="27" t="n">
        <f aca="false">B41*C41</f>
        <v>2200000000</v>
      </c>
    </row>
    <row r="42" customFormat="false" ht="15" hidden="false" customHeight="false" outlineLevel="0" collapsed="false">
      <c r="A42" s="24" t="s">
        <v>301</v>
      </c>
      <c r="D42" s="32" t="n">
        <f aca="false">SUM(D27:D41)</f>
        <v>45941000000</v>
      </c>
    </row>
    <row r="44" customFormat="false" ht="15" hidden="false" customHeight="false" outlineLevel="0" collapsed="false">
      <c r="A44" s="4" t="s">
        <v>302</v>
      </c>
      <c r="B44" s="6"/>
      <c r="C44" s="6"/>
      <c r="D44" s="6"/>
    </row>
    <row r="46" customFormat="false" ht="31.5" hidden="false" customHeight="true" outlineLevel="0" collapsed="false">
      <c r="A46" s="9" t="s">
        <v>71</v>
      </c>
      <c r="B46" s="10" t="s">
        <v>72</v>
      </c>
      <c r="C46" s="10" t="s">
        <v>46</v>
      </c>
      <c r="D46" s="10" t="s">
        <v>300</v>
      </c>
    </row>
    <row r="47" customFormat="false" ht="15" hidden="false" customHeight="false" outlineLevel="0" collapsed="false">
      <c r="A47" s="29" t="str">
        <f aca="false">INDEX(OffLbl,1)</f>
        <v>Committed credit lines to corporates</v>
      </c>
      <c r="B47" s="27" t="n">
        <f aca="false">INDEX(OffNom,1)</f>
        <v>7200000000</v>
      </c>
      <c r="C47" s="20" t="n">
        <f aca="false">INDEX(OffRsf,1)</f>
        <v>0.05</v>
      </c>
      <c r="D47" s="27" t="n">
        <f aca="false">B47*C47</f>
        <v>360000000</v>
      </c>
    </row>
    <row r="48" customFormat="false" ht="15" hidden="false" customHeight="false" outlineLevel="0" collapsed="false">
      <c r="A48" s="30" t="str">
        <f aca="false">INDEX(OffLbl,2)</f>
        <v>Guarantees and sureties given</v>
      </c>
      <c r="B48" s="31" t="n">
        <f aca="false">INDEX(OffNom,2)</f>
        <v>1100000000</v>
      </c>
      <c r="C48" s="22" t="n">
        <f aca="false">INDEX(OffRsf,2)</f>
        <v>0.05</v>
      </c>
      <c r="D48" s="31" t="n">
        <f aca="false">B48*C48</f>
        <v>55000000</v>
      </c>
    </row>
    <row r="49" customFormat="false" ht="15" hidden="false" customHeight="false" outlineLevel="0" collapsed="false">
      <c r="A49" s="29" t="str">
        <f aca="false">INDEX(OffLbl,3)</f>
        <v>Unconditionally cancellable lines</v>
      </c>
      <c r="B49" s="27" t="n">
        <f aca="false">INDEX(OffNom,3)</f>
        <v>3000000000</v>
      </c>
      <c r="C49" s="20" t="n">
        <f aca="false">INDEX(OffRsf,3)</f>
        <v>0.05</v>
      </c>
      <c r="D49" s="27" t="n">
        <f aca="false">B49*C49</f>
        <v>150000000</v>
      </c>
    </row>
    <row r="50" customFormat="false" ht="15" hidden="false" customHeight="false" outlineLevel="0" collapsed="false">
      <c r="A50" s="24" t="s">
        <v>303</v>
      </c>
      <c r="D50" s="32" t="n">
        <f aca="false">SUM(D47:D49)</f>
        <v>565000000</v>
      </c>
    </row>
    <row r="52" customFormat="false" ht="15" hidden="false" customHeight="false" outlineLevel="0" collapsed="false">
      <c r="A52" s="7" t="s">
        <v>304</v>
      </c>
      <c r="B52" s="27" t="n">
        <f aca="false">'Stable funding'!$D$42+'Stable funding'!$D$50</f>
        <v>46506000000</v>
      </c>
    </row>
    <row r="53" customFormat="false" ht="15" hidden="false" customHeight="false" outlineLevel="0" collapsed="false">
      <c r="A53" s="7" t="s">
        <v>305</v>
      </c>
      <c r="B53" s="17" t="n">
        <f aca="false">AsfTot/RsfTot</f>
        <v>0.957940910850213</v>
      </c>
    </row>
    <row r="54" customFormat="false" ht="15" hidden="false" customHeight="false" outlineLevel="0" collapsed="false">
      <c r="A54" s="7" t="s">
        <v>306</v>
      </c>
      <c r="B54" s="27" t="n">
        <f aca="false">RsfTot-AsfTot</f>
        <v>1956000000</v>
      </c>
    </row>
    <row r="55" customFormat="false" ht="15" hidden="false" customHeight="false" outlineLevel="0" collapsed="false">
      <c r="A55" s="13" t="s">
        <v>307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1"/>
    <col collapsed="false" customWidth="true" hidden="false" outlineLevel="0" max="6" min="3" style="0" width="18"/>
    <col collapsed="false" customWidth="true" hidden="false" outlineLevel="0" max="7" min="7" style="0" width="14"/>
  </cols>
  <sheetData>
    <row r="1" customFormat="false" ht="24" hidden="false" customHeight="true" outlineLevel="0" collapsed="false">
      <c r="A1" s="1" t="s">
        <v>308</v>
      </c>
    </row>
    <row r="2" customFormat="false" ht="15" hidden="false" customHeight="false" outlineLevel="0" collapsed="false">
      <c r="A2" s="2" t="s">
        <v>309</v>
      </c>
    </row>
    <row r="3" customFormat="false" ht="15" hidden="false" customHeight="false" outlineLevel="0" collapsed="false">
      <c r="A3" s="3"/>
      <c r="B3" s="3"/>
      <c r="C3" s="3"/>
      <c r="D3" s="3"/>
      <c r="E3" s="3"/>
      <c r="F3" s="3"/>
      <c r="G3" s="3"/>
    </row>
    <row r="5" customFormat="false" ht="15" hidden="false" customHeight="false" outlineLevel="0" collapsed="false">
      <c r="A5" s="4" t="s">
        <v>310</v>
      </c>
      <c r="B5" s="6"/>
      <c r="C5" s="6"/>
      <c r="D5" s="6"/>
      <c r="E5" s="6"/>
      <c r="F5" s="6"/>
      <c r="G5" s="6"/>
    </row>
    <row r="7" customFormat="false" ht="31.5" hidden="false" customHeight="true" outlineLevel="0" collapsed="false">
      <c r="A7" s="9" t="s">
        <v>140</v>
      </c>
      <c r="B7" s="10" t="s">
        <v>311</v>
      </c>
      <c r="C7" s="10" t="s">
        <v>312</v>
      </c>
      <c r="D7" s="10" t="s">
        <v>313</v>
      </c>
      <c r="E7" s="10" t="s">
        <v>314</v>
      </c>
      <c r="F7" s="10" t="s">
        <v>315</v>
      </c>
      <c r="G7" s="10" t="s">
        <v>316</v>
      </c>
    </row>
    <row r="8" customFormat="false" ht="15" hidden="false" customHeight="false" outlineLevel="0" collapsed="false">
      <c r="A8" s="29" t="str">
        <f aca="false">INDEX(VarLbl,1)</f>
        <v>Cancellable lines at a zero funding factor (national discretion, Article 428p)</v>
      </c>
      <c r="B8" s="37" t="n">
        <f aca="false">INDEX(VarSwitch,1)</f>
        <v>0</v>
      </c>
      <c r="C8" s="27" t="n">
        <f aca="false">INDEX(OffNom,MATCH("Unconditionally cancellable lines",OffLbl,0))*(INDEX(VarAlt,1)-INDEX(OffRsf,MATCH("Unconditionally cancellable lines",OffLbl,0)))</f>
        <v>-150000000</v>
      </c>
      <c r="D8" s="27" t="n">
        <f aca="false">0</f>
        <v>0</v>
      </c>
      <c r="E8" s="27" t="n">
        <f aca="false">RsfTot+C8</f>
        <v>46356000000</v>
      </c>
      <c r="F8" s="27" t="n">
        <f aca="false">AsfTot+D8</f>
        <v>44550000000</v>
      </c>
      <c r="G8" s="20" t="n">
        <f aca="false">F8/E8</f>
        <v>0.961040641988092</v>
      </c>
    </row>
    <row r="9" customFormat="false" ht="15" hidden="false" customHeight="false" outlineLevel="0" collapsed="false">
      <c r="A9" s="30" t="str">
        <f aca="false">INDEX(VarLbl,2)</f>
        <v>Guarantees given at a zero funding factor</v>
      </c>
      <c r="B9" s="38" t="n">
        <f aca="false">INDEX(VarSwitch,2)</f>
        <v>0</v>
      </c>
      <c r="C9" s="31" t="n">
        <f aca="false">INDEX(OffNom,MATCH("Guarantees and sureties given",OffLbl,0))*(INDEX(VarAlt,2)-INDEX(OffRsf,MATCH("Guarantees and sureties given",OffLbl,0)))</f>
        <v>-55000000</v>
      </c>
      <c r="D9" s="31" t="n">
        <f aca="false">0</f>
        <v>0</v>
      </c>
      <c r="E9" s="31" t="n">
        <f aca="false">RsfTot+C9</f>
        <v>46451000000</v>
      </c>
      <c r="F9" s="31" t="n">
        <f aca="false">AsfTot+D9</f>
        <v>44550000000</v>
      </c>
      <c r="G9" s="22" t="n">
        <f aca="false">F9/E9</f>
        <v>0.959075154463844</v>
      </c>
    </row>
    <row r="10" customFormat="false" ht="15" hidden="false" customHeight="false" outlineLevel="0" collapsed="false">
      <c r="A10" s="29" t="str">
        <f aca="false">INDEX(VarLbl,3)</f>
        <v>One billion of mortgages inside a year, at 50 per cent</v>
      </c>
      <c r="B10" s="37" t="n">
        <f aca="false">INDEX(VarSwitch,3)</f>
        <v>0</v>
      </c>
      <c r="C10" s="27" t="n">
        <f aca="false">MortShortAmt*(INDEX(VarAlt,3)-INDEX(AssetRsf,MATCH("Residential mortgages",AssetLbl,0)))</f>
        <v>-150000000</v>
      </c>
      <c r="D10" s="27" t="n">
        <f aca="false">0</f>
        <v>0</v>
      </c>
      <c r="E10" s="27" t="n">
        <f aca="false">RsfTot+C10</f>
        <v>46356000000</v>
      </c>
      <c r="F10" s="27" t="n">
        <f aca="false">AsfTot+D10</f>
        <v>44550000000</v>
      </c>
      <c r="G10" s="20" t="n">
        <f aca="false">F10/E10</f>
        <v>0.961040641988092</v>
      </c>
    </row>
    <row r="11" customFormat="false" ht="15" hidden="false" customHeight="false" outlineLevel="0" collapsed="false">
      <c r="A11" s="30" t="str">
        <f aca="false">INDEX(VarLbl,4)</f>
        <v>Unsecured interbank at 15 per cent, the Basel convention</v>
      </c>
      <c r="B11" s="38" t="n">
        <f aca="false">INDEX(VarSwitch,4)</f>
        <v>0</v>
      </c>
      <c r="C11" s="31" t="n">
        <f aca="false">INDEX(AssetExp,MATCH("Interbank exposures, three months or less",AssetLbl,0))*(INDEX(VarAlt,4)-INDEX(AssetRsf,MATCH("Interbank exposures, three months or less",AssetLbl,0)))</f>
        <v>90000000</v>
      </c>
      <c r="D11" s="31" t="n">
        <f aca="false">0</f>
        <v>0</v>
      </c>
      <c r="E11" s="31" t="n">
        <f aca="false">RsfTot+C11</f>
        <v>46596000000</v>
      </c>
      <c r="F11" s="31" t="n">
        <f aca="false">AsfTot+D11</f>
        <v>44550000000</v>
      </c>
      <c r="G11" s="22" t="n">
        <f aca="false">F11/E11</f>
        <v>0.956090651558074</v>
      </c>
    </row>
    <row r="12" customFormat="false" ht="15" hidden="false" customHeight="false" outlineLevel="0" collapsed="false">
      <c r="A12" s="29" t="str">
        <f aca="false">INDEX(VarLbl,5)</f>
        <v>Repo assets at 15 per cent</v>
      </c>
      <c r="B12" s="37" t="n">
        <f aca="false">INDEX(VarSwitch,5)</f>
        <v>0</v>
      </c>
      <c r="C12" s="27" t="n">
        <f aca="false">INDEX(AssetExp,MATCH("Securities financing transactions",AssetLbl,0))*(INDEX(VarAlt,5)-INDEX(AssetRsf,MATCH("Securities financing transactions",AssetLbl,0)))</f>
        <v>118000000</v>
      </c>
      <c r="D12" s="27" t="n">
        <f aca="false">0</f>
        <v>0</v>
      </c>
      <c r="E12" s="27" t="n">
        <f aca="false">RsfTot+C12</f>
        <v>46624000000</v>
      </c>
      <c r="F12" s="27" t="n">
        <f aca="false">AsfTot+D12</f>
        <v>44550000000</v>
      </c>
      <c r="G12" s="20" t="n">
        <f aca="false">F12/E12</f>
        <v>0.955516472203157</v>
      </c>
    </row>
    <row r="13" customFormat="false" ht="15" hidden="false" customHeight="false" outlineLevel="0" collapsed="false">
      <c r="A13" s="30" t="str">
        <f aca="false">INDEX(VarLbl,6)</f>
        <v>Operational deposits at 40 per cent available funding, read strictly</v>
      </c>
      <c r="B13" s="38" t="n">
        <f aca="false">INDEX(VarSwitch,6)</f>
        <v>0</v>
      </c>
      <c r="C13" s="31" t="n">
        <f aca="false">0</f>
        <v>0</v>
      </c>
      <c r="D13" s="31" t="n">
        <f aca="false">INDEX(LiabAmt,MATCH("Corporate deposits, operational",LiabLbl,0))*(INDEX(VarAlt,6)-INDEX(LiabAsf,MATCH("Corporate deposits, operational",LiabLbl,0)))</f>
        <v>-620000000</v>
      </c>
      <c r="E13" s="31" t="n">
        <f aca="false">RsfTot+C13</f>
        <v>46506000000</v>
      </c>
      <c r="F13" s="31" t="n">
        <f aca="false">AsfTot+D13</f>
        <v>43930000000</v>
      </c>
      <c r="G13" s="22" t="n">
        <f aca="false">F13/E13</f>
        <v>0.944609297725025</v>
      </c>
    </row>
    <row r="15" customFormat="false" ht="15" hidden="false" customHeight="false" outlineLevel="0" collapsed="false">
      <c r="A15" s="7" t="s">
        <v>317</v>
      </c>
      <c r="B15" s="17" t="n">
        <f aca="false">Nsfr</f>
        <v>0.957940910850213</v>
      </c>
    </row>
    <row r="16" customFormat="false" ht="15" hidden="false" customHeight="false" outlineLevel="0" collapsed="false">
      <c r="A16" s="7" t="s">
        <v>318</v>
      </c>
      <c r="B16" s="17" t="n">
        <f aca="false">(AsfTot+SUMPRODUCT(VarSwitch,'Seven readings'!$D$8:$D$13))/(RsfTot+SUMPRODUCT(VarSwitch,'Seven readings'!$C$8:$C$13))</f>
        <v>0.957940910850213</v>
      </c>
    </row>
    <row r="17" customFormat="false" ht="15" hidden="false" customHeight="false" outlineLevel="0" collapsed="false">
      <c r="A17" s="7" t="s">
        <v>319</v>
      </c>
      <c r="B17" s="20" t="n">
        <f aca="false">MIN(Nsfr,MIN('Seven readings'!$G$8:$G$13))</f>
        <v>0.944609297725025</v>
      </c>
    </row>
    <row r="18" customFormat="false" ht="15" hidden="false" customHeight="false" outlineLevel="0" collapsed="false">
      <c r="A18" s="7" t="s">
        <v>320</v>
      </c>
      <c r="B18" s="20" t="n">
        <f aca="false">MAX(Nsfr,MAX('Seven readings'!$G$8:$G$13))</f>
        <v>0.961040641988092</v>
      </c>
    </row>
    <row r="19" customFormat="false" ht="15" hidden="false" customHeight="false" outlineLevel="0" collapsed="false">
      <c r="A19" s="7" t="s">
        <v>321</v>
      </c>
      <c r="B19" s="20" t="n">
        <f aca="false">NsfrMin-MAX(Nsfr,MAX('Seven readings'!$G$8:$G$13))</f>
        <v>0.0389593580119079</v>
      </c>
    </row>
    <row r="20" customFormat="false" ht="15" hidden="false" customHeight="false" outlineLevel="0" collapsed="false">
      <c r="A20" s="13" t="s">
        <v>322</v>
      </c>
    </row>
    <row r="22" customFormat="false" ht="15" hidden="false" customHeight="false" outlineLevel="0" collapsed="false">
      <c r="A22" s="4" t="s">
        <v>323</v>
      </c>
      <c r="B22" s="6"/>
      <c r="C22" s="6"/>
      <c r="D22" s="6"/>
      <c r="E22" s="6"/>
      <c r="F22" s="6"/>
      <c r="G22" s="6"/>
    </row>
    <row r="24" customFormat="false" ht="15" hidden="false" customHeight="false" outlineLevel="0" collapsed="false">
      <c r="A24" s="7" t="s">
        <v>324</v>
      </c>
      <c r="B24" s="20" t="n">
        <f aca="false">RsfHypoThr</f>
        <v>0.35</v>
      </c>
    </row>
    <row r="25" customFormat="false" ht="15" hidden="false" customHeight="false" outlineLevel="0" collapsed="false">
      <c r="A25" s="7" t="s">
        <v>325</v>
      </c>
      <c r="B25" s="17" t="n">
        <f aca="false">RwHypo</f>
        <v>0.277482942650745</v>
      </c>
    </row>
    <row r="26" customFormat="false" ht="15" hidden="false" customHeight="false" outlineLevel="0" collapsed="false">
      <c r="A26" s="7" t="s">
        <v>326</v>
      </c>
      <c r="B26" s="29" t="str">
        <f aca="false">IF(RwHypo&lt;=RsfHypoThr,"yes","no")</f>
        <v>yes</v>
      </c>
    </row>
    <row r="27" customFormat="false" ht="15" hidden="false" customHeight="false" outlineLevel="0" collapsed="false">
      <c r="A27" s="7" t="s">
        <v>327</v>
      </c>
      <c r="B27" s="20" t="n">
        <f aca="false">MortAboveThr</f>
        <v>0.13</v>
      </c>
    </row>
    <row r="28" customFormat="false" ht="15" hidden="false" customHeight="false" outlineLevel="0" collapsed="false">
      <c r="A28" s="7" t="s">
        <v>328</v>
      </c>
      <c r="B28" s="20" t="n">
        <f aca="false">RsfHypoLow</f>
        <v>0.65</v>
      </c>
    </row>
    <row r="29" customFormat="false" ht="15" hidden="false" customHeight="false" outlineLevel="0" collapsed="false">
      <c r="A29" s="7" t="s">
        <v>329</v>
      </c>
      <c r="B29" s="20" t="n">
        <f aca="false">RsfHypoLow*(1-MortAboveThr)+RsfHypoHigh*MortAboveThr</f>
        <v>0.676</v>
      </c>
    </row>
    <row r="30" customFormat="false" ht="15" hidden="false" customHeight="false" outlineLevel="0" collapsed="false">
      <c r="A30" s="7" t="s">
        <v>330</v>
      </c>
      <c r="B30" s="27" t="n">
        <f aca="false">MortExp*(RsfHypoLow*(1-MortAboveThr)+RsfHypoHigh*MortAboveThr-RsfHypoLow)</f>
        <v>546000000.000001</v>
      </c>
    </row>
    <row r="31" customFormat="false" ht="15" hidden="false" customHeight="false" outlineLevel="0" collapsed="false">
      <c r="A31" s="7" t="s">
        <v>331</v>
      </c>
      <c r="B31" s="27" t="n">
        <f aca="false">RsfTot+MortExp*(RsfHypoLow*(1-MortAboveThr)+RsfHypoHigh*MortAboveThr-RsfHypoLow)</f>
        <v>47052000000</v>
      </c>
    </row>
    <row r="32" customFormat="false" ht="15" hidden="false" customHeight="false" outlineLevel="0" collapsed="false">
      <c r="A32" s="7" t="s">
        <v>332</v>
      </c>
      <c r="B32" s="17" t="n">
        <f aca="false">AsfTot/(RsfTot+MortExp*(RsfHypoLow*(1-MortAboveThr)+RsfHypoHigh*MortAboveThr-RsfHypoLow))</f>
        <v>0.946824789594491</v>
      </c>
    </row>
    <row r="33" customFormat="false" ht="15" hidden="false" customHeight="false" outlineLevel="0" collapsed="false">
      <c r="A33" s="7" t="s">
        <v>333</v>
      </c>
      <c r="B33" s="39" t="n">
        <f aca="false">(Nsfr-AsfTot/(RsfTot+MortExp*(RsfHypoLow*(1-MortAboveThr)+RsfHypoHigh*MortAboveThr-RsfHypoLow)))*100</f>
        <v>1.11161212557216</v>
      </c>
    </row>
    <row r="34" customFormat="false" ht="15" hidden="false" customHeight="false" outlineLevel="0" collapsed="false">
      <c r="A34" s="13" t="s">
        <v>334</v>
      </c>
    </row>
    <row r="36" customFormat="false" ht="15" hidden="false" customHeight="false" outlineLevel="0" collapsed="false">
      <c r="A36" s="4" t="s">
        <v>335</v>
      </c>
    </row>
    <row r="38" customFormat="false" ht="15" hidden="false" customHeight="false" outlineLevel="0" collapsed="false">
      <c r="A38" s="7" t="s">
        <v>336</v>
      </c>
      <c r="B38" s="17" t="n">
        <f aca="false">(AsfTot+SUMPRODUCT(('Seven readings'!$G$8:$G$13&gt;Nsfr)*'Seven readings'!$D$8:$D$13))/(RsfTot+SUMPRODUCT(('Seven readings'!$G$8:$G$13&gt;Nsfr)*'Seven readings'!$C$8:$C$13))</f>
        <v>0.965309527420858</v>
      </c>
    </row>
    <row r="39" customFormat="false" ht="15" hidden="false" customHeight="false" outlineLevel="0" collapsed="false">
      <c r="A39" s="7" t="s">
        <v>337</v>
      </c>
      <c r="B39" s="17" t="n">
        <f aca="false">(AsfTot+SUM('Seven readings'!$D$8:$D$13))/(RsfTot+SUM('Seven readings'!$C$8:$C$13))</f>
        <v>0.947604564378006</v>
      </c>
    </row>
    <row r="40" customFormat="false" ht="15" hidden="false" customHeight="false" outlineLevel="0" collapsed="false">
      <c r="A40" s="7" t="s">
        <v>338</v>
      </c>
      <c r="B40" s="27" t="n">
        <f aca="false">(RsfTot+SUMPRODUCT(('Seven readings'!$G$8:$G$13&gt;Nsfr)*'Seven readings'!$C$8:$C$13))-(AsfTot+SUMPRODUCT(('Seven readings'!$G$8:$G$13&gt;Nsfr)*'Seven readings'!$D$8:$D$13))</f>
        <v>1601000000</v>
      </c>
    </row>
    <row r="41" customFormat="false" ht="15" hidden="false" customHeight="false" outlineLevel="0" collapsed="false">
      <c r="A41" s="13" t="s">
        <v>339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8"/>
    <col collapsed="false" customWidth="true" hidden="false" outlineLevel="0" max="5" min="4" style="0" width="16"/>
    <col collapsed="false" customWidth="true" hidden="false" outlineLevel="0" max="7" min="6" style="0" width="14"/>
  </cols>
  <sheetData>
    <row r="1" customFormat="false" ht="24" hidden="false" customHeight="true" outlineLevel="0" collapsed="false">
      <c r="A1" s="1" t="s">
        <v>340</v>
      </c>
    </row>
    <row r="2" customFormat="false" ht="15" hidden="false" customHeight="false" outlineLevel="0" collapsed="false">
      <c r="A2" s="2" t="s">
        <v>341</v>
      </c>
    </row>
    <row r="3" customFormat="false" ht="15" hidden="false" customHeight="false" outlineLevel="0" collapsed="false">
      <c r="A3" s="3"/>
      <c r="B3" s="3"/>
      <c r="C3" s="3"/>
      <c r="D3" s="3"/>
      <c r="E3" s="3"/>
      <c r="F3" s="3"/>
      <c r="G3" s="3"/>
    </row>
    <row r="5" customFormat="false" ht="31.5" hidden="false" customHeight="true" outlineLevel="0" collapsed="false">
      <c r="A5" s="9" t="s">
        <v>42</v>
      </c>
      <c r="B5" s="10" t="s">
        <v>45</v>
      </c>
      <c r="C5" s="10" t="s">
        <v>342</v>
      </c>
      <c r="D5" s="10" t="s">
        <v>343</v>
      </c>
      <c r="E5" s="10" t="s">
        <v>344</v>
      </c>
      <c r="F5" s="10" t="s">
        <v>345</v>
      </c>
      <c r="G5" s="10" t="s">
        <v>346</v>
      </c>
    </row>
    <row r="6" customFormat="false" ht="15" hidden="false" customHeight="false" outlineLevel="0" collapsed="false">
      <c r="A6" s="29" t="str">
        <f aca="false">INDEX(AssetLbl,1)</f>
        <v>Central bank reserves</v>
      </c>
      <c r="B6" s="20" t="n">
        <f aca="false">INDEX(AssetInt,1)</f>
        <v>0</v>
      </c>
      <c r="C6" s="39" t="n">
        <f aca="false">B6*MdaTrig</f>
        <v>0</v>
      </c>
      <c r="D6" s="36" t="n">
        <f aca="false">INDEX(AssetRsf,1)</f>
        <v>0</v>
      </c>
      <c r="E6" s="39" t="str">
        <f aca="false">IF(C6=0,"unbounded",D6/C6)</f>
        <v>unbounded</v>
      </c>
    </row>
    <row r="7" customFormat="false" ht="15" hidden="false" customHeight="false" outlineLevel="0" collapsed="false">
      <c r="A7" s="30" t="str">
        <f aca="false">INDEX(AssetLbl,2)</f>
        <v>EU sovereign bonds, euro denominated</v>
      </c>
      <c r="B7" s="22" t="n">
        <f aca="false">INDEX(AssetInt,2)</f>
        <v>0</v>
      </c>
      <c r="C7" s="40" t="n">
        <f aca="false">B7*MdaTrig</f>
        <v>0</v>
      </c>
      <c r="D7" s="41" t="n">
        <f aca="false">INDEX(AssetRsf,2)</f>
        <v>0.05</v>
      </c>
      <c r="E7" s="40" t="str">
        <f aca="false">IF(C7=0,"unbounded",D7/C7)</f>
        <v>unbounded</v>
      </c>
      <c r="F7" s="42"/>
      <c r="G7" s="42"/>
    </row>
    <row r="8" customFormat="false" ht="15" hidden="false" customHeight="false" outlineLevel="0" collapsed="false">
      <c r="A8" s="29" t="str">
        <f aca="false">INDEX(AssetLbl,3)</f>
        <v>Covered bonds, AAA</v>
      </c>
      <c r="B8" s="20" t="n">
        <f aca="false">INDEX(AssetInt,3)</f>
        <v>0.075</v>
      </c>
      <c r="C8" s="39" t="n">
        <f aca="false">B8*MdaTrig</f>
        <v>0.00794625</v>
      </c>
      <c r="D8" s="36" t="n">
        <f aca="false">INDEX(AssetRsf,3)</f>
        <v>0.07</v>
      </c>
      <c r="E8" s="39" t="n">
        <f aca="false">IF(C8=0,"unbounded",D8/C8)</f>
        <v>8.80918672329716</v>
      </c>
      <c r="F8" s="36" t="n">
        <f aca="false">COUNTIF($C$8:$C$20,"&lt;"&amp;C8)+(COUNTIF($C$8:$C$20,"="&amp;C8)+1)/2</f>
        <v>1</v>
      </c>
      <c r="G8" s="36" t="n">
        <f aca="false">COUNTIF($D$8:$D$20,"&lt;"&amp;D8)+(COUNTIF($D$8:$D$20,"="&amp;D8)+1)/2</f>
        <v>1</v>
      </c>
    </row>
    <row r="9" customFormat="false" ht="15" hidden="false" customHeight="false" outlineLevel="0" collapsed="false">
      <c r="A9" s="30" t="str">
        <f aca="false">INDEX(AssetLbl,4)</f>
        <v>Corporate bonds, AA- and above</v>
      </c>
      <c r="B9" s="22" t="n">
        <f aca="false">INDEX(AssetInt,4)</f>
        <v>0.152</v>
      </c>
      <c r="C9" s="40" t="n">
        <f aca="false">B9*MdaTrig</f>
        <v>0.0161044</v>
      </c>
      <c r="D9" s="41" t="n">
        <f aca="false">INDEX(AssetRsf,4)</f>
        <v>0.5</v>
      </c>
      <c r="E9" s="40" t="n">
        <f aca="false">IF(C9=0,"unbounded",D9/C9)</f>
        <v>31.0474156131244</v>
      </c>
      <c r="F9" s="41" t="n">
        <f aca="false">COUNTIF($C$8:$C$20,"&lt;"&amp;C9)+(COUNTIF($C$8:$C$20,"="&amp;C9)+1)/2</f>
        <v>5</v>
      </c>
      <c r="G9" s="41" t="n">
        <f aca="false">COUNTIF($D$8:$D$20,"&lt;"&amp;D9)+(COUNTIF($D$8:$D$20,"="&amp;D9)+1)/2</f>
        <v>5</v>
      </c>
    </row>
    <row r="10" customFormat="false" ht="15" hidden="false" customHeight="false" outlineLevel="0" collapsed="false">
      <c r="A10" s="29" t="str">
        <f aca="false">INDEX(AssetLbl,5)</f>
        <v>Interbank exposures, three months or less</v>
      </c>
      <c r="B10" s="20" t="n">
        <f aca="false">INDEX(AssetInt,5)</f>
        <v>0.145</v>
      </c>
      <c r="C10" s="39" t="n">
        <f aca="false">B10*MdaTrig</f>
        <v>0.01536275</v>
      </c>
      <c r="D10" s="36" t="n">
        <f aca="false">INDEX(AssetRsf,5)</f>
        <v>0.1</v>
      </c>
      <c r="E10" s="39" t="n">
        <f aca="false">IF(C10=0,"unbounded",D10/C10)</f>
        <v>6.50925127337228</v>
      </c>
      <c r="F10" s="36" t="n">
        <f aca="false">COUNTIF($C$8:$C$20,"&lt;"&amp;C10)+(COUNTIF($C$8:$C$20,"="&amp;C10)+1)/2</f>
        <v>3</v>
      </c>
      <c r="G10" s="36" t="n">
        <f aca="false">COUNTIF($D$8:$D$20,"&lt;"&amp;D10)+(COUNTIF($D$8:$D$20,"="&amp;D10)+1)/2</f>
        <v>3</v>
      </c>
    </row>
    <row r="11" customFormat="false" ht="15" hidden="false" customHeight="false" outlineLevel="0" collapsed="false">
      <c r="A11" s="30" t="str">
        <f aca="false">INDEX(AssetLbl,6)</f>
        <v>Rated large corporates</v>
      </c>
      <c r="B11" s="22" t="n">
        <f aca="false">INDEX(AssetInt,6)</f>
        <v>0.4</v>
      </c>
      <c r="C11" s="40" t="n">
        <f aca="false">B11*MdaTrig</f>
        <v>0.04238</v>
      </c>
      <c r="D11" s="41" t="n">
        <f aca="false">INDEX(AssetRsf,6)</f>
        <v>0.85</v>
      </c>
      <c r="E11" s="40" t="n">
        <f aca="false">IF(C11=0,"unbounded",D11/C11)</f>
        <v>20.0566304860783</v>
      </c>
      <c r="F11" s="41" t="n">
        <f aca="false">COUNTIF($C$8:$C$20,"&lt;"&amp;C11)+(COUNTIF($C$8:$C$20,"="&amp;C11)+1)/2</f>
        <v>7</v>
      </c>
      <c r="G11" s="41" t="n">
        <f aca="false">COUNTIF($D$8:$D$20,"&lt;"&amp;D11)+(COUNTIF($D$8:$D$20,"="&amp;D11)+1)/2</f>
        <v>9</v>
      </c>
    </row>
    <row r="12" customFormat="false" ht="15" hidden="false" customHeight="false" outlineLevel="0" collapsed="false">
      <c r="A12" s="29" t="str">
        <f aca="false">INDEX(AssetLbl,7)</f>
        <v>Small and medium-sized enterprises</v>
      </c>
      <c r="B12" s="20" t="n">
        <f aca="false">INDEX(AssetInt,7)</f>
        <v>0.45</v>
      </c>
      <c r="C12" s="39" t="n">
        <f aca="false">B12*MdaTrig</f>
        <v>0.0476775</v>
      </c>
      <c r="D12" s="36" t="n">
        <f aca="false">INDEX(AssetRsf,7)</f>
        <v>0.85</v>
      </c>
      <c r="E12" s="39" t="n">
        <f aca="false">IF(C12=0,"unbounded",D12/C12)</f>
        <v>17.8281159876252</v>
      </c>
      <c r="F12" s="36" t="n">
        <f aca="false">COUNTIF($C$8:$C$20,"&lt;"&amp;C12)+(COUNTIF($C$8:$C$20,"="&amp;C12)+1)/2</f>
        <v>9</v>
      </c>
      <c r="G12" s="36" t="n">
        <f aca="false">COUNTIF($D$8:$D$20,"&lt;"&amp;D12)+(COUNTIF($D$8:$D$20,"="&amp;D12)+1)/2</f>
        <v>9</v>
      </c>
    </row>
    <row r="13" customFormat="false" ht="15" hidden="false" customHeight="false" outlineLevel="0" collapsed="false">
      <c r="A13" s="30" t="str">
        <f aca="false">INDEX(AssetLbl,8)</f>
        <v>Residential mortgages</v>
      </c>
      <c r="B13" s="22" t="n">
        <f aca="false">INDEX(AssetInt,8)</f>
        <v>0.135</v>
      </c>
      <c r="C13" s="40" t="n">
        <f aca="false">B13*MdaTrig</f>
        <v>0.01430325</v>
      </c>
      <c r="D13" s="41" t="n">
        <f aca="false">INDEX(AssetRsf,8)</f>
        <v>0.65</v>
      </c>
      <c r="E13" s="40" t="n">
        <f aca="false">IF(C13=0,"unbounded",D13/C13)</f>
        <v>45.4442172233583</v>
      </c>
      <c r="F13" s="41" t="n">
        <f aca="false">COUNTIF($C$8:$C$20,"&lt;"&amp;C13)+(COUNTIF($C$8:$C$20,"="&amp;C13)+1)/2</f>
        <v>2</v>
      </c>
      <c r="G13" s="41" t="n">
        <f aca="false">COUNTIF($D$8:$D$20,"&lt;"&amp;D13)+(COUNTIF($D$8:$D$20,"="&amp;D13)+1)/2</f>
        <v>6</v>
      </c>
    </row>
    <row r="14" customFormat="false" ht="15" hidden="false" customHeight="false" outlineLevel="0" collapsed="false">
      <c r="A14" s="29" t="str">
        <f aca="false">INDEX(AssetLbl,9)</f>
        <v>Other retail lending</v>
      </c>
      <c r="B14" s="20" t="n">
        <f aca="false">INDEX(AssetInt,9)</f>
        <v>0.43</v>
      </c>
      <c r="C14" s="39" t="n">
        <f aca="false">B14*MdaTrig</f>
        <v>0.0455585</v>
      </c>
      <c r="D14" s="36" t="n">
        <f aca="false">INDEX(AssetRsf,9)</f>
        <v>0.85</v>
      </c>
      <c r="E14" s="39" t="n">
        <f aca="false">IF(C14=0,"unbounded",D14/C14)</f>
        <v>18.657330684724</v>
      </c>
      <c r="F14" s="36" t="n">
        <f aca="false">COUNTIF($C$8:$C$20,"&lt;"&amp;C14)+(COUNTIF($C$8:$C$20,"="&amp;C14)+1)/2</f>
        <v>8</v>
      </c>
      <c r="G14" s="36" t="n">
        <f aca="false">COUNTIF($D$8:$D$20,"&lt;"&amp;D14)+(COUNTIF($D$8:$D$20,"="&amp;D14)+1)/2</f>
        <v>9</v>
      </c>
    </row>
    <row r="15" customFormat="false" ht="15" hidden="false" customHeight="false" outlineLevel="0" collapsed="false">
      <c r="A15" s="30" t="str">
        <f aca="false">INDEX(AssetLbl,10)</f>
        <v>Commercial real estate and specialised lending</v>
      </c>
      <c r="B15" s="22" t="n">
        <f aca="false">INDEX(AssetInt,10)</f>
        <v>0.65</v>
      </c>
      <c r="C15" s="40" t="n">
        <f aca="false">B15*MdaTrig</f>
        <v>0.0688675</v>
      </c>
      <c r="D15" s="41" t="n">
        <f aca="false">INDEX(AssetRsf,10)</f>
        <v>0.85</v>
      </c>
      <c r="E15" s="40" t="n">
        <f aca="false">IF(C15=0,"unbounded",D15/C15)</f>
        <v>12.3425418375867</v>
      </c>
      <c r="F15" s="41" t="n">
        <f aca="false">COUNTIF($C$8:$C$20,"&lt;"&amp;C15)+(COUNTIF($C$8:$C$20,"="&amp;C15)+1)/2</f>
        <v>10</v>
      </c>
      <c r="G15" s="41" t="n">
        <f aca="false">COUNTIF($D$8:$D$20,"&lt;"&amp;D15)+(COUNTIF($D$8:$D$20,"="&amp;D15)+1)/2</f>
        <v>9</v>
      </c>
    </row>
    <row r="16" customFormat="false" ht="15" hidden="false" customHeight="false" outlineLevel="0" collapsed="false">
      <c r="A16" s="29" t="str">
        <f aca="false">INDEX(AssetLbl,11)</f>
        <v>Defaulted exposures, provisioned above 20 per cent</v>
      </c>
      <c r="B16" s="20" t="n">
        <f aca="false">INDEX(AssetInt,11)</f>
        <v>1</v>
      </c>
      <c r="C16" s="39" t="n">
        <f aca="false">B16*MdaTrig</f>
        <v>0.10595</v>
      </c>
      <c r="D16" s="36" t="n">
        <f aca="false">INDEX(AssetRsf,11)</f>
        <v>1</v>
      </c>
      <c r="E16" s="39" t="n">
        <f aca="false">IF(C16=0,"unbounded",D16/C16)</f>
        <v>9.43841434638981</v>
      </c>
      <c r="F16" s="36" t="n">
        <f aca="false">COUNTIF($C$8:$C$20,"&lt;"&amp;C16)+(COUNTIF($C$8:$C$20,"="&amp;C16)+1)/2</f>
        <v>11.5</v>
      </c>
      <c r="G16" s="36" t="n">
        <f aca="false">COUNTIF($D$8:$D$20,"&lt;"&amp;D16)+(COUNTIF($D$8:$D$20,"="&amp;D16)+1)/2</f>
        <v>12.5</v>
      </c>
    </row>
    <row r="17" customFormat="false" ht="15" hidden="false" customHeight="false" outlineLevel="0" collapsed="false">
      <c r="A17" s="30" t="str">
        <f aca="false">INDEX(AssetLbl,12)</f>
        <v>Listed equities and participations</v>
      </c>
      <c r="B17" s="22" t="n">
        <f aca="false">INDEX(AssetInt,12)</f>
        <v>1.3</v>
      </c>
      <c r="C17" s="40" t="n">
        <f aca="false">B17*MdaTrig</f>
        <v>0.137735</v>
      </c>
      <c r="D17" s="41" t="n">
        <f aca="false">INDEX(AssetRsf,12)</f>
        <v>0.85</v>
      </c>
      <c r="E17" s="40" t="n">
        <f aca="false">IF(C17=0,"unbounded",D17/C17)</f>
        <v>6.17127091879334</v>
      </c>
      <c r="F17" s="41" t="n">
        <f aca="false">COUNTIF($C$8:$C$20,"&lt;"&amp;C17)+(COUNTIF($C$8:$C$20,"="&amp;C17)+1)/2</f>
        <v>13</v>
      </c>
      <c r="G17" s="41" t="n">
        <f aca="false">COUNTIF($D$8:$D$20,"&lt;"&amp;D17)+(COUNTIF($D$8:$D$20,"="&amp;D17)+1)/2</f>
        <v>9</v>
      </c>
    </row>
    <row r="18" customFormat="false" ht="15" hidden="false" customHeight="false" outlineLevel="0" collapsed="false">
      <c r="A18" s="29" t="str">
        <f aca="false">INDEX(AssetLbl,13)</f>
        <v>Securities financing transactions</v>
      </c>
      <c r="B18" s="20" t="n">
        <f aca="false">INDEX(AssetInt,13)</f>
        <v>0.152</v>
      </c>
      <c r="C18" s="39" t="n">
        <f aca="false">B18*MdaTrig</f>
        <v>0.0161044</v>
      </c>
      <c r="D18" s="36" t="n">
        <f aca="false">INDEX(AssetRsf,13)</f>
        <v>0.1</v>
      </c>
      <c r="E18" s="39" t="n">
        <f aca="false">IF(C18=0,"unbounded",D18/C18)</f>
        <v>6.20948312262487</v>
      </c>
      <c r="F18" s="36" t="n">
        <f aca="false">COUNTIF($C$8:$C$20,"&lt;"&amp;C18)+(COUNTIF($C$8:$C$20,"="&amp;C18)+1)/2</f>
        <v>5</v>
      </c>
      <c r="G18" s="36" t="n">
        <f aca="false">COUNTIF($D$8:$D$20,"&lt;"&amp;D18)+(COUNTIF($D$8:$D$20,"="&amp;D18)+1)/2</f>
        <v>3</v>
      </c>
    </row>
    <row r="19" customFormat="false" ht="15" hidden="false" customHeight="false" outlineLevel="0" collapsed="false">
      <c r="A19" s="30" t="str">
        <f aca="false">INDEX(AssetLbl,14)</f>
        <v>Derivatives, SA-CCR exposure value</v>
      </c>
      <c r="B19" s="22" t="n">
        <f aca="false">INDEX(AssetInt,14)</f>
        <v>0.152</v>
      </c>
      <c r="C19" s="40" t="n">
        <f aca="false">B19*MdaTrig</f>
        <v>0.0161044</v>
      </c>
      <c r="D19" s="41" t="n">
        <f aca="false">INDEX(AssetRsf,14)</f>
        <v>0.1</v>
      </c>
      <c r="E19" s="40" t="n">
        <f aca="false">IF(C19=0,"unbounded",D19/C19)</f>
        <v>6.20948312262487</v>
      </c>
      <c r="F19" s="41" t="n">
        <f aca="false">COUNTIF($C$8:$C$20,"&lt;"&amp;C19)+(COUNTIF($C$8:$C$20,"="&amp;C19)+1)/2</f>
        <v>5</v>
      </c>
      <c r="G19" s="41" t="n">
        <f aca="false">COUNTIF($D$8:$D$20,"&lt;"&amp;D19)+(COUNTIF($D$8:$D$20,"="&amp;D19)+1)/2</f>
        <v>3</v>
      </c>
    </row>
    <row r="20" customFormat="false" ht="15" hidden="false" customHeight="false" outlineLevel="0" collapsed="false">
      <c r="A20" s="29" t="str">
        <f aca="false">INDEX(AssetLbl,15)</f>
        <v>Other assets: fixed assets, deferred tax, sundry</v>
      </c>
      <c r="B20" s="20" t="n">
        <f aca="false">INDEX(AssetInt,15)</f>
        <v>1</v>
      </c>
      <c r="C20" s="39" t="n">
        <f aca="false">B20*MdaTrig</f>
        <v>0.10595</v>
      </c>
      <c r="D20" s="36" t="n">
        <f aca="false">INDEX(AssetRsf,15)</f>
        <v>1</v>
      </c>
      <c r="E20" s="39" t="n">
        <f aca="false">IF(C20=0,"unbounded",D20/C20)</f>
        <v>9.43841434638981</v>
      </c>
      <c r="F20" s="36" t="n">
        <f aca="false">COUNTIF($C$8:$C$20,"&lt;"&amp;C20)+(COUNTIF($C$8:$C$20,"="&amp;C20)+1)/2</f>
        <v>11.5</v>
      </c>
      <c r="G20" s="36" t="n">
        <f aca="false">COUNTIF($D$8:$D$20,"&lt;"&amp;D20)+(COUNTIF($D$8:$D$20,"="&amp;D20)+1)/2</f>
        <v>12.5</v>
      </c>
    </row>
    <row r="22" customFormat="false" ht="15" hidden="false" customHeight="false" outlineLevel="0" collapsed="false">
      <c r="A22" s="4" t="s">
        <v>347</v>
      </c>
      <c r="B22" s="6"/>
      <c r="C22" s="6"/>
      <c r="D22" s="6"/>
      <c r="E22" s="6"/>
      <c r="F22" s="6"/>
      <c r="G22" s="6"/>
    </row>
    <row r="24" customFormat="false" ht="15" hidden="false" customHeight="false" outlineLevel="0" collapsed="false">
      <c r="A24" s="7" t="s">
        <v>348</v>
      </c>
      <c r="B24" s="39" t="n">
        <f aca="false">CORREL('Two costs'!$F$8:$F$20,'Two costs'!$G$8:$G$20)</f>
        <v>0.862818447967025</v>
      </c>
    </row>
    <row r="25" customFormat="false" ht="15" hidden="false" customHeight="false" outlineLevel="0" collapsed="false">
      <c r="A25" s="7" t="s">
        <v>349</v>
      </c>
      <c r="B25" s="39" t="n">
        <f aca="false">MAX('Two costs'!$E$8:$E$20)</f>
        <v>45.4442172233583</v>
      </c>
    </row>
    <row r="26" customFormat="false" ht="15" hidden="false" customHeight="false" outlineLevel="0" collapsed="false">
      <c r="A26" s="7" t="s">
        <v>350</v>
      </c>
      <c r="B26" s="39" t="n">
        <f aca="false">MIN('Two costs'!$E$8:$E$20)</f>
        <v>6.17127091879334</v>
      </c>
    </row>
    <row r="27" customFormat="false" ht="15" hidden="false" customHeight="false" outlineLevel="0" collapsed="false">
      <c r="A27" s="7" t="s">
        <v>351</v>
      </c>
      <c r="B27" s="43" t="n">
        <f aca="false">MAX('Two costs'!$E$8:$E$20)/MIN('Two costs'!$E$8:$E$20)</f>
        <v>7.36383442265795</v>
      </c>
    </row>
    <row r="28" customFormat="false" ht="15" hidden="false" customHeight="false" outlineLevel="0" collapsed="false">
      <c r="A28" s="7" t="s">
        <v>352</v>
      </c>
      <c r="B28" s="39" t="n">
        <f aca="false">LARGE('Two costs'!$E$8:$E$20,2)</f>
        <v>31.0474156131244</v>
      </c>
    </row>
    <row r="29" customFormat="false" ht="15" hidden="false" customHeight="false" outlineLevel="0" collapsed="false">
      <c r="A29" s="7" t="s">
        <v>353</v>
      </c>
      <c r="B29" s="39" t="n">
        <f aca="false">'Two costs'!$C$13</f>
        <v>0.01430325</v>
      </c>
    </row>
    <row r="30" customFormat="false" ht="15" hidden="false" customHeight="false" outlineLevel="0" collapsed="false">
      <c r="A30" s="7" t="s">
        <v>354</v>
      </c>
      <c r="B30" s="39" t="n">
        <f aca="false">'Two costs'!$E$13</f>
        <v>45.4442172233583</v>
      </c>
    </row>
    <row r="31" customFormat="false" ht="15" hidden="false" customHeight="false" outlineLevel="0" collapsed="false">
      <c r="A31" s="7" t="s">
        <v>355</v>
      </c>
      <c r="B31" s="39" t="n">
        <f aca="false">'Two costs'!$E$11</f>
        <v>20.0566304860783</v>
      </c>
    </row>
    <row r="32" customFormat="false" ht="15" hidden="false" customHeight="false" outlineLevel="0" collapsed="false">
      <c r="A32" s="7" t="s">
        <v>356</v>
      </c>
      <c r="B32" s="43" t="n">
        <f aca="false">'Two costs'!$E$13/'Two costs'!$E$11</f>
        <v>2.26579520697168</v>
      </c>
    </row>
    <row r="33" customFormat="false" ht="15" hidden="false" customHeight="false" outlineLevel="0" collapsed="false">
      <c r="A33" s="13" t="s">
        <v>357</v>
      </c>
    </row>
    <row r="35" customFormat="false" ht="15" hidden="false" customHeight="false" outlineLevel="0" collapsed="false">
      <c r="A35" s="4" t="s">
        <v>358</v>
      </c>
      <c r="B35" s="6"/>
      <c r="C35" s="6"/>
      <c r="D35" s="6"/>
      <c r="E35" s="6"/>
      <c r="F35" s="6"/>
      <c r="G35" s="6"/>
    </row>
    <row r="37" customFormat="false" ht="15" hidden="false" customHeight="false" outlineLevel="0" collapsed="false">
      <c r="A37" s="7" t="s">
        <v>359</v>
      </c>
      <c r="B37" s="20" t="n">
        <f aca="false">INDEX(FloorRt,COUNT(FloorRt))</f>
        <v>0.725</v>
      </c>
    </row>
    <row r="38" customFormat="false" ht="15" hidden="false" customHeight="false" outlineLevel="0" collapsed="false">
      <c r="A38" s="7" t="s">
        <v>360</v>
      </c>
      <c r="B38" s="17" t="n">
        <f aca="false">INDEX(StdEffRw,MATCH("Residential mortgages",AssetLbl,0))</f>
        <v>0.277482942650745</v>
      </c>
    </row>
    <row r="39" customFormat="false" ht="15" hidden="false" customHeight="false" outlineLevel="0" collapsed="false">
      <c r="A39" s="7" t="s">
        <v>361</v>
      </c>
      <c r="B39" s="17" t="n">
        <f aca="false">INDEX(StdEffRw,MATCH("Rated large corporates",AssetLbl,0))</f>
        <v>0.75</v>
      </c>
    </row>
    <row r="40" customFormat="false" ht="15" hidden="false" customHeight="false" outlineLevel="0" collapsed="false">
      <c r="A40" s="7" t="s">
        <v>362</v>
      </c>
      <c r="B40" s="39" t="n">
        <f aca="false">INDEX(StdEffRw,MATCH("Residential mortgages",AssetLbl,0))*INDEX(FloorRt,COUNT(FloorRt))*MdaTrig</f>
        <v>0.0213145053860386</v>
      </c>
    </row>
    <row r="41" customFormat="false" ht="15" hidden="false" customHeight="false" outlineLevel="0" collapsed="false">
      <c r="A41" s="7" t="s">
        <v>363</v>
      </c>
      <c r="B41" s="39" t="n">
        <f aca="false">INDEX(StdEffRw,MATCH("Rated large corporates",AssetLbl,0))*INDEX(FloorRt,COUNT(FloorRt))*MdaTrig</f>
        <v>0.0576103125</v>
      </c>
    </row>
    <row r="42" customFormat="false" ht="15" hidden="false" customHeight="false" outlineLevel="0" collapsed="false">
      <c r="A42" s="7" t="s">
        <v>364</v>
      </c>
      <c r="B42" s="39" t="n">
        <f aca="false">INDEX(AssetRsf,MATCH("Residential mortgages",AssetLbl,0))/(INDEX(StdEffRw,MATCH("Residential mortgages",AssetLbl,0))*INDEX(FloorRt,COUNT(FloorRt))*MdaTrig)</f>
        <v>30.4956642543421</v>
      </c>
    </row>
    <row r="43" customFormat="false" ht="15" hidden="false" customHeight="false" outlineLevel="0" collapsed="false">
      <c r="A43" s="7" t="s">
        <v>365</v>
      </c>
      <c r="B43" s="39" t="n">
        <f aca="false">INDEX(AssetRsf,MATCH("Rated large corporates",AssetLbl,0))/(INDEX(StdEffRw,MATCH("Rated large corporates",AssetLbl,0))*INDEX(FloorRt,COUNT(FloorRt))*MdaTrig)</f>
        <v>14.7543028863105</v>
      </c>
    </row>
    <row r="44" customFormat="false" ht="15" hidden="false" customHeight="false" outlineLevel="0" collapsed="false">
      <c r="A44" s="7" t="s">
        <v>366</v>
      </c>
      <c r="B44" s="43" t="n">
        <f aca="false">(INDEX(AssetRsf,MATCH("Residential mortgages",AssetLbl,0))/(INDEX(StdEffRw,MATCH("Residential mortgages",AssetLbl,0))*INDEX(FloorRt,COUNT(FloorRt))*MdaTrig))/(INDEX(AssetRsf,MATCH("Rated large corporates",AssetLbl,0))/(INDEX(StdEffRw,MATCH("Rated large corporates",AssetLbl,0))*INDEX(FloorRt,COUNT(FloorRt))*MdaTrig))</f>
        <v>2.06689970304438</v>
      </c>
    </row>
    <row r="45" customFormat="false" ht="15" hidden="false" customHeight="false" outlineLevel="0" collapsed="false">
      <c r="A45" s="13" t="s">
        <v>367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368</v>
      </c>
    </row>
    <row r="2" customFormat="false" ht="15" hidden="false" customHeight="false" outlineLevel="0" collapsed="false">
      <c r="A2" s="2" t="s">
        <v>369</v>
      </c>
    </row>
    <row r="3" customFormat="false" ht="15" hidden="false" customHeight="false" outlineLevel="0" collapsed="false">
      <c r="A3" s="3"/>
      <c r="B3" s="3"/>
      <c r="C3" s="3"/>
      <c r="D3" s="3"/>
      <c r="E3" s="3"/>
      <c r="F3" s="3"/>
    </row>
    <row r="5" customFormat="false" ht="15" hidden="false" customHeight="false" outlineLevel="0" collapsed="false">
      <c r="A5" s="13" t="s">
        <v>370</v>
      </c>
    </row>
    <row r="7" customFormat="false" ht="31.5" hidden="false" customHeight="true" outlineLevel="0" collapsed="false">
      <c r="A7" s="9" t="s">
        <v>371</v>
      </c>
      <c r="B7" s="10" t="s">
        <v>372</v>
      </c>
      <c r="C7" s="10" t="s">
        <v>373</v>
      </c>
      <c r="D7" s="10" t="s">
        <v>374</v>
      </c>
      <c r="E7" s="10" t="s">
        <v>375</v>
      </c>
      <c r="F7" s="10" t="s">
        <v>376</v>
      </c>
    </row>
    <row r="8" customFormat="false" ht="15" hidden="false" customHeight="false" outlineLevel="0" collapsed="false">
      <c r="A8" s="7" t="s">
        <v>377</v>
      </c>
      <c r="B8" s="7" t="s">
        <v>378</v>
      </c>
      <c r="C8" s="27" t="n">
        <v>1953000000</v>
      </c>
      <c r="D8" s="27" t="n">
        <f aca="false">'The liquidity buffer'!$E$10</f>
        <v>1953000000</v>
      </c>
      <c r="E8" s="34" t="n">
        <f aca="false">D8-C8</f>
        <v>0</v>
      </c>
      <c r="F8" s="33" t="str">
        <f aca="false">IF(ABS(E8)&lt;=50000,"PASS","FAIL")</f>
        <v>PASS</v>
      </c>
    </row>
    <row r="9" customFormat="false" ht="15" hidden="false" customHeight="false" outlineLevel="0" collapsed="false">
      <c r="A9" s="21" t="s">
        <v>377</v>
      </c>
      <c r="B9" s="21" t="s">
        <v>379</v>
      </c>
      <c r="C9" s="31" t="n">
        <v>1360000000</v>
      </c>
      <c r="D9" s="31" t="n">
        <f aca="false">'The liquidity buffer'!$E$11</f>
        <v>1360000000</v>
      </c>
      <c r="E9" s="44" t="n">
        <f aca="false">D9-C9</f>
        <v>0</v>
      </c>
      <c r="F9" s="45" t="str">
        <f aca="false">IF(ABS(E9)&lt;=50000,"PASS","FAIL")</f>
        <v>PASS</v>
      </c>
    </row>
    <row r="10" customFormat="false" ht="15" hidden="false" customHeight="false" outlineLevel="0" collapsed="false">
      <c r="A10" s="7" t="s">
        <v>377</v>
      </c>
      <c r="B10" s="7" t="s">
        <v>380</v>
      </c>
      <c r="C10" s="27" t="n">
        <v>600000000</v>
      </c>
      <c r="D10" s="27" t="n">
        <f aca="false">'The liquidity buffer'!$E$12</f>
        <v>600000000</v>
      </c>
      <c r="E10" s="34" t="n">
        <f aca="false">D10-C10</f>
        <v>0</v>
      </c>
      <c r="F10" s="33" t="str">
        <f aca="false">IF(ABS(E10)&lt;=50000,"PASS","FAIL")</f>
        <v>PASS</v>
      </c>
    </row>
    <row r="11" customFormat="false" ht="15" hidden="false" customHeight="false" outlineLevel="0" collapsed="false">
      <c r="A11" s="21" t="s">
        <v>377</v>
      </c>
      <c r="B11" s="21" t="s">
        <v>381</v>
      </c>
      <c r="C11" s="31" t="n">
        <v>18513000000</v>
      </c>
      <c r="D11" s="31" t="n">
        <f aca="false">PortLiq</f>
        <v>18513000000</v>
      </c>
      <c r="E11" s="44" t="n">
        <f aca="false">D11-C11</f>
        <v>0</v>
      </c>
      <c r="F11" s="45" t="str">
        <f aca="false">IF(ABS(E11)&lt;=50000,"PASS","FAIL")</f>
        <v>PASS</v>
      </c>
    </row>
    <row r="12" customFormat="false" ht="15" hidden="false" customHeight="false" outlineLevel="0" collapsed="false">
      <c r="A12" s="7" t="s">
        <v>377</v>
      </c>
      <c r="B12" s="7" t="s">
        <v>382</v>
      </c>
      <c r="C12" s="27" t="n">
        <v>13390000000</v>
      </c>
      <c r="D12" s="27" t="n">
        <f aca="false">Outflows!$D$22</f>
        <v>13390000000</v>
      </c>
      <c r="E12" s="34" t="n">
        <f aca="false">D12-C12</f>
        <v>0</v>
      </c>
      <c r="F12" s="33" t="str">
        <f aca="false">IF(ABS(E12)&lt;=50000,"PASS","FAIL")</f>
        <v>PASS</v>
      </c>
    </row>
    <row r="13" customFormat="false" ht="15" hidden="false" customHeight="false" outlineLevel="0" collapsed="false">
      <c r="A13" s="21" t="s">
        <v>377</v>
      </c>
      <c r="B13" s="21" t="s">
        <v>383</v>
      </c>
      <c r="C13" s="31" t="n">
        <v>925000000</v>
      </c>
      <c r="D13" s="31" t="n">
        <f aca="false">Outflows!$D$30</f>
        <v>925000000</v>
      </c>
      <c r="E13" s="44" t="n">
        <f aca="false">D13-C13</f>
        <v>0</v>
      </c>
      <c r="F13" s="45" t="str">
        <f aca="false">IF(ABS(E13)&lt;=50000,"PASS","FAIL")</f>
        <v>PASS</v>
      </c>
    </row>
    <row r="14" customFormat="false" ht="15" hidden="false" customHeight="false" outlineLevel="0" collapsed="false">
      <c r="A14" s="7" t="s">
        <v>377</v>
      </c>
      <c r="B14" s="7" t="s">
        <v>384</v>
      </c>
      <c r="C14" s="27" t="n">
        <v>850000000</v>
      </c>
      <c r="D14" s="27" t="n">
        <f aca="false">Outflows!$B$32</f>
        <v>850000000</v>
      </c>
      <c r="E14" s="34" t="n">
        <f aca="false">D14-C14</f>
        <v>0</v>
      </c>
      <c r="F14" s="33" t="str">
        <f aca="false">IF(ABS(E14)&lt;=50000,"PASS","FAIL")</f>
        <v>PASS</v>
      </c>
    </row>
    <row r="15" customFormat="false" ht="15" hidden="false" customHeight="false" outlineLevel="0" collapsed="false">
      <c r="A15" s="21" t="s">
        <v>377</v>
      </c>
      <c r="B15" s="21" t="s">
        <v>385</v>
      </c>
      <c r="C15" s="31" t="n">
        <v>15165000000</v>
      </c>
      <c r="D15" s="31" t="n">
        <f aca="false">OutGross</f>
        <v>15165000000</v>
      </c>
      <c r="E15" s="44" t="n">
        <f aca="false">D15-C15</f>
        <v>0</v>
      </c>
      <c r="F15" s="45" t="str">
        <f aca="false">IF(ABS(E15)&lt;=50000,"PASS","FAIL")</f>
        <v>PASS</v>
      </c>
    </row>
    <row r="16" customFormat="false" ht="15" hidden="false" customHeight="false" outlineLevel="0" collapsed="false">
      <c r="A16" s="7" t="s">
        <v>377</v>
      </c>
      <c r="B16" s="7" t="s">
        <v>386</v>
      </c>
      <c r="C16" s="27" t="n">
        <v>11373800000</v>
      </c>
      <c r="D16" s="27" t="n">
        <f aca="false">InCap</f>
        <v>11373750000</v>
      </c>
      <c r="E16" s="34" t="n">
        <f aca="false">D16-C16</f>
        <v>-50000</v>
      </c>
      <c r="F16" s="33" t="str">
        <f aca="false">IF(ABS(E16)&lt;=50000,"PASS","FAIL")</f>
        <v>PASS</v>
      </c>
    </row>
    <row r="17" customFormat="false" ht="15" hidden="false" customHeight="false" outlineLevel="0" collapsed="false">
      <c r="A17" s="21" t="s">
        <v>377</v>
      </c>
      <c r="B17" s="21" t="s">
        <v>387</v>
      </c>
      <c r="C17" s="31" t="n">
        <v>4200000000</v>
      </c>
      <c r="D17" s="31" t="n">
        <f aca="false">InRecognised</f>
        <v>4200000000</v>
      </c>
      <c r="E17" s="44" t="n">
        <f aca="false">D17-C17</f>
        <v>0</v>
      </c>
      <c r="F17" s="45" t="str">
        <f aca="false">IF(ABS(E17)&lt;=50000,"PASS","FAIL")</f>
        <v>PASS</v>
      </c>
    </row>
    <row r="18" customFormat="false" ht="15" hidden="false" customHeight="false" outlineLevel="0" collapsed="false">
      <c r="A18" s="7" t="s">
        <v>377</v>
      </c>
      <c r="B18" s="7" t="s">
        <v>388</v>
      </c>
      <c r="C18" s="27" t="n">
        <v>10965000000</v>
      </c>
      <c r="D18" s="27" t="n">
        <f aca="false">NetOut</f>
        <v>10965000000</v>
      </c>
      <c r="E18" s="34" t="n">
        <f aca="false">D18-C18</f>
        <v>0</v>
      </c>
      <c r="F18" s="33" t="str">
        <f aca="false">IF(ABS(E18)&lt;=50000,"PASS","FAIL")</f>
        <v>PASS</v>
      </c>
    </row>
    <row r="19" customFormat="false" ht="15" hidden="false" customHeight="false" outlineLevel="0" collapsed="false">
      <c r="A19" s="21" t="s">
        <v>389</v>
      </c>
      <c r="B19" s="21" t="s">
        <v>390</v>
      </c>
      <c r="C19" s="22" t="n">
        <v>0.376</v>
      </c>
      <c r="D19" s="22" t="n">
        <f aca="false">'The liquidity buffer'!$B$18</f>
        <v>0.376</v>
      </c>
      <c r="E19" s="44" t="n">
        <f aca="false">D19-C19</f>
        <v>0</v>
      </c>
      <c r="F19" s="45" t="str">
        <f aca="false">IF(ABS(E19)&lt;=0.000005,"PASS","FAIL")</f>
        <v>PASS</v>
      </c>
    </row>
    <row r="20" customFormat="false" ht="15" hidden="false" customHeight="false" outlineLevel="0" collapsed="false">
      <c r="A20" s="7" t="s">
        <v>389</v>
      </c>
      <c r="B20" s="7" t="s">
        <v>391</v>
      </c>
      <c r="C20" s="27" t="n">
        <v>5361800000</v>
      </c>
      <c r="D20" s="27" t="n">
        <f aca="false">'The liquidity buffer'!$B$19</f>
        <v>5361760000</v>
      </c>
      <c r="E20" s="34" t="n">
        <f aca="false">D20-C20</f>
        <v>-40000</v>
      </c>
      <c r="F20" s="33" t="str">
        <f aca="false">IF(ABS(E20)&lt;=50000,"PASS","FAIL")</f>
        <v>PASS</v>
      </c>
    </row>
    <row r="21" customFormat="false" ht="15" hidden="false" customHeight="false" outlineLevel="0" collapsed="false">
      <c r="A21" s="21" t="s">
        <v>389</v>
      </c>
      <c r="B21" s="21" t="s">
        <v>392</v>
      </c>
      <c r="C21" s="31" t="n">
        <v>5629800000</v>
      </c>
      <c r="D21" s="31" t="n">
        <f aca="false">Encumbered</f>
        <v>5629848000</v>
      </c>
      <c r="E21" s="44" t="n">
        <f aca="false">D21-C21</f>
        <v>48000</v>
      </c>
      <c r="F21" s="45" t="str">
        <f aca="false">IF(ABS(E21)&lt;=50000,"PASS","FAIL")</f>
        <v>PASS</v>
      </c>
    </row>
    <row r="22" customFormat="false" ht="15" hidden="false" customHeight="false" outlineLevel="0" collapsed="false">
      <c r="A22" s="7" t="s">
        <v>389</v>
      </c>
      <c r="B22" s="7" t="s">
        <v>393</v>
      </c>
      <c r="C22" s="27" t="n">
        <v>570200000</v>
      </c>
      <c r="D22" s="27" t="n">
        <f aca="false">'The liquidity buffer'!$E$27</f>
        <v>570152000</v>
      </c>
      <c r="E22" s="34" t="n">
        <f aca="false">D22-C22</f>
        <v>-48000</v>
      </c>
      <c r="F22" s="33" t="str">
        <f aca="false">IF(ABS(E22)&lt;=50000,"PASS","FAIL")</f>
        <v>PASS</v>
      </c>
    </row>
    <row r="23" customFormat="false" ht="15" hidden="false" customHeight="false" outlineLevel="0" collapsed="false">
      <c r="A23" s="21" t="s">
        <v>389</v>
      </c>
      <c r="B23" s="21" t="s">
        <v>394</v>
      </c>
      <c r="C23" s="46" t="n">
        <v>0</v>
      </c>
      <c r="D23" s="46" t="n">
        <f aca="false">'The liquidity buffer'!$C$31</f>
        <v>0</v>
      </c>
      <c r="E23" s="44" t="n">
        <f aca="false">D23-C23</f>
        <v>0</v>
      </c>
      <c r="F23" s="45" t="str">
        <f aca="false">IF(ABS(E23)&lt;=0.5,"PASS","FAIL")</f>
        <v>PASS</v>
      </c>
    </row>
    <row r="24" customFormat="false" ht="15" hidden="false" customHeight="false" outlineLevel="0" collapsed="false">
      <c r="A24" s="7" t="s">
        <v>389</v>
      </c>
      <c r="B24" s="7" t="s">
        <v>395</v>
      </c>
      <c r="C24" s="27" t="n">
        <v>12883200000</v>
      </c>
      <c r="D24" s="27" t="n">
        <f aca="false">HqlaAmt</f>
        <v>12883152000</v>
      </c>
      <c r="E24" s="34" t="n">
        <f aca="false">D24-C24</f>
        <v>-48000</v>
      </c>
      <c r="F24" s="33" t="str">
        <f aca="false">IF(ABS(E24)&lt;=50000,"PASS","FAIL")</f>
        <v>PASS</v>
      </c>
    </row>
    <row r="25" customFormat="false" ht="15" hidden="false" customHeight="false" outlineLevel="0" collapsed="false">
      <c r="A25" s="21" t="s">
        <v>389</v>
      </c>
      <c r="B25" s="21" t="s">
        <v>287</v>
      </c>
      <c r="C25" s="23" t="n">
        <v>1.174934</v>
      </c>
      <c r="D25" s="23" t="n">
        <f aca="false">'The coverage ratio'!$B$7</f>
        <v>1.1749340629275</v>
      </c>
      <c r="E25" s="44" t="n">
        <f aca="false">D25-C25</f>
        <v>6.29274965469051E-008</v>
      </c>
      <c r="F25" s="45" t="str">
        <f aca="false">IF(ABS(E25)&lt;=0.0000005,"PASS","FAIL")</f>
        <v>PASS</v>
      </c>
    </row>
    <row r="26" customFormat="false" ht="15" hidden="false" customHeight="false" outlineLevel="0" collapsed="false">
      <c r="A26" s="7" t="s">
        <v>389</v>
      </c>
      <c r="B26" s="7" t="s">
        <v>290</v>
      </c>
      <c r="C26" s="17" t="n">
        <v>1.688372</v>
      </c>
      <c r="D26" s="17" t="n">
        <f aca="false">'The coverage ratio'!$B$14</f>
        <v>1.68837209302326</v>
      </c>
      <c r="E26" s="34" t="n">
        <f aca="false">D26-C26</f>
        <v>9.30232557649902E-008</v>
      </c>
      <c r="F26" s="33" t="str">
        <f aca="false">IF(ABS(E26)&lt;=0.0000005,"PASS","FAIL")</f>
        <v>PASS</v>
      </c>
    </row>
    <row r="27" customFormat="false" ht="15" hidden="false" customHeight="false" outlineLevel="0" collapsed="false">
      <c r="A27" s="21" t="s">
        <v>389</v>
      </c>
      <c r="B27" s="21" t="s">
        <v>293</v>
      </c>
      <c r="C27" s="41" t="n">
        <v>51.3</v>
      </c>
      <c r="D27" s="41" t="n">
        <f aca="false">'The coverage ratio'!$B$15</f>
        <v>51.3438030095759</v>
      </c>
      <c r="E27" s="44" t="n">
        <f aca="false">D27-C27</f>
        <v>0.0438030095759316</v>
      </c>
      <c r="F27" s="45" t="str">
        <f aca="false">IF(ABS(E27)&lt;=0.05,"PASS","FAIL")</f>
        <v>PASS</v>
      </c>
    </row>
    <row r="28" customFormat="false" ht="15" hidden="false" customHeight="false" outlineLevel="0" collapsed="false">
      <c r="A28" s="7" t="s">
        <v>396</v>
      </c>
      <c r="B28" s="7" t="s">
        <v>397</v>
      </c>
      <c r="C28" s="27" t="n">
        <v>44550000000</v>
      </c>
      <c r="D28" s="27" t="n">
        <f aca="false">AsfTot</f>
        <v>44550000000</v>
      </c>
      <c r="E28" s="34" t="n">
        <f aca="false">D28-C28</f>
        <v>0</v>
      </c>
      <c r="F28" s="33" t="str">
        <f aca="false">IF(ABS(E28)&lt;=50000,"PASS","FAIL")</f>
        <v>PASS</v>
      </c>
    </row>
    <row r="29" customFormat="false" ht="15" hidden="false" customHeight="false" outlineLevel="0" collapsed="false">
      <c r="A29" s="21" t="s">
        <v>396</v>
      </c>
      <c r="B29" s="21" t="s">
        <v>398</v>
      </c>
      <c r="C29" s="31" t="n">
        <v>45941000000</v>
      </c>
      <c r="D29" s="31" t="n">
        <f aca="false">'Stable funding'!$D$42</f>
        <v>45941000000</v>
      </c>
      <c r="E29" s="44" t="n">
        <f aca="false">D29-C29</f>
        <v>0</v>
      </c>
      <c r="F29" s="45" t="str">
        <f aca="false">IF(ABS(E29)&lt;=50000,"PASS","FAIL")</f>
        <v>PASS</v>
      </c>
    </row>
    <row r="30" customFormat="false" ht="15" hidden="false" customHeight="false" outlineLevel="0" collapsed="false">
      <c r="A30" s="7" t="s">
        <v>396</v>
      </c>
      <c r="B30" s="7" t="s">
        <v>399</v>
      </c>
      <c r="C30" s="27" t="n">
        <v>565000000</v>
      </c>
      <c r="D30" s="27" t="n">
        <f aca="false">'Stable funding'!$D$50</f>
        <v>565000000</v>
      </c>
      <c r="E30" s="34" t="n">
        <f aca="false">D30-C30</f>
        <v>0</v>
      </c>
      <c r="F30" s="33" t="str">
        <f aca="false">IF(ABS(E30)&lt;=50000,"PASS","FAIL")</f>
        <v>PASS</v>
      </c>
    </row>
    <row r="31" customFormat="false" ht="15" hidden="false" customHeight="false" outlineLevel="0" collapsed="false">
      <c r="A31" s="21" t="s">
        <v>396</v>
      </c>
      <c r="B31" s="21" t="s">
        <v>400</v>
      </c>
      <c r="C31" s="31" t="n">
        <v>46506000000</v>
      </c>
      <c r="D31" s="31" t="n">
        <f aca="false">RsfTot</f>
        <v>46506000000</v>
      </c>
      <c r="E31" s="44" t="n">
        <f aca="false">D31-C31</f>
        <v>0</v>
      </c>
      <c r="F31" s="45" t="str">
        <f aca="false">IF(ABS(E31)&lt;=50000,"PASS","FAIL")</f>
        <v>PASS</v>
      </c>
    </row>
    <row r="32" customFormat="false" ht="15" hidden="false" customHeight="false" outlineLevel="0" collapsed="false">
      <c r="A32" s="7" t="s">
        <v>396</v>
      </c>
      <c r="B32" s="7" t="s">
        <v>305</v>
      </c>
      <c r="C32" s="17" t="n">
        <v>0.957941</v>
      </c>
      <c r="D32" s="17" t="n">
        <f aca="false">Nsfr</f>
        <v>0.957940910850213</v>
      </c>
      <c r="E32" s="34" t="n">
        <f aca="false">D32-C32</f>
        <v>-8.91497872190783E-008</v>
      </c>
      <c r="F32" s="33" t="str">
        <f aca="false">IF(ABS(E32)&lt;=0.0000005,"PASS","FAIL")</f>
        <v>PASS</v>
      </c>
    </row>
    <row r="33" customFormat="false" ht="15" hidden="false" customHeight="false" outlineLevel="0" collapsed="false">
      <c r="A33" s="21" t="s">
        <v>396</v>
      </c>
      <c r="B33" s="21" t="s">
        <v>401</v>
      </c>
      <c r="C33" s="31" t="n">
        <v>1956000000</v>
      </c>
      <c r="D33" s="31" t="n">
        <f aca="false">'Stable funding'!$B$54</f>
        <v>1956000000</v>
      </c>
      <c r="E33" s="44" t="n">
        <f aca="false">D33-C33</f>
        <v>0</v>
      </c>
      <c r="F33" s="45" t="str">
        <f aca="false">IF(ABS(E33)&lt;=50000,"PASS","FAIL")</f>
        <v>PASS</v>
      </c>
    </row>
    <row r="34" customFormat="false" ht="15" hidden="false" customHeight="false" outlineLevel="0" collapsed="false">
      <c r="A34" s="7" t="s">
        <v>396</v>
      </c>
      <c r="B34" s="7" t="s">
        <v>402</v>
      </c>
      <c r="C34" s="17" t="n">
        <v>0.961</v>
      </c>
      <c r="D34" s="17" t="n">
        <f aca="false">'Seven readings'!$G$8</f>
        <v>0.961040641988092</v>
      </c>
      <c r="E34" s="34" t="n">
        <f aca="false">D34-C34</f>
        <v>4.06419880921716E-005</v>
      </c>
      <c r="F34" s="33" t="str">
        <f aca="false">IF(ABS(E34)&lt;=0.00005,"PASS","FAIL")</f>
        <v>PASS</v>
      </c>
    </row>
    <row r="35" customFormat="false" ht="15" hidden="false" customHeight="false" outlineLevel="0" collapsed="false">
      <c r="A35" s="21" t="s">
        <v>396</v>
      </c>
      <c r="B35" s="21" t="s">
        <v>144</v>
      </c>
      <c r="C35" s="23" t="n">
        <v>0.9591</v>
      </c>
      <c r="D35" s="23" t="n">
        <f aca="false">'Seven readings'!$G$9</f>
        <v>0.959075154463844</v>
      </c>
      <c r="E35" s="44" t="n">
        <f aca="false">D35-C35</f>
        <v>-2.48455361563371E-005</v>
      </c>
      <c r="F35" s="45" t="str">
        <f aca="false">IF(ABS(E35)&lt;=0.00005,"PASS","FAIL")</f>
        <v>PASS</v>
      </c>
    </row>
    <row r="36" customFormat="false" ht="15" hidden="false" customHeight="false" outlineLevel="0" collapsed="false">
      <c r="A36" s="7" t="s">
        <v>396</v>
      </c>
      <c r="B36" s="7" t="s">
        <v>145</v>
      </c>
      <c r="C36" s="17" t="n">
        <v>0.961</v>
      </c>
      <c r="D36" s="17" t="n">
        <f aca="false">'Seven readings'!$G$10</f>
        <v>0.961040641988092</v>
      </c>
      <c r="E36" s="34" t="n">
        <f aca="false">D36-C36</f>
        <v>4.06419880921716E-005</v>
      </c>
      <c r="F36" s="33" t="str">
        <f aca="false">IF(ABS(E36)&lt;=0.00005,"PASS","FAIL")</f>
        <v>PASS</v>
      </c>
    </row>
    <row r="37" customFormat="false" ht="15" hidden="false" customHeight="false" outlineLevel="0" collapsed="false">
      <c r="A37" s="21" t="s">
        <v>396</v>
      </c>
      <c r="B37" s="21" t="s">
        <v>403</v>
      </c>
      <c r="C37" s="23" t="n">
        <v>0.9561</v>
      </c>
      <c r="D37" s="23" t="n">
        <f aca="false">'Seven readings'!$G$11</f>
        <v>0.956090651558074</v>
      </c>
      <c r="E37" s="44" t="n">
        <f aca="false">D37-C37</f>
        <v>-9.34844192634898E-006</v>
      </c>
      <c r="F37" s="45" t="str">
        <f aca="false">IF(ABS(E37)&lt;=0.00005,"PASS","FAIL")</f>
        <v>PASS</v>
      </c>
    </row>
    <row r="38" customFormat="false" ht="15" hidden="false" customHeight="false" outlineLevel="0" collapsed="false">
      <c r="A38" s="7" t="s">
        <v>396</v>
      </c>
      <c r="B38" s="7" t="s">
        <v>147</v>
      </c>
      <c r="C38" s="17" t="n">
        <v>0.9555</v>
      </c>
      <c r="D38" s="17" t="n">
        <f aca="false">'Seven readings'!$G$12</f>
        <v>0.955516472203157</v>
      </c>
      <c r="E38" s="34" t="n">
        <f aca="false">D38-C38</f>
        <v>1.64722031571474E-005</v>
      </c>
      <c r="F38" s="33" t="str">
        <f aca="false">IF(ABS(E38)&lt;=0.00005,"PASS","FAIL")</f>
        <v>PASS</v>
      </c>
    </row>
    <row r="39" customFormat="false" ht="15" hidden="false" customHeight="false" outlineLevel="0" collapsed="false">
      <c r="A39" s="21" t="s">
        <v>396</v>
      </c>
      <c r="B39" s="21" t="s">
        <v>404</v>
      </c>
      <c r="C39" s="23" t="n">
        <v>0.9446</v>
      </c>
      <c r="D39" s="23" t="n">
        <f aca="false">'Seven readings'!$G$13</f>
        <v>0.944609297725025</v>
      </c>
      <c r="E39" s="44" t="n">
        <f aca="false">D39-C39</f>
        <v>9.29772502478166E-006</v>
      </c>
      <c r="F39" s="45" t="str">
        <f aca="false">IF(ABS(E39)&lt;=0.00005,"PASS","FAIL")</f>
        <v>PASS</v>
      </c>
    </row>
    <row r="40" customFormat="false" ht="15" hidden="false" customHeight="false" outlineLevel="0" collapsed="false">
      <c r="A40" s="7" t="s">
        <v>396</v>
      </c>
      <c r="B40" s="7" t="s">
        <v>319</v>
      </c>
      <c r="C40" s="17" t="n">
        <v>0.9446</v>
      </c>
      <c r="D40" s="17" t="n">
        <f aca="false">'Seven readings'!$B$17</f>
        <v>0.944609297725025</v>
      </c>
      <c r="E40" s="34" t="n">
        <f aca="false">D40-C40</f>
        <v>9.29772502478166E-006</v>
      </c>
      <c r="F40" s="33" t="str">
        <f aca="false">IF(ABS(E40)&lt;=0.00005,"PASS","FAIL")</f>
        <v>PASS</v>
      </c>
    </row>
    <row r="41" customFormat="false" ht="15" hidden="false" customHeight="false" outlineLevel="0" collapsed="false">
      <c r="A41" s="21" t="s">
        <v>396</v>
      </c>
      <c r="B41" s="21" t="s">
        <v>320</v>
      </c>
      <c r="C41" s="23" t="n">
        <v>0.961</v>
      </c>
      <c r="D41" s="23" t="n">
        <f aca="false">'Seven readings'!$B$18</f>
        <v>0.961040641988092</v>
      </c>
      <c r="E41" s="44" t="n">
        <f aca="false">D41-C41</f>
        <v>4.06419880921716E-005</v>
      </c>
      <c r="F41" s="45" t="str">
        <f aca="false">IF(ABS(E41)&lt;=0.00005,"PASS","FAIL")</f>
        <v>PASS</v>
      </c>
    </row>
    <row r="42" customFormat="false" ht="15" hidden="false" customHeight="false" outlineLevel="0" collapsed="false">
      <c r="A42" s="7" t="s">
        <v>405</v>
      </c>
      <c r="B42" s="7" t="s">
        <v>406</v>
      </c>
      <c r="C42" s="20" t="n">
        <v>0.13</v>
      </c>
      <c r="D42" s="20" t="n">
        <f aca="false">MortAboveThr</f>
        <v>0.13</v>
      </c>
      <c r="E42" s="34" t="n">
        <f aca="false">D42-C42</f>
        <v>0</v>
      </c>
      <c r="F42" s="33" t="str">
        <f aca="false">IF(ABS(E42)&lt;=0.000005,"PASS","FAIL")</f>
        <v>PASS</v>
      </c>
    </row>
    <row r="43" customFormat="false" ht="15" hidden="false" customHeight="false" outlineLevel="0" collapsed="false">
      <c r="A43" s="21" t="s">
        <v>405</v>
      </c>
      <c r="B43" s="21" t="s">
        <v>328</v>
      </c>
      <c r="C43" s="22" t="n">
        <v>0.65</v>
      </c>
      <c r="D43" s="22" t="n">
        <f aca="false">'Seven readings'!$B$28</f>
        <v>0.65</v>
      </c>
      <c r="E43" s="44" t="n">
        <f aca="false">D43-C43</f>
        <v>0</v>
      </c>
      <c r="F43" s="45" t="str">
        <f aca="false">IF(ABS(E43)&lt;=0.000005,"PASS","FAIL")</f>
        <v>PASS</v>
      </c>
    </row>
    <row r="44" customFormat="false" ht="15" hidden="false" customHeight="false" outlineLevel="0" collapsed="false">
      <c r="A44" s="7" t="s">
        <v>405</v>
      </c>
      <c r="B44" s="7" t="s">
        <v>329</v>
      </c>
      <c r="C44" s="20" t="n">
        <v>0.676</v>
      </c>
      <c r="D44" s="20" t="n">
        <f aca="false">'Seven readings'!$B$29</f>
        <v>0.676</v>
      </c>
      <c r="E44" s="34" t="n">
        <f aca="false">D44-C44</f>
        <v>0</v>
      </c>
      <c r="F44" s="33" t="str">
        <f aca="false">IF(ABS(E44)&lt;=0.000005,"PASS","FAIL")</f>
        <v>PASS</v>
      </c>
    </row>
    <row r="45" customFormat="false" ht="15" hidden="false" customHeight="false" outlineLevel="0" collapsed="false">
      <c r="A45" s="21" t="s">
        <v>405</v>
      </c>
      <c r="B45" s="21" t="s">
        <v>407</v>
      </c>
      <c r="C45" s="31" t="n">
        <v>546000000</v>
      </c>
      <c r="D45" s="31" t="n">
        <f aca="false">'Seven readings'!$B$30</f>
        <v>546000000.000001</v>
      </c>
      <c r="E45" s="44" t="n">
        <f aca="false">D45-C45</f>
        <v>0</v>
      </c>
      <c r="F45" s="45" t="str">
        <f aca="false">IF(ABS(E45)&lt;=50000,"PASS","FAIL")</f>
        <v>PASS</v>
      </c>
    </row>
    <row r="46" customFormat="false" ht="15" hidden="false" customHeight="false" outlineLevel="0" collapsed="false">
      <c r="A46" s="7" t="s">
        <v>405</v>
      </c>
      <c r="B46" s="7" t="s">
        <v>408</v>
      </c>
      <c r="C46" s="27" t="n">
        <v>47052000000</v>
      </c>
      <c r="D46" s="27" t="n">
        <f aca="false">'Seven readings'!$B$31</f>
        <v>47052000000</v>
      </c>
      <c r="E46" s="34" t="n">
        <f aca="false">D46-C46</f>
        <v>0</v>
      </c>
      <c r="F46" s="33" t="str">
        <f aca="false">IF(ABS(E46)&lt;=50000,"PASS","FAIL")</f>
        <v>PASS</v>
      </c>
    </row>
    <row r="47" customFormat="false" ht="15" hidden="false" customHeight="false" outlineLevel="0" collapsed="false">
      <c r="A47" s="21" t="s">
        <v>405</v>
      </c>
      <c r="B47" s="21" t="s">
        <v>332</v>
      </c>
      <c r="C47" s="23" t="n">
        <v>0.946825</v>
      </c>
      <c r="D47" s="23" t="n">
        <f aca="false">'Seven readings'!$B$32</f>
        <v>0.946824789594491</v>
      </c>
      <c r="E47" s="44" t="n">
        <f aca="false">D47-C47</f>
        <v>-2.10405508793698E-007</v>
      </c>
      <c r="F47" s="45" t="str">
        <f aca="false">IF(ABS(E47)&lt;=0.0000005,"PASS","FAIL")</f>
        <v>PASS</v>
      </c>
    </row>
    <row r="48" customFormat="false" ht="15" hidden="false" customHeight="false" outlineLevel="0" collapsed="false">
      <c r="A48" s="7" t="s">
        <v>409</v>
      </c>
      <c r="B48" s="7" t="s">
        <v>353</v>
      </c>
      <c r="C48" s="39" t="n">
        <v>0.0143</v>
      </c>
      <c r="D48" s="39" t="n">
        <f aca="false">'Two costs'!$B$29</f>
        <v>0.01430325</v>
      </c>
      <c r="E48" s="34" t="n">
        <f aca="false">D48-C48</f>
        <v>3.24999999999978E-006</v>
      </c>
      <c r="F48" s="33" t="str">
        <f aca="false">IF(ABS(E48)&lt;=0.00005,"PASS","FAIL")</f>
        <v>PASS</v>
      </c>
    </row>
    <row r="49" customFormat="false" ht="15" hidden="false" customHeight="false" outlineLevel="0" collapsed="false">
      <c r="A49" s="21" t="s">
        <v>409</v>
      </c>
      <c r="B49" s="21" t="s">
        <v>348</v>
      </c>
      <c r="C49" s="40" t="n">
        <v>0.8628</v>
      </c>
      <c r="D49" s="40" t="n">
        <f aca="false">'Two costs'!$B$24</f>
        <v>0.862818447967025</v>
      </c>
      <c r="E49" s="44" t="n">
        <f aca="false">D49-C49</f>
        <v>1.84479670248816E-005</v>
      </c>
      <c r="F49" s="45" t="str">
        <f aca="false">IF(ABS(E49)&lt;=0.00005,"PASS","FAIL")</f>
        <v>PASS</v>
      </c>
    </row>
    <row r="50" customFormat="false" ht="15" hidden="false" customHeight="false" outlineLevel="0" collapsed="false">
      <c r="A50" s="7" t="s">
        <v>409</v>
      </c>
      <c r="B50" s="7" t="s">
        <v>349</v>
      </c>
      <c r="C50" s="39" t="n">
        <v>45.4442</v>
      </c>
      <c r="D50" s="39" t="n">
        <f aca="false">'Two costs'!$B$25</f>
        <v>45.4442172233583</v>
      </c>
      <c r="E50" s="34" t="n">
        <f aca="false">D50-C50</f>
        <v>1.72233583271009E-005</v>
      </c>
      <c r="F50" s="33" t="str">
        <f aca="false">IF(ABS(E50)&lt;=0.00005,"PASS","FAIL")</f>
        <v>PASS</v>
      </c>
    </row>
    <row r="51" customFormat="false" ht="15" hidden="false" customHeight="false" outlineLevel="0" collapsed="false">
      <c r="A51" s="21" t="s">
        <v>409</v>
      </c>
      <c r="B51" s="21" t="s">
        <v>350</v>
      </c>
      <c r="C51" s="40" t="n">
        <v>6.1713</v>
      </c>
      <c r="D51" s="40" t="n">
        <f aca="false">'Two costs'!$B$26</f>
        <v>6.17127091879334</v>
      </c>
      <c r="E51" s="44" t="n">
        <f aca="false">D51-C51</f>
        <v>-2.90812066641166E-005</v>
      </c>
      <c r="F51" s="45" t="str">
        <f aca="false">IF(ABS(E51)&lt;=0.00005,"PASS","FAIL")</f>
        <v>PASS</v>
      </c>
    </row>
    <row r="52" customFormat="false" ht="15" hidden="false" customHeight="false" outlineLevel="0" collapsed="false">
      <c r="A52" s="7" t="s">
        <v>409</v>
      </c>
      <c r="B52" s="7" t="s">
        <v>354</v>
      </c>
      <c r="C52" s="39" t="n">
        <v>45.4442</v>
      </c>
      <c r="D52" s="39" t="n">
        <f aca="false">'Two costs'!$B$30</f>
        <v>45.4442172233583</v>
      </c>
      <c r="E52" s="34" t="n">
        <f aca="false">D52-C52</f>
        <v>1.72233583271009E-005</v>
      </c>
      <c r="F52" s="33" t="str">
        <f aca="false">IF(ABS(E52)&lt;=0.00005,"PASS","FAIL")</f>
        <v>PASS</v>
      </c>
    </row>
    <row r="53" customFormat="false" ht="15" hidden="false" customHeight="false" outlineLevel="0" collapsed="false">
      <c r="A53" s="21" t="s">
        <v>409</v>
      </c>
      <c r="B53" s="21" t="s">
        <v>351</v>
      </c>
      <c r="C53" s="47" t="n">
        <v>7.4</v>
      </c>
      <c r="D53" s="47" t="n">
        <f aca="false">'Two costs'!$B$27</f>
        <v>7.36383442265795</v>
      </c>
      <c r="E53" s="44" t="n">
        <f aca="false">D53-C53</f>
        <v>-0.0361655773420484</v>
      </c>
      <c r="F53" s="45" t="str">
        <f aca="false">IF(ABS(E53)&lt;=0.05,"PASS","FAIL")</f>
        <v>PASS</v>
      </c>
    </row>
    <row r="54" customFormat="false" ht="15" hidden="false" customHeight="false" outlineLevel="0" collapsed="false">
      <c r="A54" s="7" t="s">
        <v>409</v>
      </c>
      <c r="B54" s="7" t="s">
        <v>410</v>
      </c>
      <c r="C54" s="39" t="n">
        <v>31</v>
      </c>
      <c r="D54" s="39" t="n">
        <f aca="false">'Two costs'!$B$28</f>
        <v>31.0474156131244</v>
      </c>
      <c r="E54" s="34" t="n">
        <f aca="false">D54-C54</f>
        <v>0.0474156131243682</v>
      </c>
      <c r="F54" s="33" t="str">
        <f aca="false">IF(ABS(E54)&lt;=0.05,"PASS","FAIL")</f>
        <v>PASS</v>
      </c>
    </row>
    <row r="55" customFormat="false" ht="15" hidden="false" customHeight="false" outlineLevel="0" collapsed="false">
      <c r="A55" s="21" t="s">
        <v>409</v>
      </c>
      <c r="B55" s="21" t="s">
        <v>355</v>
      </c>
      <c r="C55" s="40" t="n">
        <v>20.1</v>
      </c>
      <c r="D55" s="40" t="n">
        <f aca="false">'Two costs'!$B$31</f>
        <v>20.0566304860783</v>
      </c>
      <c r="E55" s="44" t="n">
        <f aca="false">D55-C55</f>
        <v>-0.0433695139216646</v>
      </c>
      <c r="F55" s="45" t="str">
        <f aca="false">IF(ABS(E55)&lt;=0.05,"PASS","FAIL")</f>
        <v>PASS</v>
      </c>
    </row>
    <row r="56" customFormat="false" ht="15" hidden="false" customHeight="false" outlineLevel="0" collapsed="false">
      <c r="A56" s="7" t="s">
        <v>409</v>
      </c>
      <c r="B56" s="7" t="s">
        <v>356</v>
      </c>
      <c r="C56" s="43" t="n">
        <v>2.27</v>
      </c>
      <c r="D56" s="43" t="n">
        <f aca="false">'Two costs'!$B$32</f>
        <v>2.26579520697168</v>
      </c>
      <c r="E56" s="34" t="n">
        <f aca="false">D56-C56</f>
        <v>-0.00420479302832222</v>
      </c>
      <c r="F56" s="33" t="str">
        <f aca="false">IF(ABS(E56)&lt;=0.005,"PASS","FAIL")</f>
        <v>PASS</v>
      </c>
    </row>
    <row r="57" customFormat="false" ht="15" hidden="false" customHeight="false" outlineLevel="0" collapsed="false">
      <c r="A57" s="21" t="s">
        <v>409</v>
      </c>
      <c r="B57" s="21" t="s">
        <v>411</v>
      </c>
      <c r="C57" s="47" t="n">
        <v>2.07</v>
      </c>
      <c r="D57" s="47" t="n">
        <f aca="false">'Two costs'!$B$44</f>
        <v>2.06689970304438</v>
      </c>
      <c r="E57" s="44" t="n">
        <f aca="false">D57-C57</f>
        <v>-0.00310029695561509</v>
      </c>
      <c r="F57" s="45" t="str">
        <f aca="false">IF(ABS(E57)&lt;=0.005,"PASS","FAIL")</f>
        <v>PASS</v>
      </c>
    </row>
    <row r="58" customFormat="false" ht="15" hidden="false" customHeight="false" outlineLevel="0" collapsed="false">
      <c r="A58" s="7" t="s">
        <v>389</v>
      </c>
      <c r="B58" s="7" t="s">
        <v>412</v>
      </c>
      <c r="C58" s="27" t="n">
        <v>8970200000</v>
      </c>
      <c r="D58" s="27" t="n">
        <f aca="false">Lvl1</f>
        <v>8970152000</v>
      </c>
      <c r="E58" s="34" t="n">
        <f aca="false">D58-C58</f>
        <v>-48000</v>
      </c>
      <c r="F58" s="33" t="str">
        <f aca="false">IF(ABS(E58)&lt;=50000,"PASS","FAIL")</f>
        <v>PASS</v>
      </c>
    </row>
    <row r="59" customFormat="false" ht="15" hidden="false" customHeight="false" outlineLevel="0" collapsed="false">
      <c r="A59" s="21" t="s">
        <v>389</v>
      </c>
      <c r="B59" s="21" t="s">
        <v>413</v>
      </c>
      <c r="C59" s="31" t="n">
        <v>0</v>
      </c>
      <c r="D59" s="31" t="n">
        <f aca="false">'The liquidity buffer'!$D$28</f>
        <v>0</v>
      </c>
      <c r="E59" s="44" t="n">
        <f aca="false">D59-C59</f>
        <v>0</v>
      </c>
      <c r="F59" s="45" t="str">
        <f aca="false">IF(ABS(E59)&lt;=0.5,"PASS","FAIL")</f>
        <v>PASS</v>
      </c>
    </row>
    <row r="60" customFormat="false" ht="15" hidden="false" customHeight="false" outlineLevel="0" collapsed="false">
      <c r="A60" s="7" t="s">
        <v>389</v>
      </c>
      <c r="B60" s="7" t="s">
        <v>414</v>
      </c>
      <c r="C60" s="48" t="n">
        <v>17.49</v>
      </c>
      <c r="D60" s="48" t="n">
        <f aca="false">'The coverage ratio'!$B$9</f>
        <v>17.4934062927496</v>
      </c>
      <c r="E60" s="34" t="n">
        <f aca="false">D60-C60</f>
        <v>0.00340629274964854</v>
      </c>
      <c r="F60" s="33" t="str">
        <f aca="false">IF(ABS(E60)&lt;=0.005,"PASS","FAIL")</f>
        <v>PASS</v>
      </c>
    </row>
    <row r="61" customFormat="false" ht="15" hidden="false" customHeight="false" outlineLevel="0" collapsed="false">
      <c r="A61" s="21" t="s">
        <v>396</v>
      </c>
      <c r="B61" s="21" t="s">
        <v>415</v>
      </c>
      <c r="C61" s="22" t="n">
        <v>0.9653</v>
      </c>
      <c r="D61" s="22" t="n">
        <f aca="false">'Seven readings'!$B$38</f>
        <v>0.965309527420858</v>
      </c>
      <c r="E61" s="44" t="n">
        <f aca="false">D61-C61</f>
        <v>9.52742085758018E-006</v>
      </c>
      <c r="F61" s="45" t="str">
        <f aca="false">IF(ABS(E61)&lt;=0.00005,"PASS","FAIL")</f>
        <v>PASS</v>
      </c>
    </row>
    <row r="62" customFormat="false" ht="15" hidden="false" customHeight="false" outlineLevel="0" collapsed="false">
      <c r="A62" s="7" t="s">
        <v>396</v>
      </c>
      <c r="B62" s="7" t="s">
        <v>416</v>
      </c>
      <c r="C62" s="20" t="n">
        <v>0.9476</v>
      </c>
      <c r="D62" s="20" t="n">
        <f aca="false">'Seven readings'!$B$39</f>
        <v>0.947604564378006</v>
      </c>
      <c r="E62" s="34" t="n">
        <f aca="false">D62-C62</f>
        <v>4.56437800644416E-006</v>
      </c>
      <c r="F62" s="33" t="str">
        <f aca="false">IF(ABS(E62)&lt;=0.00005,"PASS","FAIL")</f>
        <v>PASS</v>
      </c>
    </row>
    <row r="63" customFormat="false" ht="15" hidden="false" customHeight="false" outlineLevel="0" collapsed="false">
      <c r="A63" s="21" t="s">
        <v>396</v>
      </c>
      <c r="B63" s="21" t="s">
        <v>417</v>
      </c>
      <c r="C63" s="31" t="n">
        <v>1601000000</v>
      </c>
      <c r="D63" s="31" t="n">
        <f aca="false">'Seven readings'!$B$40</f>
        <v>1601000000</v>
      </c>
      <c r="E63" s="44" t="n">
        <f aca="false">D63-C63</f>
        <v>0</v>
      </c>
      <c r="F63" s="45" t="str">
        <f aca="false">IF(ABS(E63)&lt;=50000,"PASS","FAIL")</f>
        <v>PASS</v>
      </c>
    </row>
    <row r="64" customFormat="false" ht="15" hidden="false" customHeight="false" outlineLevel="0" collapsed="false">
      <c r="A64" s="7" t="s">
        <v>405</v>
      </c>
      <c r="B64" s="7" t="s">
        <v>418</v>
      </c>
      <c r="C64" s="48" t="n">
        <v>1.11</v>
      </c>
      <c r="D64" s="48" t="n">
        <f aca="false">'Seven readings'!$B$33</f>
        <v>1.11161212557216</v>
      </c>
      <c r="E64" s="34" t="n">
        <f aca="false">D64-C64</f>
        <v>0.00161212557215884</v>
      </c>
      <c r="F64" s="33" t="str">
        <f aca="false">IF(ABS(E64)&lt;=0.005,"PASS","FAIL")</f>
        <v>PASS</v>
      </c>
    </row>
    <row r="66" customFormat="false" ht="15" hidden="false" customHeight="false" outlineLevel="0" collapsed="false">
      <c r="B66" s="24" t="s">
        <v>419</v>
      </c>
      <c r="C66" s="49" t="n">
        <f aca="false">COUNTIF(F8:F64,"PASS")</f>
        <v>57</v>
      </c>
    </row>
    <row r="67" customFormat="false" ht="15" hidden="false" customHeight="false" outlineLevel="0" collapsed="false">
      <c r="B67" s="24" t="s">
        <v>420</v>
      </c>
      <c r="C67" s="49" t="n">
        <f aca="false">COUNTIF(F8:F64,"FAIL")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2026-08-30T10:47:59Z</dcterms:created>
  <dc:creator>openpyxl</dc:creator>
  <dc:description/>
  <dc:language>en-US</dc:language>
  <cp:lastModifiedBy/>
  <dcterms:modified xsi:type="dcterms:W3CDTF">2026-09-24T19:44:35Z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