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loan split" sheetId="3" state="visible" r:id="rId5"/>
    <sheet name="The bank" sheetId="4" state="visible" r:id="rId6"/>
    <sheet name="The three compartments" sheetId="5" state="visible" r:id="rId7"/>
    <sheet name="The buffer stack" sheetId="6" state="visible" r:id="rId8"/>
    <sheet name="Headroom" sheetId="7" state="visible" r:id="rId9"/>
    <sheet name="Leverage" sheetId="8" state="visible" r:id="rId10"/>
    <sheet name="Checks" sheetId="9" state="visible" r:id="rId11"/>
  </sheets>
  <definedNames>
    <definedName function="false" hidden="false" name="AssetExp" vbProcedure="false">Inputs!$B$37:$B$51</definedName>
    <definedName function="false" hidden="false" name="AssetHc" vbProcedure="false">Inputs!$G$37:$G$51</definedName>
    <definedName function="false" hidden="false" name="AssetInt" vbProcedure="false">Inputs!$D$37:$D$51</definedName>
    <definedName function="false" hidden="false" name="AssetLbl" vbProcedure="false">Inputs!$A$37:$A$51</definedName>
    <definedName function="false" hidden="false" name="AssetLvl" vbProcedure="false">Inputs!$F$37:$F$51</definedName>
    <definedName function="false" hidden="false" name="AssetRsf" vbProcedure="false">Inputs!$E$37:$E$51</definedName>
    <definedName function="false" hidden="false" name="AssetStd" vbProcedure="false">Inputs!$C$37:$C$51</definedName>
    <definedName function="false" hidden="false" name="AssetSup" vbProcedure="false">Inputs!$H$37:$H$51</definedName>
    <definedName function="false" hidden="false" name="At1Cap" vbProcedure="false">'The bank'!$B$57</definedName>
    <definedName function="false" hidden="false" name="BufCons" vbProcedure="false">Inputs!$B$99</definedName>
    <definedName function="false" hidden="false" name="BufOsii" vbProcedure="false">Inputs!$B$100</definedName>
    <definedName function="false" hidden="false" name="BufSect" vbProcedure="false">Inputs!$B$101</definedName>
    <definedName function="false" hidden="false" name="CapL1b" vbProcedure="false">Inputs!$B$121</definedName>
    <definedName function="false" hidden="false" name="CapL2" vbProcedure="false">Inputs!$B$122</definedName>
    <definedName function="false" hidden="false" name="CapL2b" vbProcedure="false">Inputs!$B$123</definedName>
    <definedName function="false" hidden="false" name="CbrEur" vbProcedure="false">'The bank'!$B$82</definedName>
    <definedName function="false" hidden="false" name="CbrRate" vbProcedure="false">'The bank'!$B$79</definedName>
    <definedName function="false" hidden="false" name="CcybRate" vbProcedure="false">'The bank'!$B$78</definedName>
    <definedName function="false" hidden="false" name="CetCap" vbProcedure="false">'The bank'!$B$56</definedName>
    <definedName function="false" hidden="false" name="CetLocked" vbProcedure="false">'The three compartments'!$B$22</definedName>
    <definedName function="false" hidden="false" name="CouponSnp" vbProcedure="false">Inputs!$B$153</definedName>
    <definedName function="false" hidden="false" name="Coverage" vbProcedure="false">Headroom!$B$16</definedName>
    <definedName function="false" hidden="false" name="CvaInt" vbProcedure="false">Inputs!$B$68</definedName>
    <definedName function="false" hidden="false" name="CvaStd" vbProcedure="false">Inputs!$B$67</definedName>
    <definedName function="false" hidden="false" name="EqRt" vbProcedure="false">Inputs!$C$9:$C$14</definedName>
    <definedName function="false" hidden="false" name="EqRwNow" vbProcedure="false">Inputs!$B$16</definedName>
    <definedName function="false" hidden="false" name="ExpMeas" vbProcedure="false">'The bank'!$B$83</definedName>
    <definedName function="false" hidden="false" name="FloorNow" vbProcedure="false">Inputs!$B$15</definedName>
    <definedName function="false" hidden="false" name="FloorRt" vbProcedure="false">Inputs!$B$9:$B$14</definedName>
    <definedName function="false" hidden="false" name="FloorYr" vbProcedure="false">Inputs!$A$9:$A$14</definedName>
    <definedName function="false" hidden="false" name="GeoLbl" vbProcedure="false">Inputs!$A$107:$A$112</definedName>
    <definedName function="false" hidden="false" name="GeoRate" vbProcedure="false">Inputs!$C$107:$C$112</definedName>
    <definedName function="false" hidden="false" name="GeoShare" vbProcedure="false">Inputs!$B$107:$B$112</definedName>
    <definedName function="false" hidden="false" name="GrossIn" vbProcedure="false">Inputs!$B$119</definedName>
    <definedName function="false" hidden="false" name="InflowCap" vbProcedure="false">Inputs!$B$120</definedName>
    <definedName function="false" hidden="false" name="IntShare" vbProcedure="false">'The bank'!$B$47</definedName>
    <definedName function="false" hidden="false" name="LargeExpPct" vbProcedure="false">Inputs!$B$155</definedName>
    <definedName function="false" hidden="false" name="LargestCpty" vbProcedure="false">Inputs!$B$156</definedName>
    <definedName function="false" hidden="false" name="LcrMin" vbProcedure="false">Inputs!$B$124</definedName>
    <definedName function="false" hidden="false" name="LevReq" vbProcedure="false">Inputs!$B$102</definedName>
    <definedName function="false" hidden="false" name="LiabAmt" vbProcedure="false">Inputs!$B$73:$B$86</definedName>
    <definedName function="false" hidden="false" name="LiabAsf" vbProcedure="false">Inputs!$C$73:$C$86</definedName>
    <definedName function="false" hidden="false" name="LiabLbl" vbProcedure="false">Inputs!$A$73:$A$86</definedName>
    <definedName function="false" hidden="false" name="LiabOut" vbProcedure="false">Inputs!$D$73:$D$86</definedName>
    <definedName function="false" hidden="false" name="LtvAvg" vbProcedure="false">'The loan split'!$B$17</definedName>
    <definedName function="false" hidden="false" name="LtvRw" vbProcedure="false">'The loan split'!$G$8:$G$12</definedName>
    <definedName function="false" hidden="false" name="LtvShare" vbProcedure="false">Inputs!$B$25:$B$29</definedName>
    <definedName function="false" hidden="false" name="LtvVal" vbProcedure="false">Inputs!$C$25:$C$29</definedName>
    <definedName function="false" hidden="false" name="MccDeduct" vbProcedure="false">Inputs!$B$150</definedName>
    <definedName function="false" hidden="false" name="MdaPay" vbProcedure="false">Inputs!$C$143:$C$146</definedName>
    <definedName function="false" hidden="false" name="MdaQ" vbProcedure="false">Inputs!$B$143:$B$146</definedName>
    <definedName function="false" hidden="false" name="MdaTrig" vbProcedure="false">'The bank'!$B$80</definedName>
    <definedName function="false" hidden="false" name="MdaWithGuide" vbProcedure="false">'The bank'!$B$81</definedName>
    <definedName function="false" hidden="false" name="MktInt" vbProcedure="false">Inputs!$B$65</definedName>
    <definedName function="false" hidden="false" name="MktStd" vbProcedure="false">Inputs!$B$64</definedName>
    <definedName function="false" hidden="false" name="ModelYear" vbProcedure="false">Inputs!$B$7</definedName>
    <definedName function="false" hidden="false" name="MortAboveThr" vbProcedure="false">'The loan split'!$B$32</definedName>
    <definedName function="false" hidden="false" name="MortExp" vbProcedure="false">'The loan split'!$B$22</definedName>
    <definedName function="false" hidden="false" name="MortShortAmt" vbProcedure="false">Inputs!$B$137</definedName>
    <definedName function="false" hidden="false" name="MrelLevMult" vbProcedure="false">Inputs!$B$152</definedName>
    <definedName function="false" hidden="false" name="NsfrMin" vbProcedure="false">Inputs!$B$125</definedName>
    <definedName function="false" hidden="false" name="OffCcf" vbProcedure="false">Inputs!$C$57:$C$59</definedName>
    <definedName function="false" hidden="false" name="OffInt" vbProcedure="false">Inputs!$E$57:$E$59</definedName>
    <definedName function="false" hidden="false" name="OffLbl" vbProcedure="false">Inputs!$A$57:$A$59</definedName>
    <definedName function="false" hidden="false" name="OffNom" vbProcedure="false">Inputs!$B$57:$B$59</definedName>
    <definedName function="false" hidden="false" name="OffOut" vbProcedure="false">Inputs!$G$57:$G$59</definedName>
    <definedName function="false" hidden="false" name="OffRsf" vbProcedure="false">Inputs!$F$57:$F$59</definedName>
    <definedName function="false" hidden="false" name="OffStd" vbProcedure="false">Inputs!$D$57:$D$59</definedName>
    <definedName function="false" hidden="false" name="OpRisk" vbProcedure="false">Inputs!$B$66</definedName>
    <definedName function="false" hidden="false" name="OtherOut" vbProcedure="false">Inputs!$B$118</definedName>
    <definedName function="false" hidden="false" name="OwnFunds" vbProcedure="false">'The bank'!$B$60</definedName>
    <definedName function="false" hidden="false" name="OwnInvShare" vbProcedure="false">Inputs!$B$116</definedName>
    <definedName function="false" hidden="false" name="P1Cet" vbProcedure="false">Inputs!$B$91</definedName>
    <definedName function="false" hidden="false" name="P1Tier1" vbProcedure="false">Inputs!$B$92</definedName>
    <definedName function="false" hidden="false" name="P1Total" vbProcedure="false">Inputs!$B$93</definedName>
    <definedName function="false" hidden="false" name="P2At1Req" vbProcedure="false">'The bank'!$B$74</definedName>
    <definedName function="false" hidden="false" name="P2CetReq" vbProcedure="false">'The bank'!$B$73</definedName>
    <definedName function="false" hidden="false" name="P2CetShare" vbProcedure="false">Inputs!$B$95</definedName>
    <definedName function="false" hidden="false" name="P2Guide" vbProcedure="false">Inputs!$B$98</definedName>
    <definedName function="false" hidden="false" name="P2Req" vbProcedure="false">Inputs!$B$94</definedName>
    <definedName function="false" hidden="false" name="P2T1Share" vbProcedure="false">Inputs!$B$96</definedName>
    <definedName function="false" hidden="false" name="P2T2Req" vbProcedure="false">'The bank'!$B$75</definedName>
    <definedName function="false" hidden="false" name="P2T2Share" vbProcedure="false">Inputs!$B$97</definedName>
    <definedName function="false" hidden="false" name="RatioCet" vbProcedure="false">'The bank'!$B$67</definedName>
    <definedName function="false" hidden="false" name="RatioTier1" vbProcedure="false">'The bank'!$B$68</definedName>
    <definedName function="false" hidden="false" name="RatioTotal" vbProcedure="false">'The bank'!$B$69</definedName>
    <definedName function="false" hidden="false" name="ReinvRate" vbProcedure="false">Inputs!$B$154</definedName>
    <definedName function="false" hidden="false" name="RepoMargin" vbProcedure="false">Inputs!$B$117</definedName>
    <definedName function="false" hidden="false" name="ReqCetNoBuf" vbProcedure="false">'The bank'!$B$77</definedName>
    <definedName function="false" hidden="false" name="RsfHypoHigh" vbProcedure="false">Inputs!$B$32</definedName>
    <definedName function="false" hidden="false" name="RsfHypoLow" vbProcedure="false">Inputs!$B$31</definedName>
    <definedName function="false" hidden="false" name="RsfHypoThr" vbProcedure="false">Inputs!$B$30</definedName>
    <definedName function="false" hidden="false" name="RwaFloor" vbProcedure="false">'The bank'!$B$50</definedName>
    <definedName function="false" hidden="false" name="RwaInt" vbProcedure="false">'The bank'!$B$46</definedName>
    <definedName function="false" hidden="false" name="RwaStd" vbProcedure="false">'The bank'!$B$45</definedName>
    <definedName function="false" hidden="false" name="RwaUsed" vbProcedure="false">'The bank'!$B$51</definedName>
    <definedName function="false" hidden="false" name="RwHypo" vbProcedure="false">'The loan split'!$H$13</definedName>
    <definedName function="false" hidden="false" name="RwHypoAvg" vbProcedure="false">'The loan split'!$B$19</definedName>
    <definedName function="false" hidden="false" name="RwSec" vbProcedure="false">Inputs!$B$22</definedName>
    <definedName function="false" hidden="false" name="RwUns" vbProcedure="false">Inputs!$B$23</definedName>
    <definedName function="false" hidden="false" name="SecAvg" vbProcedure="false">'The loan split'!$B$18</definedName>
    <definedName function="false" hidden="false" name="SecFunding" vbProcedure="false">'The bank'!$B$63</definedName>
    <definedName function="false" hidden="false" name="SnrNonPref" vbProcedure="false">'The bank'!$B$61</definedName>
    <definedName function="false" hidden="false" name="SnrPref" vbProcedure="false">'The bank'!$B$62</definedName>
    <definedName function="false" hidden="false" name="SplitThr" vbProcedure="false">Inputs!$B$21</definedName>
    <definedName function="false" hidden="false" name="StdEffRw" vbProcedure="false">'The bank'!$C$8:$C$22</definedName>
    <definedName function="false" hidden="false" name="StdIntRw" vbProcedure="false">'The bank'!$E$8:$E$22</definedName>
    <definedName function="false" hidden="false" name="SubRate" vbProcedure="false">Inputs!$B$151</definedName>
    <definedName function="false" hidden="false" name="Tier1Cap" vbProcedure="false">'The bank'!$B$59</definedName>
    <definedName function="false" hidden="false" name="TierTwo" vbProcedure="false">'The bank'!$B$58</definedName>
    <definedName function="false" hidden="false" name="TotAssets" vbProcedure="false">'The bank'!$B$23</definedName>
    <definedName function="false" hidden="false" name="TotLiab" vbProcedure="false">'The bank'!$B$64</definedName>
    <definedName function="false" hidden="false" name="VarAlt" vbProcedure="false">Inputs!$C$131:$C$136</definedName>
    <definedName function="false" hidden="false" name="VarLbl" vbProcedure="false">Inputs!$A$131:$A$136</definedName>
    <definedName function="false" hidden="false" name="VarSwitch" vbProcedure="false">Inputs!$B$131:$B$136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<sst xmlns="http://schemas.openxmlformats.org/spreadsheetml/2006/main" count="471" uniqueCount="347">
  <si>
    <t xml:space="preserve">Financial Regulation - The Capital Stack</t>
  </si>
  <si>
    <t xml:space="preserve">Companion workbook 2, by Julian R. Sterling</t>
  </si>
  <si>
    <t xml:space="preserve">What this workbook does</t>
  </si>
  <si>
    <t xml:space="preserve">It builds the capital stack from the bottom: three compartments, each with its own requirement assembled from Pillar 1 and the Pillar 2 split; then the four buffers, one of them rebuilt country by country; then the distribution trigger and the two headrooms that sit under it.</t>
  </si>
  <si>
    <t xml:space="preserve">The first experiment to run</t>
  </si>
  <si>
    <t xml:space="preserve">On the Headroom sheet, read the two bold lines. 2.9796 per cent as the board reads it, 2.8432 per cent as it exists. The 13.6 basis points between them are the common equity that is already committed to plugging the additional tier 1 shortfall and cannot be counted twice. Take additional tier 1 on the Inputs sheet from 520 to 561 million and the two lines converge.</t>
  </si>
  <si>
    <t xml:space="preserve">The second</t>
  </si>
  <si>
    <t xml:space="preserve">On the Inputs sheet, move the Dutch countercyclical rate from 2.00 to 2.50 per cent. Netherlands is 12 per cent of the credit risk requirement, so the institution-specific rate rises 6 basis points, the combined buffer rises with it, the trigger rises, and both headrooms fall - and so does the resolution requirement in workbook four. One national decision, taken abroad, moves four numbers on this balance sheet.</t>
  </si>
  <si>
    <t xml:space="preserve">The third</t>
  </si>
  <si>
    <t xml:space="preserve">On the Leverage sheet, compare the density of 35.6185 per cent with the switching density of 25.1004 per cent. Then take the internal weights down on the Inputs sheet, all the way to nought if you like: the density stops at 29.3603 per cent, because the output floor holds risk-weighted assets at 55 per cent of the standardised ladder. The backstop becomes the binding constraint only if the exposure measure grows by 35,187 million of zero-weighted assets.</t>
  </si>
  <si>
    <t xml:space="preserve">The one number to keep an eye on</t>
  </si>
  <si>
    <t xml:space="preserve">The tier 2 surplus of 162.3 million on The three compartments. It is real capital, it is fully paid, and it can do nothing about the 40.8 million hole one compartment above it. Capital is not fungible upward, and every consolidated ratio hides that.</t>
  </si>
  <si>
    <t xml:space="preserve">On the checks</t>
  </si>
  <si>
    <t xml:space="preserve">The Checks sheet reproduces by formula each figure printed in chapters 7 to 10. Column C is typed from the page; column D is computed here. If a check reads FAIL, the workbook is wrong, not the book.</t>
  </si>
  <si>
    <t xml:space="preserve">Revised 24 September 2026</t>
  </si>
  <si>
    <t xml:space="preserve">Six checks added, fifty-two in all. The first edition said that lowering the internal weights would make the leverage ratio bind before the risk-based trigger. It cannot: at the 2026 floor rate the lowest density is 29.3603 per cent, above the switch of 25.1004. The Leverage sheet now shows the floor's effect and the zero-weighted exposure, 35,187 million, that would bring the two together.</t>
  </si>
  <si>
    <t xml:space="preserve">Inputs - Northbank plc at 31 December 2026</t>
  </si>
  <si>
    <t xml:space="preserve">Blue on pale yellow is an input, and you may edit it. Everything else in this file is a formula over these cells.</t>
  </si>
  <si>
    <t xml:space="preserve">The date, and the transitional schedules read at that date</t>
  </si>
  <si>
    <t xml:space="preserve">The year the model is struck</t>
  </si>
  <si>
    <t xml:space="preserve">year</t>
  </si>
  <si>
    <t xml:space="preserve">output floor</t>
  </si>
  <si>
    <t xml:space="preserve">equity risk weight</t>
  </si>
  <si>
    <t xml:space="preserve">Output floor rate applicable in the model's year</t>
  </si>
  <si>
    <t xml:space="preserve">Equity risk weight applicable in the model's year</t>
  </si>
  <si>
    <t xml:space="preserve">Two of the transitional arrangements, taken at the same date. A parameter read from the wrong year makes the whole picture incoherent without making any single line look wrong.</t>
  </si>
  <si>
    <t xml:space="preserve">The mortgage book, and the split of Article 125</t>
  </si>
  <si>
    <t xml:space="preserve">Threshold of property value up to which the loan is secured</t>
  </si>
  <si>
    <t xml:space="preserve">Risk weight of the part below the threshold</t>
  </si>
  <si>
    <t xml:space="preserve">Risk weight of the remainder, unsecured retail</t>
  </si>
  <si>
    <t xml:space="preserve">band</t>
  </si>
  <si>
    <t xml:space="preserve">share of the book</t>
  </si>
  <si>
    <t xml:space="preserve">average loan-to-value</t>
  </si>
  <si>
    <t xml:space="preserve">band 1</t>
  </si>
  <si>
    <t xml:space="preserve">band 2</t>
  </si>
  <si>
    <t xml:space="preserve">band 3</t>
  </si>
  <si>
    <t xml:space="preserve">band 4</t>
  </si>
  <si>
    <t xml:space="preserve">band 5</t>
  </si>
  <si>
    <t xml:space="preserve">Risk weight at or below which a mortgage funds at the favourable factor</t>
  </si>
  <si>
    <t xml:space="preserve">Mortgage stable funding factor, favourable</t>
  </si>
  <si>
    <t xml:space="preserve">Mortgage stable funding factor, otherwise</t>
  </si>
  <si>
    <t xml:space="preserve">The balance sheet - assets</t>
  </si>
  <si>
    <t xml:space="preserve">asset</t>
  </si>
  <si>
    <t xml:space="preserve">exposure</t>
  </si>
  <si>
    <t xml:space="preserve">standardised weight</t>
  </si>
  <si>
    <t xml:space="preserve">internal weight</t>
  </si>
  <si>
    <t xml:space="preserve">stable funding factor</t>
  </si>
  <si>
    <t xml:space="preserve">liquidity level</t>
  </si>
  <si>
    <t xml:space="preserve">haircut</t>
  </si>
  <si>
    <t xml:space="preserve">Article 501 factor</t>
  </si>
  <si>
    <t xml:space="preserve">Central bank reserves</t>
  </si>
  <si>
    <t xml:space="preserve">1</t>
  </si>
  <si>
    <t xml:space="preserve">EU sovereign bonds, euro denominated</t>
  </si>
  <si>
    <t xml:space="preserve">Covered bonds, AAA</t>
  </si>
  <si>
    <t xml:space="preserve">1b</t>
  </si>
  <si>
    <t xml:space="preserve">Corporate bonds, AA- and above</t>
  </si>
  <si>
    <t xml:space="preserve">2A</t>
  </si>
  <si>
    <t xml:space="preserve">Interbank exposures, three months or less</t>
  </si>
  <si>
    <t xml:space="preserve">Rated large corporates</t>
  </si>
  <si>
    <t xml:space="preserve">Small and medium-sized enterprises</t>
  </si>
  <si>
    <t xml:space="preserve">Residential mortgages</t>
  </si>
  <si>
    <t xml:space="preserve">Other retail lending</t>
  </si>
  <si>
    <t xml:space="preserve">Commercial real estate and specialised lending</t>
  </si>
  <si>
    <t xml:space="preserve">Defaulted exposures, provisioned above 20 per cent</t>
  </si>
  <si>
    <t xml:space="preserve">Listed equities and participations</t>
  </si>
  <si>
    <t xml:space="preserve">2B</t>
  </si>
  <si>
    <t xml:space="preserve">Securities financing transactions</t>
  </si>
  <si>
    <t xml:space="preserve">Derivatives, SA-CCR exposure value</t>
  </si>
  <si>
    <t xml:space="preserve">Other assets: fixed assets, deferred tax, sundry</t>
  </si>
  <si>
    <t xml:space="preserve">Two standardised weights are not typed: the mortgage weight is the band-by-band figure computed on The loan split, and the equity weight is read from the transitional schedule above. The Article 501 supporting factor applies to the standardised ladder only.</t>
  </si>
  <si>
    <t xml:space="preserve">The balance sheet - off balance sheet</t>
  </si>
  <si>
    <t xml:space="preserve">off balance sheet</t>
  </si>
  <si>
    <t xml:space="preserve">nominal</t>
  </si>
  <si>
    <t xml:space="preserve">conversion factor</t>
  </si>
  <si>
    <t xml:space="preserve">30-day outflow</t>
  </si>
  <si>
    <t xml:space="preserve">Committed credit lines to corporates</t>
  </si>
  <si>
    <t xml:space="preserve">Guarantees and sureties given</t>
  </si>
  <si>
    <t xml:space="preserve">Unconditionally cancellable lines</t>
  </si>
  <si>
    <t xml:space="preserve">The stable funding factor of an off balance sheet line applies to the NOMINAL, not to the converted exposure value. The conversion factor belongs to the capital ladder alone.</t>
  </si>
  <si>
    <t xml:space="preserve">The three risk blocks that are not credit risk</t>
  </si>
  <si>
    <t xml:space="preserve">Market risk, standardised</t>
  </si>
  <si>
    <t xml:space="preserve">Market risk, internal models</t>
  </si>
  <si>
    <t xml:space="preserve">Operational risk, one approach and no internal option</t>
  </si>
  <si>
    <t xml:space="preserve">Credit valuation adjustment, standardised</t>
  </si>
  <si>
    <t xml:space="preserve">Credit valuation adjustment, internal models</t>
  </si>
  <si>
    <t xml:space="preserve">Funding and capital</t>
  </si>
  <si>
    <t xml:space="preserve">liability</t>
  </si>
  <si>
    <t xml:space="preserve">amount</t>
  </si>
  <si>
    <t xml:space="preserve">available stable funding factor</t>
  </si>
  <si>
    <t xml:space="preserve">Retail deposits, stable</t>
  </si>
  <si>
    <t xml:space="preserve">Retail deposits, less stable</t>
  </si>
  <si>
    <t xml:space="preserve">Corporate deposits, operational</t>
  </si>
  <si>
    <t xml:space="preserve">Corporate deposits, non-operational</t>
  </si>
  <si>
    <t xml:space="preserve">Financial institution deposits</t>
  </si>
  <si>
    <t xml:space="preserve">Covered bonds issued, over one year</t>
  </si>
  <si>
    <t xml:space="preserve">Senior preferred debt, over one year</t>
  </si>
  <si>
    <t xml:space="preserve">Senior non-preferred debt, over one year</t>
  </si>
  <si>
    <t xml:space="preserve">Secured funding, under six months</t>
  </si>
  <si>
    <t xml:space="preserve">Derivative liabilities</t>
  </si>
  <si>
    <t xml:space="preserve">Tier 2</t>
  </si>
  <si>
    <t xml:space="preserve">Additional tier 1</t>
  </si>
  <si>
    <t xml:space="preserve">Common equity tier 1</t>
  </si>
  <si>
    <t xml:space="preserve">Other liabilities</t>
  </si>
  <si>
    <t xml:space="preserve">No amount of capital is entered twice: common equity, additional tier 1 and tier 2 are read out of this table by name wherever the file needs them.</t>
  </si>
  <si>
    <t xml:space="preserve">Requirements</t>
  </si>
  <si>
    <t xml:space="preserve">Pillar 1, common equity</t>
  </si>
  <si>
    <t xml:space="preserve">Pillar 1, tier 1</t>
  </si>
  <si>
    <t xml:space="preserve">Pillar 1, total capital</t>
  </si>
  <si>
    <t xml:space="preserve">Pillar 2 requirement, total</t>
  </si>
  <si>
    <t xml:space="preserve">Share of it that must be common equity</t>
  </si>
  <si>
    <t xml:space="preserve">Share of it that must be tier 1</t>
  </si>
  <si>
    <t xml:space="preserve">Share of it that may be tier 2</t>
  </si>
  <si>
    <t xml:space="preserve">Supervisory guidance, on top of everything</t>
  </si>
  <si>
    <t xml:space="preserve">Capital conservation buffer</t>
  </si>
  <si>
    <t xml:space="preserve">Systemic institution buffer</t>
  </si>
  <si>
    <t xml:space="preserve">Sectoral systemic risk buffer</t>
  </si>
  <si>
    <t xml:space="preserve">Leverage ratio requirement</t>
  </si>
  <si>
    <t xml:space="preserve">The countercyclical buffer, country by country</t>
  </si>
  <si>
    <t xml:space="preserve">country</t>
  </si>
  <si>
    <t xml:space="preserve">share of own funds requirements for credit risk</t>
  </si>
  <si>
    <t xml:space="preserve">national rate</t>
  </si>
  <si>
    <t xml:space="preserve">France</t>
  </si>
  <si>
    <t xml:space="preserve">Germany</t>
  </si>
  <si>
    <t xml:space="preserve">Netherlands</t>
  </si>
  <si>
    <t xml:space="preserve">Belgium</t>
  </si>
  <si>
    <t xml:space="preserve">Rest of the Union</t>
  </si>
  <si>
    <t xml:space="preserve">Outside the Union</t>
  </si>
  <si>
    <t xml:space="preserve">Liquidity</t>
  </si>
  <si>
    <t xml:space="preserve">Share of secured funding raised against own inventory</t>
  </si>
  <si>
    <t xml:space="preserve">Margin posted on that funding, 105 of paper for 100 of cash</t>
  </si>
  <si>
    <t xml:space="preserve">Other contractual outflows over thirty days</t>
  </si>
  <si>
    <t xml:space="preserve">Contractual inflows over thirty days</t>
  </si>
  <si>
    <t xml:space="preserve">Cap on inflows, as a share of gross outflows</t>
  </si>
  <si>
    <t xml:space="preserve">Article 17 cap on level 1b, as a share of the buffer</t>
  </si>
  <si>
    <t xml:space="preserve">Article 17 cap on level 2 together</t>
  </si>
  <si>
    <t xml:space="preserve">Article 17 cap on level 2B</t>
  </si>
  <si>
    <t xml:space="preserve">Liquidity coverage ratio requirement</t>
  </si>
  <si>
    <t xml:space="preserve">Net stable funding ratio requirement</t>
  </si>
  <si>
    <t xml:space="preserve">The caps are expressed as a share of the FINAL buffer, which is why each is grossed up by its own complement before it is applied.</t>
  </si>
  <si>
    <t xml:space="preserve">The stable funding conventions, as switches</t>
  </si>
  <si>
    <t xml:space="preserve">variation</t>
  </si>
  <si>
    <t xml:space="preserve">switch, 1 applies it</t>
  </si>
  <si>
    <t xml:space="preserve">replacement factor</t>
  </si>
  <si>
    <t xml:space="preserve">Cancellable lines at a zero funding factor (national discretion, Article 428p)</t>
  </si>
  <si>
    <t xml:space="preserve">Guarantees given at a zero funding factor</t>
  </si>
  <si>
    <t xml:space="preserve">One billion of mortgages inside a year, at 50 per cent</t>
  </si>
  <si>
    <t xml:space="preserve">Unsecured interbank at 15 per cent, the Basel convention</t>
  </si>
  <si>
    <t xml:space="preserve">Repo assets at 15 per cent</t>
  </si>
  <si>
    <t xml:space="preserve">Operational deposits at 40 per cent available funding, read strictly</t>
  </si>
  <si>
    <t xml:space="preserve">Mortgages maturing inside a year, variation three</t>
  </si>
  <si>
    <t xml:space="preserve">Each variation is defensible and each is written down somewhere. The band they produce is the honest statement of where the ratio is; a single figure inside it is not.</t>
  </si>
  <si>
    <t xml:space="preserve">The distribution ladder</t>
  </si>
  <si>
    <t xml:space="preserve">quartile</t>
  </si>
  <si>
    <t xml:space="preserve">share of the combined buffer covered</t>
  </si>
  <si>
    <t xml:space="preserve">maximum distributable share</t>
  </si>
  <si>
    <t xml:space="preserve">quartile 1</t>
  </si>
  <si>
    <t xml:space="preserve">quartile 2</t>
  </si>
  <si>
    <t xml:space="preserve">quartile 3</t>
  </si>
  <si>
    <t xml:space="preserve">quartile 4</t>
  </si>
  <si>
    <t xml:space="preserve">Resolution and concentration</t>
  </si>
  <si>
    <t xml:space="preserve">Resolution authority's deduction from the buffer, market confidence charge</t>
  </si>
  <si>
    <t xml:space="preserve">Base subordinated requirement</t>
  </si>
  <si>
    <t xml:space="preserve">Leverage-based variant, multiple of the leverage requirement</t>
  </si>
  <si>
    <t xml:space="preserve">Coupon on senior non-preferred debt</t>
  </si>
  <si>
    <t xml:space="preserve">Rate the proceeds earn once raised</t>
  </si>
  <si>
    <t xml:space="preserve">Large exposure limit, as a share of capital</t>
  </si>
  <si>
    <t xml:space="preserve">Largest connected counterparty</t>
  </si>
  <si>
    <t xml:space="preserve">A portfolio is not its average loan</t>
  </si>
  <si>
    <t xml:space="preserve">Article 125 splits every loan at the threshold. The split is convex in loan-to-value, and convexity does not survive averaging.</t>
  </si>
  <si>
    <t xml:space="preserve">The split, band by band</t>
  </si>
  <si>
    <t xml:space="preserve">share of the loan below the threshold</t>
  </si>
  <si>
    <t xml:space="preserve">weight on that share</t>
  </si>
  <si>
    <t xml:space="preserve">weight on the remainder</t>
  </si>
  <si>
    <t xml:space="preserve">weight of the band</t>
  </si>
  <si>
    <t xml:space="preserve">contribution to the book</t>
  </si>
  <si>
    <t xml:space="preserve">the book</t>
  </si>
  <si>
    <t xml:space="preserve">The shortcut, and what it costs</t>
  </si>
  <si>
    <t xml:space="preserve">Weighted average loan-to-value</t>
  </si>
  <si>
    <t xml:space="preserve">Share of the average loan below the threshold</t>
  </si>
  <si>
    <t xml:space="preserve">Risk weight computed on the average loan</t>
  </si>
  <si>
    <t xml:space="preserve">Band by band, less the average loan</t>
  </si>
  <si>
    <t xml:space="preserve">The same, in basis points</t>
  </si>
  <si>
    <t xml:space="preserve">The mortgage book</t>
  </si>
  <si>
    <t xml:space="preserve">The shortcut, in risk-weighted assets</t>
  </si>
  <si>
    <t xml:space="preserve">The error has a sign. The weight is convex in loan-to-value, so the average of the weights exceeds the weight of the average, always, and the shortcut always understates. It goes the way that flatters.</t>
  </si>
  <si>
    <t xml:space="preserve">The guard on the sign</t>
  </si>
  <si>
    <t xml:space="preserve">The smaller of nought and the difference, which convexity forbids to be negative</t>
  </si>
  <si>
    <t xml:space="preserve">What the split does to the funding threshold</t>
  </si>
  <si>
    <t xml:space="preserve">Share of the book whose OWN weight exceeds the funding threshold</t>
  </si>
  <si>
    <t xml:space="preserve">That share is the whole of chapter thirteen's second reading. At portfolio level the book passes the threshold; band by band, part of it does not.</t>
  </si>
  <si>
    <t xml:space="preserve">The bank, recomputed</t>
  </si>
  <si>
    <t xml:space="preserve">The two ladders line by line, the three blocks that are not credit risk, the output floor at the model's date, and what the capital stack has to answer to.</t>
  </si>
  <si>
    <t xml:space="preserve">Credit risk, on balance sheet</t>
  </si>
  <si>
    <t xml:space="preserve">standardised RWA</t>
  </si>
  <si>
    <t xml:space="preserve">internal RWA</t>
  </si>
  <si>
    <t xml:space="preserve">total assets</t>
  </si>
  <si>
    <t xml:space="preserve">Credit risk, off balance sheet</t>
  </si>
  <si>
    <t xml:space="preserve">exposure value</t>
  </si>
  <si>
    <t xml:space="preserve">total</t>
  </si>
  <si>
    <t xml:space="preserve">The three blocks that are not credit risk</t>
  </si>
  <si>
    <t xml:space="preserve">risk block</t>
  </si>
  <si>
    <t xml:space="preserve">standardised</t>
  </si>
  <si>
    <t xml:space="preserve">internal models</t>
  </si>
  <si>
    <t xml:space="preserve">Market risk</t>
  </si>
  <si>
    <t xml:space="preserve">Operational risk</t>
  </si>
  <si>
    <t xml:space="preserve">Credit valuation adjustment</t>
  </si>
  <si>
    <t xml:space="preserve">the three blocks together</t>
  </si>
  <si>
    <t xml:space="preserve">Operational risk carries the same figure on both ladders: since the last revision there is one approach and no internal option.</t>
  </si>
  <si>
    <t xml:space="preserve">The two ladders, and the floor between them</t>
  </si>
  <si>
    <t xml:space="preserve">Risk-weighted assets, standardised</t>
  </si>
  <si>
    <t xml:space="preserve">Risk-weighted assets, internal models</t>
  </si>
  <si>
    <t xml:space="preserve">Internal models as a share of standardised</t>
  </si>
  <si>
    <t xml:space="preserve">The three non-credit blocks as a share of the standardised ladder</t>
  </si>
  <si>
    <t xml:space="preserve">Risk-weighted assets at the floor</t>
  </si>
  <si>
    <t xml:space="preserve">Risk-weighted assets used</t>
  </si>
  <si>
    <t xml:space="preserve">Does the floor bind at the model's date</t>
  </si>
  <si>
    <t xml:space="preserve">Capital, read out of the funding table by name</t>
  </si>
  <si>
    <t xml:space="preserve">Tier 1</t>
  </si>
  <si>
    <t xml:space="preserve">Total own funds</t>
  </si>
  <si>
    <t xml:space="preserve">Total liabilities and capital</t>
  </si>
  <si>
    <t xml:space="preserve">Total assets less total liabilities</t>
  </si>
  <si>
    <t xml:space="preserve">Common equity tier 1 ratio</t>
  </si>
  <si>
    <t xml:space="preserve">Tier 1 ratio</t>
  </si>
  <si>
    <t xml:space="preserve">Total capital ratio</t>
  </si>
  <si>
    <t xml:space="preserve">The requirement, and the buffers on top of it</t>
  </si>
  <si>
    <t xml:space="preserve">Pillar 2 requirement, of which common equity</t>
  </si>
  <si>
    <t xml:space="preserve">Pillar 2 requirement, of which additional tier 1</t>
  </si>
  <si>
    <t xml:space="preserve">Pillar 2 requirement, of which tier 2</t>
  </si>
  <si>
    <t xml:space="preserve">The split, less the requirement it splits</t>
  </si>
  <si>
    <t xml:space="preserve">Requirement excluding buffers, common equity</t>
  </si>
  <si>
    <t xml:space="preserve">Countercyclical buffer, weighted</t>
  </si>
  <si>
    <t xml:space="preserve">Combined buffer requirement</t>
  </si>
  <si>
    <t xml:space="preserve">Distribution trigger</t>
  </si>
  <si>
    <t xml:space="preserve">Level including supervisory guidance</t>
  </si>
  <si>
    <t xml:space="preserve">Combined buffer, in euros</t>
  </si>
  <si>
    <t xml:space="preserve">Leverage exposure measure</t>
  </si>
  <si>
    <t xml:space="preserve">The tier 2 share of Pillar 2 is defined, not left as a residual. Written as a residual the identity two lines above would be a tautology and would prove nothing.</t>
  </si>
  <si>
    <t xml:space="preserve">What counts as capital, and in what order</t>
  </si>
  <si>
    <t xml:space="preserve">Each compartment answers to a requirement built from Pillar 1 and the Pillar 2 split. A surplus in one does not fill a hole in another.</t>
  </si>
  <si>
    <t xml:space="preserve">The Pillar 2 requirement, split</t>
  </si>
  <si>
    <t xml:space="preserve">of which common equity</t>
  </si>
  <si>
    <t xml:space="preserve">of which additional tier 1</t>
  </si>
  <si>
    <t xml:space="preserve">of which tier 2</t>
  </si>
  <si>
    <t xml:space="preserve">The three, less the requirement they split</t>
  </si>
  <si>
    <t xml:space="preserve">The three compartments, required against held</t>
  </si>
  <si>
    <t xml:space="preserve">compartment</t>
  </si>
  <si>
    <t xml:space="preserve">required</t>
  </si>
  <si>
    <t xml:space="preserve">held</t>
  </si>
  <si>
    <t xml:space="preserve">shortfall</t>
  </si>
  <si>
    <t xml:space="preserve">Tier 2 surplus, of no use here</t>
  </si>
  <si>
    <t xml:space="preserve">Common equity immobilised plugging the other two</t>
  </si>
  <si>
    <t xml:space="preserve">The same, as a share of risk-weighted assets</t>
  </si>
  <si>
    <t xml:space="preserve">A tier 2 surplus cannot fill an additional tier 1 hole. The tier 1 ratio of six per cent is, by construction, unreachable with tier 2, so the hole is plugged with common equity - which then stops being available for the buffer.</t>
  </si>
  <si>
    <t xml:space="preserve">The buffer stack</t>
  </si>
  <si>
    <t xml:space="preserve">Four buffers, one of them rebuilt country by country from where the credit risk actually sits.</t>
  </si>
  <si>
    <t xml:space="preserve">contribution</t>
  </si>
  <si>
    <t xml:space="preserve">the institution-specific rate</t>
  </si>
  <si>
    <t xml:space="preserve">The weights are shares of own funds requirements for credit risk, not shares of exposure. Move the Belgian rate on the Inputs sheet and the whole stack, the trigger and the resolution requirement all move together.</t>
  </si>
  <si>
    <t xml:space="preserve">The stack</t>
  </si>
  <si>
    <t xml:space="preserve">The combined buffer, in euros</t>
  </si>
  <si>
    <t xml:space="preserve">Supervisory guidance, on top</t>
  </si>
  <si>
    <t xml:space="preserve">Level including guidance</t>
  </si>
  <si>
    <t xml:space="preserve">The distribution ladder, and its four boundaries</t>
  </si>
  <si>
    <t xml:space="preserve">share of the buffer covered</t>
  </si>
  <si>
    <t xml:space="preserve">common equity ratio at the boundary</t>
  </si>
  <si>
    <t xml:space="preserve">in euros</t>
  </si>
  <si>
    <t xml:space="preserve">The fourth boundary IS the distribution trigger. Below it the bank does not breach anything; it simply stops being free to pay.</t>
  </si>
  <si>
    <t xml:space="preserve">The trigger nobody computes correctly</t>
  </si>
  <si>
    <t xml:space="preserve">The headroom as the board reads it, the headroom as it exists, and the distance between the two.</t>
  </si>
  <si>
    <t xml:space="preserve">per cent of risk-weighted assets</t>
  </si>
  <si>
    <t xml:space="preserve">Headroom as the board reads it</t>
  </si>
  <si>
    <t xml:space="preserve">Common equity immobilised plugging the additional tier 1 shortfall</t>
  </si>
  <si>
    <t xml:space="preserve">Headroom as it exists</t>
  </si>
  <si>
    <t xml:space="preserve">The difference</t>
  </si>
  <si>
    <t xml:space="preserve">Headroom above supervisory guidance</t>
  </si>
  <si>
    <t xml:space="preserve">How much of the combined buffer is actually covered</t>
  </si>
  <si>
    <t xml:space="preserve">Coverage of the combined buffer</t>
  </si>
  <si>
    <t xml:space="preserve">Maximum distributable share that follows</t>
  </si>
  <si>
    <t xml:space="preserve">Two headrooms, both computed from the same balance sheet, 13.6 basis points apart. The board reads the first. The second is the one that decides whether the dividend can be paid.</t>
  </si>
  <si>
    <t xml:space="preserve">Leverage, and when a backstop stops backstopping</t>
  </si>
  <si>
    <t xml:space="preserve">A backstop binds only below a density. Above it, it is decoration.</t>
  </si>
  <si>
    <t xml:space="preserve">The measure and the ratio</t>
  </si>
  <si>
    <t xml:space="preserve">On balance sheet exposures</t>
  </si>
  <si>
    <t xml:space="preserve">Off balance sheet, after conversion</t>
  </si>
  <si>
    <t xml:space="preserve">Exposure measure</t>
  </si>
  <si>
    <t xml:space="preserve">Leverage ratio</t>
  </si>
  <si>
    <t xml:space="preserve">Requirement</t>
  </si>
  <si>
    <t xml:space="preserve">Headroom</t>
  </si>
  <si>
    <t xml:space="preserve">The density at which the backstop would bind first</t>
  </si>
  <si>
    <t xml:space="preserve">Density of risk-weighted assets</t>
  </si>
  <si>
    <t xml:space="preserve">Density below which leverage binds before the risk-based trigger</t>
  </si>
  <si>
    <t xml:space="preserve">Distance between the two, in basis points</t>
  </si>
  <si>
    <t xml:space="preserve">Northbank's density is above the switch, so the risk-based trigger binds first and the leverage ratio is not the constraint. Lower internal weights cannot change that while the output floor stands: see below.</t>
  </si>
  <si>
    <t xml:space="preserve">What the output floor does to the switch</t>
  </si>
  <si>
    <t xml:space="preserve">Risk-weighted assets at the floor, at the model's date</t>
  </si>
  <si>
    <t xml:space="preserve">The lowest density lower internal weights can reach</t>
  </si>
  <si>
    <t xml:space="preserve">Can lower internal weights alone bring the density to the switch</t>
  </si>
  <si>
    <t xml:space="preserve">Zero-weighted exposure that would bring the density to the switch</t>
  </si>
  <si>
    <t xml:space="preserve">The same, under the floor in the last year of the schedule</t>
  </si>
  <si>
    <t xml:space="preserve">Even with every internal weight at nought, risk-weighted assets cannot fall below the floor, and the floor alone holds the density above the switch. The backstop takes over only if the exposure measure grows without risk-weighted assets: 35,187 million of reserves or sovereigns today, 45,503 million once the floor is at its terminal rate.</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</si>
  <si>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</si>
  <si>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</si>
  <si>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</si>
  <si>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</si>
  <si>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</si>
  <si>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</si>
  <si>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</si>
  <si>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</si>
  <si>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</si>
  <si>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7</t>
  </si>
  <si>
    <t xml:space="preserve">Common equity tier 1, EUR m</t>
  </si>
  <si>
    <t xml:space="preserve">Additional tier 1, EUR m</t>
  </si>
  <si>
    <t xml:space="preserve">Tier 2, EUR m</t>
  </si>
  <si>
    <t xml:space="preserve">Tier 1, EUR m</t>
  </si>
  <si>
    <t xml:space="preserve">Total own funds, EUR m</t>
  </si>
  <si>
    <t xml:space="preserve">Pillar 2, of which common equity</t>
  </si>
  <si>
    <t xml:space="preserve">Pillar 2, of which additional tier 1</t>
  </si>
  <si>
    <t xml:space="preserve">Pillar 2, of which tier 2</t>
  </si>
  <si>
    <t xml:space="preserve">Pillar 1 plus Pillar 2, common equity</t>
  </si>
  <si>
    <t xml:space="preserve">Additional tier 1 required, EUR m</t>
  </si>
  <si>
    <t xml:space="preserve">Additional tier 1 held, EUR m</t>
  </si>
  <si>
    <t xml:space="preserve">Additional tier 1 shortfall, EUR m</t>
  </si>
  <si>
    <t xml:space="preserve">Tier 2 required, EUR m</t>
  </si>
  <si>
    <t xml:space="preserve">Tier 2 held, EUR m</t>
  </si>
  <si>
    <t xml:space="preserve">Tier 2 surplus, EUR m</t>
  </si>
  <si>
    <t xml:space="preserve">8</t>
  </si>
  <si>
    <t xml:space="preserve">The country weights, summed</t>
  </si>
  <si>
    <t xml:space="preserve">The combined buffer, in euros, EUR m</t>
  </si>
  <si>
    <t xml:space="preserve">9</t>
  </si>
  <si>
    <t xml:space="preserve">Supervisory guidance</t>
  </si>
  <si>
    <t xml:space="preserve">Headroom as the board reads it, EUR m</t>
  </si>
  <si>
    <t xml:space="preserve">Headroom as it exists, EUR m</t>
  </si>
  <si>
    <t xml:space="preserve">The difference, in basis points</t>
  </si>
  <si>
    <t xml:space="preserve">The difference, in euros, EUR m</t>
  </si>
  <si>
    <t xml:space="preserve">Headroom above supervisory guidance, EUR m</t>
  </si>
  <si>
    <t xml:space="preserve">10</t>
  </si>
  <si>
    <t xml:space="preserve">Exposure measure, EUR m</t>
  </si>
  <si>
    <t xml:space="preserve">Leverage requirement</t>
  </si>
  <si>
    <t xml:space="preserve">Density below which leverage would bind first</t>
  </si>
  <si>
    <t xml:space="preserve">Common equity tier 1 required, EUR m</t>
  </si>
  <si>
    <t xml:space="preserve">Distribution trigger, in euros, EUR m</t>
  </si>
  <si>
    <t xml:space="preserve">First quartile boundary of the distribution ladder</t>
  </si>
  <si>
    <t xml:space="preserve">The two headrooms differ by exactly the immobilised equity</t>
  </si>
  <si>
    <t xml:space="preserve">Revised: the lowest density lower internal weights can reach</t>
  </si>
  <si>
    <t xml:space="preserve">Revised: zero-weighted exposure that would reach the switch, EUR m</t>
  </si>
  <si>
    <t xml:space="preserve">Checks that pass</t>
  </si>
  <si>
    <t xml:space="preserve">Checks that fail</t>
  </si>
</sst>
</file>

<file path=xl/styles.xml><?xml version="1.0" encoding="utf-8"?>
<styleSheet xmlns="http://schemas.openxmlformats.org/spreadsheetml/2006/main">
  <numFmts count="12">
    <numFmt numFmtId="164" formatCode="General"/>
    <numFmt numFmtId="165" formatCode="0"/>
    <numFmt numFmtId="166" formatCode="0.00%;\-0.00%"/>
    <numFmt numFmtId="167" formatCode="#,##0;\-#,##0"/>
    <numFmt numFmtId="168" formatCode="@"/>
    <numFmt numFmtId="169" formatCode="0.0000"/>
    <numFmt numFmtId="170" formatCode="0.0000%;\-0.0000%"/>
    <numFmt numFmtId="171" formatCode="0.00"/>
    <numFmt numFmtId="172" formatCode="0.0&quot; bp&quot;"/>
    <numFmt numFmtId="173" formatCode="0.0000000000"/>
    <numFmt numFmtId="174" formatCode="0.00000000"/>
    <numFmt numFmtId="175" formatCode="#,##0.00;\-#,##0.00"/>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
      <i val="true"/>
      <sz val="9"/>
      <color rgb="FF5A6A7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2" fontId="10"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68" fontId="10" fillId="4"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60" hidden="false" customHeight="true" outlineLevel="0" collapsed="false">
      <c r="A15" s="5" t="s">
        <v>7</v>
      </c>
    </row>
    <row r="17" customFormat="false" ht="15" hidden="false" customHeight="false" outlineLevel="0" collapsed="false">
      <c r="A17" s="4" t="s">
        <v>8</v>
      </c>
    </row>
    <row r="19" customFormat="false" ht="60" hidden="false" customHeight="true" outlineLevel="0" collapsed="false">
      <c r="A19" s="5" t="s">
        <v>9</v>
      </c>
    </row>
    <row r="21" customFormat="false" ht="15" hidden="false" customHeight="false" outlineLevel="0" collapsed="false">
      <c r="A21" s="4" t="s">
        <v>10</v>
      </c>
    </row>
    <row r="23" customFormat="false" ht="45" hidden="false" customHeight="true" outlineLevel="0" collapsed="false">
      <c r="A23" s="5" t="s">
        <v>11</v>
      </c>
    </row>
    <row r="25" customFormat="false" ht="15" hidden="false" customHeight="false" outlineLevel="0" collapsed="false">
      <c r="A25" s="4" t="s">
        <v>12</v>
      </c>
    </row>
    <row r="27" customFormat="false" ht="30" hidden="false" customHeight="true" outlineLevel="0" collapsed="false">
      <c r="A27" s="5" t="s">
        <v>13</v>
      </c>
    </row>
    <row r="29" customFormat="false" ht="15" hidden="false" customHeight="false" outlineLevel="0" collapsed="false">
      <c r="A29" s="4" t="s">
        <v>14</v>
      </c>
    </row>
    <row r="31" customFormat="false" ht="60" hidden="false" customHeight="true" outlineLevel="0" collapsed="false">
      <c r="A31" s="5"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7"/>
    <col collapsed="false" customWidth="true" hidden="false" outlineLevel="0" max="4" min="3" style="0" width="15"/>
    <col collapsed="false" customWidth="true" hidden="false" outlineLevel="0" max="5" min="5" style="0" width="14"/>
    <col collapsed="false" customWidth="true" hidden="false" outlineLevel="0" max="6" min="6" style="0" width="12"/>
    <col collapsed="false" customWidth="true" hidden="false" outlineLevel="0" max="7" min="7" style="0" width="11"/>
    <col collapsed="false" customWidth="true" hidden="false" outlineLevel="0" max="8" min="8" style="0" width="13"/>
  </cols>
  <sheetData>
    <row r="1" customFormat="false" ht="24" hidden="false" customHeight="true" outlineLevel="0" collapsed="false">
      <c r="A1" s="1" t="s">
        <v>16</v>
      </c>
    </row>
    <row r="2" customFormat="false" ht="15" hidden="false" customHeight="false" outlineLevel="0" collapsed="false">
      <c r="A2" s="2" t="s">
        <v>17</v>
      </c>
    </row>
    <row r="3" customFormat="false" ht="15" hidden="false" customHeight="false" outlineLevel="0" collapsed="false">
      <c r="A3" s="3"/>
      <c r="B3" s="3"/>
      <c r="C3" s="3"/>
      <c r="D3" s="3"/>
      <c r="E3" s="3"/>
      <c r="F3" s="3"/>
      <c r="G3" s="3"/>
      <c r="H3" s="3"/>
    </row>
    <row r="5" customFormat="false" ht="15" hidden="false" customHeight="false" outlineLevel="0" collapsed="false">
      <c r="A5" s="4" t="s">
        <v>18</v>
      </c>
      <c r="B5" s="6"/>
      <c r="C5" s="6"/>
      <c r="D5" s="6"/>
      <c r="E5" s="6"/>
      <c r="F5" s="6"/>
      <c r="G5" s="6"/>
      <c r="H5" s="6"/>
    </row>
    <row r="7" customFormat="false" ht="15" hidden="false" customHeight="false" outlineLevel="0" collapsed="false">
      <c r="A7" s="7" t="s">
        <v>19</v>
      </c>
      <c r="B7" s="8" t="n">
        <v>2026</v>
      </c>
    </row>
    <row r="8" customFormat="false" ht="31.5" hidden="false" customHeight="true" outlineLevel="0" collapsed="false">
      <c r="A8" s="9" t="s">
        <v>20</v>
      </c>
      <c r="B8" s="10" t="s">
        <v>21</v>
      </c>
      <c r="C8" s="10" t="s">
        <v>22</v>
      </c>
    </row>
    <row r="9" customFormat="false" ht="15" hidden="false" customHeight="false" outlineLevel="0" collapsed="false">
      <c r="A9" s="8" t="n">
        <v>2025</v>
      </c>
      <c r="B9" s="11" t="n">
        <v>0.5</v>
      </c>
      <c r="C9" s="11" t="n">
        <v>1</v>
      </c>
    </row>
    <row r="10" customFormat="false" ht="15" hidden="false" customHeight="false" outlineLevel="0" collapsed="false">
      <c r="A10" s="8" t="n">
        <v>2026</v>
      </c>
      <c r="B10" s="11" t="n">
        <v>0.55</v>
      </c>
      <c r="C10" s="11" t="n">
        <v>1.3</v>
      </c>
    </row>
    <row r="11" customFormat="false" ht="15" hidden="false" customHeight="false" outlineLevel="0" collapsed="false">
      <c r="A11" s="8" t="n">
        <v>2027</v>
      </c>
      <c r="B11" s="11" t="n">
        <v>0.6</v>
      </c>
      <c r="C11" s="11" t="n">
        <v>1.6</v>
      </c>
    </row>
    <row r="12" customFormat="false" ht="15" hidden="false" customHeight="false" outlineLevel="0" collapsed="false">
      <c r="A12" s="8" t="n">
        <v>2028</v>
      </c>
      <c r="B12" s="11" t="n">
        <v>0.65</v>
      </c>
      <c r="C12" s="11" t="n">
        <v>1.9</v>
      </c>
    </row>
    <row r="13" customFormat="false" ht="15" hidden="false" customHeight="false" outlineLevel="0" collapsed="false">
      <c r="A13" s="8" t="n">
        <v>2029</v>
      </c>
      <c r="B13" s="11" t="n">
        <v>0.7</v>
      </c>
      <c r="C13" s="11" t="n">
        <v>2.2</v>
      </c>
    </row>
    <row r="14" customFormat="false" ht="15" hidden="false" customHeight="false" outlineLevel="0" collapsed="false">
      <c r="A14" s="8" t="n">
        <v>2030</v>
      </c>
      <c r="B14" s="11" t="n">
        <v>0.725</v>
      </c>
      <c r="C14" s="11" t="n">
        <v>2.5</v>
      </c>
    </row>
    <row r="15" customFormat="false" ht="15" hidden="false" customHeight="false" outlineLevel="0" collapsed="false">
      <c r="A15" s="7" t="s">
        <v>23</v>
      </c>
      <c r="B15" s="12" t="n">
        <f aca="false">INDEX(FloorRt,MATCH(ModelYear,FloorYr,0))</f>
        <v>0.55</v>
      </c>
    </row>
    <row r="16" customFormat="false" ht="15" hidden="false" customHeight="false" outlineLevel="0" collapsed="false">
      <c r="A16" s="7" t="s">
        <v>24</v>
      </c>
      <c r="B16" s="12" t="n">
        <f aca="false">INDEX(EqRt,MATCH(ModelYear,FloorYr,0))</f>
        <v>1.3</v>
      </c>
    </row>
    <row r="17" customFormat="false" ht="15" hidden="false" customHeight="false" outlineLevel="0" collapsed="false">
      <c r="A17" s="13" t="s">
        <v>25</v>
      </c>
    </row>
    <row r="19" customFormat="false" ht="15" hidden="false" customHeight="false" outlineLevel="0" collapsed="false">
      <c r="A19" s="4" t="s">
        <v>26</v>
      </c>
      <c r="B19" s="6"/>
      <c r="C19" s="6"/>
      <c r="D19" s="6"/>
      <c r="E19" s="6"/>
      <c r="F19" s="6"/>
      <c r="G19" s="6"/>
      <c r="H19" s="6"/>
    </row>
    <row r="21" customFormat="false" ht="15" hidden="false" customHeight="false" outlineLevel="0" collapsed="false">
      <c r="A21" s="7" t="s">
        <v>27</v>
      </c>
      <c r="B21" s="11" t="n">
        <v>0.55</v>
      </c>
    </row>
    <row r="22" customFormat="false" ht="15" hidden="false" customHeight="false" outlineLevel="0" collapsed="false">
      <c r="A22" s="7" t="s">
        <v>28</v>
      </c>
      <c r="B22" s="11" t="n">
        <v>0.2</v>
      </c>
    </row>
    <row r="23" customFormat="false" ht="15" hidden="false" customHeight="false" outlineLevel="0" collapsed="false">
      <c r="A23" s="7" t="s">
        <v>29</v>
      </c>
      <c r="B23" s="11" t="n">
        <v>0.75</v>
      </c>
    </row>
    <row r="24" customFormat="false" ht="31.5" hidden="false" customHeight="true" outlineLevel="0" collapsed="false">
      <c r="A24" s="9" t="s">
        <v>30</v>
      </c>
      <c r="B24" s="10" t="s">
        <v>31</v>
      </c>
      <c r="C24" s="10" t="s">
        <v>32</v>
      </c>
    </row>
    <row r="25" customFormat="false" ht="15" hidden="false" customHeight="false" outlineLevel="0" collapsed="false">
      <c r="A25" s="7" t="s">
        <v>33</v>
      </c>
      <c r="B25" s="11" t="n">
        <v>0.38</v>
      </c>
      <c r="C25" s="11" t="n">
        <v>0.42</v>
      </c>
    </row>
    <row r="26" customFormat="false" ht="15" hidden="false" customHeight="false" outlineLevel="0" collapsed="false">
      <c r="A26" s="7" t="s">
        <v>34</v>
      </c>
      <c r="B26" s="11" t="n">
        <v>0.27</v>
      </c>
      <c r="C26" s="11" t="n">
        <v>0.63</v>
      </c>
    </row>
    <row r="27" customFormat="false" ht="15" hidden="false" customHeight="false" outlineLevel="0" collapsed="false">
      <c r="A27" s="7" t="s">
        <v>35</v>
      </c>
      <c r="B27" s="11" t="n">
        <v>0.22</v>
      </c>
      <c r="C27" s="11" t="n">
        <v>0.75</v>
      </c>
    </row>
    <row r="28" customFormat="false" ht="15" hidden="false" customHeight="false" outlineLevel="0" collapsed="false">
      <c r="A28" s="7" t="s">
        <v>36</v>
      </c>
      <c r="B28" s="11" t="n">
        <v>0.1</v>
      </c>
      <c r="C28" s="11" t="n">
        <v>0.85</v>
      </c>
    </row>
    <row r="29" customFormat="false" ht="15" hidden="false" customHeight="false" outlineLevel="0" collapsed="false">
      <c r="A29" s="7" t="s">
        <v>37</v>
      </c>
      <c r="B29" s="11" t="n">
        <v>0.03</v>
      </c>
      <c r="C29" s="11" t="n">
        <v>0.95</v>
      </c>
    </row>
    <row r="30" customFormat="false" ht="15" hidden="false" customHeight="false" outlineLevel="0" collapsed="false">
      <c r="A30" s="7" t="s">
        <v>38</v>
      </c>
      <c r="B30" s="11" t="n">
        <v>0.35</v>
      </c>
    </row>
    <row r="31" customFormat="false" ht="15" hidden="false" customHeight="false" outlineLevel="0" collapsed="false">
      <c r="A31" s="7" t="s">
        <v>39</v>
      </c>
      <c r="B31" s="11" t="n">
        <v>0.65</v>
      </c>
    </row>
    <row r="32" customFormat="false" ht="15" hidden="false" customHeight="false" outlineLevel="0" collapsed="false">
      <c r="A32" s="7" t="s">
        <v>40</v>
      </c>
      <c r="B32" s="11" t="n">
        <v>0.85</v>
      </c>
    </row>
    <row r="34" customFormat="false" ht="15" hidden="false" customHeight="false" outlineLevel="0" collapsed="false">
      <c r="A34" s="4" t="s">
        <v>41</v>
      </c>
      <c r="B34" s="6"/>
      <c r="C34" s="6"/>
      <c r="D34" s="6"/>
      <c r="E34" s="6"/>
      <c r="F34" s="6"/>
      <c r="G34" s="6"/>
      <c r="H34" s="6"/>
    </row>
    <row r="36" customFormat="false" ht="31.5" hidden="false" customHeight="true" outlineLevel="0" collapsed="false">
      <c r="A36" s="9" t="s">
        <v>42</v>
      </c>
      <c r="B36" s="10" t="s">
        <v>43</v>
      </c>
      <c r="C36" s="10" t="s">
        <v>44</v>
      </c>
      <c r="D36" s="10" t="s">
        <v>45</v>
      </c>
      <c r="E36" s="10" t="s">
        <v>46</v>
      </c>
      <c r="F36" s="10" t="s">
        <v>47</v>
      </c>
      <c r="G36" s="10" t="s">
        <v>48</v>
      </c>
      <c r="H36" s="10" t="s">
        <v>49</v>
      </c>
    </row>
    <row r="37" customFormat="false" ht="15" hidden="false" customHeight="false" outlineLevel="0" collapsed="false">
      <c r="A37" s="7" t="s">
        <v>50</v>
      </c>
      <c r="B37" s="14" t="n">
        <v>8400000000</v>
      </c>
      <c r="C37" s="11" t="n">
        <v>0</v>
      </c>
      <c r="D37" s="11" t="n">
        <v>0</v>
      </c>
      <c r="E37" s="11" t="n">
        <v>0</v>
      </c>
      <c r="F37" s="15" t="s">
        <v>51</v>
      </c>
      <c r="G37" s="11" t="n">
        <v>0</v>
      </c>
      <c r="H37" s="16" t="n">
        <v>1</v>
      </c>
    </row>
    <row r="38" customFormat="false" ht="15" hidden="false" customHeight="false" outlineLevel="0" collapsed="false">
      <c r="A38" s="7" t="s">
        <v>52</v>
      </c>
      <c r="B38" s="14" t="n">
        <v>6200000000</v>
      </c>
      <c r="C38" s="11" t="n">
        <v>0</v>
      </c>
      <c r="D38" s="11" t="n">
        <v>0</v>
      </c>
      <c r="E38" s="11" t="n">
        <v>0.05</v>
      </c>
      <c r="F38" s="15" t="s">
        <v>51</v>
      </c>
      <c r="G38" s="11" t="n">
        <v>0</v>
      </c>
      <c r="H38" s="16" t="n">
        <v>1</v>
      </c>
    </row>
    <row r="39" customFormat="false" ht="15" hidden="false" customHeight="false" outlineLevel="0" collapsed="false">
      <c r="A39" s="7" t="s">
        <v>53</v>
      </c>
      <c r="B39" s="14" t="n">
        <v>2100000000</v>
      </c>
      <c r="C39" s="11" t="n">
        <v>0.1</v>
      </c>
      <c r="D39" s="11" t="n">
        <v>0.075</v>
      </c>
      <c r="E39" s="11" t="n">
        <v>0.07</v>
      </c>
      <c r="F39" s="15" t="s">
        <v>54</v>
      </c>
      <c r="G39" s="11" t="n">
        <v>0.07</v>
      </c>
      <c r="H39" s="16" t="n">
        <v>1</v>
      </c>
    </row>
    <row r="40" customFormat="false" ht="15" hidden="false" customHeight="false" outlineLevel="0" collapsed="false">
      <c r="A40" s="7" t="s">
        <v>55</v>
      </c>
      <c r="B40" s="14" t="n">
        <v>1600000000</v>
      </c>
      <c r="C40" s="11" t="n">
        <v>0.2</v>
      </c>
      <c r="D40" s="11" t="n">
        <v>0.152</v>
      </c>
      <c r="E40" s="11" t="n">
        <v>0.5</v>
      </c>
      <c r="F40" s="15" t="s">
        <v>56</v>
      </c>
      <c r="G40" s="11" t="n">
        <v>0.15</v>
      </c>
      <c r="H40" s="16" t="n">
        <v>1</v>
      </c>
    </row>
    <row r="41" customFormat="false" ht="15" hidden="false" customHeight="false" outlineLevel="0" collapsed="false">
      <c r="A41" s="7" t="s">
        <v>57</v>
      </c>
      <c r="B41" s="14" t="n">
        <v>1800000000</v>
      </c>
      <c r="C41" s="11" t="n">
        <v>0.2</v>
      </c>
      <c r="D41" s="11" t="n">
        <v>0.145</v>
      </c>
      <c r="E41" s="11" t="n">
        <v>0.1</v>
      </c>
      <c r="F41" s="15"/>
      <c r="G41" s="11" t="n">
        <v>0</v>
      </c>
      <c r="H41" s="16" t="n">
        <v>1</v>
      </c>
    </row>
    <row r="42" customFormat="false" ht="15" hidden="false" customHeight="false" outlineLevel="0" collapsed="false">
      <c r="A42" s="7" t="s">
        <v>58</v>
      </c>
      <c r="B42" s="14" t="n">
        <v>14500000000</v>
      </c>
      <c r="C42" s="11" t="n">
        <v>0.75</v>
      </c>
      <c r="D42" s="11" t="n">
        <v>0.4</v>
      </c>
      <c r="E42" s="11" t="n">
        <v>0.85</v>
      </c>
      <c r="F42" s="15"/>
      <c r="G42" s="11" t="n">
        <v>0</v>
      </c>
      <c r="H42" s="16" t="n">
        <v>1</v>
      </c>
    </row>
    <row r="43" customFormat="false" ht="15" hidden="false" customHeight="false" outlineLevel="0" collapsed="false">
      <c r="A43" s="7" t="s">
        <v>59</v>
      </c>
      <c r="B43" s="14" t="n">
        <v>6300000000</v>
      </c>
      <c r="C43" s="11" t="n">
        <v>0.75</v>
      </c>
      <c r="D43" s="11" t="n">
        <v>0.45</v>
      </c>
      <c r="E43" s="11" t="n">
        <v>0.85</v>
      </c>
      <c r="F43" s="15"/>
      <c r="G43" s="11" t="n">
        <v>0</v>
      </c>
      <c r="H43" s="16" t="n">
        <v>0.7619</v>
      </c>
    </row>
    <row r="44" customFormat="false" ht="15" hidden="false" customHeight="false" outlineLevel="0" collapsed="false">
      <c r="A44" s="7" t="s">
        <v>60</v>
      </c>
      <c r="B44" s="14" t="n">
        <v>21000000000</v>
      </c>
      <c r="C44" s="17" t="n">
        <f aca="false">RwHypo</f>
        <v>0.277482942650745</v>
      </c>
      <c r="D44" s="11" t="n">
        <v>0.135</v>
      </c>
      <c r="E44" s="11" t="n">
        <v>0.65</v>
      </c>
      <c r="F44" s="15"/>
      <c r="G44" s="11" t="n">
        <v>0</v>
      </c>
      <c r="H44" s="16" t="n">
        <v>1</v>
      </c>
    </row>
    <row r="45" customFormat="false" ht="15" hidden="false" customHeight="false" outlineLevel="0" collapsed="false">
      <c r="A45" s="7" t="s">
        <v>61</v>
      </c>
      <c r="B45" s="14" t="n">
        <v>4800000000</v>
      </c>
      <c r="C45" s="11" t="n">
        <v>0.75</v>
      </c>
      <c r="D45" s="11" t="n">
        <v>0.43</v>
      </c>
      <c r="E45" s="11" t="n">
        <v>0.85</v>
      </c>
      <c r="F45" s="15"/>
      <c r="G45" s="11" t="n">
        <v>0</v>
      </c>
      <c r="H45" s="16" t="n">
        <v>1</v>
      </c>
    </row>
    <row r="46" customFormat="false" ht="15" hidden="false" customHeight="false" outlineLevel="0" collapsed="false">
      <c r="A46" s="7" t="s">
        <v>62</v>
      </c>
      <c r="B46" s="14" t="n">
        <v>5400000000</v>
      </c>
      <c r="C46" s="11" t="n">
        <v>1</v>
      </c>
      <c r="D46" s="11" t="n">
        <v>0.65</v>
      </c>
      <c r="E46" s="11" t="n">
        <v>0.85</v>
      </c>
      <c r="F46" s="15"/>
      <c r="G46" s="11" t="n">
        <v>0</v>
      </c>
      <c r="H46" s="16" t="n">
        <v>1</v>
      </c>
    </row>
    <row r="47" customFormat="false" ht="15" hidden="false" customHeight="false" outlineLevel="0" collapsed="false">
      <c r="A47" s="7" t="s">
        <v>63</v>
      </c>
      <c r="B47" s="14" t="n">
        <v>900000000</v>
      </c>
      <c r="C47" s="11" t="n">
        <v>1</v>
      </c>
      <c r="D47" s="11" t="n">
        <v>1</v>
      </c>
      <c r="E47" s="11" t="n">
        <v>1</v>
      </c>
      <c r="F47" s="15"/>
      <c r="G47" s="11" t="n">
        <v>0</v>
      </c>
      <c r="H47" s="16" t="n">
        <v>1</v>
      </c>
    </row>
    <row r="48" customFormat="false" ht="15" hidden="false" customHeight="false" outlineLevel="0" collapsed="false">
      <c r="A48" s="7" t="s">
        <v>64</v>
      </c>
      <c r="B48" s="14" t="n">
        <v>1200000000</v>
      </c>
      <c r="C48" s="17" t="n">
        <f aca="false">EqRwNow</f>
        <v>1.3</v>
      </c>
      <c r="D48" s="17" t="n">
        <f aca="false">EqRwNow</f>
        <v>1.3</v>
      </c>
      <c r="E48" s="11" t="n">
        <v>0.85</v>
      </c>
      <c r="F48" s="15" t="s">
        <v>65</v>
      </c>
      <c r="G48" s="11" t="n">
        <v>0.5</v>
      </c>
      <c r="H48" s="16" t="n">
        <v>1</v>
      </c>
    </row>
    <row r="49" customFormat="false" ht="15" hidden="false" customHeight="false" outlineLevel="0" collapsed="false">
      <c r="A49" s="7" t="s">
        <v>66</v>
      </c>
      <c r="B49" s="14" t="n">
        <v>2360000000</v>
      </c>
      <c r="C49" s="11" t="n">
        <v>0.2</v>
      </c>
      <c r="D49" s="11" t="n">
        <v>0.152</v>
      </c>
      <c r="E49" s="11" t="n">
        <v>0.1</v>
      </c>
      <c r="F49" s="15"/>
      <c r="G49" s="11" t="n">
        <v>0</v>
      </c>
      <c r="H49" s="16" t="n">
        <v>1</v>
      </c>
    </row>
    <row r="50" customFormat="false" ht="15" hidden="false" customHeight="false" outlineLevel="0" collapsed="false">
      <c r="A50" s="7" t="s">
        <v>67</v>
      </c>
      <c r="B50" s="14" t="n">
        <v>1480000000</v>
      </c>
      <c r="C50" s="11" t="n">
        <v>0.2</v>
      </c>
      <c r="D50" s="11" t="n">
        <v>0.152</v>
      </c>
      <c r="E50" s="11" t="n">
        <v>0.1</v>
      </c>
      <c r="F50" s="15"/>
      <c r="G50" s="11" t="n">
        <v>0</v>
      </c>
      <c r="H50" s="16" t="n">
        <v>1</v>
      </c>
    </row>
    <row r="51" customFormat="false" ht="15" hidden="false" customHeight="false" outlineLevel="0" collapsed="false">
      <c r="A51" s="7" t="s">
        <v>68</v>
      </c>
      <c r="B51" s="14" t="n">
        <v>2200000000</v>
      </c>
      <c r="C51" s="11" t="n">
        <v>1</v>
      </c>
      <c r="D51" s="11" t="n">
        <v>1</v>
      </c>
      <c r="E51" s="11" t="n">
        <v>1</v>
      </c>
      <c r="F51" s="15"/>
      <c r="G51" s="11" t="n">
        <v>0</v>
      </c>
      <c r="H51" s="16" t="n">
        <v>1</v>
      </c>
    </row>
    <row r="52" customFormat="false" ht="15" hidden="false" customHeight="false" outlineLevel="0" collapsed="false">
      <c r="A52" s="13" t="s">
        <v>69</v>
      </c>
    </row>
    <row r="54" customFormat="false" ht="15" hidden="false" customHeight="false" outlineLevel="0" collapsed="false">
      <c r="A54" s="4" t="s">
        <v>70</v>
      </c>
      <c r="B54" s="6"/>
      <c r="C54" s="6"/>
      <c r="D54" s="6"/>
      <c r="E54" s="6"/>
      <c r="F54" s="6"/>
      <c r="G54" s="6"/>
      <c r="H54" s="6"/>
    </row>
    <row r="56" customFormat="false" ht="31.5" hidden="false" customHeight="true" outlineLevel="0" collapsed="false">
      <c r="A56" s="9" t="s">
        <v>71</v>
      </c>
      <c r="B56" s="10" t="s">
        <v>72</v>
      </c>
      <c r="C56" s="10" t="s">
        <v>73</v>
      </c>
      <c r="D56" s="10" t="s">
        <v>44</v>
      </c>
      <c r="E56" s="10" t="s">
        <v>45</v>
      </c>
      <c r="F56" s="10" t="s">
        <v>46</v>
      </c>
      <c r="G56" s="10" t="s">
        <v>74</v>
      </c>
    </row>
    <row r="57" customFormat="false" ht="15" hidden="false" customHeight="false" outlineLevel="0" collapsed="false">
      <c r="A57" s="7" t="s">
        <v>75</v>
      </c>
      <c r="B57" s="14" t="n">
        <v>7200000000</v>
      </c>
      <c r="C57" s="11" t="n">
        <v>0.4</v>
      </c>
      <c r="D57" s="11" t="n">
        <v>0.75</v>
      </c>
      <c r="E57" s="11" t="n">
        <v>0.4</v>
      </c>
      <c r="F57" s="11" t="n">
        <v>0.05</v>
      </c>
      <c r="G57" s="11" t="n">
        <v>0.1</v>
      </c>
    </row>
    <row r="58" customFormat="false" ht="15" hidden="false" customHeight="false" outlineLevel="0" collapsed="false">
      <c r="A58" s="7" t="s">
        <v>76</v>
      </c>
      <c r="B58" s="14" t="n">
        <v>1100000000</v>
      </c>
      <c r="C58" s="11" t="n">
        <v>0.5</v>
      </c>
      <c r="D58" s="11" t="n">
        <v>1</v>
      </c>
      <c r="E58" s="11" t="n">
        <v>0.65</v>
      </c>
      <c r="F58" s="11" t="n">
        <v>0.05</v>
      </c>
      <c r="G58" s="11" t="n">
        <v>0.05</v>
      </c>
    </row>
    <row r="59" customFormat="false" ht="15" hidden="false" customHeight="false" outlineLevel="0" collapsed="false">
      <c r="A59" s="7" t="s">
        <v>77</v>
      </c>
      <c r="B59" s="14" t="n">
        <v>3000000000</v>
      </c>
      <c r="C59" s="11" t="n">
        <v>0.1</v>
      </c>
      <c r="D59" s="11" t="n">
        <v>0.75</v>
      </c>
      <c r="E59" s="11" t="n">
        <v>0.4</v>
      </c>
      <c r="F59" s="11" t="n">
        <v>0.05</v>
      </c>
      <c r="G59" s="11" t="n">
        <v>0.05</v>
      </c>
    </row>
    <row r="60" customFormat="false" ht="15" hidden="false" customHeight="false" outlineLevel="0" collapsed="false">
      <c r="A60" s="13" t="s">
        <v>78</v>
      </c>
    </row>
    <row r="62" customFormat="false" ht="15" hidden="false" customHeight="false" outlineLevel="0" collapsed="false">
      <c r="A62" s="4" t="s">
        <v>79</v>
      </c>
      <c r="B62" s="6"/>
      <c r="C62" s="6"/>
      <c r="D62" s="6"/>
      <c r="E62" s="6"/>
      <c r="F62" s="6"/>
      <c r="G62" s="6"/>
      <c r="H62" s="6"/>
    </row>
    <row r="64" customFormat="false" ht="15" hidden="false" customHeight="false" outlineLevel="0" collapsed="false">
      <c r="A64" s="7" t="s">
        <v>80</v>
      </c>
      <c r="B64" s="14" t="n">
        <v>1950000000</v>
      </c>
    </row>
    <row r="65" customFormat="false" ht="15" hidden="false" customHeight="false" outlineLevel="0" collapsed="false">
      <c r="A65" s="7" t="s">
        <v>81</v>
      </c>
      <c r="B65" s="14" t="n">
        <v>1240000000</v>
      </c>
    </row>
    <row r="66" customFormat="false" ht="15" hidden="false" customHeight="false" outlineLevel="0" collapsed="false">
      <c r="A66" s="7" t="s">
        <v>82</v>
      </c>
      <c r="B66" s="14" t="n">
        <v>3680000000</v>
      </c>
    </row>
    <row r="67" customFormat="false" ht="15" hidden="false" customHeight="false" outlineLevel="0" collapsed="false">
      <c r="A67" s="7" t="s">
        <v>83</v>
      </c>
      <c r="B67" s="14" t="n">
        <v>640000000</v>
      </c>
    </row>
    <row r="68" customFormat="false" ht="15" hidden="false" customHeight="false" outlineLevel="0" collapsed="false">
      <c r="A68" s="7" t="s">
        <v>84</v>
      </c>
      <c r="B68" s="14" t="n">
        <v>410000000</v>
      </c>
    </row>
    <row r="70" customFormat="false" ht="15" hidden="false" customHeight="false" outlineLevel="0" collapsed="false">
      <c r="A70" s="4" t="s">
        <v>85</v>
      </c>
      <c r="B70" s="6"/>
      <c r="C70" s="6"/>
      <c r="D70" s="6"/>
      <c r="E70" s="6"/>
      <c r="F70" s="6"/>
      <c r="G70" s="6"/>
      <c r="H70" s="6"/>
    </row>
    <row r="72" customFormat="false" ht="31.5" hidden="false" customHeight="true" outlineLevel="0" collapsed="false">
      <c r="A72" s="9" t="s">
        <v>86</v>
      </c>
      <c r="B72" s="10" t="s">
        <v>87</v>
      </c>
      <c r="C72" s="10" t="s">
        <v>88</v>
      </c>
      <c r="D72" s="10" t="s">
        <v>74</v>
      </c>
    </row>
    <row r="73" customFormat="false" ht="15" hidden="false" customHeight="false" outlineLevel="0" collapsed="false">
      <c r="A73" s="7" t="s">
        <v>89</v>
      </c>
      <c r="B73" s="14" t="n">
        <v>18000000000</v>
      </c>
      <c r="C73" s="11" t="n">
        <v>0.95</v>
      </c>
      <c r="D73" s="11" t="n">
        <v>0.05</v>
      </c>
    </row>
    <row r="74" customFormat="false" ht="15" hidden="false" customHeight="false" outlineLevel="0" collapsed="false">
      <c r="A74" s="7" t="s">
        <v>90</v>
      </c>
      <c r="B74" s="14" t="n">
        <v>7400000000</v>
      </c>
      <c r="C74" s="11" t="n">
        <v>0.9</v>
      </c>
      <c r="D74" s="11" t="n">
        <v>0.1</v>
      </c>
    </row>
    <row r="75" customFormat="false" ht="15" hidden="false" customHeight="false" outlineLevel="0" collapsed="false">
      <c r="A75" s="7" t="s">
        <v>91</v>
      </c>
      <c r="B75" s="14" t="n">
        <v>6200000000</v>
      </c>
      <c r="C75" s="11" t="n">
        <v>0.5</v>
      </c>
      <c r="D75" s="11" t="n">
        <v>0.25</v>
      </c>
    </row>
    <row r="76" customFormat="false" ht="15" hidden="false" customHeight="false" outlineLevel="0" collapsed="false">
      <c r="A76" s="7" t="s">
        <v>92</v>
      </c>
      <c r="B76" s="14" t="n">
        <v>11500000000</v>
      </c>
      <c r="C76" s="11" t="n">
        <v>0.5</v>
      </c>
      <c r="D76" s="11" t="n">
        <v>0.4</v>
      </c>
    </row>
    <row r="77" customFormat="false" ht="15" hidden="false" customHeight="false" outlineLevel="0" collapsed="false">
      <c r="A77" s="7" t="s">
        <v>93</v>
      </c>
      <c r="B77" s="14" t="n">
        <v>5600000000</v>
      </c>
      <c r="C77" s="11" t="n">
        <v>0</v>
      </c>
      <c r="D77" s="11" t="n">
        <v>1</v>
      </c>
    </row>
    <row r="78" customFormat="false" ht="15" hidden="false" customHeight="false" outlineLevel="0" collapsed="false">
      <c r="A78" s="7" t="s">
        <v>94</v>
      </c>
      <c r="B78" s="14" t="n">
        <v>3200000000</v>
      </c>
      <c r="C78" s="11" t="n">
        <v>1</v>
      </c>
      <c r="D78" s="11" t="n">
        <v>0</v>
      </c>
    </row>
    <row r="79" customFormat="false" ht="15" hidden="false" customHeight="false" outlineLevel="0" collapsed="false">
      <c r="A79" s="7" t="s">
        <v>95</v>
      </c>
      <c r="B79" s="14" t="n">
        <v>1900000000</v>
      </c>
      <c r="C79" s="11" t="n">
        <v>1</v>
      </c>
      <c r="D79" s="11" t="n">
        <v>0</v>
      </c>
    </row>
    <row r="80" customFormat="false" ht="15" hidden="false" customHeight="false" outlineLevel="0" collapsed="false">
      <c r="A80" s="7" t="s">
        <v>96</v>
      </c>
      <c r="B80" s="14" t="n">
        <v>1350000000</v>
      </c>
      <c r="C80" s="11" t="n">
        <v>1</v>
      </c>
      <c r="D80" s="11" t="n">
        <v>0</v>
      </c>
    </row>
    <row r="81" customFormat="false" ht="15" hidden="false" customHeight="false" outlineLevel="0" collapsed="false">
      <c r="A81" s="7" t="s">
        <v>97</v>
      </c>
      <c r="B81" s="14" t="n">
        <v>14260000000</v>
      </c>
      <c r="C81" s="11" t="n">
        <v>0</v>
      </c>
      <c r="D81" s="11" t="n">
        <v>0</v>
      </c>
    </row>
    <row r="82" customFormat="false" ht="15" hidden="false" customHeight="false" outlineLevel="0" collapsed="false">
      <c r="A82" s="7" t="s">
        <v>98</v>
      </c>
      <c r="B82" s="14" t="n">
        <v>1480000000</v>
      </c>
      <c r="C82" s="11" t="n">
        <v>0</v>
      </c>
      <c r="D82" s="11" t="n">
        <v>0</v>
      </c>
    </row>
    <row r="83" customFormat="false" ht="15" hidden="false" customHeight="false" outlineLevel="0" collapsed="false">
      <c r="A83" s="7" t="s">
        <v>99</v>
      </c>
      <c r="B83" s="14" t="n">
        <v>910000000</v>
      </c>
      <c r="C83" s="11" t="n">
        <v>1</v>
      </c>
      <c r="D83" s="11" t="n">
        <v>0</v>
      </c>
    </row>
    <row r="84" customFormat="false" ht="15" hidden="false" customHeight="false" outlineLevel="0" collapsed="false">
      <c r="A84" s="7" t="s">
        <v>100</v>
      </c>
      <c r="B84" s="14" t="n">
        <v>520000000</v>
      </c>
      <c r="C84" s="11" t="n">
        <v>1</v>
      </c>
      <c r="D84" s="11" t="n">
        <v>0</v>
      </c>
    </row>
    <row r="85" customFormat="false" ht="15" hidden="false" customHeight="false" outlineLevel="0" collapsed="false">
      <c r="A85" s="7" t="s">
        <v>101</v>
      </c>
      <c r="B85" s="14" t="n">
        <v>4060000000</v>
      </c>
      <c r="C85" s="11" t="n">
        <v>1</v>
      </c>
      <c r="D85" s="11" t="n">
        <v>0</v>
      </c>
    </row>
    <row r="86" customFormat="false" ht="15" hidden="false" customHeight="false" outlineLevel="0" collapsed="false">
      <c r="A86" s="7" t="s">
        <v>102</v>
      </c>
      <c r="B86" s="14" t="n">
        <v>3860000000</v>
      </c>
      <c r="C86" s="11" t="n">
        <v>0</v>
      </c>
      <c r="D86" s="11" t="n">
        <v>0</v>
      </c>
    </row>
    <row r="87" customFormat="false" ht="15" hidden="false" customHeight="false" outlineLevel="0" collapsed="false">
      <c r="A87" s="13" t="s">
        <v>103</v>
      </c>
    </row>
    <row r="89" customFormat="false" ht="15" hidden="false" customHeight="false" outlineLevel="0" collapsed="false">
      <c r="A89" s="4" t="s">
        <v>104</v>
      </c>
      <c r="B89" s="6"/>
      <c r="C89" s="6"/>
      <c r="D89" s="6"/>
      <c r="E89" s="6"/>
      <c r="F89" s="6"/>
      <c r="G89" s="6"/>
      <c r="H89" s="6"/>
    </row>
    <row r="91" customFormat="false" ht="15" hidden="false" customHeight="false" outlineLevel="0" collapsed="false">
      <c r="A91" s="7" t="s">
        <v>105</v>
      </c>
      <c r="B91" s="11" t="n">
        <v>0.045</v>
      </c>
    </row>
    <row r="92" customFormat="false" ht="15" hidden="false" customHeight="false" outlineLevel="0" collapsed="false">
      <c r="A92" s="7" t="s">
        <v>106</v>
      </c>
      <c r="B92" s="11" t="n">
        <v>0.06</v>
      </c>
    </row>
    <row r="93" customFormat="false" ht="15" hidden="false" customHeight="false" outlineLevel="0" collapsed="false">
      <c r="A93" s="7" t="s">
        <v>107</v>
      </c>
      <c r="B93" s="11" t="n">
        <v>0.08</v>
      </c>
    </row>
    <row r="94" customFormat="false" ht="15" hidden="false" customHeight="false" outlineLevel="0" collapsed="false">
      <c r="A94" s="7" t="s">
        <v>108</v>
      </c>
      <c r="B94" s="11" t="n">
        <v>0.02</v>
      </c>
    </row>
    <row r="95" customFormat="false" ht="15" hidden="false" customHeight="false" outlineLevel="0" collapsed="false">
      <c r="A95" s="7" t="s">
        <v>109</v>
      </c>
      <c r="B95" s="18" t="n">
        <v>0.5625</v>
      </c>
    </row>
    <row r="96" customFormat="false" ht="15" hidden="false" customHeight="false" outlineLevel="0" collapsed="false">
      <c r="A96" s="7" t="s">
        <v>110</v>
      </c>
      <c r="B96" s="11" t="n">
        <v>0.75</v>
      </c>
    </row>
    <row r="97" customFormat="false" ht="15" hidden="false" customHeight="false" outlineLevel="0" collapsed="false">
      <c r="A97" s="7" t="s">
        <v>111</v>
      </c>
      <c r="B97" s="11" t="n">
        <v>0.25</v>
      </c>
    </row>
    <row r="98" customFormat="false" ht="15" hidden="false" customHeight="false" outlineLevel="0" collapsed="false">
      <c r="A98" s="7" t="s">
        <v>112</v>
      </c>
      <c r="B98" s="11" t="n">
        <v>0.0125</v>
      </c>
    </row>
    <row r="99" customFormat="false" ht="15" hidden="false" customHeight="false" outlineLevel="0" collapsed="false">
      <c r="A99" s="7" t="s">
        <v>113</v>
      </c>
      <c r="B99" s="11" t="n">
        <v>0.025</v>
      </c>
    </row>
    <row r="100" customFormat="false" ht="15" hidden="false" customHeight="false" outlineLevel="0" collapsed="false">
      <c r="A100" s="7" t="s">
        <v>114</v>
      </c>
      <c r="B100" s="11" t="n">
        <v>0.01</v>
      </c>
    </row>
    <row r="101" customFormat="false" ht="15" hidden="false" customHeight="false" outlineLevel="0" collapsed="false">
      <c r="A101" s="7" t="s">
        <v>115</v>
      </c>
      <c r="B101" s="11" t="n">
        <v>0.005</v>
      </c>
    </row>
    <row r="102" customFormat="false" ht="15" hidden="false" customHeight="false" outlineLevel="0" collapsed="false">
      <c r="A102" s="7" t="s">
        <v>116</v>
      </c>
      <c r="B102" s="11" t="n">
        <v>0.03</v>
      </c>
    </row>
    <row r="104" customFormat="false" ht="15" hidden="false" customHeight="false" outlineLevel="0" collapsed="false">
      <c r="A104" s="4" t="s">
        <v>117</v>
      </c>
      <c r="B104" s="6"/>
      <c r="C104" s="6"/>
      <c r="D104" s="6"/>
      <c r="E104" s="6"/>
      <c r="F104" s="6"/>
      <c r="G104" s="6"/>
      <c r="H104" s="6"/>
    </row>
    <row r="106" customFormat="false" ht="31.5" hidden="false" customHeight="true" outlineLevel="0" collapsed="false">
      <c r="A106" s="9" t="s">
        <v>118</v>
      </c>
      <c r="B106" s="10" t="s">
        <v>119</v>
      </c>
      <c r="C106" s="10" t="s">
        <v>120</v>
      </c>
    </row>
    <row r="107" customFormat="false" ht="15" hidden="false" customHeight="false" outlineLevel="0" collapsed="false">
      <c r="A107" s="7" t="s">
        <v>121</v>
      </c>
      <c r="B107" s="11" t="n">
        <v>0.46</v>
      </c>
      <c r="C107" s="11" t="n">
        <v>0.01</v>
      </c>
    </row>
    <row r="108" customFormat="false" ht="15" hidden="false" customHeight="false" outlineLevel="0" collapsed="false">
      <c r="A108" s="7" t="s">
        <v>122</v>
      </c>
      <c r="B108" s="11" t="n">
        <v>0.21</v>
      </c>
      <c r="C108" s="11" t="n">
        <v>0.0075</v>
      </c>
    </row>
    <row r="109" customFormat="false" ht="15" hidden="false" customHeight="false" outlineLevel="0" collapsed="false">
      <c r="A109" s="7" t="s">
        <v>123</v>
      </c>
      <c r="B109" s="11" t="n">
        <v>0.12</v>
      </c>
      <c r="C109" s="11" t="n">
        <v>0.02</v>
      </c>
    </row>
    <row r="110" customFormat="false" ht="15" hidden="false" customHeight="false" outlineLevel="0" collapsed="false">
      <c r="A110" s="7" t="s">
        <v>124</v>
      </c>
      <c r="B110" s="11" t="n">
        <v>0.09</v>
      </c>
      <c r="C110" s="11" t="n">
        <v>0.0125</v>
      </c>
    </row>
    <row r="111" customFormat="false" ht="15" hidden="false" customHeight="false" outlineLevel="0" collapsed="false">
      <c r="A111" s="7" t="s">
        <v>125</v>
      </c>
      <c r="B111" s="11" t="n">
        <v>0.08</v>
      </c>
      <c r="C111" s="11" t="n">
        <v>0</v>
      </c>
    </row>
    <row r="112" customFormat="false" ht="15" hidden="false" customHeight="false" outlineLevel="0" collapsed="false">
      <c r="A112" s="7" t="s">
        <v>126</v>
      </c>
      <c r="B112" s="11" t="n">
        <v>0.04</v>
      </c>
      <c r="C112" s="11" t="n">
        <v>0</v>
      </c>
    </row>
    <row r="114" customFormat="false" ht="15" hidden="false" customHeight="false" outlineLevel="0" collapsed="false">
      <c r="A114" s="4" t="s">
        <v>127</v>
      </c>
      <c r="B114" s="6"/>
      <c r="C114" s="6"/>
      <c r="D114" s="6"/>
      <c r="E114" s="6"/>
      <c r="F114" s="6"/>
      <c r="G114" s="6"/>
      <c r="H114" s="6"/>
    </row>
    <row r="116" customFormat="false" ht="15" hidden="false" customHeight="false" outlineLevel="0" collapsed="false">
      <c r="A116" s="7" t="s">
        <v>128</v>
      </c>
      <c r="B116" s="11" t="n">
        <v>0.376</v>
      </c>
    </row>
    <row r="117" customFormat="false" ht="15" hidden="false" customHeight="false" outlineLevel="0" collapsed="false">
      <c r="A117" s="7" t="s">
        <v>129</v>
      </c>
      <c r="B117" s="11" t="n">
        <v>0.05</v>
      </c>
    </row>
    <row r="118" customFormat="false" ht="15" hidden="false" customHeight="false" outlineLevel="0" collapsed="false">
      <c r="A118" s="7" t="s">
        <v>130</v>
      </c>
      <c r="B118" s="14" t="n">
        <v>850000000</v>
      </c>
    </row>
    <row r="119" customFormat="false" ht="15" hidden="false" customHeight="false" outlineLevel="0" collapsed="false">
      <c r="A119" s="7" t="s">
        <v>131</v>
      </c>
      <c r="B119" s="14" t="n">
        <v>4200000000</v>
      </c>
    </row>
    <row r="120" customFormat="false" ht="15" hidden="false" customHeight="false" outlineLevel="0" collapsed="false">
      <c r="A120" s="7" t="s">
        <v>132</v>
      </c>
      <c r="B120" s="11" t="n">
        <v>0.75</v>
      </c>
    </row>
    <row r="121" customFormat="false" ht="15" hidden="false" customHeight="false" outlineLevel="0" collapsed="false">
      <c r="A121" s="7" t="s">
        <v>133</v>
      </c>
      <c r="B121" s="11" t="n">
        <v>0.7</v>
      </c>
    </row>
    <row r="122" customFormat="false" ht="15" hidden="false" customHeight="false" outlineLevel="0" collapsed="false">
      <c r="A122" s="7" t="s">
        <v>134</v>
      </c>
      <c r="B122" s="11" t="n">
        <v>0.4</v>
      </c>
    </row>
    <row r="123" customFormat="false" ht="15" hidden="false" customHeight="false" outlineLevel="0" collapsed="false">
      <c r="A123" s="7" t="s">
        <v>135</v>
      </c>
      <c r="B123" s="11" t="n">
        <v>0.15</v>
      </c>
    </row>
    <row r="124" customFormat="false" ht="15" hidden="false" customHeight="false" outlineLevel="0" collapsed="false">
      <c r="A124" s="7" t="s">
        <v>136</v>
      </c>
      <c r="B124" s="11" t="n">
        <v>1</v>
      </c>
    </row>
    <row r="125" customFormat="false" ht="15" hidden="false" customHeight="false" outlineLevel="0" collapsed="false">
      <c r="A125" s="7" t="s">
        <v>137</v>
      </c>
      <c r="B125" s="11" t="n">
        <v>1</v>
      </c>
    </row>
    <row r="126" customFormat="false" ht="15" hidden="false" customHeight="false" outlineLevel="0" collapsed="false">
      <c r="A126" s="13" t="s">
        <v>138</v>
      </c>
    </row>
    <row r="128" customFormat="false" ht="15" hidden="false" customHeight="false" outlineLevel="0" collapsed="false">
      <c r="A128" s="4" t="s">
        <v>139</v>
      </c>
      <c r="B128" s="6"/>
      <c r="C128" s="6"/>
      <c r="D128" s="6"/>
      <c r="E128" s="6"/>
      <c r="F128" s="6"/>
      <c r="G128" s="6"/>
      <c r="H128" s="6"/>
    </row>
    <row r="130" customFormat="false" ht="31.5" hidden="false" customHeight="true" outlineLevel="0" collapsed="false">
      <c r="A130" s="9" t="s">
        <v>140</v>
      </c>
      <c r="B130" s="10" t="s">
        <v>141</v>
      </c>
      <c r="C130" s="10" t="s">
        <v>142</v>
      </c>
    </row>
    <row r="131" customFormat="false" ht="15" hidden="false" customHeight="false" outlineLevel="0" collapsed="false">
      <c r="A131" s="7" t="s">
        <v>143</v>
      </c>
      <c r="B131" s="8" t="n">
        <v>0</v>
      </c>
      <c r="C131" s="11" t="n">
        <v>0</v>
      </c>
    </row>
    <row r="132" customFormat="false" ht="15" hidden="false" customHeight="false" outlineLevel="0" collapsed="false">
      <c r="A132" s="7" t="s">
        <v>144</v>
      </c>
      <c r="B132" s="8" t="n">
        <v>0</v>
      </c>
      <c r="C132" s="11" t="n">
        <v>0</v>
      </c>
    </row>
    <row r="133" customFormat="false" ht="15" hidden="false" customHeight="false" outlineLevel="0" collapsed="false">
      <c r="A133" s="7" t="s">
        <v>145</v>
      </c>
      <c r="B133" s="8" t="n">
        <v>0</v>
      </c>
      <c r="C133" s="11" t="n">
        <v>0.5</v>
      </c>
    </row>
    <row r="134" customFormat="false" ht="15" hidden="false" customHeight="false" outlineLevel="0" collapsed="false">
      <c r="A134" s="7" t="s">
        <v>146</v>
      </c>
      <c r="B134" s="8" t="n">
        <v>0</v>
      </c>
      <c r="C134" s="11" t="n">
        <v>0.15</v>
      </c>
    </row>
    <row r="135" customFormat="false" ht="15" hidden="false" customHeight="false" outlineLevel="0" collapsed="false">
      <c r="A135" s="7" t="s">
        <v>147</v>
      </c>
      <c r="B135" s="8" t="n">
        <v>0</v>
      </c>
      <c r="C135" s="11" t="n">
        <v>0.15</v>
      </c>
    </row>
    <row r="136" customFormat="false" ht="15" hidden="false" customHeight="false" outlineLevel="0" collapsed="false">
      <c r="A136" s="7" t="s">
        <v>148</v>
      </c>
      <c r="B136" s="8" t="n">
        <v>0</v>
      </c>
      <c r="C136" s="11" t="n">
        <v>0.4</v>
      </c>
    </row>
    <row r="137" customFormat="false" ht="15" hidden="false" customHeight="false" outlineLevel="0" collapsed="false">
      <c r="A137" s="7" t="s">
        <v>149</v>
      </c>
      <c r="B137" s="14" t="n">
        <v>1000000000</v>
      </c>
    </row>
    <row r="138" customFormat="false" ht="15" hidden="false" customHeight="false" outlineLevel="0" collapsed="false">
      <c r="A138" s="13" t="s">
        <v>150</v>
      </c>
    </row>
    <row r="140" customFormat="false" ht="15" hidden="false" customHeight="false" outlineLevel="0" collapsed="false">
      <c r="A140" s="4" t="s">
        <v>151</v>
      </c>
      <c r="B140" s="6"/>
      <c r="C140" s="6"/>
      <c r="D140" s="6"/>
      <c r="E140" s="6"/>
      <c r="F140" s="6"/>
      <c r="G140" s="6"/>
      <c r="H140" s="6"/>
    </row>
    <row r="142" customFormat="false" ht="31.5" hidden="false" customHeight="true" outlineLevel="0" collapsed="false">
      <c r="A142" s="9" t="s">
        <v>152</v>
      </c>
      <c r="B142" s="10" t="s">
        <v>153</v>
      </c>
      <c r="C142" s="10" t="s">
        <v>154</v>
      </c>
    </row>
    <row r="143" customFormat="false" ht="15" hidden="false" customHeight="false" outlineLevel="0" collapsed="false">
      <c r="A143" s="7" t="s">
        <v>155</v>
      </c>
      <c r="B143" s="11" t="n">
        <v>0.25</v>
      </c>
      <c r="C143" s="11" t="n">
        <v>0.2</v>
      </c>
    </row>
    <row r="144" customFormat="false" ht="15" hidden="false" customHeight="false" outlineLevel="0" collapsed="false">
      <c r="A144" s="7" t="s">
        <v>156</v>
      </c>
      <c r="B144" s="11" t="n">
        <v>0.5</v>
      </c>
      <c r="C144" s="11" t="n">
        <v>0.4</v>
      </c>
    </row>
    <row r="145" customFormat="false" ht="15" hidden="false" customHeight="false" outlineLevel="0" collapsed="false">
      <c r="A145" s="7" t="s">
        <v>157</v>
      </c>
      <c r="B145" s="11" t="n">
        <v>0.75</v>
      </c>
      <c r="C145" s="11" t="n">
        <v>0.6</v>
      </c>
    </row>
    <row r="146" customFormat="false" ht="15" hidden="false" customHeight="false" outlineLevel="0" collapsed="false">
      <c r="A146" s="7" t="s">
        <v>158</v>
      </c>
      <c r="B146" s="11" t="n">
        <v>1</v>
      </c>
      <c r="C146" s="11" t="n">
        <v>1</v>
      </c>
    </row>
    <row r="148" customFormat="false" ht="15" hidden="false" customHeight="false" outlineLevel="0" collapsed="false">
      <c r="A148" s="4" t="s">
        <v>159</v>
      </c>
      <c r="B148" s="6"/>
      <c r="C148" s="6"/>
      <c r="D148" s="6"/>
      <c r="E148" s="6"/>
      <c r="F148" s="6"/>
      <c r="G148" s="6"/>
      <c r="H148" s="6"/>
    </row>
    <row r="150" customFormat="false" ht="15" hidden="false" customHeight="false" outlineLevel="0" collapsed="false">
      <c r="A150" s="7" t="s">
        <v>160</v>
      </c>
      <c r="B150" s="11" t="n">
        <v>0.0125</v>
      </c>
    </row>
    <row r="151" customFormat="false" ht="15" hidden="false" customHeight="false" outlineLevel="0" collapsed="false">
      <c r="A151" s="7" t="s">
        <v>161</v>
      </c>
      <c r="B151" s="11" t="n">
        <v>0.135</v>
      </c>
    </row>
    <row r="152" customFormat="false" ht="15" hidden="false" customHeight="false" outlineLevel="0" collapsed="false">
      <c r="A152" s="7" t="s">
        <v>162</v>
      </c>
      <c r="B152" s="19" t="n">
        <v>2</v>
      </c>
    </row>
    <row r="153" customFormat="false" ht="15" hidden="false" customHeight="false" outlineLevel="0" collapsed="false">
      <c r="A153" s="7" t="s">
        <v>163</v>
      </c>
      <c r="B153" s="11" t="n">
        <v>0.0485</v>
      </c>
    </row>
    <row r="154" customFormat="false" ht="15" hidden="false" customHeight="false" outlineLevel="0" collapsed="false">
      <c r="A154" s="7" t="s">
        <v>164</v>
      </c>
      <c r="B154" s="11" t="n">
        <v>0.0215</v>
      </c>
    </row>
    <row r="155" customFormat="false" ht="15" hidden="false" customHeight="false" outlineLevel="0" collapsed="false">
      <c r="A155" s="7" t="s">
        <v>165</v>
      </c>
      <c r="B155" s="11" t="n">
        <v>0.25</v>
      </c>
    </row>
    <row r="156" customFormat="false" ht="15" hidden="false" customHeight="false" outlineLevel="0" collapsed="false">
      <c r="A156" s="7" t="s">
        <v>166</v>
      </c>
      <c r="B156" s="14" t="n">
        <v>1284000000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3" min="2" style="0" width="16"/>
    <col collapsed="false" customWidth="true" hidden="false" outlineLevel="0" max="4" min="4" style="0" width="18"/>
    <col collapsed="false" customWidth="true" hidden="false" outlineLevel="0" max="7" min="5" style="0" width="16"/>
    <col collapsed="false" customWidth="true" hidden="false" outlineLevel="0" max="8" min="8" style="0" width="18"/>
  </cols>
  <sheetData>
    <row r="1" customFormat="false" ht="24" hidden="false" customHeight="true" outlineLevel="0" collapsed="false">
      <c r="A1" s="1" t="s">
        <v>167</v>
      </c>
    </row>
    <row r="2" customFormat="false" ht="15" hidden="false" customHeight="false" outlineLevel="0" collapsed="false">
      <c r="A2" s="2" t="s">
        <v>168</v>
      </c>
    </row>
    <row r="3" customFormat="false" ht="15" hidden="false" customHeight="false" outlineLevel="0" collapsed="false">
      <c r="A3" s="3"/>
      <c r="B3" s="3"/>
      <c r="C3" s="3"/>
      <c r="D3" s="3"/>
      <c r="E3" s="3"/>
      <c r="F3" s="3"/>
      <c r="G3" s="3"/>
      <c r="H3" s="3"/>
    </row>
    <row r="5" customFormat="false" ht="15" hidden="false" customHeight="false" outlineLevel="0" collapsed="false">
      <c r="A5" s="4" t="s">
        <v>169</v>
      </c>
      <c r="B5" s="6"/>
      <c r="C5" s="6"/>
      <c r="D5" s="6"/>
      <c r="E5" s="6"/>
      <c r="F5" s="6"/>
      <c r="G5" s="6"/>
      <c r="H5" s="6"/>
    </row>
    <row r="7" customFormat="false" ht="31.5" hidden="false" customHeight="true" outlineLevel="0" collapsed="false">
      <c r="A7" s="9" t="s">
        <v>30</v>
      </c>
      <c r="B7" s="10" t="s">
        <v>31</v>
      </c>
      <c r="C7" s="10" t="s">
        <v>32</v>
      </c>
      <c r="D7" s="10" t="s">
        <v>170</v>
      </c>
      <c r="E7" s="10" t="s">
        <v>171</v>
      </c>
      <c r="F7" s="10" t="s">
        <v>172</v>
      </c>
      <c r="G7" s="10" t="s">
        <v>173</v>
      </c>
      <c r="H7" s="10" t="s">
        <v>174</v>
      </c>
    </row>
    <row r="8" customFormat="false" ht="15" hidden="false" customHeight="false" outlineLevel="0" collapsed="false">
      <c r="A8" s="7" t="s">
        <v>33</v>
      </c>
      <c r="B8" s="20" t="n">
        <f aca="false">INDEX(LtvShare,1)</f>
        <v>0.38</v>
      </c>
      <c r="C8" s="20" t="n">
        <f aca="false">INDEX(LtvVal,1)</f>
        <v>0.42</v>
      </c>
      <c r="D8" s="17" t="n">
        <f aca="false">MIN(1,SplitThr/C8)</f>
        <v>1</v>
      </c>
      <c r="E8" s="17" t="n">
        <f aca="false">D8*RwSec</f>
        <v>0.2</v>
      </c>
      <c r="F8" s="17" t="n">
        <f aca="false">(1-D8)*RwUns</f>
        <v>0</v>
      </c>
      <c r="G8" s="17" t="n">
        <f aca="false">E8+F8</f>
        <v>0.2</v>
      </c>
      <c r="H8" s="17" t="n">
        <f aca="false">B8*G8</f>
        <v>0.076</v>
      </c>
    </row>
    <row r="9" customFormat="false" ht="15" hidden="false" customHeight="false" outlineLevel="0" collapsed="false">
      <c r="A9" s="21" t="s">
        <v>34</v>
      </c>
      <c r="B9" s="22" t="n">
        <f aca="false">INDEX(LtvShare,2)</f>
        <v>0.27</v>
      </c>
      <c r="C9" s="22" t="n">
        <f aca="false">INDEX(LtvVal,2)</f>
        <v>0.63</v>
      </c>
      <c r="D9" s="23" t="n">
        <f aca="false">MIN(1,SplitThr/C9)</f>
        <v>0.873015873015873</v>
      </c>
      <c r="E9" s="23" t="n">
        <f aca="false">D9*RwSec</f>
        <v>0.174603174603175</v>
      </c>
      <c r="F9" s="23" t="n">
        <f aca="false">(1-D9)*RwUns</f>
        <v>0.0952380952380952</v>
      </c>
      <c r="G9" s="23" t="n">
        <f aca="false">E9+F9</f>
        <v>0.26984126984127</v>
      </c>
      <c r="H9" s="23" t="n">
        <f aca="false">B9*G9</f>
        <v>0.0728571428571428</v>
      </c>
    </row>
    <row r="10" customFormat="false" ht="15" hidden="false" customHeight="false" outlineLevel="0" collapsed="false">
      <c r="A10" s="7" t="s">
        <v>35</v>
      </c>
      <c r="B10" s="20" t="n">
        <f aca="false">INDEX(LtvShare,3)</f>
        <v>0.22</v>
      </c>
      <c r="C10" s="20" t="n">
        <f aca="false">INDEX(LtvVal,3)</f>
        <v>0.75</v>
      </c>
      <c r="D10" s="17" t="n">
        <f aca="false">MIN(1,SplitThr/C10)</f>
        <v>0.733333333333333</v>
      </c>
      <c r="E10" s="17" t="n">
        <f aca="false">D10*RwSec</f>
        <v>0.146666666666667</v>
      </c>
      <c r="F10" s="17" t="n">
        <f aca="false">(1-D10)*RwUns</f>
        <v>0.2</v>
      </c>
      <c r="G10" s="17" t="n">
        <f aca="false">E10+F10</f>
        <v>0.346666666666667</v>
      </c>
      <c r="H10" s="17" t="n">
        <f aca="false">B10*G10</f>
        <v>0.0762666666666667</v>
      </c>
    </row>
    <row r="11" customFormat="false" ht="15" hidden="false" customHeight="false" outlineLevel="0" collapsed="false">
      <c r="A11" s="21" t="s">
        <v>36</v>
      </c>
      <c r="B11" s="22" t="n">
        <f aca="false">INDEX(LtvShare,4)</f>
        <v>0.1</v>
      </c>
      <c r="C11" s="22" t="n">
        <f aca="false">INDEX(LtvVal,4)</f>
        <v>0.85</v>
      </c>
      <c r="D11" s="23" t="n">
        <f aca="false">MIN(1,SplitThr/C11)</f>
        <v>0.647058823529412</v>
      </c>
      <c r="E11" s="23" t="n">
        <f aca="false">D11*RwSec</f>
        <v>0.129411764705882</v>
      </c>
      <c r="F11" s="23" t="n">
        <f aca="false">(1-D11)*RwUns</f>
        <v>0.264705882352941</v>
      </c>
      <c r="G11" s="23" t="n">
        <f aca="false">E11+F11</f>
        <v>0.394117647058823</v>
      </c>
      <c r="H11" s="23" t="n">
        <f aca="false">B11*G11</f>
        <v>0.0394117647058824</v>
      </c>
    </row>
    <row r="12" customFormat="false" ht="15" hidden="false" customHeight="false" outlineLevel="0" collapsed="false">
      <c r="A12" s="7" t="s">
        <v>37</v>
      </c>
      <c r="B12" s="20" t="n">
        <f aca="false">INDEX(LtvShare,5)</f>
        <v>0.03</v>
      </c>
      <c r="C12" s="20" t="n">
        <f aca="false">INDEX(LtvVal,5)</f>
        <v>0.95</v>
      </c>
      <c r="D12" s="17" t="n">
        <f aca="false">MIN(1,SplitThr/C12)</f>
        <v>0.578947368421053</v>
      </c>
      <c r="E12" s="17" t="n">
        <f aca="false">D12*RwSec</f>
        <v>0.115789473684211</v>
      </c>
      <c r="F12" s="17" t="n">
        <f aca="false">(1-D12)*RwUns</f>
        <v>0.315789473684211</v>
      </c>
      <c r="G12" s="17" t="n">
        <f aca="false">E12+F12</f>
        <v>0.431578947368421</v>
      </c>
      <c r="H12" s="17" t="n">
        <f aca="false">B12*G12</f>
        <v>0.0129473684210526</v>
      </c>
    </row>
    <row r="13" customFormat="false" ht="15" hidden="false" customHeight="false" outlineLevel="0" collapsed="false">
      <c r="A13" s="24" t="s">
        <v>175</v>
      </c>
      <c r="B13" s="12" t="n">
        <f aca="false">SUM(B8:B12)</f>
        <v>1</v>
      </c>
      <c r="H13" s="25" t="n">
        <f aca="false">SUM(H8:H12)</f>
        <v>0.277482942650745</v>
      </c>
    </row>
    <row r="15" customFormat="false" ht="15" hidden="false" customHeight="false" outlineLevel="0" collapsed="false">
      <c r="A15" s="4" t="s">
        <v>176</v>
      </c>
      <c r="B15" s="6"/>
      <c r="C15" s="6"/>
      <c r="D15" s="6"/>
      <c r="E15" s="6"/>
      <c r="F15" s="6"/>
      <c r="G15" s="6"/>
      <c r="H15" s="6"/>
    </row>
    <row r="17" customFormat="false" ht="15" hidden="false" customHeight="false" outlineLevel="0" collapsed="false">
      <c r="A17" s="7" t="s">
        <v>177</v>
      </c>
      <c r="B17" s="17" t="n">
        <f aca="false">SUMPRODUCT(LtvShare,LtvVal)</f>
        <v>0.6082</v>
      </c>
    </row>
    <row r="18" customFormat="false" ht="15" hidden="false" customHeight="false" outlineLevel="0" collapsed="false">
      <c r="A18" s="7" t="s">
        <v>178</v>
      </c>
      <c r="B18" s="17" t="n">
        <f aca="false">MIN(1,SplitThr/LtvAvg)</f>
        <v>0.904307793488984</v>
      </c>
    </row>
    <row r="19" customFormat="false" ht="15" hidden="false" customHeight="false" outlineLevel="0" collapsed="false">
      <c r="A19" s="7" t="s">
        <v>179</v>
      </c>
      <c r="B19" s="17" t="n">
        <f aca="false">SecAvg*RwSec+(1-SecAvg)*RwUns</f>
        <v>0.252630713581059</v>
      </c>
    </row>
    <row r="20" customFormat="false" ht="15" hidden="false" customHeight="false" outlineLevel="0" collapsed="false">
      <c r="A20" s="7" t="s">
        <v>180</v>
      </c>
      <c r="B20" s="17" t="n">
        <f aca="false">RwHypo-RwHypoAvg</f>
        <v>0.0248522290696857</v>
      </c>
    </row>
    <row r="21" customFormat="false" ht="15" hidden="false" customHeight="false" outlineLevel="0" collapsed="false">
      <c r="A21" s="7" t="s">
        <v>181</v>
      </c>
      <c r="B21" s="26" t="n">
        <f aca="false">(RwHypo-RwHypoAvg)*10000</f>
        <v>248.522290696857</v>
      </c>
    </row>
    <row r="22" customFormat="false" ht="15" hidden="false" customHeight="false" outlineLevel="0" collapsed="false">
      <c r="A22" s="7" t="s">
        <v>182</v>
      </c>
      <c r="B22" s="27" t="n">
        <f aca="false">INDEX(AssetExp,MATCH("Residential mortgages",AssetLbl,0))</f>
        <v>21000000000</v>
      </c>
    </row>
    <row r="23" customFormat="false" ht="15" hidden="false" customHeight="false" outlineLevel="0" collapsed="false">
      <c r="A23" s="7" t="s">
        <v>183</v>
      </c>
      <c r="B23" s="27" t="n">
        <f aca="false">(RwHypo-RwHypoAvg)*MortExp</f>
        <v>521896810.4634</v>
      </c>
    </row>
    <row r="24" customFormat="false" ht="15" hidden="false" customHeight="false" outlineLevel="0" collapsed="false">
      <c r="A24" s="13" t="s">
        <v>184</v>
      </c>
    </row>
    <row r="26" customFormat="false" ht="15" hidden="false" customHeight="false" outlineLevel="0" collapsed="false">
      <c r="A26" s="4" t="s">
        <v>185</v>
      </c>
      <c r="B26" s="6"/>
      <c r="C26" s="6"/>
      <c r="D26" s="6"/>
      <c r="E26" s="6"/>
      <c r="F26" s="6"/>
      <c r="G26" s="6"/>
      <c r="H26" s="6"/>
    </row>
    <row r="28" customFormat="false" ht="15" hidden="false" customHeight="false" outlineLevel="0" collapsed="false">
      <c r="A28" s="7" t="s">
        <v>186</v>
      </c>
      <c r="B28" s="28" t="n">
        <f aca="false">MIN(0,RwHypo-RwHypoAvg)</f>
        <v>0</v>
      </c>
    </row>
    <row r="30" customFormat="false" ht="15" hidden="false" customHeight="false" outlineLevel="0" collapsed="false">
      <c r="A30" s="4" t="s">
        <v>187</v>
      </c>
      <c r="B30" s="6"/>
      <c r="C30" s="6"/>
      <c r="D30" s="6"/>
      <c r="E30" s="6"/>
      <c r="F30" s="6"/>
      <c r="G30" s="6"/>
      <c r="H30" s="6"/>
    </row>
    <row r="32" customFormat="false" ht="15" hidden="false" customHeight="false" outlineLevel="0" collapsed="false">
      <c r="A32" s="7" t="s">
        <v>188</v>
      </c>
      <c r="B32" s="20" t="n">
        <f aca="false">SUMPRODUCT((LtvRw&gt;RsfHypoThr)*LtvShare)</f>
        <v>0.13</v>
      </c>
    </row>
    <row r="33" customFormat="false" ht="15" hidden="false" customHeight="false" outlineLevel="0" collapsed="false">
      <c r="A33" s="13" t="s">
        <v>189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7"/>
    <col collapsed="false" customWidth="true" hidden="false" outlineLevel="0" max="3" min="3" style="0" width="15"/>
    <col collapsed="false" customWidth="true" hidden="false" outlineLevel="0" max="4" min="4" style="0" width="17"/>
    <col collapsed="false" customWidth="true" hidden="false" outlineLevel="0" max="5" min="5" style="0" width="15"/>
    <col collapsed="false" customWidth="true" hidden="false" outlineLevel="0" max="6" min="6" style="0" width="17"/>
    <col collapsed="false" customWidth="true" hidden="false" outlineLevel="0" max="7" min="7" style="0" width="15"/>
    <col collapsed="false" customWidth="true" hidden="false" outlineLevel="0" max="8" min="8" style="0" width="17"/>
  </cols>
  <sheetData>
    <row r="1" customFormat="false" ht="24" hidden="false" customHeight="true" outlineLevel="0" collapsed="false">
      <c r="A1" s="1" t="s">
        <v>190</v>
      </c>
    </row>
    <row r="2" customFormat="false" ht="15" hidden="false" customHeight="false" outlineLevel="0" collapsed="false">
      <c r="A2" s="2" t="s">
        <v>191</v>
      </c>
    </row>
    <row r="3" customFormat="false" ht="15" hidden="false" customHeight="false" outlineLevel="0" collapsed="false">
      <c r="A3" s="3"/>
      <c r="B3" s="3"/>
      <c r="C3" s="3"/>
      <c r="D3" s="3"/>
      <c r="E3" s="3"/>
      <c r="F3" s="3"/>
      <c r="G3" s="3"/>
      <c r="H3" s="3"/>
    </row>
    <row r="5" customFormat="false" ht="15" hidden="false" customHeight="false" outlineLevel="0" collapsed="false">
      <c r="A5" s="4" t="s">
        <v>192</v>
      </c>
      <c r="B5" s="6"/>
      <c r="C5" s="6"/>
      <c r="D5" s="6"/>
      <c r="E5" s="6"/>
      <c r="F5" s="6"/>
      <c r="G5" s="6"/>
      <c r="H5" s="6"/>
    </row>
    <row r="7" customFormat="false" ht="31.5" hidden="false" customHeight="true" outlineLevel="0" collapsed="false">
      <c r="A7" s="9" t="s">
        <v>42</v>
      </c>
      <c r="B7" s="10" t="s">
        <v>43</v>
      </c>
      <c r="C7" s="10" t="s">
        <v>44</v>
      </c>
      <c r="D7" s="10" t="s">
        <v>193</v>
      </c>
      <c r="E7" s="10" t="s">
        <v>45</v>
      </c>
      <c r="F7" s="10" t="s">
        <v>194</v>
      </c>
    </row>
    <row r="8" customFormat="false" ht="15" hidden="false" customHeight="false" outlineLevel="0" collapsed="false">
      <c r="A8" s="29" t="str">
        <f aca="false">INDEX(AssetLbl,1)</f>
        <v>Central bank reserves</v>
      </c>
      <c r="B8" s="27" t="n">
        <f aca="false">INDEX(AssetExp,1)</f>
        <v>8400000000</v>
      </c>
      <c r="C8" s="17" t="n">
        <f aca="false">INDEX(AssetStd,1)*INDEX(AssetSup,1)</f>
        <v>0</v>
      </c>
      <c r="D8" s="27" t="n">
        <f aca="false">B8*C8</f>
        <v>0</v>
      </c>
      <c r="E8" s="17" t="n">
        <f aca="false">INDEX(AssetInt,1)</f>
        <v>0</v>
      </c>
      <c r="F8" s="27" t="n">
        <f aca="false">B8*E8</f>
        <v>0</v>
      </c>
    </row>
    <row r="9" customFormat="false" ht="15" hidden="false" customHeight="false" outlineLevel="0" collapsed="false">
      <c r="A9" s="30" t="str">
        <f aca="false">INDEX(AssetLbl,2)</f>
        <v>EU sovereign bonds, euro denominated</v>
      </c>
      <c r="B9" s="31" t="n">
        <f aca="false">INDEX(AssetExp,2)</f>
        <v>6200000000</v>
      </c>
      <c r="C9" s="23" t="n">
        <f aca="false">INDEX(AssetStd,2)*INDEX(AssetSup,2)</f>
        <v>0</v>
      </c>
      <c r="D9" s="31" t="n">
        <f aca="false">B9*C9</f>
        <v>0</v>
      </c>
      <c r="E9" s="23" t="n">
        <f aca="false">INDEX(AssetInt,2)</f>
        <v>0</v>
      </c>
      <c r="F9" s="31" t="n">
        <f aca="false">B9*E9</f>
        <v>0</v>
      </c>
    </row>
    <row r="10" customFormat="false" ht="15" hidden="false" customHeight="false" outlineLevel="0" collapsed="false">
      <c r="A10" s="29" t="str">
        <f aca="false">INDEX(AssetLbl,3)</f>
        <v>Covered bonds, AAA</v>
      </c>
      <c r="B10" s="27" t="n">
        <f aca="false">INDEX(AssetExp,3)</f>
        <v>2100000000</v>
      </c>
      <c r="C10" s="17" t="n">
        <f aca="false">INDEX(AssetStd,3)*INDEX(AssetSup,3)</f>
        <v>0.1</v>
      </c>
      <c r="D10" s="27" t="n">
        <f aca="false">B10*C10</f>
        <v>210000000</v>
      </c>
      <c r="E10" s="17" t="n">
        <f aca="false">INDEX(AssetInt,3)</f>
        <v>0.075</v>
      </c>
      <c r="F10" s="27" t="n">
        <f aca="false">B10*E10</f>
        <v>157500000</v>
      </c>
    </row>
    <row r="11" customFormat="false" ht="15" hidden="false" customHeight="false" outlineLevel="0" collapsed="false">
      <c r="A11" s="30" t="str">
        <f aca="false">INDEX(AssetLbl,4)</f>
        <v>Corporate bonds, AA- and above</v>
      </c>
      <c r="B11" s="31" t="n">
        <f aca="false">INDEX(AssetExp,4)</f>
        <v>1600000000</v>
      </c>
      <c r="C11" s="23" t="n">
        <f aca="false">INDEX(AssetStd,4)*INDEX(AssetSup,4)</f>
        <v>0.2</v>
      </c>
      <c r="D11" s="31" t="n">
        <f aca="false">B11*C11</f>
        <v>320000000</v>
      </c>
      <c r="E11" s="23" t="n">
        <f aca="false">INDEX(AssetInt,4)</f>
        <v>0.152</v>
      </c>
      <c r="F11" s="31" t="n">
        <f aca="false">B11*E11</f>
        <v>243200000</v>
      </c>
    </row>
    <row r="12" customFormat="false" ht="15" hidden="false" customHeight="false" outlineLevel="0" collapsed="false">
      <c r="A12" s="29" t="str">
        <f aca="false">INDEX(AssetLbl,5)</f>
        <v>Interbank exposures, three months or less</v>
      </c>
      <c r="B12" s="27" t="n">
        <f aca="false">INDEX(AssetExp,5)</f>
        <v>1800000000</v>
      </c>
      <c r="C12" s="17" t="n">
        <f aca="false">INDEX(AssetStd,5)*INDEX(AssetSup,5)</f>
        <v>0.2</v>
      </c>
      <c r="D12" s="27" t="n">
        <f aca="false">B12*C12</f>
        <v>360000000</v>
      </c>
      <c r="E12" s="17" t="n">
        <f aca="false">INDEX(AssetInt,5)</f>
        <v>0.145</v>
      </c>
      <c r="F12" s="27" t="n">
        <f aca="false">B12*E12</f>
        <v>261000000</v>
      </c>
    </row>
    <row r="13" customFormat="false" ht="15" hidden="false" customHeight="false" outlineLevel="0" collapsed="false">
      <c r="A13" s="30" t="str">
        <f aca="false">INDEX(AssetLbl,6)</f>
        <v>Rated large corporates</v>
      </c>
      <c r="B13" s="31" t="n">
        <f aca="false">INDEX(AssetExp,6)</f>
        <v>14500000000</v>
      </c>
      <c r="C13" s="23" t="n">
        <f aca="false">INDEX(AssetStd,6)*INDEX(AssetSup,6)</f>
        <v>0.75</v>
      </c>
      <c r="D13" s="31" t="n">
        <f aca="false">B13*C13</f>
        <v>10875000000</v>
      </c>
      <c r="E13" s="23" t="n">
        <f aca="false">INDEX(AssetInt,6)</f>
        <v>0.4</v>
      </c>
      <c r="F13" s="31" t="n">
        <f aca="false">B13*E13</f>
        <v>5800000000</v>
      </c>
    </row>
    <row r="14" customFormat="false" ht="15" hidden="false" customHeight="false" outlineLevel="0" collapsed="false">
      <c r="A14" s="29" t="str">
        <f aca="false">INDEX(AssetLbl,7)</f>
        <v>Small and medium-sized enterprises</v>
      </c>
      <c r="B14" s="27" t="n">
        <f aca="false">INDEX(AssetExp,7)</f>
        <v>6300000000</v>
      </c>
      <c r="C14" s="17" t="n">
        <f aca="false">INDEX(AssetStd,7)*INDEX(AssetSup,7)</f>
        <v>0.571425</v>
      </c>
      <c r="D14" s="27" t="n">
        <f aca="false">B14*C14</f>
        <v>3599977500</v>
      </c>
      <c r="E14" s="17" t="n">
        <f aca="false">INDEX(AssetInt,7)</f>
        <v>0.45</v>
      </c>
      <c r="F14" s="27" t="n">
        <f aca="false">B14*E14</f>
        <v>2835000000</v>
      </c>
    </row>
    <row r="15" customFormat="false" ht="15" hidden="false" customHeight="false" outlineLevel="0" collapsed="false">
      <c r="A15" s="30" t="str">
        <f aca="false">INDEX(AssetLbl,8)</f>
        <v>Residential mortgages</v>
      </c>
      <c r="B15" s="31" t="n">
        <f aca="false">INDEX(AssetExp,8)</f>
        <v>21000000000</v>
      </c>
      <c r="C15" s="23" t="n">
        <f aca="false">INDEX(AssetStd,8)*INDEX(AssetSup,8)</f>
        <v>0.277482942650745</v>
      </c>
      <c r="D15" s="31" t="n">
        <f aca="false">B15*C15</f>
        <v>5827141795.66564</v>
      </c>
      <c r="E15" s="23" t="n">
        <f aca="false">INDEX(AssetInt,8)</f>
        <v>0.135</v>
      </c>
      <c r="F15" s="31" t="n">
        <f aca="false">B15*E15</f>
        <v>2835000000</v>
      </c>
    </row>
    <row r="16" customFormat="false" ht="15" hidden="false" customHeight="false" outlineLevel="0" collapsed="false">
      <c r="A16" s="29" t="str">
        <f aca="false">INDEX(AssetLbl,9)</f>
        <v>Other retail lending</v>
      </c>
      <c r="B16" s="27" t="n">
        <f aca="false">INDEX(AssetExp,9)</f>
        <v>4800000000</v>
      </c>
      <c r="C16" s="17" t="n">
        <f aca="false">INDEX(AssetStd,9)*INDEX(AssetSup,9)</f>
        <v>0.75</v>
      </c>
      <c r="D16" s="27" t="n">
        <f aca="false">B16*C16</f>
        <v>3600000000</v>
      </c>
      <c r="E16" s="17" t="n">
        <f aca="false">INDEX(AssetInt,9)</f>
        <v>0.43</v>
      </c>
      <c r="F16" s="27" t="n">
        <f aca="false">B16*E16</f>
        <v>2064000000</v>
      </c>
    </row>
    <row r="17" customFormat="false" ht="15" hidden="false" customHeight="false" outlineLevel="0" collapsed="false">
      <c r="A17" s="30" t="str">
        <f aca="false">INDEX(AssetLbl,10)</f>
        <v>Commercial real estate and specialised lending</v>
      </c>
      <c r="B17" s="31" t="n">
        <f aca="false">INDEX(AssetExp,10)</f>
        <v>5400000000</v>
      </c>
      <c r="C17" s="23" t="n">
        <f aca="false">INDEX(AssetStd,10)*INDEX(AssetSup,10)</f>
        <v>1</v>
      </c>
      <c r="D17" s="31" t="n">
        <f aca="false">B17*C17</f>
        <v>5400000000</v>
      </c>
      <c r="E17" s="23" t="n">
        <f aca="false">INDEX(AssetInt,10)</f>
        <v>0.65</v>
      </c>
      <c r="F17" s="31" t="n">
        <f aca="false">B17*E17</f>
        <v>3510000000</v>
      </c>
    </row>
    <row r="18" customFormat="false" ht="15" hidden="false" customHeight="false" outlineLevel="0" collapsed="false">
      <c r="A18" s="29" t="str">
        <f aca="false">INDEX(AssetLbl,11)</f>
        <v>Defaulted exposures, provisioned above 20 per cent</v>
      </c>
      <c r="B18" s="27" t="n">
        <f aca="false">INDEX(AssetExp,11)</f>
        <v>900000000</v>
      </c>
      <c r="C18" s="17" t="n">
        <f aca="false">INDEX(AssetStd,11)*INDEX(AssetSup,11)</f>
        <v>1</v>
      </c>
      <c r="D18" s="27" t="n">
        <f aca="false">B18*C18</f>
        <v>900000000</v>
      </c>
      <c r="E18" s="17" t="n">
        <f aca="false">INDEX(AssetInt,11)</f>
        <v>1</v>
      </c>
      <c r="F18" s="27" t="n">
        <f aca="false">B18*E18</f>
        <v>900000000</v>
      </c>
    </row>
    <row r="19" customFormat="false" ht="15" hidden="false" customHeight="false" outlineLevel="0" collapsed="false">
      <c r="A19" s="30" t="str">
        <f aca="false">INDEX(AssetLbl,12)</f>
        <v>Listed equities and participations</v>
      </c>
      <c r="B19" s="31" t="n">
        <f aca="false">INDEX(AssetExp,12)</f>
        <v>1200000000</v>
      </c>
      <c r="C19" s="23" t="n">
        <f aca="false">INDEX(AssetStd,12)*INDEX(AssetSup,12)</f>
        <v>1.3</v>
      </c>
      <c r="D19" s="31" t="n">
        <f aca="false">B19*C19</f>
        <v>1560000000</v>
      </c>
      <c r="E19" s="23" t="n">
        <f aca="false">INDEX(AssetInt,12)</f>
        <v>1.3</v>
      </c>
      <c r="F19" s="31" t="n">
        <f aca="false">B19*E19</f>
        <v>1560000000</v>
      </c>
    </row>
    <row r="20" customFormat="false" ht="15" hidden="false" customHeight="false" outlineLevel="0" collapsed="false">
      <c r="A20" s="29" t="str">
        <f aca="false">INDEX(AssetLbl,13)</f>
        <v>Securities financing transactions</v>
      </c>
      <c r="B20" s="27" t="n">
        <f aca="false">INDEX(AssetExp,13)</f>
        <v>2360000000</v>
      </c>
      <c r="C20" s="17" t="n">
        <f aca="false">INDEX(AssetStd,13)*INDEX(AssetSup,13)</f>
        <v>0.2</v>
      </c>
      <c r="D20" s="27" t="n">
        <f aca="false">B20*C20</f>
        <v>472000000</v>
      </c>
      <c r="E20" s="17" t="n">
        <f aca="false">INDEX(AssetInt,13)</f>
        <v>0.152</v>
      </c>
      <c r="F20" s="27" t="n">
        <f aca="false">B20*E20</f>
        <v>358720000</v>
      </c>
    </row>
    <row r="21" customFormat="false" ht="15" hidden="false" customHeight="false" outlineLevel="0" collapsed="false">
      <c r="A21" s="30" t="str">
        <f aca="false">INDEX(AssetLbl,14)</f>
        <v>Derivatives, SA-CCR exposure value</v>
      </c>
      <c r="B21" s="31" t="n">
        <f aca="false">INDEX(AssetExp,14)</f>
        <v>1480000000</v>
      </c>
      <c r="C21" s="23" t="n">
        <f aca="false">INDEX(AssetStd,14)*INDEX(AssetSup,14)</f>
        <v>0.2</v>
      </c>
      <c r="D21" s="31" t="n">
        <f aca="false">B21*C21</f>
        <v>296000000</v>
      </c>
      <c r="E21" s="23" t="n">
        <f aca="false">INDEX(AssetInt,14)</f>
        <v>0.152</v>
      </c>
      <c r="F21" s="31" t="n">
        <f aca="false">B21*E21</f>
        <v>224960000</v>
      </c>
    </row>
    <row r="22" customFormat="false" ht="15" hidden="false" customHeight="false" outlineLevel="0" collapsed="false">
      <c r="A22" s="29" t="str">
        <f aca="false">INDEX(AssetLbl,15)</f>
        <v>Other assets: fixed assets, deferred tax, sundry</v>
      </c>
      <c r="B22" s="27" t="n">
        <f aca="false">INDEX(AssetExp,15)</f>
        <v>2200000000</v>
      </c>
      <c r="C22" s="17" t="n">
        <f aca="false">INDEX(AssetStd,15)*INDEX(AssetSup,15)</f>
        <v>1</v>
      </c>
      <c r="D22" s="27" t="n">
        <f aca="false">B22*C22</f>
        <v>2200000000</v>
      </c>
      <c r="E22" s="17" t="n">
        <f aca="false">INDEX(AssetInt,15)</f>
        <v>1</v>
      </c>
      <c r="F22" s="27" t="n">
        <f aca="false">B22*E22</f>
        <v>2200000000</v>
      </c>
    </row>
    <row r="23" customFormat="false" ht="15" hidden="false" customHeight="false" outlineLevel="0" collapsed="false">
      <c r="A23" s="24" t="s">
        <v>195</v>
      </c>
      <c r="B23" s="32" t="n">
        <f aca="false">SUM(B8:B22)</f>
        <v>80240000000</v>
      </c>
      <c r="D23" s="32" t="n">
        <f aca="false">SUM(D8:D22)</f>
        <v>35620119295.6656</v>
      </c>
      <c r="F23" s="32" t="n">
        <f aca="false">SUM(F8:F22)</f>
        <v>22949380000</v>
      </c>
    </row>
    <row r="25" customFormat="false" ht="15" hidden="false" customHeight="false" outlineLevel="0" collapsed="false">
      <c r="A25" s="4" t="s">
        <v>196</v>
      </c>
      <c r="B25" s="6"/>
      <c r="C25" s="6"/>
      <c r="D25" s="6"/>
      <c r="E25" s="6"/>
      <c r="F25" s="6"/>
      <c r="G25" s="6"/>
      <c r="H25" s="6"/>
    </row>
    <row r="27" customFormat="false" ht="31.5" hidden="false" customHeight="true" outlineLevel="0" collapsed="false">
      <c r="A27" s="9" t="s">
        <v>71</v>
      </c>
      <c r="B27" s="10" t="s">
        <v>72</v>
      </c>
      <c r="C27" s="10" t="s">
        <v>73</v>
      </c>
      <c r="D27" s="10" t="s">
        <v>197</v>
      </c>
      <c r="E27" s="10" t="s">
        <v>44</v>
      </c>
      <c r="F27" s="10" t="s">
        <v>193</v>
      </c>
      <c r="G27" s="10" t="s">
        <v>45</v>
      </c>
      <c r="H27" s="10" t="s">
        <v>194</v>
      </c>
    </row>
    <row r="28" customFormat="false" ht="15" hidden="false" customHeight="false" outlineLevel="0" collapsed="false">
      <c r="A28" s="29" t="str">
        <f aca="false">INDEX(OffLbl,1)</f>
        <v>Committed credit lines to corporates</v>
      </c>
      <c r="B28" s="27" t="n">
        <f aca="false">INDEX(OffNom,1)</f>
        <v>7200000000</v>
      </c>
      <c r="C28" s="20" t="n">
        <f aca="false">INDEX(OffCcf,1)</f>
        <v>0.4</v>
      </c>
      <c r="D28" s="27" t="n">
        <f aca="false">B28*C28</f>
        <v>2880000000</v>
      </c>
      <c r="E28" s="20" t="n">
        <f aca="false">INDEX(OffStd,1)</f>
        <v>0.75</v>
      </c>
      <c r="F28" s="27" t="n">
        <f aca="false">D28*E28</f>
        <v>2160000000</v>
      </c>
      <c r="G28" s="20" t="n">
        <f aca="false">INDEX(OffInt,1)</f>
        <v>0.4</v>
      </c>
      <c r="H28" s="27" t="n">
        <f aca="false">D28*G28</f>
        <v>1152000000</v>
      </c>
    </row>
    <row r="29" customFormat="false" ht="15" hidden="false" customHeight="false" outlineLevel="0" collapsed="false">
      <c r="A29" s="30" t="str">
        <f aca="false">INDEX(OffLbl,2)</f>
        <v>Guarantees and sureties given</v>
      </c>
      <c r="B29" s="31" t="n">
        <f aca="false">INDEX(OffNom,2)</f>
        <v>1100000000</v>
      </c>
      <c r="C29" s="22" t="n">
        <f aca="false">INDEX(OffCcf,2)</f>
        <v>0.5</v>
      </c>
      <c r="D29" s="31" t="n">
        <f aca="false">B29*C29</f>
        <v>550000000</v>
      </c>
      <c r="E29" s="22" t="n">
        <f aca="false">INDEX(OffStd,2)</f>
        <v>1</v>
      </c>
      <c r="F29" s="31" t="n">
        <f aca="false">D29*E29</f>
        <v>550000000</v>
      </c>
      <c r="G29" s="22" t="n">
        <f aca="false">INDEX(OffInt,2)</f>
        <v>0.65</v>
      </c>
      <c r="H29" s="31" t="n">
        <f aca="false">D29*G29</f>
        <v>357500000</v>
      </c>
    </row>
    <row r="30" customFormat="false" ht="15" hidden="false" customHeight="false" outlineLevel="0" collapsed="false">
      <c r="A30" s="29" t="str">
        <f aca="false">INDEX(OffLbl,3)</f>
        <v>Unconditionally cancellable lines</v>
      </c>
      <c r="B30" s="27" t="n">
        <f aca="false">INDEX(OffNom,3)</f>
        <v>3000000000</v>
      </c>
      <c r="C30" s="20" t="n">
        <f aca="false">INDEX(OffCcf,3)</f>
        <v>0.1</v>
      </c>
      <c r="D30" s="27" t="n">
        <f aca="false">B30*C30</f>
        <v>300000000</v>
      </c>
      <c r="E30" s="20" t="n">
        <f aca="false">INDEX(OffStd,3)</f>
        <v>0.75</v>
      </c>
      <c r="F30" s="27" t="n">
        <f aca="false">D30*E30</f>
        <v>225000000</v>
      </c>
      <c r="G30" s="20" t="n">
        <f aca="false">INDEX(OffInt,3)</f>
        <v>0.4</v>
      </c>
      <c r="H30" s="27" t="n">
        <f aca="false">D30*G30</f>
        <v>120000000</v>
      </c>
    </row>
    <row r="31" customFormat="false" ht="15" hidden="false" customHeight="false" outlineLevel="0" collapsed="false">
      <c r="A31" s="24" t="s">
        <v>198</v>
      </c>
      <c r="B31" s="32" t="n">
        <f aca="false">SUM(B28:B30)</f>
        <v>11300000000</v>
      </c>
      <c r="D31" s="32" t="n">
        <f aca="false">SUM(D28:D30)</f>
        <v>3730000000</v>
      </c>
      <c r="F31" s="32" t="n">
        <f aca="false">SUM(F28:F30)</f>
        <v>2935000000</v>
      </c>
      <c r="H31" s="32" t="n">
        <f aca="false">SUM(H28:H30)</f>
        <v>1629500000</v>
      </c>
    </row>
    <row r="33" customFormat="false" ht="15" hidden="false" customHeight="false" outlineLevel="0" collapsed="false">
      <c r="A33" s="4" t="s">
        <v>199</v>
      </c>
      <c r="B33" s="6"/>
      <c r="C33" s="6"/>
      <c r="D33" s="6"/>
      <c r="E33" s="6"/>
      <c r="F33" s="6"/>
      <c r="G33" s="6"/>
      <c r="H33" s="6"/>
    </row>
    <row r="35" customFormat="false" ht="31.5" hidden="false" customHeight="true" outlineLevel="0" collapsed="false">
      <c r="A35" s="9" t="s">
        <v>200</v>
      </c>
      <c r="B35" s="10" t="s">
        <v>201</v>
      </c>
      <c r="C35" s="10" t="s">
        <v>202</v>
      </c>
    </row>
    <row r="36" customFormat="false" ht="15" hidden="false" customHeight="false" outlineLevel="0" collapsed="false">
      <c r="A36" s="7" t="s">
        <v>203</v>
      </c>
      <c r="B36" s="27" t="n">
        <f aca="false">MktStd</f>
        <v>1950000000</v>
      </c>
      <c r="C36" s="27" t="n">
        <f aca="false">MktInt</f>
        <v>1240000000</v>
      </c>
    </row>
    <row r="37" customFormat="false" ht="15" hidden="false" customHeight="false" outlineLevel="0" collapsed="false">
      <c r="A37" s="21" t="s">
        <v>204</v>
      </c>
      <c r="B37" s="31" t="n">
        <f aca="false">OpRisk</f>
        <v>3680000000</v>
      </c>
      <c r="C37" s="31" t="n">
        <f aca="false">OpRisk</f>
        <v>3680000000</v>
      </c>
    </row>
    <row r="38" customFormat="false" ht="15" hidden="false" customHeight="false" outlineLevel="0" collapsed="false">
      <c r="A38" s="7" t="s">
        <v>205</v>
      </c>
      <c r="B38" s="27" t="n">
        <f aca="false">CvaStd</f>
        <v>640000000</v>
      </c>
      <c r="C38" s="27" t="n">
        <f aca="false">CvaInt</f>
        <v>410000000</v>
      </c>
    </row>
    <row r="39" customFormat="false" ht="15" hidden="false" customHeight="false" outlineLevel="0" collapsed="false">
      <c r="A39" s="24" t="s">
        <v>206</v>
      </c>
      <c r="B39" s="32" t="n">
        <f aca="false">SUM(B36:B38)</f>
        <v>6270000000</v>
      </c>
      <c r="C39" s="32" t="n">
        <f aca="false">SUM(C36:C38)</f>
        <v>5330000000</v>
      </c>
    </row>
    <row r="41" customFormat="false" ht="15" hidden="false" customHeight="false" outlineLevel="0" collapsed="false">
      <c r="A41" s="13" t="s">
        <v>207</v>
      </c>
    </row>
    <row r="43" customFormat="false" ht="15" hidden="false" customHeight="false" outlineLevel="0" collapsed="false">
      <c r="A43" s="4" t="s">
        <v>208</v>
      </c>
      <c r="B43" s="6"/>
      <c r="C43" s="6"/>
      <c r="D43" s="6"/>
      <c r="E43" s="6"/>
      <c r="F43" s="6"/>
      <c r="G43" s="6"/>
      <c r="H43" s="6"/>
    </row>
    <row r="45" customFormat="false" ht="15" hidden="false" customHeight="false" outlineLevel="0" collapsed="false">
      <c r="A45" s="7" t="s">
        <v>209</v>
      </c>
      <c r="B45" s="27" t="n">
        <f aca="false">'The bank'!$D$23+'The bank'!$F$31+'The bank'!$B$39</f>
        <v>44825119295.6656</v>
      </c>
    </row>
    <row r="46" customFormat="false" ht="15" hidden="false" customHeight="false" outlineLevel="0" collapsed="false">
      <c r="A46" s="7" t="s">
        <v>210</v>
      </c>
      <c r="B46" s="27" t="n">
        <f aca="false">'The bank'!$F$23+'The bank'!$H$31+'The bank'!$C$39</f>
        <v>29908880000</v>
      </c>
    </row>
    <row r="47" customFormat="false" ht="15" hidden="false" customHeight="false" outlineLevel="0" collapsed="false">
      <c r="A47" s="7" t="s">
        <v>211</v>
      </c>
      <c r="B47" s="20" t="n">
        <f aca="false">RwaInt/RwaStd</f>
        <v>0.66723481097109</v>
      </c>
    </row>
    <row r="48" customFormat="false" ht="15" hidden="false" customHeight="false" outlineLevel="0" collapsed="false">
      <c r="A48" s="7" t="s">
        <v>212</v>
      </c>
      <c r="B48" s="20" t="n">
        <f aca="false">'The bank'!$B$39/RwaStd</f>
        <v>0.139876928349999</v>
      </c>
    </row>
    <row r="49" customFormat="false" ht="15" hidden="false" customHeight="false" outlineLevel="0" collapsed="false">
      <c r="A49" s="7" t="s">
        <v>23</v>
      </c>
      <c r="B49" s="20" t="n">
        <f aca="false">FloorNow</f>
        <v>0.55</v>
      </c>
    </row>
    <row r="50" customFormat="false" ht="15" hidden="false" customHeight="false" outlineLevel="0" collapsed="false">
      <c r="A50" s="7" t="s">
        <v>213</v>
      </c>
      <c r="B50" s="27" t="n">
        <f aca="false">RwaStd*FloorNow</f>
        <v>24653815612.6161</v>
      </c>
    </row>
    <row r="51" customFormat="false" ht="15" hidden="false" customHeight="false" outlineLevel="0" collapsed="false">
      <c r="A51" s="7" t="s">
        <v>214</v>
      </c>
      <c r="B51" s="27" t="n">
        <f aca="false">MAX(RwaInt,RwaFloor)</f>
        <v>29908880000</v>
      </c>
    </row>
    <row r="52" customFormat="false" ht="15" hidden="false" customHeight="false" outlineLevel="0" collapsed="false">
      <c r="A52" s="7" t="s">
        <v>215</v>
      </c>
      <c r="B52" s="33" t="str">
        <f aca="false">IF(RwaFloor&gt;RwaInt,"yes","no")</f>
        <v>no</v>
      </c>
    </row>
    <row r="54" customFormat="false" ht="15" hidden="false" customHeight="false" outlineLevel="0" collapsed="false">
      <c r="A54" s="4" t="s">
        <v>216</v>
      </c>
      <c r="B54" s="6"/>
      <c r="C54" s="6"/>
      <c r="D54" s="6"/>
      <c r="E54" s="6"/>
      <c r="F54" s="6"/>
      <c r="G54" s="6"/>
      <c r="H54" s="6"/>
    </row>
    <row r="56" customFormat="false" ht="15" hidden="false" customHeight="false" outlineLevel="0" collapsed="false">
      <c r="A56" s="7" t="s">
        <v>101</v>
      </c>
      <c r="B56" s="27" t="n">
        <f aca="false">INDEX(LiabAmt,MATCH("Common equity tier 1",LiabLbl,0))</f>
        <v>4060000000</v>
      </c>
    </row>
    <row r="57" customFormat="false" ht="15" hidden="false" customHeight="false" outlineLevel="0" collapsed="false">
      <c r="A57" s="7" t="s">
        <v>100</v>
      </c>
      <c r="B57" s="27" t="n">
        <f aca="false">INDEX(LiabAmt,MATCH("Additional tier 1",LiabLbl,0))</f>
        <v>520000000</v>
      </c>
    </row>
    <row r="58" customFormat="false" ht="15" hidden="false" customHeight="false" outlineLevel="0" collapsed="false">
      <c r="A58" s="7" t="s">
        <v>99</v>
      </c>
      <c r="B58" s="27" t="n">
        <f aca="false">INDEX(LiabAmt,MATCH("Tier 2",LiabLbl,0))</f>
        <v>910000000</v>
      </c>
    </row>
    <row r="59" customFormat="false" ht="15" hidden="false" customHeight="false" outlineLevel="0" collapsed="false">
      <c r="A59" s="7" t="s">
        <v>217</v>
      </c>
      <c r="B59" s="27" t="n">
        <f aca="false">CetCap+At1Cap</f>
        <v>4580000000</v>
      </c>
    </row>
    <row r="60" customFormat="false" ht="15" hidden="false" customHeight="false" outlineLevel="0" collapsed="false">
      <c r="A60" s="7" t="s">
        <v>218</v>
      </c>
      <c r="B60" s="27" t="n">
        <f aca="false">Tier1Cap+TierTwo</f>
        <v>5490000000</v>
      </c>
    </row>
    <row r="61" customFormat="false" ht="15" hidden="false" customHeight="false" outlineLevel="0" collapsed="false">
      <c r="A61" s="7" t="s">
        <v>96</v>
      </c>
      <c r="B61" s="27" t="n">
        <f aca="false">INDEX(LiabAmt,MATCH("Senior non-preferred debt, over one year",LiabLbl,0))</f>
        <v>1350000000</v>
      </c>
    </row>
    <row r="62" customFormat="false" ht="15" hidden="false" customHeight="false" outlineLevel="0" collapsed="false">
      <c r="A62" s="7" t="s">
        <v>95</v>
      </c>
      <c r="B62" s="27" t="n">
        <f aca="false">INDEX(LiabAmt,MATCH("Senior preferred debt, over one year",LiabLbl,0))</f>
        <v>1900000000</v>
      </c>
    </row>
    <row r="63" customFormat="false" ht="15" hidden="false" customHeight="false" outlineLevel="0" collapsed="false">
      <c r="A63" s="7" t="s">
        <v>97</v>
      </c>
      <c r="B63" s="27" t="n">
        <f aca="false">INDEX(LiabAmt,MATCH("Secured funding, under six months",LiabLbl,0))</f>
        <v>14260000000</v>
      </c>
    </row>
    <row r="64" customFormat="false" ht="15" hidden="false" customHeight="false" outlineLevel="0" collapsed="false">
      <c r="A64" s="7" t="s">
        <v>219</v>
      </c>
      <c r="B64" s="27" t="n">
        <f aca="false">SUM(LiabAmt)</f>
        <v>80240000000</v>
      </c>
    </row>
    <row r="65" customFormat="false" ht="15" hidden="false" customHeight="false" outlineLevel="0" collapsed="false">
      <c r="A65" s="7" t="s">
        <v>220</v>
      </c>
      <c r="B65" s="34" t="n">
        <f aca="false">TotAssets-TotLiab</f>
        <v>0</v>
      </c>
    </row>
    <row r="67" customFormat="false" ht="15" hidden="false" customHeight="false" outlineLevel="0" collapsed="false">
      <c r="A67" s="7" t="s">
        <v>221</v>
      </c>
      <c r="B67" s="17" t="n">
        <f aca="false">CetCap/RwaUsed</f>
        <v>0.135745638084743</v>
      </c>
    </row>
    <row r="68" customFormat="false" ht="15" hidden="false" customHeight="false" outlineLevel="0" collapsed="false">
      <c r="A68" s="7" t="s">
        <v>222</v>
      </c>
      <c r="B68" s="17" t="n">
        <f aca="false">Tier1Cap/RwaUsed</f>
        <v>0.153131778923183</v>
      </c>
    </row>
    <row r="69" customFormat="false" ht="15" hidden="false" customHeight="false" outlineLevel="0" collapsed="false">
      <c r="A69" s="7" t="s">
        <v>223</v>
      </c>
      <c r="B69" s="17" t="n">
        <f aca="false">OwnFunds/RwaUsed</f>
        <v>0.183557525390453</v>
      </c>
    </row>
    <row r="71" customFormat="false" ht="15" hidden="false" customHeight="false" outlineLevel="0" collapsed="false">
      <c r="A71" s="4" t="s">
        <v>224</v>
      </c>
      <c r="B71" s="6"/>
      <c r="C71" s="6"/>
      <c r="D71" s="6"/>
      <c r="E71" s="6"/>
      <c r="F71" s="6"/>
      <c r="G71" s="6"/>
      <c r="H71" s="6"/>
    </row>
    <row r="73" customFormat="false" ht="15" hidden="false" customHeight="false" outlineLevel="0" collapsed="false">
      <c r="A73" s="7" t="s">
        <v>225</v>
      </c>
      <c r="B73" s="17" t="n">
        <f aca="false">P2Req*P2CetShare</f>
        <v>0.01125</v>
      </c>
    </row>
    <row r="74" customFormat="false" ht="15" hidden="false" customHeight="false" outlineLevel="0" collapsed="false">
      <c r="A74" s="7" t="s">
        <v>226</v>
      </c>
      <c r="B74" s="17" t="n">
        <f aca="false">P2Req*P2T1Share-P2CetReq</f>
        <v>0.00375</v>
      </c>
    </row>
    <row r="75" customFormat="false" ht="15" hidden="false" customHeight="false" outlineLevel="0" collapsed="false">
      <c r="A75" s="7" t="s">
        <v>227</v>
      </c>
      <c r="B75" s="17" t="n">
        <f aca="false">P2Req*P2T2Share</f>
        <v>0.005</v>
      </c>
    </row>
    <row r="76" customFormat="false" ht="15" hidden="false" customHeight="false" outlineLevel="0" collapsed="false">
      <c r="A76" s="7" t="s">
        <v>228</v>
      </c>
      <c r="B76" s="28" t="n">
        <f aca="false">P2CetReq+P2At1Req+P2T2Req-P2Req</f>
        <v>0</v>
      </c>
    </row>
    <row r="77" customFormat="false" ht="15" hidden="false" customHeight="false" outlineLevel="0" collapsed="false">
      <c r="A77" s="7" t="s">
        <v>229</v>
      </c>
      <c r="B77" s="17" t="n">
        <f aca="false">P1Cet+P2CetReq</f>
        <v>0.05625</v>
      </c>
    </row>
    <row r="78" customFormat="false" ht="15" hidden="false" customHeight="false" outlineLevel="0" collapsed="false">
      <c r="A78" s="7" t="s">
        <v>230</v>
      </c>
      <c r="B78" s="17" t="n">
        <f aca="false">SUMPRODUCT(GeoShare,GeoRate)</f>
        <v>0.0097</v>
      </c>
    </row>
    <row r="79" customFormat="false" ht="15" hidden="false" customHeight="false" outlineLevel="0" collapsed="false">
      <c r="A79" s="7" t="s">
        <v>231</v>
      </c>
      <c r="B79" s="17" t="n">
        <f aca="false">BufCons+CcybRate+BufOsii+BufSect</f>
        <v>0.0497</v>
      </c>
    </row>
    <row r="80" customFormat="false" ht="15" hidden="false" customHeight="false" outlineLevel="0" collapsed="false">
      <c r="A80" s="7" t="s">
        <v>232</v>
      </c>
      <c r="B80" s="17" t="n">
        <f aca="false">ReqCetNoBuf+CbrRate</f>
        <v>0.10595</v>
      </c>
    </row>
    <row r="81" customFormat="false" ht="15" hidden="false" customHeight="false" outlineLevel="0" collapsed="false">
      <c r="A81" s="7" t="s">
        <v>233</v>
      </c>
      <c r="B81" s="17" t="n">
        <f aca="false">MdaTrig+P2Guide</f>
        <v>0.11845</v>
      </c>
    </row>
    <row r="82" customFormat="false" ht="15" hidden="false" customHeight="false" outlineLevel="0" collapsed="false">
      <c r="A82" s="7" t="s">
        <v>234</v>
      </c>
      <c r="B82" s="27" t="n">
        <f aca="false">CbrRate*RwaUsed</f>
        <v>1486471336</v>
      </c>
    </row>
    <row r="83" customFormat="false" ht="15" hidden="false" customHeight="false" outlineLevel="0" collapsed="false">
      <c r="A83" s="7" t="s">
        <v>235</v>
      </c>
      <c r="B83" s="27" t="n">
        <f aca="false">TotAssets+'The bank'!$D$31</f>
        <v>83970000000</v>
      </c>
    </row>
    <row r="84" customFormat="false" ht="15" hidden="false" customHeight="false" outlineLevel="0" collapsed="false">
      <c r="A84" s="13" t="s">
        <v>236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4" min="2" style="0" width="20"/>
  </cols>
  <sheetData>
    <row r="1" customFormat="false" ht="24" hidden="false" customHeight="true" outlineLevel="0" collapsed="false">
      <c r="A1" s="1" t="s">
        <v>237</v>
      </c>
    </row>
    <row r="2" customFormat="false" ht="15" hidden="false" customHeight="false" outlineLevel="0" collapsed="false">
      <c r="A2" s="2" t="s">
        <v>238</v>
      </c>
    </row>
    <row r="3" customFormat="false" ht="15" hidden="false" customHeight="false" outlineLevel="0" collapsed="false">
      <c r="A3" s="3"/>
      <c r="B3" s="3"/>
      <c r="C3" s="3"/>
      <c r="D3" s="3"/>
    </row>
    <row r="5" customFormat="false" ht="15" hidden="false" customHeight="false" outlineLevel="0" collapsed="false">
      <c r="A5" s="4" t="s">
        <v>239</v>
      </c>
      <c r="B5" s="6"/>
      <c r="C5" s="6"/>
      <c r="D5" s="6"/>
    </row>
    <row r="7" customFormat="false" ht="15" hidden="false" customHeight="false" outlineLevel="0" collapsed="false">
      <c r="A7" s="7" t="s">
        <v>108</v>
      </c>
      <c r="B7" s="17" t="n">
        <f aca="false">P2Req</f>
        <v>0.02</v>
      </c>
    </row>
    <row r="8" customFormat="false" ht="15" hidden="false" customHeight="false" outlineLevel="0" collapsed="false">
      <c r="A8" s="7" t="s">
        <v>240</v>
      </c>
      <c r="B8" s="17" t="n">
        <f aca="false">P2CetReq</f>
        <v>0.01125</v>
      </c>
    </row>
    <row r="9" customFormat="false" ht="15" hidden="false" customHeight="false" outlineLevel="0" collapsed="false">
      <c r="A9" s="7" t="s">
        <v>241</v>
      </c>
      <c r="B9" s="17" t="n">
        <f aca="false">P2At1Req</f>
        <v>0.00375</v>
      </c>
    </row>
    <row r="10" customFormat="false" ht="15" hidden="false" customHeight="false" outlineLevel="0" collapsed="false">
      <c r="A10" s="7" t="s">
        <v>242</v>
      </c>
      <c r="B10" s="17" t="n">
        <f aca="false">P2T2Req</f>
        <v>0.005</v>
      </c>
    </row>
    <row r="11" customFormat="false" ht="15" hidden="false" customHeight="false" outlineLevel="0" collapsed="false">
      <c r="A11" s="7" t="s">
        <v>243</v>
      </c>
      <c r="B11" s="28" t="n">
        <f aca="false">P2CetReq+P2At1Req+P2T2Req-P2Req</f>
        <v>0</v>
      </c>
    </row>
    <row r="12" customFormat="false" ht="15" hidden="false" customHeight="false" outlineLevel="0" collapsed="false">
      <c r="A12" s="7" t="s">
        <v>229</v>
      </c>
      <c r="B12" s="17" t="n">
        <f aca="false">ReqCetNoBuf</f>
        <v>0.05625</v>
      </c>
    </row>
    <row r="14" customFormat="false" ht="15" hidden="false" customHeight="false" outlineLevel="0" collapsed="false">
      <c r="A14" s="4" t="s">
        <v>244</v>
      </c>
      <c r="B14" s="6"/>
      <c r="C14" s="6"/>
      <c r="D14" s="6"/>
    </row>
    <row r="16" customFormat="false" ht="31.5" hidden="false" customHeight="true" outlineLevel="0" collapsed="false">
      <c r="A16" s="9" t="s">
        <v>245</v>
      </c>
      <c r="B16" s="10" t="s">
        <v>246</v>
      </c>
      <c r="C16" s="10" t="s">
        <v>247</v>
      </c>
      <c r="D16" s="10" t="s">
        <v>248</v>
      </c>
    </row>
    <row r="17" customFormat="false" ht="15" hidden="false" customHeight="false" outlineLevel="0" collapsed="false">
      <c r="A17" s="7" t="s">
        <v>101</v>
      </c>
      <c r="B17" s="27" t="n">
        <f aca="false">ReqCetNoBuf*RwaUsed</f>
        <v>1682374500</v>
      </c>
      <c r="C17" s="27" t="n">
        <f aca="false">CetCap</f>
        <v>4060000000</v>
      </c>
      <c r="D17" s="27" t="n">
        <f aca="false">MAX(0,B17-C17)</f>
        <v>0</v>
      </c>
    </row>
    <row r="18" customFormat="false" ht="15" hidden="false" customHeight="false" outlineLevel="0" collapsed="false">
      <c r="A18" s="21" t="s">
        <v>100</v>
      </c>
      <c r="B18" s="31" t="n">
        <f aca="false">(P1Tier1-P1Cet+P2At1Req)*RwaUsed</f>
        <v>560791500</v>
      </c>
      <c r="C18" s="31" t="n">
        <f aca="false">At1Cap</f>
        <v>520000000</v>
      </c>
      <c r="D18" s="31" t="n">
        <f aca="false">MAX(0,B18-C18)</f>
        <v>40791500</v>
      </c>
    </row>
    <row r="19" customFormat="false" ht="15" hidden="false" customHeight="false" outlineLevel="0" collapsed="false">
      <c r="A19" s="7" t="s">
        <v>99</v>
      </c>
      <c r="B19" s="27" t="n">
        <f aca="false">(P1Total-P1Tier1+P2T2Req)*RwaUsed</f>
        <v>747722000</v>
      </c>
      <c r="C19" s="27" t="n">
        <f aca="false">TierTwo</f>
        <v>910000000</v>
      </c>
      <c r="D19" s="27" t="n">
        <f aca="false">MAX(0,B19-C19)</f>
        <v>0</v>
      </c>
    </row>
    <row r="21" customFormat="false" ht="15" hidden="false" customHeight="false" outlineLevel="0" collapsed="false">
      <c r="A21" s="7" t="s">
        <v>249</v>
      </c>
      <c r="B21" s="27" t="n">
        <f aca="false">MAX(0,'The three compartments'!$C$19-'The three compartments'!$B$19)</f>
        <v>162278000</v>
      </c>
    </row>
    <row r="22" customFormat="false" ht="15" hidden="false" customHeight="false" outlineLevel="0" collapsed="false">
      <c r="A22" s="7" t="s">
        <v>250</v>
      </c>
      <c r="B22" s="27" t="n">
        <f aca="false">'The three compartments'!$D$18+'The three compartments'!$D$19</f>
        <v>40791500</v>
      </c>
    </row>
    <row r="23" customFormat="false" ht="15" hidden="false" customHeight="false" outlineLevel="0" collapsed="false">
      <c r="A23" s="7" t="s">
        <v>251</v>
      </c>
      <c r="B23" s="17" t="n">
        <f aca="false">CetLocked/RwaUsed</f>
        <v>0.00136385916156005</v>
      </c>
    </row>
    <row r="24" customFormat="false" ht="15" hidden="false" customHeight="false" outlineLevel="0" collapsed="false">
      <c r="A24" s="13" t="s">
        <v>252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8"/>
    <col collapsed="false" customWidth="true" hidden="false" outlineLevel="0" max="3" min="3" style="0" width="16"/>
    <col collapsed="false" customWidth="true" hidden="false" outlineLevel="0" max="5" min="4" style="0" width="18"/>
  </cols>
  <sheetData>
    <row r="1" customFormat="false" ht="24" hidden="false" customHeight="true" outlineLevel="0" collapsed="false">
      <c r="A1" s="1" t="s">
        <v>253</v>
      </c>
    </row>
    <row r="2" customFormat="false" ht="15" hidden="false" customHeight="false" outlineLevel="0" collapsed="false">
      <c r="A2" s="2" t="s">
        <v>254</v>
      </c>
    </row>
    <row r="3" customFormat="false" ht="15" hidden="false" customHeight="false" outlineLevel="0" collapsed="false">
      <c r="A3" s="3"/>
      <c r="B3" s="3"/>
      <c r="C3" s="3"/>
      <c r="D3" s="3"/>
      <c r="E3" s="3"/>
    </row>
    <row r="5" customFormat="false" ht="15" hidden="false" customHeight="false" outlineLevel="0" collapsed="false">
      <c r="A5" s="4" t="s">
        <v>117</v>
      </c>
      <c r="B5" s="6"/>
      <c r="C5" s="6"/>
      <c r="D5" s="6"/>
      <c r="E5" s="6"/>
    </row>
    <row r="7" customFormat="false" ht="31.5" hidden="false" customHeight="true" outlineLevel="0" collapsed="false">
      <c r="A7" s="9" t="s">
        <v>118</v>
      </c>
      <c r="B7" s="10" t="s">
        <v>119</v>
      </c>
      <c r="C7" s="10" t="s">
        <v>120</v>
      </c>
      <c r="D7" s="10" t="s">
        <v>255</v>
      </c>
    </row>
    <row r="8" customFormat="false" ht="15" hidden="false" customHeight="false" outlineLevel="0" collapsed="false">
      <c r="A8" s="29" t="str">
        <f aca="false">INDEX(GeoLbl,1)</f>
        <v>France</v>
      </c>
      <c r="B8" s="20" t="n">
        <f aca="false">INDEX(GeoShare,1)</f>
        <v>0.46</v>
      </c>
      <c r="C8" s="20" t="n">
        <f aca="false">INDEX(GeoRate,1)</f>
        <v>0.01</v>
      </c>
      <c r="D8" s="17" t="n">
        <f aca="false">B8*C8</f>
        <v>0.0046</v>
      </c>
    </row>
    <row r="9" customFormat="false" ht="15" hidden="false" customHeight="false" outlineLevel="0" collapsed="false">
      <c r="A9" s="30" t="str">
        <f aca="false">INDEX(GeoLbl,2)</f>
        <v>Germany</v>
      </c>
      <c r="B9" s="22" t="n">
        <f aca="false">INDEX(GeoShare,2)</f>
        <v>0.21</v>
      </c>
      <c r="C9" s="22" t="n">
        <f aca="false">INDEX(GeoRate,2)</f>
        <v>0.0075</v>
      </c>
      <c r="D9" s="23" t="n">
        <f aca="false">B9*C9</f>
        <v>0.001575</v>
      </c>
    </row>
    <row r="10" customFormat="false" ht="15" hidden="false" customHeight="false" outlineLevel="0" collapsed="false">
      <c r="A10" s="29" t="str">
        <f aca="false">INDEX(GeoLbl,3)</f>
        <v>Netherlands</v>
      </c>
      <c r="B10" s="20" t="n">
        <f aca="false">INDEX(GeoShare,3)</f>
        <v>0.12</v>
      </c>
      <c r="C10" s="20" t="n">
        <f aca="false">INDEX(GeoRate,3)</f>
        <v>0.02</v>
      </c>
      <c r="D10" s="17" t="n">
        <f aca="false">B10*C10</f>
        <v>0.0024</v>
      </c>
    </row>
    <row r="11" customFormat="false" ht="15" hidden="false" customHeight="false" outlineLevel="0" collapsed="false">
      <c r="A11" s="30" t="str">
        <f aca="false">INDEX(GeoLbl,4)</f>
        <v>Belgium</v>
      </c>
      <c r="B11" s="22" t="n">
        <f aca="false">INDEX(GeoShare,4)</f>
        <v>0.09</v>
      </c>
      <c r="C11" s="22" t="n">
        <f aca="false">INDEX(GeoRate,4)</f>
        <v>0.0125</v>
      </c>
      <c r="D11" s="23" t="n">
        <f aca="false">B11*C11</f>
        <v>0.001125</v>
      </c>
    </row>
    <row r="12" customFormat="false" ht="15" hidden="false" customHeight="false" outlineLevel="0" collapsed="false">
      <c r="A12" s="29" t="str">
        <f aca="false">INDEX(GeoLbl,5)</f>
        <v>Rest of the Union</v>
      </c>
      <c r="B12" s="20" t="n">
        <f aca="false">INDEX(GeoShare,5)</f>
        <v>0.08</v>
      </c>
      <c r="C12" s="20" t="n">
        <f aca="false">INDEX(GeoRate,5)</f>
        <v>0</v>
      </c>
      <c r="D12" s="17" t="n">
        <f aca="false">B12*C12</f>
        <v>0</v>
      </c>
    </row>
    <row r="13" customFormat="false" ht="15" hidden="false" customHeight="false" outlineLevel="0" collapsed="false">
      <c r="A13" s="30" t="str">
        <f aca="false">INDEX(GeoLbl,6)</f>
        <v>Outside the Union</v>
      </c>
      <c r="B13" s="22" t="n">
        <f aca="false">INDEX(GeoShare,6)</f>
        <v>0.04</v>
      </c>
      <c r="C13" s="22" t="n">
        <f aca="false">INDEX(GeoRate,6)</f>
        <v>0</v>
      </c>
      <c r="D13" s="23" t="n">
        <f aca="false">B13*C13</f>
        <v>0</v>
      </c>
    </row>
    <row r="14" customFormat="false" ht="15" hidden="false" customHeight="false" outlineLevel="0" collapsed="false">
      <c r="A14" s="24" t="s">
        <v>256</v>
      </c>
      <c r="B14" s="12" t="n">
        <f aca="false">SUM(B8:B13)</f>
        <v>1</v>
      </c>
      <c r="D14" s="25" t="n">
        <f aca="false">SUM(D8:D13)</f>
        <v>0.0097</v>
      </c>
    </row>
    <row r="16" customFormat="false" ht="15" hidden="false" customHeight="false" outlineLevel="0" collapsed="false">
      <c r="A16" s="13" t="s">
        <v>257</v>
      </c>
    </row>
    <row r="18" customFormat="false" ht="15" hidden="false" customHeight="false" outlineLevel="0" collapsed="false">
      <c r="A18" s="4" t="s">
        <v>258</v>
      </c>
      <c r="B18" s="6"/>
      <c r="C18" s="6"/>
      <c r="D18" s="6"/>
      <c r="E18" s="6"/>
    </row>
    <row r="20" customFormat="false" ht="15" hidden="false" customHeight="false" outlineLevel="0" collapsed="false">
      <c r="A20" s="7" t="s">
        <v>113</v>
      </c>
      <c r="B20" s="17" t="n">
        <f aca="false">BufCons</f>
        <v>0.025</v>
      </c>
    </row>
    <row r="21" customFormat="false" ht="15" hidden="false" customHeight="false" outlineLevel="0" collapsed="false">
      <c r="A21" s="7" t="s">
        <v>230</v>
      </c>
      <c r="B21" s="17" t="n">
        <f aca="false">CcybRate</f>
        <v>0.0097</v>
      </c>
    </row>
    <row r="22" customFormat="false" ht="15" hidden="false" customHeight="false" outlineLevel="0" collapsed="false">
      <c r="A22" s="7" t="s">
        <v>114</v>
      </c>
      <c r="B22" s="17" t="n">
        <f aca="false">BufOsii</f>
        <v>0.01</v>
      </c>
    </row>
    <row r="23" customFormat="false" ht="15" hidden="false" customHeight="false" outlineLevel="0" collapsed="false">
      <c r="A23" s="7" t="s">
        <v>115</v>
      </c>
      <c r="B23" s="17" t="n">
        <f aca="false">BufSect</f>
        <v>0.005</v>
      </c>
    </row>
    <row r="24" customFormat="false" ht="15" hidden="false" customHeight="false" outlineLevel="0" collapsed="false">
      <c r="A24" s="7" t="s">
        <v>231</v>
      </c>
      <c r="B24" s="17" t="n">
        <f aca="false">CbrRate</f>
        <v>0.0497</v>
      </c>
    </row>
    <row r="25" customFormat="false" ht="15" hidden="false" customHeight="false" outlineLevel="0" collapsed="false">
      <c r="A25" s="7" t="s">
        <v>259</v>
      </c>
      <c r="B25" s="27" t="n">
        <f aca="false">CbrEur</f>
        <v>1486471336</v>
      </c>
    </row>
    <row r="26" customFormat="false" ht="15" hidden="false" customHeight="false" outlineLevel="0" collapsed="false">
      <c r="A26" s="7" t="s">
        <v>232</v>
      </c>
      <c r="B26" s="17" t="n">
        <f aca="false">MdaTrig</f>
        <v>0.10595</v>
      </c>
    </row>
    <row r="27" customFormat="false" ht="15" hidden="false" customHeight="false" outlineLevel="0" collapsed="false">
      <c r="A27" s="7" t="s">
        <v>260</v>
      </c>
      <c r="B27" s="17" t="n">
        <f aca="false">P2Guide</f>
        <v>0.0125</v>
      </c>
    </row>
    <row r="28" customFormat="false" ht="15" hidden="false" customHeight="false" outlineLevel="0" collapsed="false">
      <c r="A28" s="7" t="s">
        <v>261</v>
      </c>
      <c r="B28" s="17" t="n">
        <f aca="false">MdaWithGuide</f>
        <v>0.11845</v>
      </c>
    </row>
    <row r="30" customFormat="false" ht="15" hidden="false" customHeight="false" outlineLevel="0" collapsed="false">
      <c r="A30" s="4" t="s">
        <v>262</v>
      </c>
      <c r="B30" s="6"/>
      <c r="C30" s="6"/>
      <c r="D30" s="6"/>
      <c r="E30" s="6"/>
    </row>
    <row r="32" customFormat="false" ht="31.5" hidden="false" customHeight="true" outlineLevel="0" collapsed="false">
      <c r="A32" s="9" t="s">
        <v>152</v>
      </c>
      <c r="B32" s="10" t="s">
        <v>263</v>
      </c>
      <c r="C32" s="10" t="s">
        <v>264</v>
      </c>
      <c r="D32" s="10" t="s">
        <v>265</v>
      </c>
      <c r="E32" s="10" t="s">
        <v>154</v>
      </c>
    </row>
    <row r="33" customFormat="false" ht="15" hidden="false" customHeight="false" outlineLevel="0" collapsed="false">
      <c r="A33" s="7" t="s">
        <v>155</v>
      </c>
      <c r="B33" s="20" t="n">
        <f aca="false">INDEX(MdaQ,1)</f>
        <v>0.25</v>
      </c>
      <c r="C33" s="17" t="n">
        <f aca="false">ReqCetNoBuf+B33*CbrRate</f>
        <v>0.068675</v>
      </c>
      <c r="D33" s="27" t="n">
        <f aca="false">C33*RwaUsed</f>
        <v>2053992334</v>
      </c>
      <c r="E33" s="20" t="n">
        <f aca="false">INDEX(MdaPay,1)</f>
        <v>0.2</v>
      </c>
    </row>
    <row r="34" customFormat="false" ht="15" hidden="false" customHeight="false" outlineLevel="0" collapsed="false">
      <c r="A34" s="21" t="s">
        <v>156</v>
      </c>
      <c r="B34" s="22" t="n">
        <f aca="false">INDEX(MdaQ,2)</f>
        <v>0.5</v>
      </c>
      <c r="C34" s="23" t="n">
        <f aca="false">ReqCetNoBuf+B34*CbrRate</f>
        <v>0.0811</v>
      </c>
      <c r="D34" s="31" t="n">
        <f aca="false">C34*RwaUsed</f>
        <v>2425610168</v>
      </c>
      <c r="E34" s="22" t="n">
        <f aca="false">INDEX(MdaPay,2)</f>
        <v>0.4</v>
      </c>
    </row>
    <row r="35" customFormat="false" ht="15" hidden="false" customHeight="false" outlineLevel="0" collapsed="false">
      <c r="A35" s="7" t="s">
        <v>157</v>
      </c>
      <c r="B35" s="20" t="n">
        <f aca="false">INDEX(MdaQ,3)</f>
        <v>0.75</v>
      </c>
      <c r="C35" s="17" t="n">
        <f aca="false">ReqCetNoBuf+B35*CbrRate</f>
        <v>0.093525</v>
      </c>
      <c r="D35" s="27" t="n">
        <f aca="false">C35*RwaUsed</f>
        <v>2797228002</v>
      </c>
      <c r="E35" s="20" t="n">
        <f aca="false">INDEX(MdaPay,3)</f>
        <v>0.6</v>
      </c>
    </row>
    <row r="36" customFormat="false" ht="15" hidden="false" customHeight="false" outlineLevel="0" collapsed="false">
      <c r="A36" s="21" t="s">
        <v>158</v>
      </c>
      <c r="B36" s="22" t="n">
        <f aca="false">INDEX(MdaQ,4)</f>
        <v>1</v>
      </c>
      <c r="C36" s="23" t="n">
        <f aca="false">ReqCetNoBuf+B36*CbrRate</f>
        <v>0.10595</v>
      </c>
      <c r="D36" s="31" t="n">
        <f aca="false">C36*RwaUsed</f>
        <v>3168845836</v>
      </c>
      <c r="E36" s="22" t="n">
        <f aca="false">INDEX(MdaPay,4)</f>
        <v>1</v>
      </c>
    </row>
    <row r="37" customFormat="false" ht="15" hidden="false" customHeight="false" outlineLevel="0" collapsed="false">
      <c r="A37" s="13" t="s">
        <v>266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2" min="2" style="0" width="18"/>
    <col collapsed="false" customWidth="true" hidden="false" outlineLevel="0" max="3" min="3" style="0" width="20"/>
  </cols>
  <sheetData>
    <row r="1" customFormat="false" ht="24" hidden="false" customHeight="true" outlineLevel="0" collapsed="false">
      <c r="A1" s="1" t="s">
        <v>267</v>
      </c>
    </row>
    <row r="2" customFormat="false" ht="15" hidden="false" customHeight="false" outlineLevel="0" collapsed="false">
      <c r="A2" s="2" t="s">
        <v>268</v>
      </c>
    </row>
    <row r="3" customFormat="false" ht="15" hidden="false" customHeight="false" outlineLevel="0" collapsed="false">
      <c r="A3" s="3"/>
      <c r="B3" s="3"/>
      <c r="C3" s="3"/>
    </row>
    <row r="5" customFormat="false" ht="31.5" hidden="false" customHeight="true" outlineLevel="0" collapsed="false">
      <c r="A5" s="9"/>
      <c r="B5" s="10" t="s">
        <v>269</v>
      </c>
      <c r="C5" s="10" t="s">
        <v>265</v>
      </c>
    </row>
    <row r="6" customFormat="false" ht="15" hidden="false" customHeight="false" outlineLevel="0" collapsed="false">
      <c r="A6" s="7" t="s">
        <v>221</v>
      </c>
      <c r="B6" s="17" t="n">
        <f aca="false">RatioCet</f>
        <v>0.135745638084743</v>
      </c>
      <c r="C6" s="27" t="n">
        <f aca="false">RatioCet*RwaUsed</f>
        <v>4060000000</v>
      </c>
    </row>
    <row r="7" customFormat="false" ht="15" hidden="false" customHeight="false" outlineLevel="0" collapsed="false">
      <c r="A7" s="21" t="s">
        <v>232</v>
      </c>
      <c r="B7" s="23" t="n">
        <f aca="false">MdaTrig</f>
        <v>0.10595</v>
      </c>
      <c r="C7" s="31" t="n">
        <f aca="false">MdaTrig*RwaUsed</f>
        <v>3168845836</v>
      </c>
    </row>
    <row r="8" customFormat="false" ht="15" hidden="false" customHeight="false" outlineLevel="0" collapsed="false">
      <c r="A8" s="24" t="s">
        <v>270</v>
      </c>
      <c r="B8" s="25" t="n">
        <f aca="false">RatioCet-MdaTrig</f>
        <v>0.0297956380847427</v>
      </c>
      <c r="C8" s="32" t="n">
        <f aca="false">(RatioCet-MdaTrig)*RwaUsed</f>
        <v>891154164</v>
      </c>
    </row>
    <row r="9" customFormat="false" ht="15" hidden="false" customHeight="false" outlineLevel="0" collapsed="false">
      <c r="A9" s="21" t="s">
        <v>271</v>
      </c>
      <c r="B9" s="23" t="n">
        <f aca="false">CetLocked/RwaUsed</f>
        <v>0.00136385916156005</v>
      </c>
      <c r="C9" s="31" t="n">
        <f aca="false">CetLocked</f>
        <v>40791500</v>
      </c>
    </row>
    <row r="10" customFormat="false" ht="15" hidden="false" customHeight="false" outlineLevel="0" collapsed="false">
      <c r="A10" s="24" t="s">
        <v>272</v>
      </c>
      <c r="B10" s="25" t="n">
        <f aca="false">RatioCet-MdaTrig-CetLocked/RwaUsed</f>
        <v>0.0284317789231827</v>
      </c>
      <c r="C10" s="32" t="n">
        <f aca="false">(RatioCet-MdaTrig)*RwaUsed-CetLocked</f>
        <v>850362664</v>
      </c>
    </row>
    <row r="11" customFormat="false" ht="15" hidden="false" customHeight="false" outlineLevel="0" collapsed="false">
      <c r="A11" s="24" t="s">
        <v>273</v>
      </c>
      <c r="B11" s="35" t="n">
        <f aca="false">(Headroom!$B$8-Headroom!$B$10)*10000</f>
        <v>13.6385916156005</v>
      </c>
      <c r="C11" s="32" t="n">
        <f aca="false">Headroom!$C$8-Headroom!$C$10</f>
        <v>40791500</v>
      </c>
    </row>
    <row r="12" customFormat="false" ht="15" hidden="false" customHeight="false" outlineLevel="0" collapsed="false">
      <c r="A12" s="21" t="s">
        <v>274</v>
      </c>
      <c r="B12" s="23" t="n">
        <f aca="false">RatioCet-MdaWithGuide</f>
        <v>0.0172956380847427</v>
      </c>
      <c r="C12" s="31" t="n">
        <f aca="false">(RatioCet-MdaWithGuide)*RwaUsed</f>
        <v>517293164</v>
      </c>
    </row>
    <row r="14" customFormat="false" ht="15" hidden="false" customHeight="false" outlineLevel="0" collapsed="false">
      <c r="A14" s="4" t="s">
        <v>275</v>
      </c>
      <c r="B14" s="6"/>
      <c r="C14" s="6"/>
    </row>
    <row r="16" customFormat="false" ht="15" hidden="false" customHeight="false" outlineLevel="0" collapsed="false">
      <c r="A16" s="7" t="s">
        <v>276</v>
      </c>
      <c r="B16" s="36" t="n">
        <f aca="false">(RatioCet-ReqCetNoBuf-CetLocked/RwaUsed)/CbrRate</f>
        <v>1.57206798638195</v>
      </c>
    </row>
    <row r="17" customFormat="false" ht="15" hidden="false" customHeight="false" outlineLevel="0" collapsed="false">
      <c r="A17" s="7" t="s">
        <v>277</v>
      </c>
      <c r="B17" s="20" t="n">
        <f aca="false">IF(Coverage&gt;=INDEX(MdaQ,4),INDEX(MdaPay,4),IF(Coverage&gt;=INDEX(MdaQ,3),INDEX(MdaPay,3),IF(Coverage&gt;=INDEX(MdaQ,2),INDEX(MdaPay,2),IF(Coverage&gt;=INDEX(MdaQ,1),INDEX(MdaPay,1),0))))</f>
        <v>1</v>
      </c>
    </row>
    <row r="18" customFormat="false" ht="15" hidden="false" customHeight="false" outlineLevel="0" collapsed="false">
      <c r="A18" s="13" t="s">
        <v>278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2" min="2" style="0" width="20"/>
  </cols>
  <sheetData>
    <row r="1" customFormat="false" ht="24" hidden="false" customHeight="true" outlineLevel="0" collapsed="false">
      <c r="A1" s="1" t="s">
        <v>279</v>
      </c>
    </row>
    <row r="2" customFormat="false" ht="15" hidden="false" customHeight="false" outlineLevel="0" collapsed="false">
      <c r="A2" s="2" t="s">
        <v>280</v>
      </c>
    </row>
    <row r="3" customFormat="false" ht="15" hidden="false" customHeight="false" outlineLevel="0" collapsed="false">
      <c r="A3" s="3"/>
      <c r="B3" s="3"/>
    </row>
    <row r="5" customFormat="false" ht="15" hidden="false" customHeight="false" outlineLevel="0" collapsed="false">
      <c r="A5" s="4" t="s">
        <v>281</v>
      </c>
      <c r="B5" s="6"/>
    </row>
    <row r="7" customFormat="false" ht="15" hidden="false" customHeight="false" outlineLevel="0" collapsed="false">
      <c r="A7" s="7" t="s">
        <v>282</v>
      </c>
      <c r="B7" s="27" t="n">
        <f aca="false">TotAssets</f>
        <v>80240000000</v>
      </c>
    </row>
    <row r="8" customFormat="false" ht="15" hidden="false" customHeight="false" outlineLevel="0" collapsed="false">
      <c r="A8" s="7" t="s">
        <v>283</v>
      </c>
      <c r="B8" s="27" t="n">
        <f aca="false">SUMPRODUCT(OffNom,OffCcf)</f>
        <v>3730000000</v>
      </c>
    </row>
    <row r="9" customFormat="false" ht="15" hidden="false" customHeight="false" outlineLevel="0" collapsed="false">
      <c r="A9" s="7" t="s">
        <v>284</v>
      </c>
      <c r="B9" s="27" t="n">
        <f aca="false">ExpMeas</f>
        <v>83970000000</v>
      </c>
    </row>
    <row r="10" customFormat="false" ht="15" hidden="false" customHeight="false" outlineLevel="0" collapsed="false">
      <c r="A10" s="7" t="s">
        <v>217</v>
      </c>
      <c r="B10" s="27" t="n">
        <f aca="false">Tier1Cap</f>
        <v>4580000000</v>
      </c>
    </row>
    <row r="11" customFormat="false" ht="15" hidden="false" customHeight="false" outlineLevel="0" collapsed="false">
      <c r="A11" s="7" t="s">
        <v>285</v>
      </c>
      <c r="B11" s="17" t="n">
        <f aca="false">Tier1Cap/ExpMeas</f>
        <v>0.0545432892699774</v>
      </c>
    </row>
    <row r="12" customFormat="false" ht="15" hidden="false" customHeight="false" outlineLevel="0" collapsed="false">
      <c r="A12" s="7" t="s">
        <v>286</v>
      </c>
      <c r="B12" s="20" t="n">
        <f aca="false">LevReq</f>
        <v>0.03</v>
      </c>
    </row>
    <row r="13" customFormat="false" ht="15" hidden="false" customHeight="false" outlineLevel="0" collapsed="false">
      <c r="A13" s="7" t="s">
        <v>287</v>
      </c>
      <c r="B13" s="17" t="n">
        <f aca="false">Tier1Cap/ExpMeas-LevReq</f>
        <v>0.0245432892699774</v>
      </c>
    </row>
    <row r="15" customFormat="false" ht="15" hidden="false" customHeight="false" outlineLevel="0" collapsed="false">
      <c r="A15" s="4" t="s">
        <v>288</v>
      </c>
      <c r="B15" s="6"/>
    </row>
    <row r="17" customFormat="false" ht="15" hidden="false" customHeight="false" outlineLevel="0" collapsed="false">
      <c r="A17" s="7" t="s">
        <v>289</v>
      </c>
      <c r="B17" s="17" t="n">
        <f aca="false">RwaUsed/ExpMeas</f>
        <v>0.356185304275336</v>
      </c>
    </row>
    <row r="18" customFormat="false" ht="15" hidden="false" customHeight="false" outlineLevel="0" collapsed="false">
      <c r="A18" s="7" t="s">
        <v>290</v>
      </c>
      <c r="B18" s="17" t="n">
        <f aca="false">(CetCap/MdaTrig)/(Tier1Cap/LevReq)</f>
        <v>0.251004119517528</v>
      </c>
    </row>
    <row r="19" customFormat="false" ht="15" hidden="false" customHeight="false" outlineLevel="0" collapsed="false">
      <c r="A19" s="7" t="s">
        <v>291</v>
      </c>
      <c r="B19" s="26" t="n">
        <f aca="false">(RwaUsed/ExpMeas-(CetCap/MdaTrig)/(Tier1Cap/LevReq))*10000</f>
        <v>1051.81184757808</v>
      </c>
    </row>
    <row r="20" customFormat="false" ht="15" hidden="false" customHeight="false" outlineLevel="0" collapsed="false">
      <c r="A20" s="13" t="s">
        <v>292</v>
      </c>
    </row>
    <row r="22" customFormat="false" ht="15" hidden="false" customHeight="false" outlineLevel="0" collapsed="false">
      <c r="A22" s="4" t="s">
        <v>293</v>
      </c>
    </row>
    <row r="24" customFormat="false" ht="15" hidden="false" customHeight="false" outlineLevel="0" collapsed="false">
      <c r="A24" s="7" t="s">
        <v>294</v>
      </c>
      <c r="B24" s="27" t="n">
        <f aca="false">RwaFloor</f>
        <v>24653815612.6161</v>
      </c>
    </row>
    <row r="25" customFormat="false" ht="15" hidden="false" customHeight="false" outlineLevel="0" collapsed="false">
      <c r="A25" s="7" t="s">
        <v>295</v>
      </c>
      <c r="B25" s="17" t="n">
        <f aca="false">RwaFloor/ExpMeas</f>
        <v>0.293602663006027</v>
      </c>
    </row>
    <row r="26" customFormat="false" ht="15" hidden="false" customHeight="false" outlineLevel="0" collapsed="false">
      <c r="A26" s="7" t="s">
        <v>296</v>
      </c>
      <c r="B26" s="7" t="str">
        <f aca="false">IF(RwaFloor/ExpMeas&lt;Leverage!$B$18,"yes","no")</f>
        <v>no</v>
      </c>
    </row>
    <row r="27" customFormat="false" ht="15" hidden="false" customHeight="false" outlineLevel="0" collapsed="false">
      <c r="A27" s="7" t="s">
        <v>297</v>
      </c>
      <c r="B27" s="27" t="n">
        <f aca="false">MAX(0,RwaUsed/Leverage!$B$18-ExpMeas)</f>
        <v>35186928808.5386</v>
      </c>
    </row>
    <row r="28" customFormat="false" ht="15" hidden="false" customHeight="false" outlineLevel="0" collapsed="false">
      <c r="A28" s="7" t="s">
        <v>298</v>
      </c>
      <c r="B28" s="27" t="n">
        <f aca="false">MAX(0,MAX(RwaInt,RwaStd*INDEX(FloorRt,COUNT(FloorRt)))/Leverage!$B$18-ExpMeas)</f>
        <v>45502821210.3633</v>
      </c>
    </row>
    <row r="29" customFormat="false" ht="15" hidden="false" customHeight="false" outlineLevel="0" collapsed="false">
      <c r="A29" s="13" t="s">
        <v>299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4"/>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300</v>
      </c>
    </row>
    <row r="2" customFormat="false" ht="15" hidden="false" customHeight="false" outlineLevel="0" collapsed="false">
      <c r="A2" s="2" t="s">
        <v>301</v>
      </c>
    </row>
    <row r="3" customFormat="false" ht="15" hidden="false" customHeight="false" outlineLevel="0" collapsed="false">
      <c r="A3" s="3"/>
      <c r="B3" s="3"/>
      <c r="C3" s="3"/>
      <c r="D3" s="3"/>
      <c r="E3" s="3"/>
      <c r="F3" s="3"/>
    </row>
    <row r="5" customFormat="false" ht="15" hidden="false" customHeight="false" outlineLevel="0" collapsed="false">
      <c r="A5" s="13" t="s">
        <v>302</v>
      </c>
    </row>
    <row r="7" customFormat="false" ht="31.5" hidden="false" customHeight="true" outlineLevel="0" collapsed="false">
      <c r="A7" s="9" t="s">
        <v>303</v>
      </c>
      <c r="B7" s="10" t="s">
        <v>304</v>
      </c>
      <c r="C7" s="10" t="s">
        <v>305</v>
      </c>
      <c r="D7" s="10" t="s">
        <v>306</v>
      </c>
      <c r="E7" s="10" t="s">
        <v>307</v>
      </c>
      <c r="F7" s="10" t="s">
        <v>308</v>
      </c>
    </row>
    <row r="8" customFormat="false" ht="15" hidden="false" customHeight="false" outlineLevel="0" collapsed="false">
      <c r="A8" s="7" t="s">
        <v>309</v>
      </c>
      <c r="B8" s="7" t="s">
        <v>310</v>
      </c>
      <c r="C8" s="27" t="n">
        <v>4060000000</v>
      </c>
      <c r="D8" s="27" t="n">
        <f aca="false">CetCap</f>
        <v>4060000000</v>
      </c>
      <c r="E8" s="34" t="n">
        <f aca="false">D8-C8</f>
        <v>0</v>
      </c>
      <c r="F8" s="33" t="str">
        <f aca="false">IF(ABS(E8)&lt;=50000,"PASS","FAIL")</f>
        <v>PASS</v>
      </c>
    </row>
    <row r="9" customFormat="false" ht="15" hidden="false" customHeight="false" outlineLevel="0" collapsed="false">
      <c r="A9" s="21" t="s">
        <v>309</v>
      </c>
      <c r="B9" s="21" t="s">
        <v>311</v>
      </c>
      <c r="C9" s="31" t="n">
        <v>520000000</v>
      </c>
      <c r="D9" s="31" t="n">
        <f aca="false">At1Cap</f>
        <v>520000000</v>
      </c>
      <c r="E9" s="37" t="n">
        <f aca="false">D9-C9</f>
        <v>0</v>
      </c>
      <c r="F9" s="38" t="str">
        <f aca="false">IF(ABS(E9)&lt;=50000,"PASS","FAIL")</f>
        <v>PASS</v>
      </c>
    </row>
    <row r="10" customFormat="false" ht="15" hidden="false" customHeight="false" outlineLevel="0" collapsed="false">
      <c r="A10" s="7" t="s">
        <v>309</v>
      </c>
      <c r="B10" s="7" t="s">
        <v>312</v>
      </c>
      <c r="C10" s="27" t="n">
        <v>910000000</v>
      </c>
      <c r="D10" s="27" t="n">
        <f aca="false">TierTwo</f>
        <v>910000000</v>
      </c>
      <c r="E10" s="34" t="n">
        <f aca="false">D10-C10</f>
        <v>0</v>
      </c>
      <c r="F10" s="33" t="str">
        <f aca="false">IF(ABS(E10)&lt;=50000,"PASS","FAIL")</f>
        <v>PASS</v>
      </c>
    </row>
    <row r="11" customFormat="false" ht="15" hidden="false" customHeight="false" outlineLevel="0" collapsed="false">
      <c r="A11" s="21" t="s">
        <v>309</v>
      </c>
      <c r="B11" s="21" t="s">
        <v>313</v>
      </c>
      <c r="C11" s="31" t="n">
        <v>4580000000</v>
      </c>
      <c r="D11" s="31" t="n">
        <f aca="false">Tier1Cap</f>
        <v>4580000000</v>
      </c>
      <c r="E11" s="37" t="n">
        <f aca="false">D11-C11</f>
        <v>0</v>
      </c>
      <c r="F11" s="38" t="str">
        <f aca="false">IF(ABS(E11)&lt;=50000,"PASS","FAIL")</f>
        <v>PASS</v>
      </c>
    </row>
    <row r="12" customFormat="false" ht="15" hidden="false" customHeight="false" outlineLevel="0" collapsed="false">
      <c r="A12" s="7" t="s">
        <v>309</v>
      </c>
      <c r="B12" s="7" t="s">
        <v>314</v>
      </c>
      <c r="C12" s="27" t="n">
        <v>5490000000</v>
      </c>
      <c r="D12" s="27" t="n">
        <f aca="false">OwnFunds</f>
        <v>5490000000</v>
      </c>
      <c r="E12" s="34" t="n">
        <f aca="false">D12-C12</f>
        <v>0</v>
      </c>
      <c r="F12" s="33" t="str">
        <f aca="false">IF(ABS(E12)&lt;=50000,"PASS","FAIL")</f>
        <v>PASS</v>
      </c>
    </row>
    <row r="13" customFormat="false" ht="15" hidden="false" customHeight="false" outlineLevel="0" collapsed="false">
      <c r="A13" s="21" t="s">
        <v>309</v>
      </c>
      <c r="B13" s="21" t="s">
        <v>221</v>
      </c>
      <c r="C13" s="23" t="n">
        <v>0.135746</v>
      </c>
      <c r="D13" s="23" t="n">
        <f aca="false">RatioCet</f>
        <v>0.135745638084743</v>
      </c>
      <c r="E13" s="37" t="n">
        <f aca="false">D13-C13</f>
        <v>-3.61915257290901E-007</v>
      </c>
      <c r="F13" s="38" t="str">
        <f aca="false">IF(ABS(E13)&lt;=0.0000005,"PASS","FAIL")</f>
        <v>PASS</v>
      </c>
    </row>
    <row r="14" customFormat="false" ht="15" hidden="false" customHeight="false" outlineLevel="0" collapsed="false">
      <c r="A14" s="7" t="s">
        <v>309</v>
      </c>
      <c r="B14" s="7" t="s">
        <v>222</v>
      </c>
      <c r="C14" s="17" t="n">
        <v>0.153132</v>
      </c>
      <c r="D14" s="17" t="n">
        <f aca="false">RatioTier1</f>
        <v>0.153131778923183</v>
      </c>
      <c r="E14" s="34" t="n">
        <f aca="false">D14-C14</f>
        <v>-2.21076817297217E-007</v>
      </c>
      <c r="F14" s="33" t="str">
        <f aca="false">IF(ABS(E14)&lt;=0.0000005,"PASS","FAIL")</f>
        <v>PASS</v>
      </c>
    </row>
    <row r="15" customFormat="false" ht="15" hidden="false" customHeight="false" outlineLevel="0" collapsed="false">
      <c r="A15" s="21" t="s">
        <v>309</v>
      </c>
      <c r="B15" s="21" t="s">
        <v>223</v>
      </c>
      <c r="C15" s="23" t="n">
        <v>0.183558</v>
      </c>
      <c r="D15" s="23" t="n">
        <f aca="false">RatioTotal</f>
        <v>0.183557525390453</v>
      </c>
      <c r="E15" s="37" t="n">
        <f aca="false">D15-C15</f>
        <v>-4.74609547385096E-007</v>
      </c>
      <c r="F15" s="38" t="str">
        <f aca="false">IF(ABS(E15)&lt;=0.0000005,"PASS","FAIL")</f>
        <v>PASS</v>
      </c>
    </row>
    <row r="16" customFormat="false" ht="15" hidden="false" customHeight="false" outlineLevel="0" collapsed="false">
      <c r="A16" s="7" t="s">
        <v>309</v>
      </c>
      <c r="B16" s="7" t="s">
        <v>105</v>
      </c>
      <c r="C16" s="17" t="n">
        <v>0.045</v>
      </c>
      <c r="D16" s="17" t="n">
        <f aca="false">P1Cet</f>
        <v>0.045</v>
      </c>
      <c r="E16" s="34" t="n">
        <f aca="false">D16-C16</f>
        <v>0</v>
      </c>
      <c r="F16" s="33" t="str">
        <f aca="false">IF(ABS(E16)&lt;=0.000005,"PASS","FAIL")</f>
        <v>PASS</v>
      </c>
    </row>
    <row r="17" customFormat="false" ht="15" hidden="false" customHeight="false" outlineLevel="0" collapsed="false">
      <c r="A17" s="21" t="s">
        <v>309</v>
      </c>
      <c r="B17" s="21" t="s">
        <v>108</v>
      </c>
      <c r="C17" s="23" t="n">
        <v>0.02</v>
      </c>
      <c r="D17" s="23" t="n">
        <f aca="false">P2Req</f>
        <v>0.02</v>
      </c>
      <c r="E17" s="37" t="n">
        <f aca="false">D17-C17</f>
        <v>0</v>
      </c>
      <c r="F17" s="38" t="str">
        <f aca="false">IF(ABS(E17)&lt;=0.000005,"PASS","FAIL")</f>
        <v>PASS</v>
      </c>
    </row>
    <row r="18" customFormat="false" ht="15" hidden="false" customHeight="false" outlineLevel="0" collapsed="false">
      <c r="A18" s="7" t="s">
        <v>309</v>
      </c>
      <c r="B18" s="7" t="s">
        <v>315</v>
      </c>
      <c r="C18" s="17" t="n">
        <v>0.01125</v>
      </c>
      <c r="D18" s="17" t="n">
        <f aca="false">P2CetReq</f>
        <v>0.01125</v>
      </c>
      <c r="E18" s="34" t="n">
        <f aca="false">D18-C18</f>
        <v>0</v>
      </c>
      <c r="F18" s="33" t="str">
        <f aca="false">IF(ABS(E18)&lt;=0.0000005,"PASS","FAIL")</f>
        <v>PASS</v>
      </c>
    </row>
    <row r="19" customFormat="false" ht="15" hidden="false" customHeight="false" outlineLevel="0" collapsed="false">
      <c r="A19" s="21" t="s">
        <v>309</v>
      </c>
      <c r="B19" s="21" t="s">
        <v>316</v>
      </c>
      <c r="C19" s="23" t="n">
        <v>0.00375</v>
      </c>
      <c r="D19" s="23" t="n">
        <f aca="false">P2At1Req</f>
        <v>0.00375</v>
      </c>
      <c r="E19" s="37" t="n">
        <f aca="false">D19-C19</f>
        <v>0</v>
      </c>
      <c r="F19" s="38" t="str">
        <f aca="false">IF(ABS(E19)&lt;=0.0000005,"PASS","FAIL")</f>
        <v>PASS</v>
      </c>
    </row>
    <row r="20" customFormat="false" ht="15" hidden="false" customHeight="false" outlineLevel="0" collapsed="false">
      <c r="A20" s="7" t="s">
        <v>309</v>
      </c>
      <c r="B20" s="7" t="s">
        <v>317</v>
      </c>
      <c r="C20" s="17" t="n">
        <v>0.005</v>
      </c>
      <c r="D20" s="17" t="n">
        <f aca="false">P2T2Req</f>
        <v>0.005</v>
      </c>
      <c r="E20" s="34" t="n">
        <f aca="false">D20-C20</f>
        <v>0</v>
      </c>
      <c r="F20" s="33" t="str">
        <f aca="false">IF(ABS(E20)&lt;=0.0000005,"PASS","FAIL")</f>
        <v>PASS</v>
      </c>
    </row>
    <row r="21" customFormat="false" ht="15" hidden="false" customHeight="false" outlineLevel="0" collapsed="false">
      <c r="A21" s="21" t="s">
        <v>309</v>
      </c>
      <c r="B21" s="21" t="s">
        <v>228</v>
      </c>
      <c r="C21" s="39" t="n">
        <v>0</v>
      </c>
      <c r="D21" s="39" t="n">
        <f aca="false">'The three compartments'!$B$11</f>
        <v>0</v>
      </c>
      <c r="E21" s="37" t="n">
        <f aca="false">D21-C21</f>
        <v>0</v>
      </c>
      <c r="F21" s="38" t="str">
        <f aca="false">IF(ABS(E21)&lt;=0.000000000001,"PASS","FAIL")</f>
        <v>PASS</v>
      </c>
    </row>
    <row r="22" customFormat="false" ht="15" hidden="false" customHeight="false" outlineLevel="0" collapsed="false">
      <c r="A22" s="7" t="s">
        <v>309</v>
      </c>
      <c r="B22" s="7" t="s">
        <v>318</v>
      </c>
      <c r="C22" s="17" t="n">
        <v>0.05625</v>
      </c>
      <c r="D22" s="17" t="n">
        <f aca="false">ReqCetNoBuf</f>
        <v>0.05625</v>
      </c>
      <c r="E22" s="34" t="n">
        <f aca="false">D22-C22</f>
        <v>0</v>
      </c>
      <c r="F22" s="33" t="str">
        <f aca="false">IF(ABS(E22)&lt;=0.0000005,"PASS","FAIL")</f>
        <v>PASS</v>
      </c>
    </row>
    <row r="23" customFormat="false" ht="15" hidden="false" customHeight="false" outlineLevel="0" collapsed="false">
      <c r="A23" s="21" t="s">
        <v>309</v>
      </c>
      <c r="B23" s="21" t="s">
        <v>319</v>
      </c>
      <c r="C23" s="31" t="n">
        <v>560800000</v>
      </c>
      <c r="D23" s="31" t="n">
        <f aca="false">'The three compartments'!$B$18</f>
        <v>560791500</v>
      </c>
      <c r="E23" s="37" t="n">
        <f aca="false">D23-C23</f>
        <v>-8500</v>
      </c>
      <c r="F23" s="38" t="str">
        <f aca="false">IF(ABS(E23)&lt;=50000,"PASS","FAIL")</f>
        <v>PASS</v>
      </c>
    </row>
    <row r="24" customFormat="false" ht="15" hidden="false" customHeight="false" outlineLevel="0" collapsed="false">
      <c r="A24" s="7" t="s">
        <v>309</v>
      </c>
      <c r="B24" s="7" t="s">
        <v>320</v>
      </c>
      <c r="C24" s="27" t="n">
        <v>520000000</v>
      </c>
      <c r="D24" s="27" t="n">
        <f aca="false">'The three compartments'!$C$18</f>
        <v>520000000</v>
      </c>
      <c r="E24" s="34" t="n">
        <f aca="false">D24-C24</f>
        <v>0</v>
      </c>
      <c r="F24" s="33" t="str">
        <f aca="false">IF(ABS(E24)&lt;=50000,"PASS","FAIL")</f>
        <v>PASS</v>
      </c>
    </row>
    <row r="25" customFormat="false" ht="15" hidden="false" customHeight="false" outlineLevel="0" collapsed="false">
      <c r="A25" s="21" t="s">
        <v>309</v>
      </c>
      <c r="B25" s="21" t="s">
        <v>321</v>
      </c>
      <c r="C25" s="31" t="n">
        <v>40800000</v>
      </c>
      <c r="D25" s="31" t="n">
        <f aca="false">'The three compartments'!$D$18</f>
        <v>40791500</v>
      </c>
      <c r="E25" s="37" t="n">
        <f aca="false">D25-C25</f>
        <v>-8500</v>
      </c>
      <c r="F25" s="38" t="str">
        <f aca="false">IF(ABS(E25)&lt;=50000,"PASS","FAIL")</f>
        <v>PASS</v>
      </c>
    </row>
    <row r="26" customFormat="false" ht="15" hidden="false" customHeight="false" outlineLevel="0" collapsed="false">
      <c r="A26" s="7" t="s">
        <v>309</v>
      </c>
      <c r="B26" s="7" t="s">
        <v>322</v>
      </c>
      <c r="C26" s="27" t="n">
        <v>747700000</v>
      </c>
      <c r="D26" s="27" t="n">
        <f aca="false">'The three compartments'!$B$19</f>
        <v>747722000</v>
      </c>
      <c r="E26" s="34" t="n">
        <f aca="false">D26-C26</f>
        <v>22000.0000001192</v>
      </c>
      <c r="F26" s="33" t="str">
        <f aca="false">IF(ABS(E26)&lt;=50000,"PASS","FAIL")</f>
        <v>PASS</v>
      </c>
    </row>
    <row r="27" customFormat="false" ht="15" hidden="false" customHeight="false" outlineLevel="0" collapsed="false">
      <c r="A27" s="21" t="s">
        <v>309</v>
      </c>
      <c r="B27" s="21" t="s">
        <v>323</v>
      </c>
      <c r="C27" s="31" t="n">
        <v>910000000</v>
      </c>
      <c r="D27" s="31" t="n">
        <f aca="false">'The three compartments'!$C$19</f>
        <v>910000000</v>
      </c>
      <c r="E27" s="37" t="n">
        <f aca="false">D27-C27</f>
        <v>0</v>
      </c>
      <c r="F27" s="38" t="str">
        <f aca="false">IF(ABS(E27)&lt;=50000,"PASS","FAIL")</f>
        <v>PASS</v>
      </c>
    </row>
    <row r="28" customFormat="false" ht="15" hidden="false" customHeight="false" outlineLevel="0" collapsed="false">
      <c r="A28" s="7" t="s">
        <v>309</v>
      </c>
      <c r="B28" s="7" t="s">
        <v>324</v>
      </c>
      <c r="C28" s="27" t="n">
        <v>162300000</v>
      </c>
      <c r="D28" s="27" t="n">
        <f aca="false">'The three compartments'!$B$21</f>
        <v>162278000</v>
      </c>
      <c r="E28" s="34" t="n">
        <f aca="false">D28-C28</f>
        <v>-22000.0000001192</v>
      </c>
      <c r="F28" s="33" t="str">
        <f aca="false">IF(ABS(E28)&lt;=50000,"PASS","FAIL")</f>
        <v>PASS</v>
      </c>
    </row>
    <row r="29" customFormat="false" ht="15" hidden="false" customHeight="false" outlineLevel="0" collapsed="false">
      <c r="A29" s="21" t="s">
        <v>325</v>
      </c>
      <c r="B29" s="21" t="s">
        <v>230</v>
      </c>
      <c r="C29" s="23" t="n">
        <v>0.0097</v>
      </c>
      <c r="D29" s="23" t="n">
        <f aca="false">'The buffer stack'!$D$14</f>
        <v>0.0097</v>
      </c>
      <c r="E29" s="37" t="n">
        <f aca="false">D29-C29</f>
        <v>0</v>
      </c>
      <c r="F29" s="38" t="str">
        <f aca="false">IF(ABS(E29)&lt;=0.0000005,"PASS","FAIL")</f>
        <v>PASS</v>
      </c>
    </row>
    <row r="30" customFormat="false" ht="15" hidden="false" customHeight="false" outlineLevel="0" collapsed="false">
      <c r="A30" s="7" t="s">
        <v>325</v>
      </c>
      <c r="B30" s="7" t="s">
        <v>326</v>
      </c>
      <c r="C30" s="20" t="n">
        <v>1</v>
      </c>
      <c r="D30" s="20" t="n">
        <f aca="false">'The buffer stack'!$B$14</f>
        <v>1</v>
      </c>
      <c r="E30" s="34" t="n">
        <f aca="false">D30-C30</f>
        <v>0</v>
      </c>
      <c r="F30" s="33" t="str">
        <f aca="false">IF(ABS(E30)&lt;=0.000005,"PASS","FAIL")</f>
        <v>PASS</v>
      </c>
    </row>
    <row r="31" customFormat="false" ht="15" hidden="false" customHeight="false" outlineLevel="0" collapsed="false">
      <c r="A31" s="21" t="s">
        <v>325</v>
      </c>
      <c r="B31" s="21" t="s">
        <v>113</v>
      </c>
      <c r="C31" s="23" t="n">
        <v>0.025</v>
      </c>
      <c r="D31" s="23" t="n">
        <f aca="false">BufCons</f>
        <v>0.025</v>
      </c>
      <c r="E31" s="37" t="n">
        <f aca="false">D31-C31</f>
        <v>0</v>
      </c>
      <c r="F31" s="38" t="str">
        <f aca="false">IF(ABS(E31)&lt;=0.0000005,"PASS","FAIL")</f>
        <v>PASS</v>
      </c>
    </row>
    <row r="32" customFormat="false" ht="15" hidden="false" customHeight="false" outlineLevel="0" collapsed="false">
      <c r="A32" s="7" t="s">
        <v>325</v>
      </c>
      <c r="B32" s="7" t="s">
        <v>114</v>
      </c>
      <c r="C32" s="17" t="n">
        <v>0.01</v>
      </c>
      <c r="D32" s="17" t="n">
        <f aca="false">BufOsii</f>
        <v>0.01</v>
      </c>
      <c r="E32" s="34" t="n">
        <f aca="false">D32-C32</f>
        <v>0</v>
      </c>
      <c r="F32" s="33" t="str">
        <f aca="false">IF(ABS(E32)&lt;=0.0000005,"PASS","FAIL")</f>
        <v>PASS</v>
      </c>
    </row>
    <row r="33" customFormat="false" ht="15" hidden="false" customHeight="false" outlineLevel="0" collapsed="false">
      <c r="A33" s="21" t="s">
        <v>325</v>
      </c>
      <c r="B33" s="21" t="s">
        <v>115</v>
      </c>
      <c r="C33" s="23" t="n">
        <v>0.005</v>
      </c>
      <c r="D33" s="23" t="n">
        <f aca="false">BufSect</f>
        <v>0.005</v>
      </c>
      <c r="E33" s="37" t="n">
        <f aca="false">D33-C33</f>
        <v>0</v>
      </c>
      <c r="F33" s="38" t="str">
        <f aca="false">IF(ABS(E33)&lt;=0.0000005,"PASS","FAIL")</f>
        <v>PASS</v>
      </c>
    </row>
    <row r="34" customFormat="false" ht="15" hidden="false" customHeight="false" outlineLevel="0" collapsed="false">
      <c r="A34" s="7" t="s">
        <v>325</v>
      </c>
      <c r="B34" s="7" t="s">
        <v>231</v>
      </c>
      <c r="C34" s="17" t="n">
        <v>0.0497</v>
      </c>
      <c r="D34" s="17" t="n">
        <f aca="false">CbrRate</f>
        <v>0.0497</v>
      </c>
      <c r="E34" s="34" t="n">
        <f aca="false">D34-C34</f>
        <v>0</v>
      </c>
      <c r="F34" s="33" t="str">
        <f aca="false">IF(ABS(E34)&lt;=0.0000005,"PASS","FAIL")</f>
        <v>PASS</v>
      </c>
    </row>
    <row r="35" customFormat="false" ht="15" hidden="false" customHeight="false" outlineLevel="0" collapsed="false">
      <c r="A35" s="21" t="s">
        <v>325</v>
      </c>
      <c r="B35" s="21" t="s">
        <v>327</v>
      </c>
      <c r="C35" s="31" t="n">
        <v>1486500000</v>
      </c>
      <c r="D35" s="31" t="n">
        <f aca="false">CbrEur</f>
        <v>1486471336</v>
      </c>
      <c r="E35" s="37" t="n">
        <f aca="false">D35-C35</f>
        <v>-28664</v>
      </c>
      <c r="F35" s="38" t="str">
        <f aca="false">IF(ABS(E35)&lt;=50000,"PASS","FAIL")</f>
        <v>PASS</v>
      </c>
    </row>
    <row r="36" customFormat="false" ht="15" hidden="false" customHeight="false" outlineLevel="0" collapsed="false">
      <c r="A36" s="7" t="s">
        <v>328</v>
      </c>
      <c r="B36" s="7" t="s">
        <v>232</v>
      </c>
      <c r="C36" s="17" t="n">
        <v>0.10595</v>
      </c>
      <c r="D36" s="17" t="n">
        <f aca="false">MdaTrig</f>
        <v>0.10595</v>
      </c>
      <c r="E36" s="34" t="n">
        <f aca="false">D36-C36</f>
        <v>0</v>
      </c>
      <c r="F36" s="33" t="str">
        <f aca="false">IF(ABS(E36)&lt;=0.0000005,"PASS","FAIL")</f>
        <v>PASS</v>
      </c>
    </row>
    <row r="37" customFormat="false" ht="15" hidden="false" customHeight="false" outlineLevel="0" collapsed="false">
      <c r="A37" s="21" t="s">
        <v>328</v>
      </c>
      <c r="B37" s="21" t="s">
        <v>329</v>
      </c>
      <c r="C37" s="23" t="n">
        <v>0.0125</v>
      </c>
      <c r="D37" s="23" t="n">
        <f aca="false">P2Guide</f>
        <v>0.0125</v>
      </c>
      <c r="E37" s="37" t="n">
        <f aca="false">D37-C37</f>
        <v>0</v>
      </c>
      <c r="F37" s="38" t="str">
        <f aca="false">IF(ABS(E37)&lt;=0.0000005,"PASS","FAIL")</f>
        <v>PASS</v>
      </c>
    </row>
    <row r="38" customFormat="false" ht="15" hidden="false" customHeight="false" outlineLevel="0" collapsed="false">
      <c r="A38" s="7" t="s">
        <v>328</v>
      </c>
      <c r="B38" s="7" t="s">
        <v>261</v>
      </c>
      <c r="C38" s="17" t="n">
        <v>0.11845</v>
      </c>
      <c r="D38" s="17" t="n">
        <f aca="false">MdaWithGuide</f>
        <v>0.11845</v>
      </c>
      <c r="E38" s="34" t="n">
        <f aca="false">D38-C38</f>
        <v>0</v>
      </c>
      <c r="F38" s="33" t="str">
        <f aca="false">IF(ABS(E38)&lt;=0.0000005,"PASS","FAIL")</f>
        <v>PASS</v>
      </c>
    </row>
    <row r="39" customFormat="false" ht="15" hidden="false" customHeight="false" outlineLevel="0" collapsed="false">
      <c r="A39" s="21" t="s">
        <v>328</v>
      </c>
      <c r="B39" s="21" t="s">
        <v>270</v>
      </c>
      <c r="C39" s="23" t="n">
        <v>0.029796</v>
      </c>
      <c r="D39" s="23" t="n">
        <f aca="false">Headroom!$B$8</f>
        <v>0.0297956380847427</v>
      </c>
      <c r="E39" s="37" t="n">
        <f aca="false">D39-C39</f>
        <v>-3.61915257273554E-007</v>
      </c>
      <c r="F39" s="38" t="str">
        <f aca="false">IF(ABS(E39)&lt;=0.0000005,"PASS","FAIL")</f>
        <v>PASS</v>
      </c>
    </row>
    <row r="40" customFormat="false" ht="15" hidden="false" customHeight="false" outlineLevel="0" collapsed="false">
      <c r="A40" s="7" t="s">
        <v>328</v>
      </c>
      <c r="B40" s="7" t="s">
        <v>330</v>
      </c>
      <c r="C40" s="27" t="n">
        <v>891200000</v>
      </c>
      <c r="D40" s="27" t="n">
        <f aca="false">Headroom!$C$8</f>
        <v>891154164</v>
      </c>
      <c r="E40" s="34" t="n">
        <f aca="false">D40-C40</f>
        <v>-45836</v>
      </c>
      <c r="F40" s="33" t="str">
        <f aca="false">IF(ABS(E40)&lt;=50000,"PASS","FAIL")</f>
        <v>PASS</v>
      </c>
    </row>
    <row r="41" customFormat="false" ht="15" hidden="false" customHeight="false" outlineLevel="0" collapsed="false">
      <c r="A41" s="21" t="s">
        <v>328</v>
      </c>
      <c r="B41" s="21" t="s">
        <v>272</v>
      </c>
      <c r="C41" s="23" t="n">
        <v>0.028432</v>
      </c>
      <c r="D41" s="23" t="n">
        <f aca="false">Headroom!$B$10</f>
        <v>0.0284317789231827</v>
      </c>
      <c r="E41" s="37" t="n">
        <f aca="false">D41-C41</f>
        <v>-2.21076817318033E-007</v>
      </c>
      <c r="F41" s="38" t="str">
        <f aca="false">IF(ABS(E41)&lt;=0.0000005,"PASS","FAIL")</f>
        <v>PASS</v>
      </c>
    </row>
    <row r="42" customFormat="false" ht="15" hidden="false" customHeight="false" outlineLevel="0" collapsed="false">
      <c r="A42" s="7" t="s">
        <v>328</v>
      </c>
      <c r="B42" s="7" t="s">
        <v>331</v>
      </c>
      <c r="C42" s="27" t="n">
        <v>850400000</v>
      </c>
      <c r="D42" s="27" t="n">
        <f aca="false">Headroom!$C$10</f>
        <v>850362664</v>
      </c>
      <c r="E42" s="34" t="n">
        <f aca="false">D42-C42</f>
        <v>-37336</v>
      </c>
      <c r="F42" s="33" t="str">
        <f aca="false">IF(ABS(E42)&lt;=50000,"PASS","FAIL")</f>
        <v>PASS</v>
      </c>
    </row>
    <row r="43" customFormat="false" ht="15" hidden="false" customHeight="false" outlineLevel="0" collapsed="false">
      <c r="A43" s="21" t="s">
        <v>328</v>
      </c>
      <c r="B43" s="21" t="s">
        <v>332</v>
      </c>
      <c r="C43" s="40" t="n">
        <v>13.6</v>
      </c>
      <c r="D43" s="40" t="n">
        <f aca="false">Headroom!$B$11</f>
        <v>13.6385916156005</v>
      </c>
      <c r="E43" s="37" t="n">
        <f aca="false">D43-C43</f>
        <v>0.0385916156004509</v>
      </c>
      <c r="F43" s="38" t="str">
        <f aca="false">IF(ABS(E43)&lt;=0.05,"PASS","FAIL")</f>
        <v>PASS</v>
      </c>
    </row>
    <row r="44" customFormat="false" ht="15" hidden="false" customHeight="false" outlineLevel="0" collapsed="false">
      <c r="A44" s="7" t="s">
        <v>328</v>
      </c>
      <c r="B44" s="7" t="s">
        <v>333</v>
      </c>
      <c r="C44" s="27" t="n">
        <v>40800000</v>
      </c>
      <c r="D44" s="27" t="n">
        <f aca="false">Headroom!$C$11</f>
        <v>40791500</v>
      </c>
      <c r="E44" s="34" t="n">
        <f aca="false">D44-C44</f>
        <v>-8500</v>
      </c>
      <c r="F44" s="33" t="str">
        <f aca="false">IF(ABS(E44)&lt;=50000,"PASS","FAIL")</f>
        <v>PASS</v>
      </c>
    </row>
    <row r="45" customFormat="false" ht="15" hidden="false" customHeight="false" outlineLevel="0" collapsed="false">
      <c r="A45" s="21" t="s">
        <v>328</v>
      </c>
      <c r="B45" s="21" t="s">
        <v>274</v>
      </c>
      <c r="C45" s="23" t="n">
        <v>0.017296</v>
      </c>
      <c r="D45" s="23" t="n">
        <f aca="false">Headroom!$B$12</f>
        <v>0.0172956380847427</v>
      </c>
      <c r="E45" s="37" t="n">
        <f aca="false">D45-C45</f>
        <v>-3.61915257270085E-007</v>
      </c>
      <c r="F45" s="38" t="str">
        <f aca="false">IF(ABS(E45)&lt;=0.0000005,"PASS","FAIL")</f>
        <v>PASS</v>
      </c>
    </row>
    <row r="46" customFormat="false" ht="15" hidden="false" customHeight="false" outlineLevel="0" collapsed="false">
      <c r="A46" s="7" t="s">
        <v>328</v>
      </c>
      <c r="B46" s="7" t="s">
        <v>334</v>
      </c>
      <c r="C46" s="27" t="n">
        <v>517300000</v>
      </c>
      <c r="D46" s="27" t="n">
        <f aca="false">Headroom!$C$12</f>
        <v>517293164</v>
      </c>
      <c r="E46" s="34" t="n">
        <f aca="false">D46-C46</f>
        <v>-6835.99999988079</v>
      </c>
      <c r="F46" s="33" t="str">
        <f aca="false">IF(ABS(E46)&lt;=50000,"PASS","FAIL")</f>
        <v>PASS</v>
      </c>
    </row>
    <row r="47" customFormat="false" ht="15" hidden="false" customHeight="false" outlineLevel="0" collapsed="false">
      <c r="A47" s="21" t="s">
        <v>328</v>
      </c>
      <c r="B47" s="21" t="s">
        <v>276</v>
      </c>
      <c r="C47" s="41" t="n">
        <v>1.5721</v>
      </c>
      <c r="D47" s="41" t="n">
        <f aca="false">Headroom!$B$16</f>
        <v>1.57206798638195</v>
      </c>
      <c r="E47" s="37" t="n">
        <f aca="false">D47-C47</f>
        <v>-3.20136180547159E-005</v>
      </c>
      <c r="F47" s="38" t="str">
        <f aca="false">IF(ABS(E47)&lt;=0.00005,"PASS","FAIL")</f>
        <v>PASS</v>
      </c>
    </row>
    <row r="48" customFormat="false" ht="15" hidden="false" customHeight="false" outlineLevel="0" collapsed="false">
      <c r="A48" s="7" t="s">
        <v>328</v>
      </c>
      <c r="B48" s="7" t="s">
        <v>277</v>
      </c>
      <c r="C48" s="20" t="n">
        <v>1</v>
      </c>
      <c r="D48" s="20" t="n">
        <f aca="false">Headroom!$B$17</f>
        <v>1</v>
      </c>
      <c r="E48" s="34" t="n">
        <f aca="false">D48-C48</f>
        <v>0</v>
      </c>
      <c r="F48" s="33" t="str">
        <f aca="false">IF(ABS(E48)&lt;=0.000005,"PASS","FAIL")</f>
        <v>PASS</v>
      </c>
    </row>
    <row r="49" customFormat="false" ht="15" hidden="false" customHeight="false" outlineLevel="0" collapsed="false">
      <c r="A49" s="21" t="s">
        <v>335</v>
      </c>
      <c r="B49" s="21" t="s">
        <v>336</v>
      </c>
      <c r="C49" s="31" t="n">
        <v>83970000000</v>
      </c>
      <c r="D49" s="31" t="n">
        <f aca="false">ExpMeas</f>
        <v>83970000000</v>
      </c>
      <c r="E49" s="37" t="n">
        <f aca="false">D49-C49</f>
        <v>0</v>
      </c>
      <c r="F49" s="38" t="str">
        <f aca="false">IF(ABS(E49)&lt;=50000,"PASS","FAIL")</f>
        <v>PASS</v>
      </c>
    </row>
    <row r="50" customFormat="false" ht="15" hidden="false" customHeight="false" outlineLevel="0" collapsed="false">
      <c r="A50" s="7" t="s">
        <v>335</v>
      </c>
      <c r="B50" s="7" t="s">
        <v>285</v>
      </c>
      <c r="C50" s="17" t="n">
        <v>0.054543</v>
      </c>
      <c r="D50" s="17" t="n">
        <f aca="false">Leverage!$B$11</f>
        <v>0.0545432892699774</v>
      </c>
      <c r="E50" s="34" t="n">
        <f aca="false">D50-C50</f>
        <v>2.89269977374329E-007</v>
      </c>
      <c r="F50" s="33" t="str">
        <f aca="false">IF(ABS(E50)&lt;=0.0000005,"PASS","FAIL")</f>
        <v>PASS</v>
      </c>
    </row>
    <row r="51" customFormat="false" ht="15" hidden="false" customHeight="false" outlineLevel="0" collapsed="false">
      <c r="A51" s="21" t="s">
        <v>335</v>
      </c>
      <c r="B51" s="21" t="s">
        <v>337</v>
      </c>
      <c r="C51" s="23" t="n">
        <v>0.03</v>
      </c>
      <c r="D51" s="23" t="n">
        <f aca="false">LevReq</f>
        <v>0.03</v>
      </c>
      <c r="E51" s="37" t="n">
        <f aca="false">D51-C51</f>
        <v>0</v>
      </c>
      <c r="F51" s="38" t="str">
        <f aca="false">IF(ABS(E51)&lt;=0.000005,"PASS","FAIL")</f>
        <v>PASS</v>
      </c>
    </row>
    <row r="52" customFormat="false" ht="15" hidden="false" customHeight="false" outlineLevel="0" collapsed="false">
      <c r="A52" s="7" t="s">
        <v>335</v>
      </c>
      <c r="B52" s="7" t="s">
        <v>289</v>
      </c>
      <c r="C52" s="17" t="n">
        <v>0.356185</v>
      </c>
      <c r="D52" s="17" t="n">
        <f aca="false">Leverage!$B$17</f>
        <v>0.356185304275336</v>
      </c>
      <c r="E52" s="34" t="n">
        <f aca="false">D52-C52</f>
        <v>3.04275336482363E-007</v>
      </c>
      <c r="F52" s="33" t="str">
        <f aca="false">IF(ABS(E52)&lt;=0.0000005,"PASS","FAIL")</f>
        <v>PASS</v>
      </c>
    </row>
    <row r="53" customFormat="false" ht="15" hidden="false" customHeight="false" outlineLevel="0" collapsed="false">
      <c r="A53" s="21" t="s">
        <v>335</v>
      </c>
      <c r="B53" s="21" t="s">
        <v>338</v>
      </c>
      <c r="C53" s="23" t="n">
        <v>0.251004</v>
      </c>
      <c r="D53" s="23" t="n">
        <f aca="false">Leverage!$B$18</f>
        <v>0.251004119517528</v>
      </c>
      <c r="E53" s="37" t="n">
        <f aca="false">D53-C53</f>
        <v>1.19517528041069E-007</v>
      </c>
      <c r="F53" s="38" t="str">
        <f aca="false">IF(ABS(E53)&lt;=0.0000005,"PASS","FAIL")</f>
        <v>PASS</v>
      </c>
    </row>
    <row r="54" customFormat="false" ht="15" hidden="false" customHeight="false" outlineLevel="0" collapsed="false">
      <c r="A54" s="7" t="s">
        <v>309</v>
      </c>
      <c r="B54" s="7" t="s">
        <v>339</v>
      </c>
      <c r="C54" s="27" t="n">
        <v>1682400000</v>
      </c>
      <c r="D54" s="27" t="n">
        <f aca="false">'The three compartments'!$B$17</f>
        <v>1682374500</v>
      </c>
      <c r="E54" s="34" t="n">
        <f aca="false">D54-C54</f>
        <v>-25500.0000002384</v>
      </c>
      <c r="F54" s="33" t="str">
        <f aca="false">IF(ABS(E54)&lt;=50000,"PASS","FAIL")</f>
        <v>PASS</v>
      </c>
    </row>
    <row r="55" customFormat="false" ht="15" hidden="false" customHeight="false" outlineLevel="0" collapsed="false">
      <c r="A55" s="21" t="s">
        <v>328</v>
      </c>
      <c r="B55" s="21" t="s">
        <v>340</v>
      </c>
      <c r="C55" s="31" t="n">
        <v>3168800000</v>
      </c>
      <c r="D55" s="31" t="n">
        <f aca="false">'The buffer stack'!$D$36</f>
        <v>3168845836</v>
      </c>
      <c r="E55" s="37" t="n">
        <f aca="false">D55-C55</f>
        <v>45835.9999995232</v>
      </c>
      <c r="F55" s="38" t="str">
        <f aca="false">IF(ABS(E55)&lt;=50000,"PASS","FAIL")</f>
        <v>PASS</v>
      </c>
    </row>
    <row r="56" customFormat="false" ht="15" hidden="false" customHeight="false" outlineLevel="0" collapsed="false">
      <c r="A56" s="7" t="s">
        <v>328</v>
      </c>
      <c r="B56" s="7" t="s">
        <v>341</v>
      </c>
      <c r="C56" s="17" t="n">
        <v>0.068675</v>
      </c>
      <c r="D56" s="17" t="n">
        <f aca="false">'The buffer stack'!$C$33</f>
        <v>0.068675</v>
      </c>
      <c r="E56" s="34" t="n">
        <f aca="false">D56-C56</f>
        <v>0</v>
      </c>
      <c r="F56" s="33" t="str">
        <f aca="false">IF(ABS(E56)&lt;=0.0000005,"PASS","FAIL")</f>
        <v>PASS</v>
      </c>
    </row>
    <row r="57" customFormat="false" ht="15" hidden="false" customHeight="false" outlineLevel="0" collapsed="false">
      <c r="A57" s="21" t="s">
        <v>328</v>
      </c>
      <c r="B57" s="21" t="s">
        <v>342</v>
      </c>
      <c r="C57" s="37" t="n">
        <v>0</v>
      </c>
      <c r="D57" s="37" t="n">
        <f aca="false">(Headroom!$B$8-Headroom!$B$10)-'The three compartments'!$B$23</f>
        <v>0</v>
      </c>
      <c r="E57" s="37" t="n">
        <f aca="false">D57-C57</f>
        <v>0</v>
      </c>
      <c r="F57" s="38" t="str">
        <f aca="false">IF(ABS(E57)&lt;=0.000000000001,"PASS","FAIL")</f>
        <v>PASS</v>
      </c>
    </row>
    <row r="58" customFormat="false" ht="15" hidden="false" customHeight="false" outlineLevel="0" collapsed="false">
      <c r="A58" s="7" t="s">
        <v>335</v>
      </c>
      <c r="B58" s="7" t="s">
        <v>343</v>
      </c>
      <c r="C58" s="17" t="n">
        <v>0.293603</v>
      </c>
      <c r="D58" s="17" t="n">
        <f aca="false">Leverage!$B$25</f>
        <v>0.293602663006027</v>
      </c>
      <c r="E58" s="34" t="n">
        <f aca="false">D58-C58</f>
        <v>-3.36993972838151E-007</v>
      </c>
      <c r="F58" s="33" t="str">
        <f aca="false">IF(ABS(E58)&lt;=0.0000005,"PASS","FAIL")</f>
        <v>PASS</v>
      </c>
    </row>
    <row r="59" customFormat="false" ht="15" hidden="false" customHeight="false" outlineLevel="0" collapsed="false">
      <c r="A59" s="21" t="s">
        <v>335</v>
      </c>
      <c r="B59" s="21" t="s">
        <v>344</v>
      </c>
      <c r="C59" s="31" t="n">
        <v>35186900000</v>
      </c>
      <c r="D59" s="31" t="n">
        <f aca="false">Leverage!$B$27</f>
        <v>35186928808.5386</v>
      </c>
      <c r="E59" s="37" t="n">
        <f aca="false">D59-C59</f>
        <v>28808.5385894775</v>
      </c>
      <c r="F59" s="38" t="str">
        <f aca="false">IF(ABS(E59)&lt;=50000,"PASS","FAIL")</f>
        <v>PASS</v>
      </c>
    </row>
    <row r="61" customFormat="false" ht="15" hidden="false" customHeight="false" outlineLevel="0" collapsed="false">
      <c r="B61" s="24" t="s">
        <v>345</v>
      </c>
      <c r="C61" s="42" t="n">
        <f aca="false">COUNTIF(F8:F59,"PASS")</f>
        <v>52</v>
      </c>
    </row>
    <row r="62" customFormat="false" ht="15" hidden="false" customHeight="false" outlineLevel="0" collapsed="false">
      <c r="B62" s="24" t="s">
        <v>346</v>
      </c>
      <c r="C62" s="42" t="n">
        <f aca="false">COUNTIF(F8:F59,"FAIL")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2026-08-30T10:47:59Z</dcterms:created>
  <dc:creator>openpyxl</dc:creator>
  <dc:description/>
  <dc:language>en-US</dc:language>
  <cp:lastModifiedBy/>
  <dcterms:modified xsi:type="dcterms:W3CDTF">2026-09-24T19:44:35Z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